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ualisation form" sheetId="1" r:id="rId4"/>
    <sheet state="visible" name="survey" sheetId="2" r:id="rId5"/>
    <sheet state="visible" name="choices" sheetId="3" r:id="rId6"/>
    <sheet state="visible" name="settings" sheetId="4" r:id="rId7"/>
    <sheet state="hidden" name="COMPARISON_SHEET_2" sheetId="5" r:id="rId8"/>
    <sheet state="hidden" name="Sheet1" sheetId="6" r:id="rId9"/>
    <sheet state="hidden" name="Reason to remove" sheetId="7" r:id="rId10"/>
    <sheet state="hidden" name="Core_FO Module" sheetId="8" r:id="rId11"/>
  </sheets>
  <definedNames/>
  <calcPr/>
  <extLst>
    <ext uri="GoogleSheetsCustomDataVersion2">
      <go:sheetsCustomData xmlns:go="http://customooxmlschemas.google.com/" r:id="rId12" roundtripDataChecksum="8/yAb/tMda7QnXFXuko+jaE+w/8gMDJ0wGQyWqf1nk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9">
      <text>
        <t xml:space="preserve">======
ID#AAABhnkvCfg
Ines Lesire    (2025-04-09 14:31:33)
@jildemarie@akvo.org is this the right way to ask this?</t>
      </text>
    </comment>
    <comment authorId="0" ref="A46">
      <text>
        <t xml:space="preserve">======
ID#AAABhnVKe-g
Ines Lesire    (2025-04-09 13:39:29)
we need to ask this here for the share of income later, which is defined as core</t>
      </text>
    </comment>
  </commentList>
  <extLst>
    <ext uri="GoogleSheetsCustomDataVersion2">
      <go:sheetsCustomData xmlns:go="http://customooxmlschemas.google.com/" r:id="rId1" roundtripDataSignature="AMtx7mhSVjIS2eCuhOhbocEvlm8QJp1KQA=="/>
    </ext>
  </extLst>
</comments>
</file>

<file path=xl/sharedStrings.xml><?xml version="1.0" encoding="utf-8"?>
<sst xmlns="http://schemas.openxmlformats.org/spreadsheetml/2006/main" count="4055" uniqueCount="2013">
  <si>
    <t xml:space="preserve">Farmer Survey Builder </t>
  </si>
  <si>
    <t xml:space="preserve">To tailor the survey to your specific requirements, please provide contextual details below. You can select either the core (lean) question set or expand it with additional questions relevant to NORAD learnings. All surveys marked as "endline" automatically include endline questions.
Enter your company name to customize the survey directly, or select the checkbox if the farmers belong to multiple companies. Also, please specify the focus crop.. Insert the company name to directly taior questions or chekc the tickbox if framers belong to different companies. Input the focus crop. </t>
  </si>
  <si>
    <t>Survey Settings</t>
  </si>
  <si>
    <t>Focus Crop</t>
  </si>
  <si>
    <t>cocoa</t>
  </si>
  <si>
    <t>If crop is not provide in drop-down, add</t>
  </si>
  <si>
    <t xml:space="preserve">Survey </t>
  </si>
  <si>
    <t>Lean Library Core</t>
  </si>
  <si>
    <t>Lean Library Core + Norad</t>
  </si>
  <si>
    <t>Type of Survey</t>
  </si>
  <si>
    <t>Baseline</t>
  </si>
  <si>
    <t>Endline</t>
  </si>
  <si>
    <t xml:space="preserve">If endline: </t>
  </si>
  <si>
    <t>Baseline Year</t>
  </si>
  <si>
    <t>Years since baseline</t>
  </si>
  <si>
    <t>Additional Modules</t>
  </si>
  <si>
    <t>Gender-intentional Transformative (14)</t>
  </si>
  <si>
    <t>Please select a maximum of 3 added modules</t>
  </si>
  <si>
    <t>Farmer Organisation</t>
  </si>
  <si>
    <t xml:space="preserve">Company Details </t>
  </si>
  <si>
    <t>Name of Company</t>
  </si>
  <si>
    <t>Akvo</t>
  </si>
  <si>
    <t>Leave blank if multiple</t>
  </si>
  <si>
    <t>Tick if farmers belong to different companies</t>
  </si>
  <si>
    <t>Services provided</t>
  </si>
  <si>
    <t>A loan to buy inputs</t>
  </si>
  <si>
    <t>Check all that apply</t>
  </si>
  <si>
    <t>Financial training</t>
  </si>
  <si>
    <t>Agricultural training</t>
  </si>
  <si>
    <t>Planting material (also when bought in a shop)</t>
  </si>
  <si>
    <t>Organic fertiliser (compost)</t>
  </si>
  <si>
    <t>Agrochemical provision (also when bought in a shop)</t>
  </si>
  <si>
    <t>Financing|Insurance</t>
  </si>
  <si>
    <t>Membership of a farmer organisation</t>
  </si>
  <si>
    <t>Market Linkages (external person or organisation connected farmer to market)</t>
  </si>
  <si>
    <t>Mechanization services (land clearing/ preparation)</t>
  </si>
  <si>
    <t>Soil, vegetation and drainage mapping</t>
  </si>
  <si>
    <t>Climate/weather data mapping|</t>
  </si>
  <si>
    <t>Logistics (storage and transportation)</t>
  </si>
  <si>
    <t>Provision of farm management technology</t>
  </si>
  <si>
    <t>Irrigation infrastructure and water provision</t>
  </si>
  <si>
    <t>Financing</t>
  </si>
  <si>
    <t>General Context</t>
  </si>
  <si>
    <t>Country:</t>
  </si>
  <si>
    <t>Uganda</t>
  </si>
  <si>
    <t>First level adminsistrative division (e.g. province, region, departement)</t>
  </si>
  <si>
    <t>province</t>
  </si>
  <si>
    <t>Second level administrative division (e.g. department, district, province)</t>
  </si>
  <si>
    <t>district</t>
  </si>
  <si>
    <t>Third level administrative division (e.g. chiefdom, subdistrict, community)</t>
  </si>
  <si>
    <t>chiefdom</t>
  </si>
  <si>
    <t>Fourth level administrative division (e.g. community, village) - if applicable</t>
  </si>
  <si>
    <t>village</t>
  </si>
  <si>
    <t>Example, to identify community in Ghana:  1st level: region, 2nd level district, 3rd level community</t>
  </si>
  <si>
    <t>Units of Land Measurement:</t>
  </si>
  <si>
    <t>Hectares</t>
  </si>
  <si>
    <t>Select all units that are applicable</t>
  </si>
  <si>
    <t>Acres</t>
  </si>
  <si>
    <t>If other, please specify:</t>
  </si>
  <si>
    <t>Local currency (e.g. KES, UGX):</t>
  </si>
  <si>
    <t>Data collection permit required:</t>
  </si>
  <si>
    <t>If yes, specifiy relevant authority</t>
  </si>
  <si>
    <t>If yes, specifiy relevant documents</t>
  </si>
  <si>
    <t>Do you work with farmer agents?</t>
  </si>
  <si>
    <t>If yes, how many farmer agents are there?</t>
  </si>
  <si>
    <t>If yes, can you elaborate on how you work together?</t>
  </si>
  <si>
    <t>Are farmer cooperatives active?</t>
  </si>
  <si>
    <t>If yes, how many cooperatives are present?</t>
  </si>
  <si>
    <t>If yes, can you list the names of the cooperatives?</t>
  </si>
  <si>
    <t>If yes, what are the main activities of the cooperatives?</t>
  </si>
  <si>
    <t>Crops Cultivated</t>
  </si>
  <si>
    <t>Kg</t>
  </si>
  <si>
    <t>Weight in kg:</t>
  </si>
  <si>
    <t>Bag</t>
  </si>
  <si>
    <t>Bucket</t>
  </si>
  <si>
    <t>Other commodities cultivated</t>
  </si>
  <si>
    <t>Variety 1:</t>
  </si>
  <si>
    <t>a</t>
  </si>
  <si>
    <t>Avocado</t>
  </si>
  <si>
    <t xml:space="preserve">Variety 2: </t>
  </si>
  <si>
    <t>b</t>
  </si>
  <si>
    <t>Bamboo</t>
  </si>
  <si>
    <t xml:space="preserve">Variety 3: </t>
  </si>
  <si>
    <t>c</t>
  </si>
  <si>
    <t>bananas</t>
  </si>
  <si>
    <t xml:space="preserve">Variety 4: </t>
  </si>
  <si>
    <t>d</t>
  </si>
  <si>
    <t>Beans</t>
  </si>
  <si>
    <t xml:space="preserve">Variety 5: </t>
  </si>
  <si>
    <t>e</t>
  </si>
  <si>
    <t>Black pepper</t>
  </si>
  <si>
    <t xml:space="preserve">Variety 6: </t>
  </si>
  <si>
    <t>breadfruit</t>
  </si>
  <si>
    <t xml:space="preserve">Variety 7: </t>
  </si>
  <si>
    <t>Cabbage</t>
  </si>
  <si>
    <t xml:space="preserve">Variety 8: </t>
  </si>
  <si>
    <t>Cardamom</t>
  </si>
  <si>
    <t>Carrots</t>
  </si>
  <si>
    <t>Yucca</t>
  </si>
  <si>
    <t>Primary season (.....)</t>
  </si>
  <si>
    <t>Add the months between brackets</t>
  </si>
  <si>
    <t>Cinnamon</t>
  </si>
  <si>
    <t>Secondary season (.....)</t>
  </si>
  <si>
    <t>Clove</t>
  </si>
  <si>
    <t>Big season (.....)</t>
  </si>
  <si>
    <t>Cocoa</t>
  </si>
  <si>
    <t>Small season (.....)</t>
  </si>
  <si>
    <t>Coconut</t>
  </si>
  <si>
    <t>Long rains (.....)</t>
  </si>
  <si>
    <t>Coffee</t>
  </si>
  <si>
    <t>Short rains (.....)</t>
  </si>
  <si>
    <t>Date palms</t>
  </si>
  <si>
    <t>Dry season (.....)</t>
  </si>
  <si>
    <t>Eggplant</t>
  </si>
  <si>
    <t>Wet season (.....)</t>
  </si>
  <si>
    <t>Eucalyptus</t>
  </si>
  <si>
    <t>Fill in other type of seasons, Add the months between brackets</t>
  </si>
  <si>
    <t>Ginger</t>
  </si>
  <si>
    <t>French beans</t>
  </si>
  <si>
    <t>Peanut</t>
  </si>
  <si>
    <t>Pony</t>
  </si>
  <si>
    <t>Kale</t>
  </si>
  <si>
    <t>Lentils</t>
  </si>
  <si>
    <t>Mahogany</t>
  </si>
  <si>
    <t>Corn</t>
  </si>
  <si>
    <t>Mango</t>
  </si>
  <si>
    <t>Matooke</t>
  </si>
  <si>
    <t>Darling</t>
  </si>
  <si>
    <t>Moringa</t>
  </si>
  <si>
    <t>Onions</t>
  </si>
  <si>
    <t>Palm oil</t>
  </si>
  <si>
    <t>Peas</t>
  </si>
  <si>
    <t>Pine</t>
  </si>
  <si>
    <t>Pine nuts</t>
  </si>
  <si>
    <t>Pineapples</t>
  </si>
  <si>
    <t>Bananas</t>
  </si>
  <si>
    <t>Potatoes</t>
  </si>
  <si>
    <t>Rattan</t>
  </si>
  <si>
    <t>Red chili</t>
  </si>
  <si>
    <t>Rice</t>
  </si>
  <si>
    <t>Rubber</t>
  </si>
  <si>
    <t>Sesame</t>
  </si>
  <si>
    <t>Sorghum</t>
  </si>
  <si>
    <t>Sugarcane</t>
  </si>
  <si>
    <t>Sugar palm</t>
  </si>
  <si>
    <t>Sunflower</t>
  </si>
  <si>
    <t>Sweet potato</t>
  </si>
  <si>
    <t>Tea</t>
  </si>
  <si>
    <t>Teak</t>
  </si>
  <si>
    <t>Wood</t>
  </si>
  <si>
    <t>Tomatoes</t>
  </si>
  <si>
    <t>Trees for firewood</t>
  </si>
  <si>
    <t>Vanilla</t>
  </si>
  <si>
    <t>Watermelon</t>
  </si>
  <si>
    <t>Yam</t>
  </si>
  <si>
    <t>Farmer organisation / company information</t>
  </si>
  <si>
    <t>Types of farmer organisations</t>
  </si>
  <si>
    <t>Farmer Cooperative</t>
  </si>
  <si>
    <t>VSLA</t>
  </si>
  <si>
    <t>SACCO</t>
  </si>
  <si>
    <t>Community groups</t>
  </si>
  <si>
    <t>type</t>
  </si>
  <si>
    <t>name</t>
  </si>
  <si>
    <t>label::English</t>
  </si>
  <si>
    <t>hint::English</t>
  </si>
  <si>
    <t>disabled</t>
  </si>
  <si>
    <t>default</t>
  </si>
  <si>
    <t>appearance</t>
  </si>
  <si>
    <t>constraint</t>
  </si>
  <si>
    <t>constraint message::English</t>
  </si>
  <si>
    <t>relevant</t>
  </si>
  <si>
    <t>required</t>
  </si>
  <si>
    <t>calculation</t>
  </si>
  <si>
    <t>repeat_count</t>
  </si>
  <si>
    <t>media:image</t>
  </si>
  <si>
    <t>media:audio</t>
  </si>
  <si>
    <t>media:video</t>
  </si>
  <si>
    <t>note</t>
  </si>
  <si>
    <t>note:English</t>
  </si>
  <si>
    <t>response_note</t>
  </si>
  <si>
    <t>publishable</t>
  </si>
  <si>
    <t>minimum_seconds</t>
  </si>
  <si>
    <t>choice_filter</t>
  </si>
  <si>
    <t>start</t>
  </si>
  <si>
    <t>starttime</t>
  </si>
  <si>
    <t>no</t>
  </si>
  <si>
    <t>end</t>
  </si>
  <si>
    <t>endtime</t>
  </si>
  <si>
    <t>deviceid</t>
  </si>
  <si>
    <t>subscriberid</t>
  </si>
  <si>
    <t>simserial</t>
  </si>
  <si>
    <t>simid</t>
  </si>
  <si>
    <t>phonenumber</t>
  </si>
  <si>
    <t>devicephonenum</t>
  </si>
  <si>
    <t>calculate</t>
  </si>
  <si>
    <t>uuid</t>
  </si>
  <si>
    <t>if(true, format-date-time(now(), '%Y%m%d%H%M%S'), format-date-time(now(),  '%Y%m%d%H%M%S'))</t>
  </si>
  <si>
    <t>duration</t>
  </si>
  <si>
    <t>format-date-time(end, '%H:%M:%S') - format-date-time(start, '%H:%M:%S')</t>
  </si>
  <si>
    <t>select_one enumerator</t>
  </si>
  <si>
    <t>submitter</t>
  </si>
  <si>
    <t>Please indicate who you are:</t>
  </si>
  <si>
    <t>intro</t>
  </si>
  <si>
    <t>INTRODUCTION</t>
  </si>
  <si>
    <t>select_one consent</t>
  </si>
  <si>
    <t>surv_consent</t>
  </si>
  <si>
    <t>Informed consent: Do you wish to participate in the survey?</t>
  </si>
  <si>
    <t>Read informed consent. Next, indicate whether respondent accepted or refused to participate.</t>
  </si>
  <si>
    <t>Coffee, Tea, Cocoa, Spices, Other crop</t>
  </si>
  <si>
    <t>begin_group</t>
  </si>
  <si>
    <t>consent</t>
  </si>
  <si>
    <t>Consent</t>
  </si>
  <si>
    <t>${surv_consent}=1</t>
  </si>
  <si>
    <t>select_one yesno</t>
  </si>
  <si>
    <t>focus_crop</t>
  </si>
  <si>
    <t>This is the crop specific to the current case as was explained during the training</t>
  </si>
  <si>
    <t>select_one farmer_sample</t>
  </si>
  <si>
    <t>farmer_sample</t>
  </si>
  <si>
    <t>Is the farmer part of the original sample?</t>
  </si>
  <si>
    <t>Please check the name of the farmer against the sample that was selected from the group of farmers.</t>
  </si>
  <si>
    <t>farm_location</t>
  </si>
  <si>
    <t>FARM LOCATION</t>
  </si>
  <si>
    <t>select_one admin1</t>
  </si>
  <si>
    <t>pi_location_first_admin</t>
  </si>
  <si>
    <t>text</t>
  </si>
  <si>
    <t>pi_location_other_first_admin</t>
  </si>
  <si>
    <t>${pi_location_first_admin}=0</t>
  </si>
  <si>
    <t>admin1_name</t>
  </si>
  <si>
    <t>if(selected(${pi_location_first_admin},'0'), ${pi_location_other_first_admin}, jr:choice-name(${pi_location_first_admin},'${pi_location_first_admin}' ))</t>
  </si>
  <si>
    <t>select_one admin2</t>
  </si>
  <si>
    <t>pi_location_second_admin</t>
  </si>
  <si>
    <t>selected(${pi_location_first_admin}, filter) or filter=0</t>
  </si>
  <si>
    <t>pi_location_other_second_admin</t>
  </si>
  <si>
    <t>${pi_location_second_admin}=0</t>
  </si>
  <si>
    <t>admin2_name</t>
  </si>
  <si>
    <t>if(selected(${pi_location_second_admin},'0'), ${pi_location_other_second_admin}, jr:choice-name(${pi_location_second_admin},'${pi_location_second_admin}' ))</t>
  </si>
  <si>
    <t>select_one admin3</t>
  </si>
  <si>
    <t>pi_location_third_admin</t>
  </si>
  <si>
    <t>selected(${pi_location_second_admin}, filter) or filter=0</t>
  </si>
  <si>
    <t>pi_location_other_third_admin</t>
  </si>
  <si>
    <t>${pi_location_third_admin}=0</t>
  </si>
  <si>
    <t>admin3_name</t>
  </si>
  <si>
    <t>if(selected(${pi_location_third_admin},'0'), ${pi_location_other_third_admin}, jr:choice-name(${pi_location_third_admin},'${pi_location_third_admin}' ))</t>
  </si>
  <si>
    <t>select_one admin4</t>
  </si>
  <si>
    <t>pi_location_village</t>
  </si>
  <si>
    <t>selected(${pi_location_third_admin}, filter) or filter=0</t>
  </si>
  <si>
    <t>pi_location_other_village</t>
  </si>
  <si>
    <t>${pi_location_village}=0</t>
  </si>
  <si>
    <t>admin4_name</t>
  </si>
  <si>
    <t>if(selected(${pi_location_village},'0'), ${pi_location_other_third_admin}, jr:choice-name(${pi_location_village},'${pi_location_village}' ))</t>
  </si>
  <si>
    <t>geopoint</t>
  </si>
  <si>
    <t>pi_geolocation</t>
  </si>
  <si>
    <t>Geolocation of the farm</t>
  </si>
  <si>
    <t>end_group</t>
  </si>
  <si>
    <t>farm_information</t>
  </si>
  <si>
    <t>FARM INFORMATION</t>
  </si>
  <si>
    <t>select_one land_unit</t>
  </si>
  <si>
    <t>f_unit_land</t>
  </si>
  <si>
    <t>What unit of land measurement do you use?</t>
  </si>
  <si>
    <t>Please ask for the unit of measurement used for land, such as acres, hectares, kilometres squared, etc.</t>
  </si>
  <si>
    <t>Tea, Cocoa, Spices, Other crop, Coffee</t>
  </si>
  <si>
    <t>f_unit_land_other</t>
  </si>
  <si>
    <t>Please specify the other measurement unit:</t>
  </si>
  <si>
    <t>${f_unit_land}=77</t>
  </si>
  <si>
    <t>decimal</t>
  </si>
  <si>
    <t>f_size</t>
  </si>
  <si>
    <t>What is the total size of the farm?</t>
  </si>
  <si>
    <t>Please report in the measurement as answered in the previous question. This is the size as reported by the farmer and does not have to be measured. Remember that the farmer are small holders and we don't except more than 5 acres of land. Make sure not to include the house of the farmer. The number '9999' is interpreted as 'I don't know' and '9998' is ' i prefer not to answer'.</t>
  </si>
  <si>
    <t>f_focus_crop_size</t>
  </si>
  <si>
    <t>Please report in the measurement as answered in the previous question. Number '9999' will be treated as 'I don't know' and '9998' is 'I prefer not to say'</t>
  </si>
  <si>
    <t>select_multiple crops_types</t>
  </si>
  <si>
    <t>f_types_crops</t>
  </si>
  <si>
    <t>if(selected(.,'0'), count-selected(.)=1, count-selected(.)&gt;=1)</t>
  </si>
  <si>
    <t>Please check your selection</t>
  </si>
  <si>
    <t>f_types_crops_other</t>
  </si>
  <si>
    <t>What are the other types of crops you grow on your farm?</t>
  </si>
  <si>
    <t>selected(${f_types_crops}, '77')</t>
  </si>
  <si>
    <t>select_one crops_types</t>
  </si>
  <si>
    <t>f_othermaincrop_1</t>
  </si>
  <si>
    <t>f_othermaincrop_1_other</t>
  </si>
  <si>
    <t>Please specify the other crop type that generates the highest income for your farm</t>
  </si>
  <si>
    <t>${f_othermaincrop_1}=77</t>
  </si>
  <si>
    <t>othermaincrop_1_name</t>
  </si>
  <si>
    <t>if(selected(${f_othermaincrop_1},'77'), ${f_othermaincrop_1_other}, jr:choice-name(${f_othermaincrop_1},'${f_othermaincrop_1}' ))</t>
  </si>
  <si>
    <t>NORAD</t>
  </si>
  <si>
    <t>f_othermaincrop_2</t>
  </si>
  <si>
    <t>(count-selected(${f_types_crops}) - (selected(${f_types_crops}, '0') + selected(${f_types_crops}, '18'))) &gt;= 2</t>
  </si>
  <si>
    <t>(selected(${f_types_crops}, name) or name = '77') and name != ${f_othermaincrop_1}</t>
  </si>
  <si>
    <t>f_othermaincrop_2_other</t>
  </si>
  <si>
    <t>Please specify the other crop type that generates the second highest income for your farm</t>
  </si>
  <si>
    <t>${f_othermaincrop_2}=77</t>
  </si>
  <si>
    <t>othermaincrop_2_name</t>
  </si>
  <si>
    <t>if(selected(${f_othermaincrop_2},'77'), ${f_othermaincrop_2_other}, jr:choice-name(${f_othermaincrop_2},'${f_othermaincrop_2}' ))</t>
  </si>
  <si>
    <t>select_multiple companies</t>
  </si>
  <si>
    <t>f_company</t>
  </si>
  <si>
    <t>f_company_other</t>
  </si>
  <si>
    <t>Please specify the other company you sell to</t>
  </si>
  <si>
    <t>${f_company}=77</t>
  </si>
  <si>
    <t>company_count</t>
  </si>
  <si>
    <t>count-selected(${f_company})</t>
  </si>
  <si>
    <t>f_basic_information</t>
  </si>
  <si>
    <t>FOCUS CROP BASIC INFORMATION</t>
  </si>
  <si>
    <t>select_one land_ownership</t>
  </si>
  <si>
    <t>f_ownership_type</t>
  </si>
  <si>
    <t>Consider the land you have farmed on in the last 12 months, do you own or rent the land you use for farming? Let me read a list and you can indicate what applies.</t>
  </si>
  <si>
    <t>Owning does not have to be formal, they should perceive it as owned. This could also be family land.</t>
  </si>
  <si>
    <t>perrenial crop</t>
  </si>
  <si>
    <t>integer</t>
  </si>
  <si>
    <t>f_focus_tree_num</t>
  </si>
  <si>
    <t>Try to get an approximation. number '9999' will be treated as 'i don't know' and '9998' as 'i prefer not to say</t>
  </si>
  <si>
    <t>select_one tree_determination</t>
  </si>
  <si>
    <t>f_focus_tree_num_determination</t>
  </si>
  <si>
    <t>select_multiple crop_variety</t>
  </si>
  <si>
    <t>f_focus_crop_type</t>
  </si>
  <si>
    <t>f_shade_trees</t>
  </si>
  <si>
    <t>How many shade trees do you have on this farm?</t>
  </si>
  <si>
    <t>select_one harvest_season</t>
  </si>
  <si>
    <t>f_harvest_num</t>
  </si>
  <si>
    <t>coffee_basic_information</t>
  </si>
  <si>
    <t>select_one coffee_age</t>
  </si>
  <si>
    <t>f_coffee_farm_age</t>
  </si>
  <si>
    <t>How many years old is your coffee farm?</t>
  </si>
  <si>
    <t>f_coffee_tree_age_all</t>
  </si>
  <si>
    <t>How many coffee trees in total do you have on your farm ?</t>
  </si>
  <si>
    <t>.&gt;=0 or (.=9999 or .=9998)</t>
  </si>
  <si>
    <t>The number should be greater or equal to 0</t>
  </si>
  <si>
    <t>f_coffee_tree_age_0_to_4</t>
  </si>
  <si>
    <t>How many coffee trees are between 0 and 4 years old?</t>
  </si>
  <si>
    <t>f_coffee_tree_age_5_to_10</t>
  </si>
  <si>
    <t>How many coffee trees are between 5 and 10 years old?</t>
  </si>
  <si>
    <t>f_coffee_tree_age_11_to_20</t>
  </si>
  <si>
    <t>How many coffee trees are between 11 and 20 years old?</t>
  </si>
  <si>
    <t>f_coffee_tree_age_21_to_30</t>
  </si>
  <si>
    <t>How many coffee trees are between 21 and 30 years old?</t>
  </si>
  <si>
    <t>f_coffee_tree_age_30plus</t>
  </si>
  <si>
    <t>How many coffee trees are over 30 years old?</t>
  </si>
  <si>
    <t>coffee_tree</t>
  </si>
  <si>
    <t>The sum of the different categories of coffee tree ages should be equal to the total number of coffee trees</t>
  </si>
  <si>
    <t>${f_coffee_tree_age_all} != (${f_coffee_tree_age_0_to_4}+ ${f_coffee_tree_age_5_to_10} + ${f_coffee_tree_age_11_to_20} + ${f_coffee_tree_age_21_to_30} + ${f_coffee_tree_age_30plus} )</t>
  </si>
  <si>
    <t>select_multiple coffee_processing</t>
  </si>
  <si>
    <t>f_coffee_processing</t>
  </si>
  <si>
    <t>Which type of coffee processing did you practice ?</t>
  </si>
  <si>
    <t>f_coffee_processing_other</t>
  </si>
  <si>
    <t>Please specify the other type of coffee processing:</t>
  </si>
  <si>
    <t>focus_revenues</t>
  </si>
  <si>
    <t>FOCUS CROP REVENUES</t>
  </si>
  <si>
    <t>select_multiple f_focus_rev_timeperiod</t>
  </si>
  <si>
    <t>f_focus_rev_timeperiod</t>
  </si>
  <si>
    <t>note_revenues_1</t>
  </si>
  <si>
    <t>The following questions will be repeated for each season</t>
  </si>
  <si>
    <t>Tea, Coffee, Cocoa, Spices, Other crop</t>
  </si>
  <si>
    <t>begin_repeat</t>
  </si>
  <si>
    <t>focus_repeat_revenue</t>
  </si>
  <si>
    <t>repeat</t>
  </si>
  <si>
    <t>count-selected (${f_focus_rev_timeperiod})</t>
  </si>
  <si>
    <t>time</t>
  </si>
  <si>
    <t>time period</t>
  </si>
  <si>
    <t>jr:choice-name(selected-at(${f_focus_rev_timeperiod}, position(..)-1), '${f_focus_rev_timeperiod}')</t>
  </si>
  <si>
    <t>f_focus_quant_prod</t>
  </si>
  <si>
    <t>select_one measurement_prod</t>
  </si>
  <si>
    <t>f_focus_measurement_prod</t>
  </si>
  <si>
    <t>f_focus_measurement_prod_other</t>
  </si>
  <si>
    <t>${f_focus_measurement_prod}=77</t>
  </si>
  <si>
    <t>f_focus_quant_sold</t>
  </si>
  <si>
    <t>f_focus_measurement_sold</t>
  </si>
  <si>
    <t>If you use the "other option", be very specific about the measurement unit. Include a number and weight unit if applicable. (e.g. 25 kilogram bags).</t>
  </si>
  <si>
    <t>f_focus_measurement_sold_other</t>
  </si>
  <si>
    <t>${f_focus_measurement_sold}=77</t>
  </si>
  <si>
    <t>company_loop</t>
  </si>
  <si>
    <t xml:space="preserve">Details per selected company </t>
  </si>
  <si>
    <t>${company_count}</t>
  </si>
  <si>
    <t>repeat_index</t>
  </si>
  <si>
    <t>position(..)</t>
  </si>
  <si>
    <t>selected_company</t>
  </si>
  <si>
    <t>selected-at(${f_company}, ${repeat_index} - 1)</t>
  </si>
  <si>
    <t>selected_company_label</t>
  </si>
  <si>
    <t>if(${selected_company} = '77', ${f_company_other}, jr:choice-name(${f_company})</t>
  </si>
  <si>
    <t>f_focus_quant_sold_cs_sdm_company</t>
  </si>
  <si>
    <t>From the total amount you sold, using the same measurement unit, how much did you sell to ${selected_company_label}?</t>
  </si>
  <si>
    <t>end_repeat</t>
  </si>
  <si>
    <t>f_focus_price</t>
  </si>
  <si>
    <t>The price will most likely have changed during the season, so try to take an average. Please use the same unit of measure as in the former question, so if reported in bags please state price per bag. Number '9999' will be treated as 'I don't know' and '9998' is treated as 'I prefer not to say'</t>
  </si>
  <si>
    <t>.&gt;0 or (.=9999 or .=9998)</t>
  </si>
  <si>
    <t>The number should be greater than 0</t>
  </si>
  <si>
    <t>select_one income_share</t>
  </si>
  <si>
    <t>f_focus_income_share</t>
  </si>
  <si>
    <t>select_one own_consumption_yn</t>
  </si>
  <si>
    <t>f_focus_own_consumption_yn</t>
  </si>
  <si>
    <t>select_one own_consumption</t>
  </si>
  <si>
    <t>f_focus_own_consumption</t>
  </si>
  <si>
    <t>selected(${f_focus_own_consumption_yn},"2")</t>
  </si>
  <si>
    <t>select_one lost_yn</t>
  </si>
  <si>
    <t>f_focus_lost_yn</t>
  </si>
  <si>
    <t>f_focus_quant_lost</t>
  </si>
  <si>
    <t>${f_focus_lost_yn}=2</t>
  </si>
  <si>
    <t>f_focus_measurement_lost</t>
  </si>
  <si>
    <t>f_focus_measurement_lost_other</t>
  </si>
  <si>
    <t>${f_focus_measurement_lost}=77</t>
  </si>
  <si>
    <t>select_one yesnodk</t>
  </si>
  <si>
    <t>f_focus_use_seeds_yn</t>
  </si>
  <si>
    <t>f_focus_use_seeds_quant</t>
  </si>
  <si>
    <t>Give an approximation</t>
  </si>
  <si>
    <t>f_focus_measurement_seeds</t>
  </si>
  <si>
    <t>f_focus_measurement_seeds_other</t>
  </si>
  <si>
    <t>${f_focus_measurement_seeds}=77</t>
  </si>
  <si>
    <t>consumption deep dive</t>
  </si>
  <si>
    <t>f_focus_plant_quant</t>
  </si>
  <si>
    <t>f_focus_use_seeds_selling_quant</t>
  </si>
  <si>
    <t>f_focus_price_selling_seeds</t>
  </si>
  <si>
    <t>coffee_revenue</t>
  </si>
  <si>
    <t>COFFEE REVENUE</t>
  </si>
  <si>
    <t/>
  </si>
  <si>
    <t>f_coffee_income_share</t>
  </si>
  <si>
    <t>What share of your total household income is coming from coffee?</t>
  </si>
  <si>
    <t>f_coffee_rev_timeperiod</t>
  </si>
  <si>
    <t>We will now ask you a couple of questions about the production and revenues of coffee. Please indicate for which period you know the production level, quantity sold, revenues received, price received etc.</t>
  </si>
  <si>
    <t>note_revenues_2</t>
  </si>
  <si>
    <t>The following questions will be repeated for each period</t>
  </si>
  <si>
    <t>coffee_repeat_revenue</t>
  </si>
  <si>
    <t>count-selected (${f_coffee_rev_timeperiod})</t>
  </si>
  <si>
    <t>time_coffee</t>
  </si>
  <si>
    <t>time period coffee</t>
  </si>
  <si>
    <t>jr:choice-name(selected-at(${f_coffee_rev_timeperiod}, position(..)-1), '${f_coffee_rev_timeperiod}')</t>
  </si>
  <si>
    <t>select_multiple coffee_variety</t>
  </si>
  <si>
    <t>f_coffee_type</t>
  </si>
  <si>
    <t>During this period (${time_coffee}), what coffee variety/varieties did you produce?</t>
  </si>
  <si>
    <t>f_coffee_type_other</t>
  </si>
  <si>
    <t>Please specify the other variety:</t>
  </si>
  <si>
    <t>f_coffee_measurement_prod</t>
  </si>
  <si>
    <t>Using what measurement unit did you measure the amount of coffee that you produced during this period ${time_coffee} ?</t>
  </si>
  <si>
    <t>f_coffee_measurement_prod_other</t>
  </si>
  <si>
    <t>Please specify the other measurement used to measure the amount of coffee that you produced :</t>
  </si>
  <si>
    <t>${f_coffee_measurement_prod}=77</t>
  </si>
  <si>
    <t>f_coffee_robusta_quant_prod</t>
  </si>
  <si>
    <t>During this period (${time_coffee}), how much Robusta coffee did you produce?</t>
  </si>
  <si>
    <t>${f_coffee_type}=1</t>
  </si>
  <si>
    <t>f_coffee_arabica_quant_prod</t>
  </si>
  <si>
    <t>During this period (${time_coffee}), how much Arabica coffee did you produce?</t>
  </si>
  <si>
    <t>${f_coffee_type}=2</t>
  </si>
  <si>
    <t>f_coffee_other_quant_prod</t>
  </si>
  <si>
    <t>During this period (${time_coffee}), how much coffee did you produce of the variety that was not on the list?</t>
  </si>
  <si>
    <t>${f_coffee_type}=77</t>
  </si>
  <si>
    <t>f_coffee_measurement_sold</t>
  </si>
  <si>
    <t>Using what measurement unit did you measure the amount of coffee you sold during this period ${time_coffee} ?</t>
  </si>
  <si>
    <t>f_coffee_measurement_sold_other</t>
  </si>
  <si>
    <t>Please specify the other measurement used to measure the amount of coffee that you sold :</t>
  </si>
  <si>
    <t>${f_coffee_measurement_sold}=77</t>
  </si>
  <si>
    <t>f_coffee_robusta_quant_sold</t>
  </si>
  <si>
    <t>During this period (${time_coffee}), how much of the Robusta coffee did you sell from the total production?</t>
  </si>
  <si>
    <t>select_one coffee_state</t>
  </si>
  <si>
    <t>f_coffee_robusta_process_sold</t>
  </si>
  <si>
    <t>In what processing step did you sell the Robusta coffee?</t>
  </si>
  <si>
    <t>f_coffee_robusta_price</t>
  </si>
  <si>
    <t>What was the price you received for selling a unit of Robusta coffee in this period (${time_coffee})?</t>
  </si>
  <si>
    <t>f_coffee_arabica_quant_sold</t>
  </si>
  <si>
    <t>During this period (${time_coffee}), how much of the Arabica coffee did you sell from the total production?</t>
  </si>
  <si>
    <t>f_coffee_arabica_process_sold</t>
  </si>
  <si>
    <t>In what processing step did you sell the Arabica coffee?</t>
  </si>
  <si>
    <t>f_coffee_arabica_price</t>
  </si>
  <si>
    <t>What was the price you received for selling a unit of Arabica coffee in this period (${time_coffee})?</t>
  </si>
  <si>
    <t>f_coffee_other_quant_sold</t>
  </si>
  <si>
    <t>During this period (${time_coffee}), how much of the coffee of the variety that was not on the list, did you sell from the total production?</t>
  </si>
  <si>
    <t>f_coffee_other_process_sold</t>
  </si>
  <si>
    <t>In what processing step did you sell this coffee variety?</t>
  </si>
  <si>
    <t>f_coffee_other_price</t>
  </si>
  <si>
    <t>What was the price you received for selling a unit of this coffee variety in this period (${time_coffee})?</t>
  </si>
  <si>
    <t>select_one c_buyer</t>
  </si>
  <si>
    <t>f_coffee_buyer</t>
  </si>
  <si>
    <t>To whom did you mainly sell your products ?</t>
  </si>
  <si>
    <t>f_coffee_buyer_other</t>
  </si>
  <si>
    <t>Please specify to whom you sold your products:</t>
  </si>
  <si>
    <t>${f_coffee_buyer}=77</t>
  </si>
  <si>
    <t>f_coffee_lost_yn</t>
  </si>
  <si>
    <t>Did you lose a part of coffee produced after harvesting and do you know how much you lost? (Post-harvest loss)</t>
  </si>
  <si>
    <t>f_coffee_measurement_lost</t>
  </si>
  <si>
    <t>Using what measurement unit did you measure the amount of coffee you lost during this period ${time_coffee} ?</t>
  </si>
  <si>
    <t>${f_coffee_lost_yn}=2</t>
  </si>
  <si>
    <t>f_coffee_measurement_lost_other</t>
  </si>
  <si>
    <t>Please specify the other measurement used to measure the amount of coffee that you lost :</t>
  </si>
  <si>
    <t>${f_coffee_measurement_lost}=77</t>
  </si>
  <si>
    <t>f_coffee_robusta_quant_lost</t>
  </si>
  <si>
    <t>During this period (${time_coffee}), how much of Robusta coffee did you lose from the total production (post-harvest loss)?</t>
  </si>
  <si>
    <t>${f_coffee_type}=1 and ${f_coffee_lost_yn}=2</t>
  </si>
  <si>
    <t>f_coffee_arabica_quant_lost</t>
  </si>
  <si>
    <t>During this period (${time_coffee}), how much of Arabica coffee did you lose from the total production (post-harvest loss)?</t>
  </si>
  <si>
    <t>${f_coffee_type}=2 and ${f_coffee_lost_yn}=2</t>
  </si>
  <si>
    <t>f_coffee_other_quant_lost</t>
  </si>
  <si>
    <t>During this period (${time_coffee}), how much of other coffee variety did you lose from the total production (post-harvest loss)?</t>
  </si>
  <si>
    <t>${f_coffee_type}=77 and ${f_coffee_lost_yn}=2</t>
  </si>
  <si>
    <t>cocoa_revenue</t>
  </si>
  <si>
    <t>COCOA REVENUE</t>
  </si>
  <si>
    <t>f_cocoa_income_share</t>
  </si>
  <si>
    <t>What share of your total household income is coming from cocoa?</t>
  </si>
  <si>
    <t>f_cocoa_rev_timeperiod</t>
  </si>
  <si>
    <t>We will now ask you a couple of questions about the production and revenues of cocoa Please indicate for which period you know the production level, quantity sold, revenues received, price received etc.</t>
  </si>
  <si>
    <t>note_revenues_3</t>
  </si>
  <si>
    <t>cocoa_repeat_revenue</t>
  </si>
  <si>
    <t>count-selected (${f_cocoa_rev_timeperiod})</t>
  </si>
  <si>
    <t>time_cocoa</t>
  </si>
  <si>
    <t>time period cocoa</t>
  </si>
  <si>
    <t>jr:choice-name(selected-at(${f_cocoa_rev_timeperiod}, position(..)-1), '${f_cocoa_rev_timeperiod}')</t>
  </si>
  <si>
    <t>f_cocoa_quant_prod</t>
  </si>
  <si>
    <t>How much of cocoa did you produce during this period ${time_cocoa} ?</t>
  </si>
  <si>
    <t>f_cocoa_measurement_prod</t>
  </si>
  <si>
    <t>Using what measurement unit did you measure the amount of cocoa that you produced during this period ${time_cocoa} ?</t>
  </si>
  <si>
    <t>f_cocoa_measurement_prod_other</t>
  </si>
  <si>
    <t>Please specify the other measurement used to measure the amount of cocoa that you produced :</t>
  </si>
  <si>
    <t>${f_cocoa_measurement_prod}=77</t>
  </si>
  <si>
    <t>f_cocoa_quant_sold</t>
  </si>
  <si>
    <t>How much cocoa did you sell during this period ${time_cocoa} ? (excluding premium)</t>
  </si>
  <si>
    <t>f_cocoa_measurement_sold</t>
  </si>
  <si>
    <t>Using what measurement unit did you measure the amount of MOST of your cocoa excluding premiums you sold during this period ${time_cocoa} ?</t>
  </si>
  <si>
    <t>f_cocoa_measurement_sold_other</t>
  </si>
  <si>
    <t>Please specify the other measurement used to measure the amount of cocoa that you sold :</t>
  </si>
  <si>
    <t>${f_cocoa_measurement_sold}=77</t>
  </si>
  <si>
    <t>f_cocoa_avg_price</t>
  </si>
  <si>
    <t>What was the most frequently obtained price for MOST of your cocoa excluding premiums? (If farmer sells in bags, ask price per bags, etc.)</t>
  </si>
  <si>
    <t>The price will most likely have changed during a period, so try to take an average. Please use the same unit of measure as in the former question, so if reported in bags please state price per bag. Number '9999' will be treated as 'I don't know' and '9998' is treated as 'I prefer not to say'</t>
  </si>
  <si>
    <t>f_cocoa_quant_sold_premium</t>
  </si>
  <si>
    <t>How much of the cocoa you sold did you receive a premium?</t>
  </si>
  <si>
    <t>Number '9999' will be treated as 'I don't know' and '9998' as 'I prefer not to say', "0" as 'I didn't sell anything this period'.</t>
  </si>
  <si>
    <t>f_cocoa_measurement_sold_premium</t>
  </si>
  <si>
    <t>Using what measurement unit did you measure the amount of your cocoa premiums you sold during this period ${time_cocoa}?</t>
  </si>
  <si>
    <t>f_cocoa_measurement_sold_premium_other</t>
  </si>
  <si>
    <t>${f_cocoa_measurement_sold_premium}=77</t>
  </si>
  <si>
    <t>f_focus_premium_price</t>
  </si>
  <si>
    <t>What was the most frequently obtained premium for MOST of your cocoa? (If farmer sells in bags, ask price per bags, etc.)</t>
  </si>
  <si>
    <t>select_one buyer</t>
  </si>
  <si>
    <t>f_cocoa_buyer</t>
  </si>
  <si>
    <t>f_cocoa_buyer_other</t>
  </si>
  <si>
    <t>Please specify to whom you sold your products :</t>
  </si>
  <si>
    <t>${f_cocoa_buyer}=77</t>
  </si>
  <si>
    <t>f_cocoa_lost_yn</t>
  </si>
  <si>
    <t>Did you lose a part of cocoa produced after harvesting and do you know how much you lost? (Post-harvest lose)</t>
  </si>
  <si>
    <t>f_cocoa_quant_lost</t>
  </si>
  <si>
    <t>During this period (${time_cocoa}), how much of cocoa did you lose from the total production (post-harvest lose)?</t>
  </si>
  <si>
    <t>${f_cocoa_lost_yn}=2</t>
  </si>
  <si>
    <t>f_cocoa_measurement_lost</t>
  </si>
  <si>
    <t>Using what measurement unit did you measure the amount of cocoa you lost during this period ${time_cocoa} ?</t>
  </si>
  <si>
    <t>f_cocoa_measurement_lost_other</t>
  </si>
  <si>
    <t>Please specify the other measurement used to measure the amount of cocoa that you lost :</t>
  </si>
  <si>
    <t>${f_cocoa_measurement_lost}=77</t>
  </si>
  <si>
    <t>production_level_over_years</t>
  </si>
  <si>
    <t>PRODUCTION LEVELS OVER THE YEARS</t>
  </si>
  <si>
    <t>select_one prod_level</t>
  </si>
  <si>
    <t>f_focus_production_level_experience</t>
  </si>
  <si>
    <t>select_one prod_level_detailed</t>
  </si>
  <si>
    <t>f_focus_production_exp_previousyear</t>
  </si>
  <si>
    <t>f_focus_production_level_previousyear</t>
  </si>
  <si>
    <t>f_focus_production_exp_2yearsago</t>
  </si>
  <si>
    <t>f_focus_production_level_2yearsago</t>
  </si>
  <si>
    <t>f_focus_production_exp_3yearsago</t>
  </si>
  <si>
    <t>f_focus_production_level_3yearsago</t>
  </si>
  <si>
    <t>f_focus_market</t>
  </si>
  <si>
    <t>MARKET FOR FOCUS CROP</t>
  </si>
  <si>
    <t>m_focus_crop_livestock_seller</t>
  </si>
  <si>
    <t>select_one yn_contract</t>
  </si>
  <si>
    <t>m_focus_crop_livestock_contract_sales_yn</t>
  </si>
  <si>
    <t>m_focus_crop_contract_duration</t>
  </si>
  <si>
    <t>What is the duration of that contract? (in months)</t>
  </si>
  <si>
    <t>prod_cost</t>
  </si>
  <si>
    <t>FOCUS CROP PRODUCTION COST</t>
  </si>
  <si>
    <t>intro_prod_cost</t>
  </si>
  <si>
    <t>Introduction to production costs</t>
  </si>
  <si>
    <t>select_one cost_type</t>
  </si>
  <si>
    <t>f_focus_production_costs_types</t>
  </si>
  <si>
    <t>select_one cost_determination</t>
  </si>
  <si>
    <t>f_focus_production_costs_determination</t>
  </si>
  <si>
    <t>f_focus_production_costs_determination_other</t>
  </si>
  <si>
    <t>${f_focus_production_costs_determination}=77</t>
  </si>
  <si>
    <t>f_focus_production_costs_season</t>
  </si>
  <si>
    <t>f_focus_production_costs_primary</t>
  </si>
  <si>
    <t>Among the expenses you mentioned, which one is the highest for you?</t>
  </si>
  <si>
    <t>not(selected(${f_focus_production_costs_types}, '0')) or not(selected(${f_focus_production_costs_types}, '9999')) or not(selected(${f_focus_production_costs_types}, '9998'))</t>
  </si>
  <si>
    <t>f_focus_production_costs_secondary</t>
  </si>
  <si>
    <t>Which expense, other than the highest one, comes next in terms of cost for you?</t>
  </si>
  <si>
    <t>(not(selected(${f_focus_production_costs_types}, '0')) or not(selected(${f_focus_production_costs_types}, '9999')) or not(selected(${f_focus_production_costs_types}, '9998')) ) and count-selected(${f_focus_production_costs_types})&gt;=2</t>
  </si>
  <si>
    <t>input_use_costs</t>
  </si>
  <si>
    <t>Input use and costs</t>
  </si>
  <si>
    <t>f_focus_inputs_rev_timeperiod</t>
  </si>
  <si>
    <t>note_inputs</t>
  </si>
  <si>
    <t>input_use_costs_repeat</t>
  </si>
  <si>
    <t>select_multiple org_inputs</t>
  </si>
  <si>
    <t>f_inputs_usage_types</t>
  </si>
  <si>
    <t>f_inputs_costs_seeds_season</t>
  </si>
  <si>
    <t>Approximately, how much did you spend on seeds, seedlings and/or plants?</t>
  </si>
  <si>
    <t>selected(${f_inputs_usage_types}, '1')</t>
  </si>
  <si>
    <t>select_one seed_type</t>
  </si>
  <si>
    <t>f_inputs_planted_seeds_type</t>
  </si>
  <si>
    <t>f_inputs_costs_fertilizer_season</t>
  </si>
  <si>
    <t>Approximately, how much did you spend on fertiliser in this season?</t>
  </si>
  <si>
    <t>selected(${f_inputs_usage_types}, '3')</t>
  </si>
  <si>
    <t>f_inputs_costs_chemicals_season</t>
  </si>
  <si>
    <t>Approximately, how much did you spend on agrochemicals (pesticides, herbicide, fungicide, etc.) in this season?</t>
  </si>
  <si>
    <t>selected(${f_inputs_usage_types}, '4')</t>
  </si>
  <si>
    <t>select_one input_origin</t>
  </si>
  <si>
    <t>Where do you typically get your farming inputs like seeds, fertiliser, and chemicals?</t>
  </si>
  <si>
    <t>f_inputs_challenges</t>
  </si>
  <si>
    <t>In the last 12 months, did you have any challenges in purchasing inputs?</t>
  </si>
  <si>
    <t>select_one input_challenges</t>
  </si>
  <si>
    <t>f_inputs_challenges_types</t>
  </si>
  <si>
    <t>if yes: What type of challenges did you have in purchasing inputs?</t>
  </si>
  <si>
    <t>${f_inputs_challenges}=1</t>
  </si>
  <si>
    <t>labour_use_costs</t>
  </si>
  <si>
    <t>Labour use and costs</t>
  </si>
  <si>
    <t>deep dive labour cost</t>
  </si>
  <si>
    <t xml:space="preserve">select_one often
</t>
  </si>
  <si>
    <t>f_focus_labour_hired_frequency</t>
  </si>
  <si>
    <t>How often do you hire labour?</t>
  </si>
  <si>
    <t>select_multiple labour_challenges</t>
  </si>
  <si>
    <t>f_labour_hired_challenges</t>
  </si>
  <si>
    <t>What are the major challenges or barriers with regards to hiring labour?</t>
  </si>
  <si>
    <t>f_labour_hired_challenges_other</t>
  </si>
  <si>
    <t>Please specify the other major challenges or barriers:</t>
  </si>
  <si>
    <t>select_multiple which_months</t>
  </si>
  <si>
    <t>f_focus_labour_hired_months</t>
  </si>
  <si>
    <t xml:space="preserve">select_multiple hl_compensation
</t>
  </si>
  <si>
    <t>f_focus_labour_payment_method</t>
  </si>
  <si>
    <t>What method(s) do you use to compensate your farm workers?</t>
  </si>
  <si>
    <t>select_one employment_duration</t>
  </si>
  <si>
    <t>f_focus_labour_employment_duration</t>
  </si>
  <si>
    <t>What is the typical duration of employment for your farm workers?</t>
  </si>
  <si>
    <t>select_one f_focus_rev_timeperiod</t>
  </si>
  <si>
    <t>f_focus_labour_rev_timeperiod</t>
  </si>
  <si>
    <t>note_labour_use</t>
  </si>
  <si>
    <t>labour_use_repeat</t>
  </si>
  <si>
    <t>select_multiple activities</t>
  </si>
  <si>
    <t>f_crop_labour_types</t>
  </si>
  <si>
    <t>f_crop_labour_types_other</t>
  </si>
  <si>
    <t>Please specify the other activities:</t>
  </si>
  <si>
    <t>f_focus_labour_hired_activities</t>
  </si>
  <si>
    <t>For which of these activities do you hire labour to help you?</t>
  </si>
  <si>
    <t>Hired labour is labour for which you paid a wage to the labourers.</t>
  </si>
  <si>
    <t>select_one payment</t>
  </si>
  <si>
    <t>f_focus_labour_costs_payment</t>
  </si>
  <si>
    <t>f_focus_labour_wage_per_day_female</t>
  </si>
  <si>
    <t>f_focus_labour_wage_per_day_male</t>
  </si>
  <si>
    <t>f_focus_labour_costs_season</t>
  </si>
  <si>
    <t>other_costs_focus_crop</t>
  </si>
  <si>
    <t>Other costs</t>
  </si>
  <si>
    <t>f_focus_costs_irrigation</t>
  </si>
  <si>
    <t>assets_ownership</t>
  </si>
  <si>
    <t>ASSET ACCESS &amp; OWNERSHIP</t>
  </si>
  <si>
    <t>f_mech_equip_access</t>
  </si>
  <si>
    <t>In the last 12 months, did you have you access to mechanisation? (e.g., Saw (chainsaw, mechanical pruning saw), Mechanical sprayer, Water pump (diesel), Mechanical winch (for pulling out tree-stumps), Drill, Bulldozer, Digging machines, Tractor, Grader, Plow, Wood chipper)</t>
  </si>
  <si>
    <t>select_one crop_cycle_stage</t>
  </si>
  <si>
    <t>f_mech_equip_cropcycle_stages</t>
  </si>
  <si>
    <t>At which stages of the crop cycle did you use mechanised equipment?</t>
  </si>
  <si>
    <t>${f_mech_equip_access}=1</t>
  </si>
  <si>
    <t>select_one equip_ownership</t>
  </si>
  <si>
    <t>f_mech_equip_ownership_type</t>
  </si>
  <si>
    <t>Did you rent, borrow or own the mechanised equipment?</t>
  </si>
  <si>
    <t>select_one access</t>
  </si>
  <si>
    <t>f_mech_equip_access_quality</t>
  </si>
  <si>
    <t>How would you describe your access to mechanisation over the last 12 months?</t>
  </si>
  <si>
    <t>deep dive asset access</t>
  </si>
  <si>
    <t xml:space="preserve">select_one yesnodk
</t>
  </si>
  <si>
    <t>f_equip_costs_yn</t>
  </si>
  <si>
    <t>In the last 12 months, did you have major expenditures for farm equipment?</t>
  </si>
  <si>
    <t>f_equip_costs</t>
  </si>
  <si>
    <t>In the last 12  months, how much did you spend in total on farm equipments?</t>
  </si>
  <si>
    <t>income_other_crops</t>
  </si>
  <si>
    <t>INCOME FROM OTHER CROPS</t>
  </si>
  <si>
    <t>f_othermaincrop_1_quant_prod</t>
  </si>
  <si>
    <t>How much of the ${othermaincrop_1_name} did you produce in the past 12 months?</t>
  </si>
  <si>
    <t>Number '9999' will be treated as 'I don't know' and '9998' as 'I prefer not to say'</t>
  </si>
  <si>
    <t>not(selected(${f_othermaincrop_1},'0')</t>
  </si>
  <si>
    <t>f_othermaincrop_1_meas_prod</t>
  </si>
  <si>
    <t>Using what measurement unit did you measure the amount of the ${othermaincrop_1_name} that you produced?</t>
  </si>
  <si>
    <t>f_othermaincrop_1_quant_sold</t>
  </si>
  <si>
    <t>How much of the ${othermaincrop_1_name} did you sell in the past 12 months?</t>
  </si>
  <si>
    <t>f_othermaincrop_1_meas_sold</t>
  </si>
  <si>
    <t>Using what measurement unit did you measure the amount of the ${othermaincrop_1_name} that you sold?</t>
  </si>
  <si>
    <t>${f_othermaincrop_1_quant_sold}&gt;0</t>
  </si>
  <si>
    <t>f_othermaincrop_1_income_share</t>
  </si>
  <si>
    <t>What share of your total household income comes from ${othermaincrop_1_name}?</t>
  </si>
  <si>
    <t>f_othermaincrop_1_inc_sold</t>
  </si>
  <si>
    <t>In the past 12 months, how much revenues did you have from the [${othermaincrop_1_name}?</t>
  </si>
  <si>
    <t>f_othermaincrop_1_costs</t>
  </si>
  <si>
    <t xml:space="preserve">In the past 12 months, what were your total costs for the production of ${othermaincrop_1_name}? Please make an estimate considering all relevant costs. </t>
  </si>
  <si>
    <t>f_othermaincrop_2_income_share</t>
  </si>
  <si>
    <t>What share of your total household income comes from ${othermaincrop_2_name}?</t>
  </si>
  <si>
    <t>not(selected(${f_othermaincrop_2},'0')</t>
  </si>
  <si>
    <t>f_othermaincrop_2_inc_sold</t>
  </si>
  <si>
    <t>In the past 12 months, how much revenues did you have from the ${othermaincrop_2_name}?</t>
  </si>
  <si>
    <t>f_othermaincrop2_costs</t>
  </si>
  <si>
    <t xml:space="preserve">In the past 12 months, what were your total costs for the production of ${othermaincrop_2_name}? Please make an estimate considering all relevant costs. </t>
  </si>
  <si>
    <t>deep dive other crops</t>
  </si>
  <si>
    <t>f_other_crop_income</t>
  </si>
  <si>
    <t>f_other_crop_income_share</t>
  </si>
  <si>
    <t>net_income_livestock</t>
  </si>
  <si>
    <t>NET INCOME FROM LIVESTOCK/POULTRY/AQUACULTURE</t>
  </si>
  <si>
    <t>select_multiple livestock_type</t>
  </si>
  <si>
    <t>f_livestock_income_type</t>
  </si>
  <si>
    <t>In the past 12 months, did you have income from livestock/poultry? I'll read you a list.</t>
  </si>
  <si>
    <t>f_livestock_income_share</t>
  </si>
  <si>
    <t>What share of your total household income comes from [livestock/poultry/aquaculture]?</t>
  </si>
  <si>
    <t>not(selected(${f_livestock_income_type},'0')</t>
  </si>
  <si>
    <t>f_livestock_revenue_total</t>
  </si>
  <si>
    <t>In the past 12 months, how much revenues did you have from livestock/poultry?</t>
  </si>
  <si>
    <t>f_livestock_costs</t>
  </si>
  <si>
    <t xml:space="preserve">In the past 12 months, what were your total costs for the production for livestock/poultry? Please make an estimate considering all relevant costs. </t>
  </si>
  <si>
    <t>deep dive livestock</t>
  </si>
  <si>
    <t>f_livestock_nr_labourers</t>
  </si>
  <si>
    <t xml:space="preserve">In the last 12 months how many people helped you with the livestock and/or poultry (including yourself)? </t>
  </si>
  <si>
    <t>f_livestock_nr_hired_labourers</t>
  </si>
  <si>
    <t>Out of those people, how many did you hire?</t>
  </si>
  <si>
    <t>f_livestock_days_hiredlabour</t>
  </si>
  <si>
    <t>On average, how many days do you hire a person to help you with livestock per year?</t>
  </si>
  <si>
    <t>f_livestock_wages_hiredlabour</t>
  </si>
  <si>
    <t>How much did you pay the people you hired per day?</t>
  </si>
  <si>
    <t>f_livestock_costs_other</t>
  </si>
  <si>
    <t>In the past 12 months, how much costs other than labour, did you have for livestock/poultry?</t>
  </si>
  <si>
    <t>general_farm_practices</t>
  </si>
  <si>
    <t>GENERAL FARM PRACTICES</t>
  </si>
  <si>
    <t>deep dive general farm practices</t>
  </si>
  <si>
    <t>select_one pay_land</t>
  </si>
  <si>
    <t>f_land_costs_yn</t>
  </si>
  <si>
    <t>In the past 12 months, Did you purchase additional land or did you pay rent for land?</t>
  </si>
  <si>
    <t>select_one travel</t>
  </si>
  <si>
    <t>f_focus_travel_time_sell</t>
  </si>
  <si>
    <t>f_othermaincrop_1_travel_time_sell</t>
  </si>
  <si>
    <t>How far do you have to travel to sell the ${othermaincrop_1_name}?</t>
  </si>
  <si>
    <t>f_othermaincrop_2_travel_time_sell</t>
  </si>
  <si>
    <t>How far do you have to travel to sell the ${othermaincrop_2_name}?</t>
  </si>
  <si>
    <t>select_one sale_where</t>
  </si>
  <si>
    <t>m_sellingpoint_focuscrop</t>
  </si>
  <si>
    <t>Where do you mostly sell your focus crop?</t>
  </si>
  <si>
    <t>off_farm_labour_other_income</t>
  </si>
  <si>
    <t>OFF FARM LABOUR AND OTHER INCOME</t>
  </si>
  <si>
    <t>select_multiple income_sources</t>
  </si>
  <si>
    <t>f_nonfarm_income_sources</t>
  </si>
  <si>
    <t>Which of the following (off-farm) income sources does your household have? I'll read you a list.</t>
  </si>
  <si>
    <t>f_nonfarm_income_sources_other</t>
  </si>
  <si>
    <t xml:space="preserve">Please specify the other income source(s): </t>
  </si>
  <si>
    <t>f_nonfarm_income_share</t>
  </si>
  <si>
    <t>Approximately, what share of your total household income comes from these additional sources?</t>
  </si>
  <si>
    <t>f_nonfarm_income_total</t>
  </si>
  <si>
    <t>In the past 12 months, how much income did you earn in total from off-farm labour and other income sources?</t>
  </si>
  <si>
    <t>farmer_organisation</t>
  </si>
  <si>
    <t>FARMER ORGANISATION, RELATIONSHIP WITH COMPANY</t>
  </si>
  <si>
    <t>su_farmer_organisation</t>
  </si>
  <si>
    <t>Are you member of a farmer organisation? (Cooperative, VSLA, SACCO, community group etc.)</t>
  </si>
  <si>
    <t>select_one organisation_type</t>
  </si>
  <si>
    <t>su_farmer_organisation_type</t>
  </si>
  <si>
    <t>What type of farmer organisation (if known)?</t>
  </si>
  <si>
    <t>${su_farmer_organisation}=1</t>
  </si>
  <si>
    <t>cs_sdm_company</t>
  </si>
  <si>
    <t>Have you heard of ${selected_company_label}?</t>
  </si>
  <si>
    <t>select_multiple cs_sdm_services</t>
  </si>
  <si>
    <t>cs_sdm_company_services</t>
  </si>
  <si>
    <t>Did you receive any of the following services from ${selected_company_label}? I'll read you a list.</t>
  </si>
  <si>
    <t>${cs_sdm_company}=1</t>
  </si>
  <si>
    <t>cs_sdm_company_services_other</t>
  </si>
  <si>
    <t>Please specify the other service you received:</t>
  </si>
  <si>
    <t>selected(${cs_sdm_company_services}, '77')</t>
  </si>
  <si>
    <t>cs_sdm_company_services_wishes</t>
  </si>
  <si>
    <t>In addition to the services you have been receiving, are there any other services you would like to receive from ${selected_company_label} in the future? I'll read you a list.</t>
  </si>
  <si>
    <t>cs_sdm_company_services_wishes_other</t>
  </si>
  <si>
    <t>What other services would you like to receive from ${selected_company_label} in the future?</t>
  </si>
  <si>
    <t>selected(${cs_sdm_company_services_wishes}, '77')</t>
  </si>
  <si>
    <t>cs_sdm_company_services_years</t>
  </si>
  <si>
    <t>For how many years have you received services from the ${selected_company_label}?</t>
  </si>
  <si>
    <t>cs_sdm_company_yrs_selling</t>
  </si>
  <si>
    <t>For how many years have you been selling to the ${selected_company_label}?</t>
  </si>
  <si>
    <t>cs_sdm_company_contract_yn</t>
  </si>
  <si>
    <t>Do you have a contract with ${selected_company_label} to supply your agricultural produce?</t>
  </si>
  <si>
    <t>cs_sdm_company_contract_duration</t>
  </si>
  <si>
    <t>What is the total duration of the contract with the ${selected_company_label}? (in months)</t>
  </si>
  <si>
    <t>select_one recommendation</t>
  </si>
  <si>
    <t>cs_recommendation</t>
  </si>
  <si>
    <t>How likely is it that you would recommend ${selected_company_label} to a friend or peer?</t>
  </si>
  <si>
    <t xml:space="preserve">select_multiple positive_recommendation </t>
  </si>
  <si>
    <t>cs_positive_recommendation</t>
  </si>
  <si>
    <t>Why would you recommend using ${selected_company_label}'s services?</t>
  </si>
  <si>
    <t xml:space="preserve">select_multiple negative_recommendation </t>
  </si>
  <si>
    <t>cs_negative_recommendation</t>
  </si>
  <si>
    <t>Why would you not recommend using ${selected_company_label}'s services?</t>
  </si>
  <si>
    <t>select_one service_useful</t>
  </si>
  <si>
    <t>cs_most_useful_service</t>
  </si>
  <si>
    <t>Out of all the services that you received from the list above, which one was the most useful?</t>
  </si>
  <si>
    <t>not(selected(${cs_sdm_company_services}, '0'))</t>
  </si>
  <si>
    <t>cs_least_useful_service</t>
  </si>
  <si>
    <t>Out of all the services that you received from the list above, which one was the least useful?</t>
  </si>
  <si>
    <t>acces_finance</t>
  </si>
  <si>
    <t>ACCESS TO FINANCE AND RELATED COSTS</t>
  </si>
  <si>
    <t>hh_mobile_money</t>
  </si>
  <si>
    <t>Do you have a mobile money account? (Farmer does not need to have credit or a loan, this question concerns mainly the account)</t>
  </si>
  <si>
    <t>hh_bank_account</t>
  </si>
  <si>
    <t>Do you have a bank/microfinance account?</t>
  </si>
  <si>
    <t>select_one loan_yn</t>
  </si>
  <si>
    <t>hh_loan</t>
  </si>
  <si>
    <t>In the past 12 months, have you taken any loans? (e.g. from a local lender, microfinance bank, NGO, relative, cooperative)</t>
  </si>
  <si>
    <t>select_one loan_number</t>
  </si>
  <si>
    <t>hh_loan_number</t>
  </si>
  <si>
    <t>How many loans did you take/have in the past 12 months?</t>
  </si>
  <si>
    <t>${hh_loan}=1</t>
  </si>
  <si>
    <t>hh_loan_agri_yn</t>
  </si>
  <si>
    <t>Was (one of) the loan(s) used for agricultural purposes?</t>
  </si>
  <si>
    <t>select_one loan_purpose_agri</t>
  </si>
  <si>
    <t>hh_loan_agri_purpose</t>
  </si>
  <si>
    <t>What was your (highest) agricultural loan used for?</t>
  </si>
  <si>
    <t>selected(${hh_loan_agri_yn},'1')</t>
  </si>
  <si>
    <t>select_one loan_origin</t>
  </si>
  <si>
    <t>hh_loan_agri_source</t>
  </si>
  <si>
    <t>From what source did you loan money for agricultural purposes?</t>
  </si>
  <si>
    <t>hh_loan_agri_source_other</t>
  </si>
  <si>
    <t>What is the size of the agricultural loan? (in local currency)</t>
  </si>
  <si>
    <t>hh_loan_agri_months_to_repay</t>
  </si>
  <si>
    <t>On average, how many months did it/will it take you to pay back the agricultural loan?</t>
  </si>
  <si>
    <t>hh_loan_agri_paid_year</t>
  </si>
  <si>
    <t>In the past 12 months, how much did you repay for your agricultural loan?</t>
  </si>
  <si>
    <t>hh_loan_interest_paid_year</t>
  </si>
  <si>
    <t>How much of that repayment was interest payment?</t>
  </si>
  <si>
    <t>hh_loan_agri_value_interest</t>
  </si>
  <si>
    <t>What was the annual interest rate on the agricultural loan you received?</t>
  </si>
  <si>
    <t>selected(${hh_loan_agri_purpose},'1')</t>
  </si>
  <si>
    <t>hh_loan_nonagri_yn</t>
  </si>
  <si>
    <t>Was (one of) the loan(s) used for non-agricultural purposes?</t>
  </si>
  <si>
    <t>select_one loan_purpose_other</t>
  </si>
  <si>
    <t>hh_loan_nonagri_purpose</t>
  </si>
  <si>
    <t>What was your (highest) non-agricultural loan used for?</t>
  </si>
  <si>
    <t>hh_loan_nonagri_source</t>
  </si>
  <si>
    <t>From what source did you get the non-agricultural loan?</t>
  </si>
  <si>
    <t>hh_loan_nonagri_source_other</t>
  </si>
  <si>
    <t>Please specify the other source:</t>
  </si>
  <si>
    <t>selected(${hh_loan_nonagri_source},'77')</t>
  </si>
  <si>
    <t>cf_shortage</t>
  </si>
  <si>
    <t>In the last 12 months, have you experienced shortage in cash/mobile money to foresee in your household's basic needs?</t>
  </si>
  <si>
    <t>select_multiple month</t>
  </si>
  <si>
    <t>cf_shortage_months</t>
  </si>
  <si>
    <t>In the last 12 months, in what month(s) did you experience shortage in cash/mobile money?</t>
  </si>
  <si>
    <t>cf_credit_access</t>
  </si>
  <si>
    <t>In the past 12 months, were you able to access credit or borrow as much as you wanted?</t>
  </si>
  <si>
    <t>select_one credit_noaccess</t>
  </si>
  <si>
    <t>cf_credit_reason_noaccess</t>
  </si>
  <si>
    <t>What was the main reason  you were not able to access credit or borrow as much as you wanted?</t>
  </si>
  <si>
    <t>selected(${cf_credit_reason_noaccess},'2')</t>
  </si>
  <si>
    <t>select_one lackmoney</t>
  </si>
  <si>
    <t>cf_lackmoney</t>
  </si>
  <si>
    <t>Have you ever failed to purchase inputs used for farming on time due to lack of money?</t>
  </si>
  <si>
    <t>deep dive access to finance</t>
  </si>
  <si>
    <t>cf_savings_yn</t>
  </si>
  <si>
    <t>In the past 12 months, did you save money, for example using a bank account, mobile money account, or savings group?</t>
  </si>
  <si>
    <t>TRUUE</t>
  </si>
  <si>
    <t>select_one no_savings</t>
  </si>
  <si>
    <t>cf_savings_whynot</t>
  </si>
  <si>
    <r>
      <rPr>
        <rFont val="Avenir"/>
        <color rgb="FF000000"/>
        <sz val="12.0"/>
      </rPr>
      <t>If you did not save any money in the past 12 months,</t>
    </r>
    <r>
      <rPr>
        <rFont val="Avenir"/>
        <color rgb="FF000000"/>
        <sz val="12.0"/>
      </rPr>
      <t xml:space="preserve"> why not?</t>
    </r>
  </si>
  <si>
    <t>selected(${cf_savings_yn}, '2')</t>
  </si>
  <si>
    <t>select_multiple savings_agripurpose</t>
  </si>
  <si>
    <t>cf_savings_agripurpose</t>
  </si>
  <si>
    <t>If you had access to a larger loan for agriculture, what would you use the money for? (choose up to 2)</t>
  </si>
  <si>
    <t>select_multiple extra_money</t>
  </si>
  <si>
    <t>cf_savings_purp_top3</t>
  </si>
  <si>
    <t>If you earned more money from your farm next year, what are the top [3] things you would do with the extra income? (choose up to 3)</t>
  </si>
  <si>
    <t>cf_savings_purp_top3_other</t>
  </si>
  <si>
    <t>Please specify the other thing you would do with the extra income:</t>
  </si>
  <si>
    <t>select_one regular_yn</t>
  </si>
  <si>
    <t>select_multiple cope_stress</t>
  </si>
  <si>
    <t>cf_cope_stress</t>
  </si>
  <si>
    <t xml:space="preserve"> How do you usually cope with chronic financial stresses?</t>
  </si>
  <si>
    <t>select_one cope_unexpected</t>
  </si>
  <si>
    <t>cf_cope_unexpected</t>
  </si>
  <si>
    <t xml:space="preserve"> If you were to face a loss of income or unexpected expenses, what would you do to cope?</t>
  </si>
  <si>
    <t>climate_resilience</t>
  </si>
  <si>
    <t>(CLIMATE) RESILIENCE</t>
  </si>
  <si>
    <t>select_one years_farming</t>
  </si>
  <si>
    <t>cl_years_farming</t>
  </si>
  <si>
    <t>For how many years have you been farming on the current farm location?</t>
  </si>
  <si>
    <t>select_one concern</t>
  </si>
  <si>
    <t>cl_extreme_weather_concern</t>
  </si>
  <si>
    <t>How concerned are you about extreme climate/weather events?</t>
  </si>
  <si>
    <t>select_one rate_bad_season</t>
  </si>
  <si>
    <t>cl_extreme_weather_expect</t>
  </si>
  <si>
    <t>How often do you (expect to) experience a bad farming season (a season with significantly reduced yields due to drought, floods, pests, or other challenges)?</t>
  </si>
  <si>
    <t>cl_extreme_weather_expect_other</t>
  </si>
  <si>
    <t>Please specify how often you (expect to) experience a bad farming season:</t>
  </si>
  <si>
    <t>select_multiple extreme_situation</t>
  </si>
  <si>
    <t>cl_extreme_weather_type</t>
  </si>
  <si>
    <t>Over the past 3 years, which (if any) of the following situations have you encountered?</t>
  </si>
  <si>
    <t>cl_extreme_weather</t>
  </si>
  <si>
    <t xml:space="preserve">Over the past 3 years, did you experience crop losses due to extreme weather events on this farm location? </t>
  </si>
  <si>
    <t>select_one extreme_weather</t>
  </si>
  <si>
    <t>cl_extreme_weather_topthree</t>
  </si>
  <si>
    <t>Which were the three extreme weather events that most significantly affected your crop yield?</t>
  </si>
  <si>
    <t>${cl_extreme_weather}=1</t>
  </si>
  <si>
    <t>select_one lost_crop</t>
  </si>
  <si>
    <t>cl_loss_total_share</t>
  </si>
  <si>
    <t>On average, how much of your crop was lost due to these extreme weather events?</t>
  </si>
  <si>
    <t>select_multiple coping_mechanisms</t>
  </si>
  <si>
    <t>cl_coping_mechanisms</t>
  </si>
  <si>
    <t xml:space="preserve">During that time when you lost your crop because of extreme weather events, were you able to do something to prevent some of the crop loss? I'll read a few options to you: </t>
  </si>
  <si>
    <t>select_multiple cope_losses</t>
  </si>
  <si>
    <t>cl_access_services</t>
  </si>
  <si>
    <t>Do you have access to any services to help you preventing or dealing with harvest losses?</t>
  </si>
  <si>
    <t>select_multiple warning_system</t>
  </si>
  <si>
    <t>cl_early_warning_system</t>
  </si>
  <si>
    <t>Do you have access to an early warning system or other reliable information about upcoming weather events (such as storms, floods, or droughts)?</t>
  </si>
  <si>
    <t>select_one water_access</t>
  </si>
  <si>
    <t>cl_access_to_water</t>
  </si>
  <si>
    <t>How would you describe the access to water for agricultural production?</t>
  </si>
  <si>
    <t>select_one change</t>
  </si>
  <si>
    <t>cl_coping_ability_change</t>
  </si>
  <si>
    <t>Over the last 3 years, how has your ability to deal with climate issues (such as extreme weather events) changed?</t>
  </si>
  <si>
    <t>select_one deal_change</t>
  </si>
  <si>
    <t>cl_coping_ability_change_why</t>
  </si>
  <si>
    <t>Why has this changed in the past 3 years?</t>
  </si>
  <si>
    <t>${cl_coping_ability_change}!=3</t>
  </si>
  <si>
    <t>food_security</t>
  </si>
  <si>
    <t>FOOD SECURITY AND WASH HOUSEHOLD</t>
  </si>
  <si>
    <t>fs_shortage</t>
  </si>
  <si>
    <t xml:space="preserve">I would like to ask you about your household’s food supply during different months of the year. Please think back over the last 12 months from now to the same time last year. Were there months in which you (and your family) did not have enough food to meet your family’s needs? 'Enough' can be defined as three meals a day. </t>
  </si>
  <si>
    <t>This includes any kind of food from any source, such as own production, purchase or exchange, food aid or borrowing.</t>
  </si>
  <si>
    <t>select_one food_availability</t>
  </si>
  <si>
    <t>fs_foodavailability_market</t>
  </si>
  <si>
    <t xml:space="preserve"> Are all the foods you (would like to) consume available on either local markets, your own farm or home garden?</t>
  </si>
  <si>
    <t>division_labour_decision_making</t>
  </si>
  <si>
    <t>DIVISION OF LABOUR &amp; DECISION-MAKING</t>
  </si>
  <si>
    <t>select_one person_present</t>
  </si>
  <si>
    <t>g_introduction</t>
  </si>
  <si>
    <t>I would like to ask a few questions to the primary woman decision maker in the household. Is she available?</t>
  </si>
  <si>
    <t>Interpret the answer yourself, instead of reading the options below.</t>
  </si>
  <si>
    <t>select_one consent_two</t>
  </si>
  <si>
    <t>g_informed_consent</t>
  </si>
  <si>
    <t>Do you wish to participate in the survey?</t>
  </si>
  <si>
    <t>Read the informed consent before asking this question.</t>
  </si>
  <si>
    <t>select_multiple domestic_activities</t>
  </si>
  <si>
    <t>g_reprod_activities</t>
  </si>
  <si>
    <t>I'm going to read a list of domestic activities to you, if you think about the last 12 months can you tell me which of these activities you were involved in?</t>
  </si>
  <si>
    <t>select_one input</t>
  </si>
  <si>
    <t>g_reprod_input_decisions</t>
  </si>
  <si>
    <t>How much input did you have in making the decision about these domestic activities?</t>
  </si>
  <si>
    <t>select_one decision_maker</t>
  </si>
  <si>
    <t>g_prod_resp_decision</t>
  </si>
  <si>
    <t>When decisions about these domestic activities are made, who is it that normally makes the final decision?</t>
  </si>
  <si>
    <t>Tip: this is a multiple answer question. Enumerator should probe for others involved in decision making "anyone else?"</t>
  </si>
  <si>
    <t>select_multiple farm_activities</t>
  </si>
  <si>
    <t>g_prod_activities</t>
  </si>
  <si>
    <t>I'm now going to read a list of farming activities to you, if you think about the last 12 months can you tell me in which of these activities you were involved in?</t>
  </si>
  <si>
    <t>g_prod_input_decisions</t>
  </si>
  <si>
    <t>How much input did you have in making the decision about these farming activities?</t>
  </si>
  <si>
    <t xml:space="preserve">When decisions about these farming activities are made, who is it that normally makes the final decision? </t>
  </si>
  <si>
    <t>select_one financial_activities</t>
  </si>
  <si>
    <t>g_fin_activities</t>
  </si>
  <si>
    <t>I'm now going to read a list of financial activities to you. If you think about the last 12 months, can you tell me which of these activities you were involved in?</t>
  </si>
  <si>
    <t>g_fin_input_decisions</t>
  </si>
  <si>
    <t>How much input did you have in making the decision about these financial activities?</t>
  </si>
  <si>
    <t>g_fin_resp_decision</t>
  </si>
  <si>
    <t>When decisions about these financial activities are made, who is it that normally makes the final decision?</t>
  </si>
  <si>
    <t>ENDLINE</t>
  </si>
  <si>
    <t>g_prod_input_decisions_change</t>
  </si>
  <si>
    <t>In the past 3 years, how has your involvement in decision making on the farm changed?</t>
  </si>
  <si>
    <t>select_one amount</t>
  </si>
  <si>
    <t>g_prod_input_decisions_change_linkage_sdm</t>
  </si>
  <si>
    <t>How much of this change was due to your relationship with ${selected_company_label}?</t>
  </si>
  <si>
    <t>select_one change_reason</t>
  </si>
  <si>
    <t>g_prod_input_decisions_change_why</t>
  </si>
  <si>
    <t>Why has this changed since [INSERT REFERENCE PERIOD]?</t>
  </si>
  <si>
    <t>mobile_phone</t>
  </si>
  <si>
    <t xml:space="preserve"> MOBILE PHONE USE AND INTERNET</t>
  </si>
  <si>
    <t>hh_internet</t>
  </si>
  <si>
    <t>Do you use internet?</t>
  </si>
  <si>
    <t>hh_phone_yn</t>
  </si>
  <si>
    <t>Do you currently own a (personal) mobile phone?</t>
  </si>
  <si>
    <t>select_multiple phone</t>
  </si>
  <si>
    <t>hh_phone_functionalities</t>
  </si>
  <si>
    <t>What functionalities does your mobile phone have?</t>
  </si>
  <si>
    <t>household_demographics</t>
  </si>
  <si>
    <t>HOUSEHOLD DEMOGRAPHICS</t>
  </si>
  <si>
    <t>hh_size</t>
  </si>
  <si>
    <t>How many people live in the household?</t>
  </si>
  <si>
    <t>To define 'live': people who reside on the farm for at least 6 days a week and eat from the same pot. The group of people are together economically dependent on the same income sources. This includes the respondent. '9999' is treated as 'I don't know', '9998' as 'I prefer not to answer'</t>
  </si>
  <si>
    <t>hh_adults_num</t>
  </si>
  <si>
    <t>How many household members are adult (18 years or older)?</t>
  </si>
  <si>
    <t>9999' is treated as 'I don't know' and '9998' is treated as 'I prefer not to answer'</t>
  </si>
  <si>
    <t>select_one gender</t>
  </si>
  <si>
    <t>hh_farmer_gender</t>
  </si>
  <si>
    <t>What is the gender of the farmer?</t>
  </si>
  <si>
    <t>hh_farmer_age</t>
  </si>
  <si>
    <t>What is the age of the farmer?</t>
  </si>
  <si>
    <t>Probe for a right age estimation based on past events. Were you alive when '…' happened. When you feel hesitation remind them that this data is confidential. '9999' is treated as 'I don't know' and '9998' is treated as 'I prefer not to say'</t>
  </si>
  <si>
    <t>select_one education</t>
  </si>
  <si>
    <t>hh_education_farmer</t>
  </si>
  <si>
    <t>What is the highest level of education that the farmer achieved?</t>
  </si>
  <si>
    <t>hh_head_gender</t>
  </si>
  <si>
    <t>What is the gender of the head of the household?</t>
  </si>
  <si>
    <t>Definition of head of household: person who is identified as the main authority figure in the household. This should be the first person that comes to mind.</t>
  </si>
  <si>
    <t>hh_head_birthyear</t>
  </si>
  <si>
    <t>What is the age of the head of the household?</t>
  </si>
  <si>
    <t>concluding_questions</t>
  </si>
  <si>
    <t>CONCLUDING QUESTIONS</t>
  </si>
  <si>
    <t>select_one another_survey</t>
  </si>
  <si>
    <t>monitoring_survey_yn</t>
  </si>
  <si>
    <t>In the future, IDH may want to approach you again for a similar survey, to track developments over time. Could we contact you in the future for another survey?</t>
  </si>
  <si>
    <t>farmer_questions</t>
  </si>
  <si>
    <t>Are there any questions we have missed, or is there anything additional you would like to share?</t>
  </si>
  <si>
    <t>MODULES</t>
  </si>
  <si>
    <t>regen_agriculture</t>
  </si>
  <si>
    <t>REGENERATIVE AGRICULTURE</t>
  </si>
  <si>
    <t>select_one org_fert</t>
  </si>
  <si>
    <t>ra_organic_fertiliser_use</t>
  </si>
  <si>
    <t>How would you describe your use of organic fertiliser (e.g., compost, manure) on your farm?</t>
  </si>
  <si>
    <t>ra_crops_nitrogen</t>
  </si>
  <si>
    <t>Do you grow any crops that fixate nitrogen in the soil?</t>
  </si>
  <si>
    <t>ra_rotating_crops</t>
  </si>
  <si>
    <t>Do you rotate different types of crops over different seasons on the same field?</t>
  </si>
  <si>
    <t>ra_simultaneous_crops_number</t>
  </si>
  <si>
    <t>How many crops do you grow simultaneously on your farm?</t>
  </si>
  <si>
    <t>ra_intercropping_yn</t>
  </si>
  <si>
    <t>Do you practice intercropping (growing mixed crops on the same field, e.g. in alternate rows, agroforestry)?</t>
  </si>
  <si>
    <t>select_multiple natural_pests</t>
  </si>
  <si>
    <t>ra_pest_management</t>
  </si>
  <si>
    <t>Do you have any of the following forms of Natural Pest Management on your farm?</t>
  </si>
  <si>
    <t>select_multiple reduce_tillage</t>
  </si>
  <si>
    <t>ra_tillage_reduction_practices</t>
  </si>
  <si>
    <t>Do you have any practices in place to reduce tillage or soil disturbance?</t>
  </si>
  <si>
    <t>ra_tillage_reduction_practices_other</t>
  </si>
  <si>
    <t>Please specify the other practices you have in place to reduce tillage or soil disturbance:</t>
  </si>
  <si>
    <t>selected(${ra_tillage_reduction_practices},'77')</t>
  </si>
  <si>
    <t>select_multiple soil_erosion</t>
  </si>
  <si>
    <t>ra_soil_erosion_prevention_practices</t>
  </si>
  <si>
    <t>Do you have any practices in place to prevent soil erosion?</t>
  </si>
  <si>
    <t>ra_soil_erosion_prevention_practices_other</t>
  </si>
  <si>
    <t>Please specify the other practices you have in place to prevent soil erosion:</t>
  </si>
  <si>
    <t>selected(${ra_soil_erosion_prevention_practices},'77')</t>
  </si>
  <si>
    <t>select_multiple save_water</t>
  </si>
  <si>
    <t>ra_water_saving_practices</t>
  </si>
  <si>
    <t xml:space="preserve">Do you have any practices in place to save water? </t>
  </si>
  <si>
    <t>ra_water_saving_practices_other</t>
  </si>
  <si>
    <t>Please specify the other practices you have in place to save water</t>
  </si>
  <si>
    <t>selected(${ra_water_saving_practices},'77')</t>
  </si>
  <si>
    <t>FARMER ORGANISATION</t>
  </si>
  <si>
    <t>select_multiple org_act</t>
  </si>
  <si>
    <t>su_farmer_organisation_activities</t>
  </si>
  <si>
    <t>What activities do you participate in related to the farmer organization?</t>
  </si>
  <si>
    <t>select_multiple org_fin</t>
  </si>
  <si>
    <t>su_farmer_organisation_fi</t>
  </si>
  <si>
    <t>What type of financial interactions do you have with the farmer organization?</t>
  </si>
  <si>
    <t>select_one org_prod_share</t>
  </si>
  <si>
    <t>su_farmer_organisation_sell_share</t>
  </si>
  <si>
    <t>select_multiple org_why_sale</t>
  </si>
  <si>
    <t>su_farmer_organisation_sell_reason</t>
  </si>
  <si>
    <t>Why do you sell to the farmer organization?</t>
  </si>
  <si>
    <t>su_farmer_organisation_sell_reason_other</t>
  </si>
  <si>
    <t>Please specify the other reason(s) you sell to the farmer organization:</t>
  </si>
  <si>
    <t>selected(${fo_selling_reason},'77')</t>
  </si>
  <si>
    <t>select_one org_inputs</t>
  </si>
  <si>
    <t>su_farmer_organisation_inputs_types</t>
  </si>
  <si>
    <t>What inputs did you buy through/from the farmer organization?</t>
  </si>
  <si>
    <t>su_farmer_organisation_inputs_types_other</t>
  </si>
  <si>
    <t>Please specify the other inputs you buy through/from the farmer organization:</t>
  </si>
  <si>
    <t>selected(${fo_inputs_bought},'77')</t>
  </si>
  <si>
    <t>select_multiple org_why_buy</t>
  </si>
  <si>
    <t>su_farmer_organisation_inputs_reason</t>
  </si>
  <si>
    <t>Why do you buy the inputs through/from the farmer organization?</t>
  </si>
  <si>
    <t>su_farmer_organisation_inputs_reason_other</t>
  </si>
  <si>
    <t>Please specify the other reason you buy through/from the farmer organization:</t>
  </si>
  <si>
    <t>selected(${fo_inputs_bought_reason},'77')</t>
  </si>
  <si>
    <t>select_multiple org_loan</t>
  </si>
  <si>
    <t>su_farmer_organisation_loans_type</t>
  </si>
  <si>
    <t>What type of loan/credit did you receive from the farmer organisation?</t>
  </si>
  <si>
    <t>select_one org_form_loan</t>
  </si>
  <si>
    <t>su_farmer_organisation_loans_form</t>
  </si>
  <si>
    <t>In what form did you receive the loan/credit from the farmer organisation?</t>
  </si>
  <si>
    <t>su_farmer_organisation_membership_fee_yn</t>
  </si>
  <si>
    <t>Do you have to pay a fee to be a member of the cooperative/farmer organisation?</t>
  </si>
  <si>
    <t>su_farmer_organisation_membership_fee</t>
  </si>
  <si>
    <t>What amount did you pay?</t>
  </si>
  <si>
    <t>selected(${fo_membership_fee_yn},'1')</t>
  </si>
  <si>
    <t>select_one org_fee_period</t>
  </si>
  <si>
    <t>su_farmer_organisation_membership_period</t>
  </si>
  <si>
    <t>For what time period did you pay this fee?</t>
  </si>
  <si>
    <t>su_farmer_organisation_membership_period_other</t>
  </si>
  <si>
    <t>Please specify the other time period, for which you pay this fee:</t>
  </si>
  <si>
    <t>selected(${fo_membership_period},'77')</t>
  </si>
  <si>
    <t>f_coop_premiumpayment_yn</t>
  </si>
  <si>
    <t>Do you receive a premium payment from your cooperative/farmer organisation?</t>
  </si>
  <si>
    <t>f_coop_premiumpayment_amount</t>
  </si>
  <si>
    <t>What is the amount of premium payment you receive from the cooperative/farmer organisation?</t>
  </si>
  <si>
    <t>youth_future_outlook</t>
  </si>
  <si>
    <t>YOUTH &amp; FUTURE OUTLOOK</t>
  </si>
  <si>
    <t>select_multiple goals</t>
  </si>
  <si>
    <t>fo_goals</t>
  </si>
  <si>
    <t>How would you describe your goals for making a living in the next 5 years?</t>
  </si>
  <si>
    <t>fo_cont_agri</t>
  </si>
  <si>
    <t>Do you intend to continue working in agriculture?</t>
  </si>
  <si>
    <t>fo_agri_newmarkets</t>
  </si>
  <si>
    <t>Do you want to expand your agricultural activities by producing new products or selling to new markets?</t>
  </si>
  <si>
    <t>select_one increase_decrease</t>
  </si>
  <si>
    <t>fo_increase_land_farm_yn</t>
  </si>
  <si>
    <t>Do you plan to increase the land you farm on in the future?</t>
  </si>
  <si>
    <t>select_one decrease_why</t>
  </si>
  <si>
    <t>fo_decrease_land_reason</t>
  </si>
  <si>
    <t>Why do you say this?</t>
  </si>
  <si>
    <t>selected(${fo_increase_land_farm_yn},'3')</t>
  </si>
  <si>
    <t>fo_decrease_land_reason_other</t>
  </si>
  <si>
    <t>Please specify the other reason you plan to decrease the land size:</t>
  </si>
  <si>
    <t>fo_farming_investment</t>
  </si>
  <si>
    <t>Do you think there is no better investment than farming?</t>
  </si>
  <si>
    <t>fo_agriculture</t>
  </si>
  <si>
    <t>Do you think agriculture is a promising career path for your children?</t>
  </si>
  <si>
    <t>fo_children_takeover</t>
  </si>
  <si>
    <t>Do you want your children to take over your farm?</t>
  </si>
  <si>
    <t>fo_urban_areas</t>
  </si>
  <si>
    <t>Are you planning to move to urban areas?</t>
  </si>
  <si>
    <t>agent_model_farmers</t>
  </si>
  <si>
    <t>AGENT MODEL FARMERS</t>
  </si>
  <si>
    <t>cs_sdm_company_agent_demofarm_yn</t>
  </si>
  <si>
    <t>Do you have a demonstration farm?</t>
  </si>
  <si>
    <t>select_one partially_yn</t>
  </si>
  <si>
    <t>cs_sdm_company_agent_demofarm_paid</t>
  </si>
  <si>
    <t>Does ${selected_company_label} pay for your demonstration farm?</t>
  </si>
  <si>
    <t>cs_sdm_company_agent_yn</t>
  </si>
  <si>
    <t>Are you an agent with ${selected_company_label}?</t>
  </si>
  <si>
    <t>cs_sdm_company_agent_activities</t>
  </si>
  <si>
    <t>What activities do you perform?</t>
  </si>
  <si>
    <t>select_multiple sdm_money</t>
  </si>
  <si>
    <t>cs_sdm_company_agent_demofarm_paid_activities</t>
  </si>
  <si>
    <t>For which activities do you receive money from ${selected_company_label}?</t>
  </si>
  <si>
    <t>cs_sdm_company_agent_demofarm_farmerpaid_activities</t>
  </si>
  <si>
    <t>For which of the following activities do you receive money from the farmers you work with?</t>
  </si>
  <si>
    <t>select_one storage</t>
  </si>
  <si>
    <t>cs_sdm_company_agent_storage</t>
  </si>
  <si>
    <t>Do you own sufficient storage for the farmers you work with?</t>
  </si>
  <si>
    <t>cs_sdm_company_agent_transport</t>
  </si>
  <si>
    <t>Do you have your own transportation means to collect produce from the farmers that you work with?</t>
  </si>
  <si>
    <t>select_one sometimes_yn</t>
  </si>
  <si>
    <t>cs_sdm_company_agent_SDM_company_collect</t>
  </si>
  <si>
    <t>Does ${selected_company_label} collect aggregated produce on time?</t>
  </si>
  <si>
    <t>cs_sdm_company_agent_nryears</t>
  </si>
  <si>
    <t>For how many years have you been an agent for ${selected_company_label}?</t>
  </si>
  <si>
    <t>select_one how_often</t>
  </si>
  <si>
    <t>cs_sdm_company_agent_enoughtime</t>
  </si>
  <si>
    <t>Do you have enough time to provide the required support that farmers need?</t>
  </si>
  <si>
    <t>cs_sdm_company_noagent_storage</t>
  </si>
  <si>
    <t>cs_sdm_company_noagent_storage_access</t>
  </si>
  <si>
    <t>selected(${cs_sdm_company_noagent_storage},'2')</t>
  </si>
  <si>
    <t>cs_sdm_company_noagent_transport</t>
  </si>
  <si>
    <t>Do you have access to suitable means to transport your farm produce to an agent?</t>
  </si>
  <si>
    <t>select_one agent_support</t>
  </si>
  <si>
    <t>cs_sdm_company_noagent_support</t>
  </si>
  <si>
    <t>How much support are you able to get from the Agent?</t>
  </si>
  <si>
    <t>select_one satisfied</t>
  </si>
  <si>
    <t>cs_sdm_company_noagent_satisfaction</t>
  </si>
  <si>
    <t>How satisfied are you with the relationship with your Agent?</t>
  </si>
  <si>
    <t>gender_intentional_transformative</t>
  </si>
  <si>
    <t>GENDER INTENTIONAL-TRANSFORMATIVE</t>
  </si>
  <si>
    <t>f_unpaidlabour_hhactivities_hrs</t>
  </si>
  <si>
    <t>On average, how many hours a day do you spend on doing unpaid household activities? This includes things like routine housework; shopping; care for household members; child care; adult care; care for non-household members; volunteering; travel related to household activities; other unpaid activities.</t>
  </si>
  <si>
    <t>f_focuscrop_hrs</t>
  </si>
  <si>
    <t>f_otherfarm_activities_hrs</t>
  </si>
  <si>
    <t>f_offarmlabour_activities_hrs</t>
  </si>
  <si>
    <t>On average, how many hours day do you spend on off-farm labour activities? This can be wage labour on other farms, for another employer, running a household business etc.</t>
  </si>
  <si>
    <t>f_labour_farm_nrpeople</t>
  </si>
  <si>
    <t>In the last 12 months, how many people worked with you on the farm in total? (approximate)</t>
  </si>
  <si>
    <t>f_labour_farm_nrwomen</t>
  </si>
  <si>
    <t>In the last 12 months how many of the people who worked with you on the farm were women?</t>
  </si>
  <si>
    <t>f_gendered_support_participated</t>
  </si>
  <si>
    <t xml:space="preserve">In the last 12 months, have you participated in any programs let by ${selected_company_label} or received benefits specifically designed to support your (gendered) needs? </t>
  </si>
  <si>
    <t>select_one aware</t>
  </si>
  <si>
    <t>f_gendered_support_sdm_company</t>
  </si>
  <si>
    <t>In the last 12 months, has the ${selected_company_label} provided you with any services specifically designed for gendered support?</t>
  </si>
  <si>
    <t>select_one training</t>
  </si>
  <si>
    <t>f_company_visits_convenient</t>
  </si>
  <si>
    <t>Are trainings and visits provided by ${selected_company_label} scheduled at times that are convenient for you?</t>
  </si>
  <si>
    <t>select_one agent_same_gender</t>
  </si>
  <si>
    <t>f_field_agent_same_gender</t>
  </si>
  <si>
    <t>Do you have the opportunity to interact with field agents of the same gender as you for ${selected_company_label}?</t>
  </si>
  <si>
    <t>ENDLINE QUESTIONS</t>
  </si>
  <si>
    <t>Endline questions</t>
  </si>
  <si>
    <t>How much of this change was due to your relationship with [SDM company]?</t>
  </si>
  <si>
    <t>Before you started working with [SDM Operator] did you have access to services like those that [SDM operator] provides? [MAKE SURE THE DEPENDENCY OF THIS QUESTION IS COVERING ALL THE POTENTIAL SERVICES]</t>
  </si>
  <si>
    <t>Could you easily find a good alternative to [SDM Operator's] services?</t>
  </si>
  <si>
    <t>Over the last 3 years, how has your way of farming changed?</t>
  </si>
  <si>
    <t>Over the last 3 years, how has your ability to deal with climate issues changed?</t>
  </si>
  <si>
    <t>How much of this change was due to your relationship with [SDM operator]?</t>
  </si>
  <si>
    <t>Satisfaction questions</t>
  </si>
  <si>
    <t>I am satisfied with the loan services provided to buy inputs</t>
  </si>
  <si>
    <t>I am satisfied with the services on  financial training provided</t>
  </si>
  <si>
    <t>I am satisfied with the Agricultural training services provided</t>
  </si>
  <si>
    <t>I am satisfied with the provision of planting materials for farming</t>
  </si>
  <si>
    <t>I am satisfied with the services on Organic fertiliser (compost) provided</t>
  </si>
  <si>
    <t>I am satisfied with the services related to agrochemical provision (also when bought in a shop)</t>
  </si>
  <si>
    <t>I am satisfied with the insurance services provided through the project</t>
  </si>
  <si>
    <t>I am satisfied with the linkage to Membership of a farmer organisation</t>
  </si>
  <si>
    <t>I am satisfied with support provided under market linkages (external person or organisation connecting farmer to market)</t>
  </si>
  <si>
    <t>I am satisfied with mechanization services (land clearing/preparation)</t>
  </si>
  <si>
    <t>I am satisfied with soil, vegetation and drainage mapping</t>
  </si>
  <si>
    <t>I am satisfied with Climate/weather information services provided through the project</t>
  </si>
  <si>
    <t>I am satisfied with the services provided under Logistics (storage and transportation)</t>
  </si>
  <si>
    <t>I am satisfied with the provision of farm management technology services</t>
  </si>
  <si>
    <t xml:space="preserve">I am satisfied with the Irrigation infrastructure and water provision services
</t>
  </si>
  <si>
    <t>Out of all the services that you received from our list, which one was the most useful?</t>
  </si>
  <si>
    <t>Out of all the services that you received from our list, which one was the least useful?</t>
  </si>
  <si>
    <t>Future Outlook</t>
  </si>
  <si>
    <t>list_name</t>
  </si>
  <si>
    <t>filter</t>
  </si>
  <si>
    <t>enumerator</t>
  </si>
  <si>
    <t>[INSERT NAMES ENUMERATORS HERE]</t>
  </si>
  <si>
    <t>Accepted to participate</t>
  </si>
  <si>
    <t>Refused to participate</t>
  </si>
  <si>
    <t>consent_two</t>
  </si>
  <si>
    <t>Accepted (already accepted before)</t>
  </si>
  <si>
    <t>yesno</t>
  </si>
  <si>
    <t>No</t>
  </si>
  <si>
    <t>Yes</t>
  </si>
  <si>
    <t>land_unit</t>
  </si>
  <si>
    <t>crops_types</t>
  </si>
  <si>
    <t>None</t>
  </si>
  <si>
    <t>Other, please specify</t>
  </si>
  <si>
    <t>land_ownership</t>
  </si>
  <si>
    <t>I own all the land</t>
  </si>
  <si>
    <t>I rent all the land</t>
  </si>
  <si>
    <t>I own part of the land and rent the rest</t>
  </si>
  <si>
    <t>I don't own or rent the land (caretaker)</t>
  </si>
  <si>
    <t>I don't know</t>
  </si>
  <si>
    <t>I prefer not to say</t>
  </si>
  <si>
    <t>None of the above</t>
  </si>
  <si>
    <t>crop_variety</t>
  </si>
  <si>
    <t>none</t>
  </si>
  <si>
    <t>harvest_season</t>
  </si>
  <si>
    <t>Secondary season</t>
  </si>
  <si>
    <t>measurement_prod</t>
  </si>
  <si>
    <t>income_share</t>
  </si>
  <si>
    <t>Less than 10%</t>
  </si>
  <si>
    <t>50% (half of it)</t>
  </si>
  <si>
    <t>100% (all, it is our only source of income)</t>
  </si>
  <si>
    <t>own_consumption</t>
  </si>
  <si>
    <t>0% (None of it)</t>
  </si>
  <si>
    <t>0-25%(A small part)</t>
  </si>
  <si>
    <t xml:space="preserve">26-50% (Between a quarter and half of it) </t>
  </si>
  <si>
    <t>51-75% (More than half but less than 75%)</t>
  </si>
  <si>
    <t>75-100% (Most of it)</t>
  </si>
  <si>
    <t>100% (all of it)</t>
  </si>
  <si>
    <t>lost_yn</t>
  </si>
  <si>
    <t>yesnodk</t>
  </si>
  <si>
    <t>Don't know</t>
  </si>
  <si>
    <t>Prefer not to say</t>
  </si>
  <si>
    <t>buyer</t>
  </si>
  <si>
    <t>Co-operative</t>
  </si>
  <si>
    <t>Wholesaler</t>
  </si>
  <si>
    <t>Processor</t>
  </si>
  <si>
    <t>Retailer</t>
  </si>
  <si>
    <t>Direct to the public</t>
  </si>
  <si>
    <t>Direct to a government agency</t>
  </si>
  <si>
    <t>Middleman</t>
  </si>
  <si>
    <t xml:space="preserve">Trading company </t>
  </si>
  <si>
    <t>Other</t>
  </si>
  <si>
    <t>yn_contract</t>
  </si>
  <si>
    <t xml:space="preserve">Yes </t>
  </si>
  <si>
    <t xml:space="preserve">No, there is not option available or I am not aware </t>
  </si>
  <si>
    <t>No, there is an option available but I am not interested</t>
  </si>
  <si>
    <t>I don’t know</t>
  </si>
  <si>
    <t xml:space="preserve">cost_type </t>
  </si>
  <si>
    <t>Buying seeds and plants</t>
  </si>
  <si>
    <t>Fertilizer/Compost</t>
  </si>
  <si>
    <t>Chemicals (pesticides, herbicides, fungicides)</t>
  </si>
  <si>
    <t xml:space="preserve">Hired labour </t>
  </si>
  <si>
    <t xml:space="preserve">Buying/renting non-mechanised equipment  </t>
  </si>
  <si>
    <t xml:space="preserve">Buying/renting mechanised equipment </t>
  </si>
  <si>
    <t xml:space="preserve">Access to or using water for irrigation </t>
  </si>
  <si>
    <t xml:space="preserve">Energy and fuel </t>
  </si>
  <si>
    <t xml:space="preserve">Rent/fees for using farm land </t>
  </si>
  <si>
    <t>Storage</t>
  </si>
  <si>
    <t xml:space="preserve">Marketing and selling produce </t>
  </si>
  <si>
    <t xml:space="preserve">None of the above </t>
  </si>
  <si>
    <t xml:space="preserve"> I don't know </t>
  </si>
  <si>
    <t xml:space="preserve"> I prefer not to say</t>
  </si>
  <si>
    <t>cost_determination</t>
  </si>
  <si>
    <t xml:space="preserve">Farm records </t>
  </si>
  <si>
    <t>Estimations</t>
  </si>
  <si>
    <t xml:space="preserve">Recent Analysis of input costs and labor expenses </t>
  </si>
  <si>
    <t xml:space="preserve">Consultation with agronomist or other expert </t>
  </si>
  <si>
    <t>seed_type</t>
  </si>
  <si>
    <t>Certified seed (purchased)</t>
  </si>
  <si>
    <t>Hybrid seed (purchased, non-certified)</t>
  </si>
  <si>
    <t xml:space="preserve">Community/cooperative seed (accessed from seed bank, farmer group exchange) </t>
  </si>
  <si>
    <t xml:space="preserve">Cleaned seed (farmer-saved, 1 season) </t>
  </si>
  <si>
    <t>Recycled seed (farmer-saved, 2+ seasons)</t>
  </si>
  <si>
    <t>Local/traditional seed (indigeneous variety, passed through generations)</t>
  </si>
  <si>
    <t>input_origin</t>
  </si>
  <si>
    <t>I buy them from an agro-dealer (established shop)</t>
  </si>
  <si>
    <t>I get them through my co-operative or farmer group</t>
  </si>
  <si>
    <t>I get them from the buyer or outgrower scheme I work with</t>
  </si>
  <si>
    <t>I get them from friends or neighbours</t>
  </si>
  <si>
    <t>I buy them from a middleman/salesmen (e.g. traveling salesmen)</t>
  </si>
  <si>
    <t>Someone else in the household gets the inputs for me</t>
  </si>
  <si>
    <t>input_challenges</t>
  </si>
  <si>
    <t>I don't have access to finance for buying inputs</t>
  </si>
  <si>
    <t xml:space="preserve"> I don't know what inputs to get</t>
  </si>
  <si>
    <t>I don't know where to buy inputs</t>
  </si>
  <si>
    <t>Inputs are too expensive</t>
  </si>
  <si>
    <t>Inputs are of low quality</t>
  </si>
  <si>
    <t>The inputs I want to buy are not available</t>
  </si>
  <si>
    <t xml:space="preserve">payment </t>
  </si>
  <si>
    <t>Per hectare/acre of land worked</t>
  </si>
  <si>
    <t>Per metric ton (Mt) harvested</t>
  </si>
  <si>
    <t>Per day of work (daily wages)</t>
  </si>
  <si>
    <t>Per specific task (e.g., planting, harvesting)</t>
  </si>
  <si>
    <t>crop_cycle_stage</t>
  </si>
  <si>
    <t xml:space="preserve">Land preparation </t>
  </si>
  <si>
    <t>Planting</t>
  </si>
  <si>
    <t xml:space="preserve">Irrigation </t>
  </si>
  <si>
    <t xml:space="preserve">Fertiliser application </t>
  </si>
  <si>
    <t xml:space="preserve">Weeding </t>
  </si>
  <si>
    <t xml:space="preserve">Pest and disease control </t>
  </si>
  <si>
    <t xml:space="preserve">Pruning </t>
  </si>
  <si>
    <t>Harvesting</t>
  </si>
  <si>
    <t>Transporting</t>
  </si>
  <si>
    <t xml:space="preserve">Threshing </t>
  </si>
  <si>
    <t xml:space="preserve">Cleaning </t>
  </si>
  <si>
    <t>Drying</t>
  </si>
  <si>
    <t>Milling</t>
  </si>
  <si>
    <t>income_sources</t>
  </si>
  <si>
    <t xml:space="preserve">Running (a) local enterprise(s) </t>
  </si>
  <si>
    <t>Profit from rent of land</t>
  </si>
  <si>
    <t>Wage labour off-farm</t>
  </si>
  <si>
    <t>Profit from rent of (owned) equipment</t>
  </si>
  <si>
    <t>Value addition activities (processing)</t>
  </si>
  <si>
    <t>Sale of seeds or seedling</t>
  </si>
  <si>
    <t>Government transfers</t>
  </si>
  <si>
    <t>Remittances (money received from family members that are non-household members)</t>
  </si>
  <si>
    <t>Gifts (money received from non-family members)</t>
  </si>
  <si>
    <t>Credit (e.g. credit for agricultural inputs from input supplier)</t>
  </si>
  <si>
    <t>Sharing technical expericies/farming practices</t>
  </si>
  <si>
    <t>[ADD ALTERNATIVE OPTIONS 4.2]</t>
  </si>
  <si>
    <t>We don't have other sources of income</t>
  </si>
  <si>
    <t>organisation_type</t>
  </si>
  <si>
    <t>cs_sdm_services</t>
  </si>
  <si>
    <t>I got a loan to buy inputs</t>
  </si>
  <si>
    <t>Insurance</t>
  </si>
  <si>
    <t>Off-take services</t>
  </si>
  <si>
    <t>Mechanisation services (land clearing/ preparation)</t>
  </si>
  <si>
    <t>Climate/weather data mapping</t>
  </si>
  <si>
    <t xml:space="preserve">recommendation </t>
  </si>
  <si>
    <t>Not likely</t>
  </si>
  <si>
    <t>Somewhat likely</t>
  </si>
  <si>
    <t>Likely</t>
  </si>
  <si>
    <t>Most likely</t>
  </si>
  <si>
    <t>Very likely</t>
  </si>
  <si>
    <t>positive_recommendation</t>
  </si>
  <si>
    <t>Access to high quality services</t>
  </si>
  <si>
    <t>|Access to mechanisation (land clearing/preparation, harvesting</t>
  </si>
  <si>
    <t>Access to finance at low cost</t>
  </si>
  <si>
    <t>Access to farm management service</t>
  </si>
  <si>
    <t>Access to a wide range of services</t>
  </si>
  <si>
    <t>Access to markets</t>
  </si>
  <si>
    <t>Payments are on time</t>
  </si>
  <si>
    <t>negative_recommendation</t>
  </si>
  <si>
    <t>Bad quality of inputs</t>
  </si>
  <si>
    <t>Bad quality of services</t>
  </si>
  <si>
    <t>No access to finance / High cost of finance</t>
  </si>
  <si>
    <t>Limited range of services</t>
  </si>
  <si>
    <t>Late payments</t>
  </si>
  <si>
    <t>Bad relationship management</t>
  </si>
  <si>
    <t xml:space="preserve">service_useful </t>
  </si>
  <si>
    <t>Loan services provided to buy inputs</t>
  </si>
  <si>
    <t>Services on financial training provided</t>
  </si>
  <si>
    <t>Agricultural training services provided</t>
  </si>
  <si>
    <t>Provision of planting materials for farming</t>
  </si>
  <si>
    <t>Services on organic fertilizer (compost) provided</t>
  </si>
  <si>
    <t>Agrochemical provision services (including when bought in a shop)</t>
  </si>
  <si>
    <t>Insurance services provided through the project</t>
  </si>
  <si>
    <t>Linkage to membership of a farmer organization</t>
  </si>
  <si>
    <t>Support provided under market linkages (external person or organization connecting farmer to market)</t>
  </si>
  <si>
    <t>Mechanization services (land clearing/preparation)</t>
  </si>
  <si>
    <t>Soil, vegetation, and drainage mapping services</t>
  </si>
  <si>
    <t>Climate/weather information services</t>
  </si>
  <si>
    <t>Services provided under logistics (storage and transportation)</t>
  </si>
  <si>
    <t>Provision of farm management technology services</t>
  </si>
  <si>
    <t>Irrigation infrastructure and water provision services</t>
  </si>
  <si>
    <t>loan_yn</t>
  </si>
  <si>
    <t>Yes, cash or mobile money</t>
  </si>
  <si>
    <t>Yes, in kind</t>
  </si>
  <si>
    <t xml:space="preserve">loan_number </t>
  </si>
  <si>
    <t>More than 5</t>
  </si>
  <si>
    <t>loan_purpose_other</t>
  </si>
  <si>
    <t>School fees</t>
  </si>
  <si>
    <t>Household expenses</t>
  </si>
  <si>
    <t>Emergency</t>
  </si>
  <si>
    <t>Funeral</t>
  </si>
  <si>
    <t>Wedding</t>
  </si>
  <si>
    <t>Building a house/estate</t>
  </si>
  <si>
    <t>Medical costs</t>
  </si>
  <si>
    <t>A side business</t>
  </si>
  <si>
    <t>Purchasing a bike, motorbike, car or truck</t>
  </si>
  <si>
    <t>I have not used the loan</t>
  </si>
  <si>
    <t>loan_purpose_agri</t>
  </si>
  <si>
    <t>Investments in the farm in general</t>
  </si>
  <si>
    <t>Buying inputs for focus crop production</t>
  </si>
  <si>
    <t>Buying inputs for other crop production</t>
  </si>
  <si>
    <t>loan_origin</t>
  </si>
  <si>
    <t>[SDM company]</t>
  </si>
  <si>
    <t>Non-profit organization</t>
  </si>
  <si>
    <t>Informal local lender</t>
  </si>
  <si>
    <t>Bank/Microfinance bank</t>
  </si>
  <si>
    <t>Mobile loan provider</t>
  </si>
  <si>
    <t>Relative</t>
  </si>
  <si>
    <t>Friend</t>
  </si>
  <si>
    <t>Group-based micro finance (VSLA)</t>
  </si>
  <si>
    <t>Informal credit/savings groups (merry go rounds, tontines, funeral societies, etc.)</t>
  </si>
  <si>
    <t>Cooperative</t>
  </si>
  <si>
    <t>month</t>
  </si>
  <si>
    <t>January</t>
  </si>
  <si>
    <t>February</t>
  </si>
  <si>
    <t>March</t>
  </si>
  <si>
    <t>April</t>
  </si>
  <si>
    <t>May</t>
  </si>
  <si>
    <t>June</t>
  </si>
  <si>
    <t>July</t>
  </si>
  <si>
    <t>August</t>
  </si>
  <si>
    <t>September</t>
  </si>
  <si>
    <t>October</t>
  </si>
  <si>
    <t>November</t>
  </si>
  <si>
    <t>December</t>
  </si>
  <si>
    <t>credit_noaccess</t>
  </si>
  <si>
    <t>Lack of credit history</t>
  </si>
  <si>
    <t>Lack of collaterals</t>
  </si>
  <si>
    <t>No (or insufficient) sources of credit available locally</t>
  </si>
  <si>
    <t>lackmoney</t>
  </si>
  <si>
    <t>Yes, once or twice</t>
  </si>
  <si>
    <t>Yes, regularly</t>
  </si>
  <si>
    <t>savings_agripurpose</t>
  </si>
  <si>
    <t>Farming additional land</t>
  </si>
  <si>
    <t>Buying additional fertilizer or pesticides for existing land</t>
  </si>
  <si>
    <t>Buying better seeds for existing land</t>
  </si>
  <si>
    <t>Using mechanization services for existing land</t>
  </si>
  <si>
    <t>Buying livestock|Buying an asset such as irrigation pump or storage</t>
  </si>
  <si>
    <t>Hire more people to work on my farm|Other (specify)</t>
  </si>
  <si>
    <t>I do not want an additional loan for agricultural purposes</t>
  </si>
  <si>
    <t>savings_purp</t>
  </si>
  <si>
    <t>Save the income</t>
  </si>
  <si>
    <t xml:space="preserve">Expand my current farming business </t>
  </si>
  <si>
    <t>Start a new non-farm business (please specify business type)</t>
  </si>
  <si>
    <t>Pay school fees|Pay other expenses such as health care</t>
  </si>
  <si>
    <t>Purchase an asset for my farm such as an irrigation pump</t>
  </si>
  <si>
    <t>Purchase an appliance for my house such as a TV, phone, or refrigerator</t>
  </si>
  <si>
    <t>cope_stress</t>
  </si>
  <si>
    <t>I use my savings</t>
  </si>
  <si>
    <t>I ask for help from family and friends (including those living abroad)</t>
  </si>
  <si>
    <t>I sell assets</t>
  </si>
  <si>
    <t>I borrow money</t>
  </si>
  <si>
    <t xml:space="preserve">I don't know </t>
  </si>
  <si>
    <t>I prefer not to answer</t>
  </si>
  <si>
    <t xml:space="preserve">cope_unexpected </t>
  </si>
  <si>
    <t>I would use my savings</t>
  </si>
  <si>
    <t>I would get an additional job (e.g. work on another farm)</t>
  </si>
  <si>
    <t>I would rent out my land</t>
  </si>
  <si>
    <t>I would ask for help from family and friends (including those living abroad)</t>
  </si>
  <si>
    <t>I would sell assets (e.g. livestock, car...)</t>
  </si>
  <si>
    <t>I would borrow money</t>
  </si>
  <si>
    <t>I would use my insurance payout if applicable</t>
  </si>
  <si>
    <t xml:space="preserve">years_farming </t>
  </si>
  <si>
    <t xml:space="preserve">1 year </t>
  </si>
  <si>
    <t xml:space="preserve">2 years </t>
  </si>
  <si>
    <t xml:space="preserve">3 years </t>
  </si>
  <si>
    <t xml:space="preserve">4 years </t>
  </si>
  <si>
    <t xml:space="preserve">5 years </t>
  </si>
  <si>
    <t xml:space="preserve">5-10 years </t>
  </si>
  <si>
    <t>More than 10 years</t>
  </si>
  <si>
    <t xml:space="preserve">concern </t>
  </si>
  <si>
    <t>Not concerned</t>
  </si>
  <si>
    <t>A bit concerned</t>
  </si>
  <si>
    <t>Concerned</t>
  </si>
  <si>
    <t>Very concerned</t>
  </si>
  <si>
    <t>rate_bad_season</t>
  </si>
  <si>
    <t xml:space="preserve">Every 1 out of 2 seasons </t>
  </si>
  <si>
    <t xml:space="preserve">Every 1 out of 3 seasons </t>
  </si>
  <si>
    <t xml:space="preserve">Every 1 out of 4 seasons </t>
  </si>
  <si>
    <t xml:space="preserve">Less frequently than 1 out of 4 seasons </t>
  </si>
  <si>
    <t>extreme_situation</t>
  </si>
  <si>
    <t>Poor harvest due to pests or weather events</t>
  </si>
  <si>
    <t>Low prices for crops (e.g. market fluctuation, unreliable offtaker)</t>
  </si>
  <si>
    <t>Unexpected expenses (e.g. increased in price of food/commodities, death in the family, wedding, sickness)</t>
  </si>
  <si>
    <t>Harvest loss due to social risks (e.g. conflict, theft)</t>
  </si>
  <si>
    <t>Chronic financial stress (e.g. difficulties paying for school fees, disabled family member, inputs, debt)</t>
  </si>
  <si>
    <t xml:space="preserve">extreme_weather </t>
  </si>
  <si>
    <t>Changes in rain patterns (Rain out of season or excessive rain)</t>
  </si>
  <si>
    <t>Heat waves (temperature rise)</t>
  </si>
  <si>
    <t>Floods</t>
  </si>
  <si>
    <t>Droughts</t>
  </si>
  <si>
    <t>Storms (ex: hurricanes, monsoons, cyclones)</t>
  </si>
  <si>
    <t>Land- and mudslides</t>
  </si>
  <si>
    <t xml:space="preserve">lost_crop </t>
  </si>
  <si>
    <t>A little</t>
  </si>
  <si>
    <t>Some</t>
  </si>
  <si>
    <t>Half</t>
  </si>
  <si>
    <t>Most</t>
  </si>
  <si>
    <t>All</t>
  </si>
  <si>
    <t>coping_mechanisms</t>
  </si>
  <si>
    <t>Used available cash/mobile money</t>
  </si>
  <si>
    <t>Used savings or assets</t>
  </si>
  <si>
    <t>Used insurance money</t>
  </si>
  <si>
    <t>Used agricultural inputs (e.g., modified or climate resilience crops/seedlings)</t>
  </si>
  <si>
    <t xml:space="preserve">Applied techniques learned in a training </t>
  </si>
  <si>
    <t>Used early warning systems or weather forecasting</t>
  </si>
  <si>
    <t xml:space="preserve">Applied organic mulching (e.g. leaves) </t>
  </si>
  <si>
    <t xml:space="preserve">Applied plastic mulching </t>
  </si>
  <si>
    <t xml:space="preserve">Practiced cover cropping </t>
  </si>
  <si>
    <t xml:space="preserve">Planted shade trees </t>
  </si>
  <si>
    <t xml:space="preserve">Used sprinkler irrigation </t>
  </si>
  <si>
    <t xml:space="preserve">Used drip irrigation </t>
  </si>
  <si>
    <t xml:space="preserve">Practiced reduced or no tillage </t>
  </si>
  <si>
    <t xml:space="preserve">Implemented rainwater harvesting </t>
  </si>
  <si>
    <t xml:space="preserve">Built water ridges or trenches </t>
  </si>
  <si>
    <t xml:space="preserve">Planted drought-resistant crop varieties </t>
  </si>
  <si>
    <t>Adjusted planting and harvest dates</t>
  </si>
  <si>
    <t>cope_losses</t>
  </si>
  <si>
    <t xml:space="preserve">Access to finance, saving or insurance </t>
  </si>
  <si>
    <t>Agricultural inputs (modified or climate-resilient crops/seedlings)</t>
  </si>
  <si>
    <t>Training on farming practices (Mulching/cover crops, shade trees, crop rotation/diversification, better soil health, integrated pest management, wind break trees, rainwater harvesting, trenching)</t>
  </si>
  <si>
    <t>Weather information services (e.g. early warning systems, weather forecasting)</t>
  </si>
  <si>
    <t xml:space="preserve">warning_system </t>
  </si>
  <si>
    <t xml:space="preserve">Yes, I have access to an early warning system and reliable weather information </t>
  </si>
  <si>
    <t xml:space="preserve">Yes, I have access to some information, but it could be more reliable or timely </t>
  </si>
  <si>
    <t xml:space="preserve">I am aware of early warning systems but do not have access to them </t>
  </si>
  <si>
    <t xml:space="preserve">No, I do not have access to good weather information or early warnings </t>
  </si>
  <si>
    <t>water_access</t>
  </si>
  <si>
    <t>Very good (regular irrigation with pumps or drip systems)</t>
  </si>
  <si>
    <t>Good (irrigation from a river or source without water-saving systems)</t>
  </si>
  <si>
    <t>Fair (irregular access to water sources)</t>
  </si>
  <si>
    <t>Bad (reliance solely on rainwater for irrigation)</t>
  </si>
  <si>
    <t>change</t>
  </si>
  <si>
    <t>Decreased a lot</t>
  </si>
  <si>
    <t>Decreased a little</t>
  </si>
  <si>
    <t>Didn't change</t>
  </si>
  <si>
    <t>Increased a little</t>
  </si>
  <si>
    <t>Increased a lot</t>
  </si>
  <si>
    <t>deal_change</t>
  </si>
  <si>
    <t>Better practices</t>
  </si>
  <si>
    <t>Irrigation</t>
  </si>
  <si>
    <t>Knowledge and information</t>
  </si>
  <si>
    <t>Access to finance</t>
  </si>
  <si>
    <t>Government support</t>
  </si>
  <si>
    <t>food_availability</t>
  </si>
  <si>
    <t>Almost everything</t>
  </si>
  <si>
    <t>No, a lot of the foods we would like to consume are not available</t>
  </si>
  <si>
    <t>domestic_activities</t>
  </si>
  <si>
    <t>Household activities, such as cooking, cleaning, fetching water, washing clothes, or buying food</t>
  </si>
  <si>
    <t>Care for an ill household member</t>
  </si>
  <si>
    <t>Care for school going children</t>
  </si>
  <si>
    <t>Buying clothes</t>
  </si>
  <si>
    <t>input</t>
  </si>
  <si>
    <t>Input into very few of the decisions</t>
  </si>
  <si>
    <t>Input into some of the decisions</t>
  </si>
  <si>
    <t>Input into most of the decisions</t>
  </si>
  <si>
    <t>Input into all of the decisions</t>
  </si>
  <si>
    <t>decision_maker</t>
  </si>
  <si>
    <t>Self</t>
  </si>
  <si>
    <t>Partner</t>
  </si>
  <si>
    <t>Jointly made</t>
  </si>
  <si>
    <t>Other household member</t>
  </si>
  <si>
    <t>Other non-household member</t>
  </si>
  <si>
    <t>farm_activities</t>
  </si>
  <si>
    <t>Land preparation (ploughing, harrowing)</t>
  </si>
  <si>
    <t>Nursery/maintenance</t>
  </si>
  <si>
    <t>Crop maintenance (weeding and pruning)</t>
  </si>
  <si>
    <t>Fertilizer application</t>
  </si>
  <si>
    <t>Crop protection ( agrochemical application and treatment)</t>
  </si>
  <si>
    <t>Harvesting (cutting, stacking, threshing)</t>
  </si>
  <si>
    <t>Post-harvesting (cleaning, hauling)</t>
  </si>
  <si>
    <t>Livestock</t>
  </si>
  <si>
    <t>financial_activities</t>
  </si>
  <si>
    <t>Managing household savings (e.g., keeping money aside, using savings groups)</t>
  </si>
  <si>
    <t>Taking or repaying a loan (formal or informal)</t>
  </si>
  <si>
    <t>Enrolling in a government scheme (financial or in-kind benefits)</t>
  </si>
  <si>
    <t>Paying for a child’s education (e.g., school fees, books, uniforms)</t>
  </si>
  <si>
    <t>Purchasing household assets (e.g., TV, refrigerator, mobile phone, bike, car)</t>
  </si>
  <si>
    <t>Purchasing agricultural assets (e.g., solar pumps, biodigesters, irrigation systems, tractors)</t>
  </si>
  <si>
    <t>phone</t>
  </si>
  <si>
    <t>Call and tekst</t>
  </si>
  <si>
    <t>Access internet via wifi</t>
  </si>
  <si>
    <t>Access internet via a sim card (3G/4G)</t>
  </si>
  <si>
    <t xml:space="preserve">gender </t>
  </si>
  <si>
    <t>Male</t>
  </si>
  <si>
    <t>Female</t>
  </si>
  <si>
    <t>another_survey</t>
  </si>
  <si>
    <t>Yes, both &lt;SDM company&gt; and IDH</t>
  </si>
  <si>
    <t>Yes, &lt;SDM company&gt;</t>
  </si>
  <si>
    <t>Yes, IDH</t>
  </si>
  <si>
    <t xml:space="preserve">org_fert </t>
  </si>
  <si>
    <t xml:space="preserve">Fully organic </t>
  </si>
  <si>
    <t xml:space="preserve">A lot </t>
  </si>
  <si>
    <t xml:space="preserve">A little </t>
  </si>
  <si>
    <t>natural_pests</t>
  </si>
  <si>
    <t xml:space="preserve">Introducing natural predators </t>
  </si>
  <si>
    <t xml:space="preserve">Lures, traps or repellants </t>
  </si>
  <si>
    <t xml:space="preserve">Natural habitats for beneficial animals and insects </t>
  </si>
  <si>
    <t xml:space="preserve">Spraying with homemade organic liquids </t>
  </si>
  <si>
    <t>reduce_tillage</t>
  </si>
  <si>
    <t>No-till farming</t>
  </si>
  <si>
    <t xml:space="preserve">Reduced or minimum tillage </t>
  </si>
  <si>
    <t xml:space="preserve">Use of cover crops to reduce the need for tillage </t>
  </si>
  <si>
    <t xml:space="preserve">Direct seeding or drilling </t>
  </si>
  <si>
    <t xml:space="preserve">Permanent beds or raised beds </t>
  </si>
  <si>
    <t xml:space="preserve">Using mulching to suppress weeds instead of tilling </t>
  </si>
  <si>
    <t xml:space="preserve">Use of conservation tillage tools (e.g., chisel plows, strip tillage) </t>
  </si>
  <si>
    <t xml:space="preserve">Agroforestry or perennial cropping systems </t>
  </si>
  <si>
    <t>soil_erosion</t>
  </si>
  <si>
    <t xml:space="preserve">Plastic mulching </t>
  </si>
  <si>
    <t xml:space="preserve">Organic mulching (leaves, crop stubble, etc.) </t>
  </si>
  <si>
    <t xml:space="preserve">Contour farming or terracing </t>
  </si>
  <si>
    <t xml:space="preserve">Cover cropping </t>
  </si>
  <si>
    <t xml:space="preserve">Plant trees or hedgerows (e.g., agroforestry, windbreaks) </t>
  </si>
  <si>
    <t xml:space="preserve">Use erosion control structures (e.g., bunds, trenches, retention ditches) </t>
  </si>
  <si>
    <t xml:space="preserve">Practice reduced tillage or no-till farming </t>
  </si>
  <si>
    <t xml:space="preserve">Improve drainage systems (e.g., controlled waterways, grassed channels) </t>
  </si>
  <si>
    <t xml:space="preserve">Diversify cropping (e.g., crop rotation or intercropping) </t>
  </si>
  <si>
    <t xml:space="preserve">Nothing </t>
  </si>
  <si>
    <t>save_water</t>
  </si>
  <si>
    <t xml:space="preserve">Drip irrigation </t>
  </si>
  <si>
    <t>Rainwater harvesting</t>
  </si>
  <si>
    <t>Ridges/trenches</t>
  </si>
  <si>
    <t>org_act</t>
  </si>
  <si>
    <t>I attend meetings</t>
  </si>
  <si>
    <t>I attend Trainings</t>
  </si>
  <si>
    <t>Selling</t>
  </si>
  <si>
    <t>Input buying</t>
  </si>
  <si>
    <t>org_fin</t>
  </si>
  <si>
    <t xml:space="preserve">Selling </t>
  </si>
  <si>
    <t>Buying inputs</t>
  </si>
  <si>
    <t xml:space="preserve">Receiving loans/credit </t>
  </si>
  <si>
    <t xml:space="preserve">Paying a membership fee </t>
  </si>
  <si>
    <t>Paying a training fee</t>
  </si>
  <si>
    <t>org_prod_share</t>
  </si>
  <si>
    <t>50% (half of the work)</t>
  </si>
  <si>
    <t>100% (all the work)</t>
  </si>
  <si>
    <t>org_why_sale</t>
  </si>
  <si>
    <t>A good price</t>
  </si>
  <si>
    <t>Convenience</t>
  </si>
  <si>
    <t>I get Support and guidance in return</t>
  </si>
  <si>
    <t>Because of trust and relationship</t>
  </si>
  <si>
    <t>There are no or a limited number of alternative buyers</t>
  </si>
  <si>
    <t>org_inputs</t>
  </si>
  <si>
    <t>Seeds and/or seedlings</t>
  </si>
  <si>
    <t>Compost (organic fertilizer)</t>
  </si>
  <si>
    <t xml:space="preserve">Fertilizer </t>
  </si>
  <si>
    <t>Beneficial insects</t>
  </si>
  <si>
    <t>Pest traps</t>
  </si>
  <si>
    <t>Irrigation (water, irrigation tubes, drip irrigation systems, storage tanks)</t>
  </si>
  <si>
    <t>org_why_buy</t>
  </si>
  <si>
    <t>Good quality</t>
  </si>
  <si>
    <t>There are no or a limited number of alternative suppliers</t>
  </si>
  <si>
    <t xml:space="preserve">org_loan </t>
  </si>
  <si>
    <t>Input loan</t>
  </si>
  <si>
    <t>Advance payment</t>
  </si>
  <si>
    <t>Emergency loan</t>
  </si>
  <si>
    <t>org_form_loan</t>
  </si>
  <si>
    <t xml:space="preserve">In-cash </t>
  </si>
  <si>
    <t xml:space="preserve">In kind (goods and/or services) </t>
  </si>
  <si>
    <t>org_fee_period</t>
  </si>
  <si>
    <t xml:space="preserve">A month </t>
  </si>
  <si>
    <t xml:space="preserve">3 months </t>
  </si>
  <si>
    <t xml:space="preserve">Half a year </t>
  </si>
  <si>
    <t xml:space="preserve">A year </t>
  </si>
  <si>
    <t xml:space="preserve"> Seasonal </t>
  </si>
  <si>
    <t xml:space="preserve">Other, please specify </t>
  </si>
  <si>
    <t xml:space="preserve">Not applicable </t>
  </si>
  <si>
    <t>goals</t>
  </si>
  <si>
    <t xml:space="preserve">I would like to increase the amount of land I farm or the amount of livestock I raise </t>
  </si>
  <si>
    <t xml:space="preserve">I would like to reduce my involvement in agriculture and focus on another business (specify) </t>
  </si>
  <si>
    <t>I would like to move to a bigger city or town</t>
  </si>
  <si>
    <t>I do not expect any change to the way I make a living</t>
  </si>
  <si>
    <t>increase_decrease</t>
  </si>
  <si>
    <t>Increase</t>
  </si>
  <si>
    <t>Keep same</t>
  </si>
  <si>
    <t xml:space="preserve">Decrease </t>
  </si>
  <si>
    <t>decrease_why</t>
  </si>
  <si>
    <t>It would not be profitable anymore</t>
  </si>
  <si>
    <t>No land available in my community</t>
  </si>
  <si>
    <t>No money available to expand my farming</t>
  </si>
  <si>
    <t>I do not believe I would find a buyer if I produced more</t>
  </si>
  <si>
    <t>I would like to work on my other business instead (please specify type of business)</t>
  </si>
  <si>
    <t>partially_yn</t>
  </si>
  <si>
    <t>Partially</t>
  </si>
  <si>
    <t>sometimes_yn</t>
  </si>
  <si>
    <t>Sometimes</t>
  </si>
  <si>
    <t>sdm_money</t>
  </si>
  <si>
    <t>Training</t>
  </si>
  <si>
    <t>Input Sales</t>
  </si>
  <si>
    <t>Aggregation</t>
  </si>
  <si>
    <t>Transport</t>
  </si>
  <si>
    <t>Processing</t>
  </si>
  <si>
    <t>storage</t>
  </si>
  <si>
    <t>Yes, sufficient</t>
  </si>
  <si>
    <t>No, insufficient (not big enough, too damp, etc.)</t>
  </si>
  <si>
    <t>I don't own storage</t>
  </si>
  <si>
    <t xml:space="preserve">agent_support </t>
  </si>
  <si>
    <t>As much as I need</t>
  </si>
  <si>
    <t>Occasional support</t>
  </si>
  <si>
    <t>No support</t>
  </si>
  <si>
    <t xml:space="preserve">satisfied </t>
  </si>
  <si>
    <t>Very satisfied</t>
  </si>
  <si>
    <t>Satisfied</t>
  </si>
  <si>
    <t>Neutral</t>
  </si>
  <si>
    <t>Dissatisfied</t>
  </si>
  <si>
    <t>Very dissatisfied</t>
  </si>
  <si>
    <t>how_often</t>
  </si>
  <si>
    <t>Always</t>
  </si>
  <si>
    <t>Most of the time</t>
  </si>
  <si>
    <t>Rarely</t>
  </si>
  <si>
    <t>Never</t>
  </si>
  <si>
    <t>determination</t>
  </si>
  <si>
    <t>Farm records</t>
  </si>
  <si>
    <t>Estimation</t>
  </si>
  <si>
    <t>Counted manually recently</t>
  </si>
  <si>
    <t>own_consumption_yn</t>
  </si>
  <si>
    <t xml:space="preserve">Yes, we did consume part of the ", 'Survey Builder'!D15," produced but I don't know how much we consumed </t>
  </si>
  <si>
    <t xml:space="preserve">Yes, we did consume part of the ", 'Survey Builder'!D15," produced and I know how much we consumed </t>
  </si>
  <si>
    <t>No, we did not consume part of the ", 'Survey Builder'!D15," produced.</t>
  </si>
  <si>
    <t>livestock_type</t>
  </si>
  <si>
    <t>Chickens</t>
  </si>
  <si>
    <t>Cattle</t>
  </si>
  <si>
    <t>Donkeys</t>
  </si>
  <si>
    <t>Ducks</t>
  </si>
  <si>
    <t>Sheep</t>
  </si>
  <si>
    <t>Goats</t>
  </si>
  <si>
    <t xml:space="preserve">Pigs </t>
  </si>
  <si>
    <t xml:space="preserve">[ADD OPTIONS FROM INTAKE FORM IF NECESSARY] </t>
  </si>
  <si>
    <t>I don't have additional income from livestock or poultry</t>
  </si>
  <si>
    <t>pay_land</t>
  </si>
  <si>
    <t>Yes, I purchased land</t>
  </si>
  <si>
    <t>Yes, I rented land</t>
  </si>
  <si>
    <t>Yes I purchased AND rented land</t>
  </si>
  <si>
    <t>No, I did not purchase or rented land</t>
  </si>
  <si>
    <t>travel</t>
  </si>
  <si>
    <t xml:space="preserve">Not at all - the production is picked up by the company / agent who buys it </t>
  </si>
  <si>
    <t>In the village or close by (sold at local market)</t>
  </si>
  <si>
    <t>I have to travel substantially (go to town)</t>
  </si>
  <si>
    <t>I do not sell agricultural products</t>
  </si>
  <si>
    <t>sale_where</t>
  </si>
  <si>
    <t xml:space="preserve">Local market </t>
  </si>
  <si>
    <t xml:space="preserve">Village itself </t>
  </si>
  <si>
    <t xml:space="preserve">Regional Market </t>
  </si>
  <si>
    <t xml:space="preserve">Neighbor </t>
  </si>
  <si>
    <t>Others</t>
  </si>
  <si>
    <t xml:space="preserve">I prefer not to say </t>
  </si>
  <si>
    <t>prod_level</t>
  </si>
  <si>
    <t xml:space="preserve">Production level was lower than usual </t>
  </si>
  <si>
    <t xml:space="preserve">Production level was standard </t>
  </si>
  <si>
    <t xml:space="preserve">Production level was higher than usual </t>
  </si>
  <si>
    <t>prod_level_detailed</t>
  </si>
  <si>
    <t>Production was much worse compared to the past 3 years</t>
  </si>
  <si>
    <t>Production was little worse compared to the past 3 years</t>
  </si>
  <si>
    <t>Production was similar compared to the past 3 years</t>
  </si>
  <si>
    <t>Production was better compared to the past 3 years</t>
  </si>
  <si>
    <t>Production was much better compared to the past 3 years</t>
  </si>
  <si>
    <t>no_savings</t>
  </si>
  <si>
    <t>Not enough money to save after expenses</t>
  </si>
  <si>
    <t>No access to saving mechanism</t>
  </si>
  <si>
    <t>extra_money</t>
  </si>
  <si>
    <t>Pay school fees</t>
  </si>
  <si>
    <t>Pay other expenses such as health care</t>
  </si>
  <si>
    <t>regular_yn</t>
  </si>
  <si>
    <t>often</t>
  </si>
  <si>
    <t>Daily</t>
  </si>
  <si>
    <t>Weekly</t>
  </si>
  <si>
    <t>Monthly</t>
  </si>
  <si>
    <t>Seasonally</t>
  </si>
  <si>
    <t>Randomly</t>
  </si>
  <si>
    <t xml:space="preserve"> I don't know</t>
  </si>
  <si>
    <t>labour_challenges</t>
  </si>
  <si>
    <t>Many workers come and go quickly</t>
  </si>
  <si>
    <t xml:space="preserve"> It's hard to find workers with the right skills</t>
  </si>
  <si>
    <t>Labour is expensive</t>
  </si>
  <si>
    <t>Workers are not always available</t>
  </si>
  <si>
    <t>which_month</t>
  </si>
  <si>
    <t>All months</t>
  </si>
  <si>
    <t>hl_compensation</t>
  </si>
  <si>
    <t>Cash</t>
  </si>
  <si>
    <t>In-kind (providing food, accommodation, or other goods)</t>
  </si>
  <si>
    <t>Combination of cash and in-kind</t>
  </si>
  <si>
    <t>Non-monetary exchange</t>
  </si>
  <si>
    <t xml:space="preserve">employment_duration </t>
  </si>
  <si>
    <t>Casual or temporary (less than 3 months)</t>
  </si>
  <si>
    <t>Seasonal (3 - 6 months)</t>
  </si>
  <si>
    <t>Year-round (more than 6 months)</t>
  </si>
  <si>
    <t>Variable, depending on tasks</t>
  </si>
  <si>
    <t xml:space="preserve">activities </t>
  </si>
  <si>
    <t xml:space="preserve">Nursery/Maintenance </t>
  </si>
  <si>
    <t xml:space="preserve">Crop maintenance </t>
  </si>
  <si>
    <t xml:space="preserve">Irrigation/Watering </t>
  </si>
  <si>
    <t xml:space="preserve">Compost preparation </t>
  </si>
  <si>
    <t xml:space="preserve">Agrochemical application </t>
  </si>
  <si>
    <t xml:space="preserve">Harvesting </t>
  </si>
  <si>
    <t>Post-harvest processing</t>
  </si>
  <si>
    <t xml:space="preserve"> None of the above </t>
  </si>
  <si>
    <t>aware</t>
  </si>
  <si>
    <t xml:space="preserve">Yes, regularly </t>
  </si>
  <si>
    <t xml:space="preserve">Yes, occasionally </t>
  </si>
  <si>
    <t xml:space="preserve">No, but I am aware they exist </t>
  </si>
  <si>
    <t xml:space="preserve">No, I am not aware of any </t>
  </si>
  <si>
    <t xml:space="preserve">training </t>
  </si>
  <si>
    <t xml:space="preserve">Always </t>
  </si>
  <si>
    <t xml:space="preserve">Most of the time </t>
  </si>
  <si>
    <t xml:space="preserve">Sometimes </t>
  </si>
  <si>
    <t xml:space="preserve">Rarely </t>
  </si>
  <si>
    <t xml:space="preserve">Never </t>
  </si>
  <si>
    <t>I have never been invited to a training or visit</t>
  </si>
  <si>
    <t>agent_same_gender</t>
  </si>
  <si>
    <t xml:space="preserve">Yes, frequently </t>
  </si>
  <si>
    <t xml:space="preserve">I don’t know if there are field agents of my gender </t>
  </si>
  <si>
    <t>There are no field agents of my gender in my area</t>
  </si>
  <si>
    <t xml:space="preserve">coffee_processing </t>
  </si>
  <si>
    <t xml:space="preserve">Dry method </t>
  </si>
  <si>
    <t>Wet method</t>
  </si>
  <si>
    <t xml:space="preserve">Honey method </t>
  </si>
  <si>
    <t>Other specify</t>
  </si>
  <si>
    <t>coffee_harvest</t>
  </si>
  <si>
    <t>coffee_variety</t>
  </si>
  <si>
    <t>Robusta</t>
  </si>
  <si>
    <t>Arabica</t>
  </si>
  <si>
    <t>Hybrid and/or Improved Variety</t>
  </si>
  <si>
    <t>Liberica</t>
  </si>
  <si>
    <t>[ADD ALTERNATIVE OPTION FROM INTAKE FORM SECTION 2.4]</t>
  </si>
  <si>
    <t>coffee_state</t>
  </si>
  <si>
    <t>Wet Cherries</t>
  </si>
  <si>
    <t>Naturally Dried Cherries</t>
  </si>
  <si>
    <t>Wet Pulped Coffee</t>
  </si>
  <si>
    <t>Wet Pulped and washed Coffee</t>
  </si>
  <si>
    <t>Dried Parchment Coffee</t>
  </si>
  <si>
    <t>Polished Green Beans</t>
  </si>
  <si>
    <t>Farmer did not sell anything</t>
  </si>
  <si>
    <t>c_buyer</t>
  </si>
  <si>
    <t>Exporter</t>
  </si>
  <si>
    <t xml:space="preserve">Middlemenn </t>
  </si>
  <si>
    <t xml:space="preserve">Directly at the market </t>
  </si>
  <si>
    <t>Coperative</t>
  </si>
  <si>
    <t xml:space="preserve">Government agencies </t>
  </si>
  <si>
    <t>hl_time</t>
  </si>
  <si>
    <t xml:space="preserve"> Weekly</t>
  </si>
  <si>
    <t>cocoa_type</t>
  </si>
  <si>
    <t>Criollo</t>
  </si>
  <si>
    <t>Rinitario</t>
  </si>
  <si>
    <t>Forestero</t>
  </si>
  <si>
    <t>coffee_type</t>
  </si>
  <si>
    <t xml:space="preserve"> coffee_age</t>
  </si>
  <si>
    <t>1-5 years</t>
  </si>
  <si>
    <t>6-10 years</t>
  </si>
  <si>
    <t>11-15 years</t>
  </si>
  <si>
    <t>More than 15 years</t>
  </si>
  <si>
    <t>production_method</t>
  </si>
  <si>
    <t>Organic</t>
  </si>
  <si>
    <t>Conventional</t>
  </si>
  <si>
    <t>Both</t>
  </si>
  <si>
    <t>production_system</t>
  </si>
  <si>
    <t>Agroforestry (Shaded)</t>
  </si>
  <si>
    <t>Sun grown (Unshaded)</t>
  </si>
  <si>
    <t>cocoa_process_sold</t>
  </si>
  <si>
    <t>Wet cocoa</t>
  </si>
  <si>
    <t>Fermented cocoa</t>
  </si>
  <si>
    <t>Dried cocoa</t>
  </si>
  <si>
    <t>Cocoa paste</t>
  </si>
  <si>
    <t>Cocoa butter</t>
  </si>
  <si>
    <t>access</t>
  </si>
  <si>
    <t xml:space="preserve">I had access all the time </t>
  </si>
  <si>
    <t xml:space="preserve">I had access most of the time </t>
  </si>
  <si>
    <t>I had access some of the time</t>
  </si>
  <si>
    <t xml:space="preserve">I had access only when shared with others </t>
  </si>
  <si>
    <t>I didn’t need mechanisation</t>
  </si>
  <si>
    <t>years</t>
  </si>
  <si>
    <t>5 years</t>
  </si>
  <si>
    <t>person_present</t>
  </si>
  <si>
    <t>Yes, the same person as was already interviewed</t>
  </si>
  <si>
    <t>No, too far away to involve in the survey</t>
  </si>
  <si>
    <t>We aren't allowed to speak to him or her</t>
  </si>
  <si>
    <t xml:space="preserve">education </t>
  </si>
  <si>
    <t>They did not attend school</t>
  </si>
  <si>
    <t>Primary school</t>
  </si>
  <si>
    <t>Secondary school</t>
  </si>
  <si>
    <t>College|University (Degree)</t>
  </si>
  <si>
    <t>Masters</t>
  </si>
  <si>
    <t>PhD</t>
  </si>
  <si>
    <t xml:space="preserve">amount </t>
  </si>
  <si>
    <t>None of it</t>
  </si>
  <si>
    <t>A little of it</t>
  </si>
  <si>
    <t>Some of it</t>
  </si>
  <si>
    <t>A lot of it</t>
  </si>
  <si>
    <t>All of it</t>
  </si>
  <si>
    <t>No, he/she is an alternative for a (sample) farmer that was unavailable</t>
  </si>
  <si>
    <t>equip_ownership</t>
  </si>
  <si>
    <t>I own the equipment</t>
  </si>
  <si>
    <t>I own part of the equipment and rent the rest</t>
  </si>
  <si>
    <t>I rent the equipment</t>
  </si>
  <si>
    <t>I borrowed the equipment</t>
  </si>
  <si>
    <t>I own part of the equipment and borrow the rest</t>
  </si>
  <si>
    <t>I rent and borrow the equipment</t>
  </si>
  <si>
    <t>enterprise_type</t>
  </si>
  <si>
    <t>Small convenience shop</t>
  </si>
  <si>
    <t>Mobile money agent|Agro Dealer - selling inputs</t>
  </si>
  <si>
    <t>Other, not on this list</t>
  </si>
  <si>
    <t>always_never</t>
  </si>
  <si>
    <t>Yes, always</t>
  </si>
  <si>
    <t>Yes, most of the time</t>
  </si>
  <si>
    <t>No, hardly ever</t>
  </si>
  <si>
    <t>No, never</t>
  </si>
  <si>
    <t xml:space="preserve">tree_determination </t>
  </si>
  <si>
    <t>pruning_rate</t>
  </si>
  <si>
    <t>Every season</t>
  </si>
  <si>
    <t>After 2 years</t>
  </si>
  <si>
    <t>Between 3-5 years</t>
  </si>
  <si>
    <t>When the productivity goes down</t>
  </si>
  <si>
    <t>Yes, we did consume part of the milk produced but I don't know how much we consumed</t>
  </si>
  <si>
    <t>Yes, we did consume part of the milk produced and I know how much we consumed</t>
  </si>
  <si>
    <t xml:space="preserve">No, we did not consume part of the milk produced. / Hoya ntago turya kumusaruro wacu . </t>
  </si>
  <si>
    <t>change_reason</t>
  </si>
  <si>
    <t>Lower input prices</t>
  </si>
  <si>
    <t>Lower labor costs</t>
  </si>
  <si>
    <t>Better efficiency in input use</t>
  </si>
  <si>
    <t>No change</t>
  </si>
  <si>
    <t>Higher input prices</t>
  </si>
  <si>
    <t>Higher labor costs</t>
  </si>
  <si>
    <t>Worse efficiency in input use</t>
  </si>
  <si>
    <t>Higher cost of services (e.g., mechanization, transport, etc.)</t>
  </si>
  <si>
    <t>Lower cost of services (e.g., mechanization, transport, etc.)</t>
  </si>
  <si>
    <t>tree_determination</t>
  </si>
  <si>
    <t>admin1</t>
  </si>
  <si>
    <t>Not in this list</t>
  </si>
  <si>
    <t>[TO FILL IN]</t>
  </si>
  <si>
    <t>test</t>
  </si>
  <si>
    <t>admin2</t>
  </si>
  <si>
    <t>admin3</t>
  </si>
  <si>
    <t>admin4</t>
  </si>
  <si>
    <t>companies</t>
  </si>
  <si>
    <t>company A</t>
  </si>
  <si>
    <t>company B</t>
  </si>
  <si>
    <t>company C</t>
  </si>
  <si>
    <t>allow_choice_duplicates</t>
  </si>
  <si>
    <t>yes</t>
  </si>
  <si>
    <t>#</t>
  </si>
  <si>
    <t>Question Group</t>
  </si>
  <si>
    <t>Question added</t>
  </si>
  <si>
    <r>
      <rPr>
        <rFont val="Assistant"/>
        <b/>
        <color rgb="FFFFFFFF"/>
        <sz val="10.0"/>
      </rPr>
      <t xml:space="preserve">Variable name </t>
    </r>
    <r>
      <rPr>
        <rFont val="Assistant"/>
        <b/>
        <i/>
        <color rgb="FFFFFFFF"/>
        <sz val="10.0"/>
      </rPr>
      <t>( for added questions)</t>
    </r>
  </si>
  <si>
    <t>Question removed</t>
  </si>
  <si>
    <t>Variable (for removed questions)</t>
  </si>
  <si>
    <r>
      <rPr>
        <rFont val="Assistant"/>
        <b/>
        <color rgb="FFFFFFFF"/>
        <sz val="10.0"/>
      </rPr>
      <t xml:space="preserve">Answer options </t>
    </r>
    <r>
      <rPr>
        <rFont val="Assistant"/>
        <b/>
        <i/>
        <color rgb="FFFFFFFF"/>
        <sz val="10.0"/>
      </rPr>
      <t>(for added questions)</t>
    </r>
  </si>
  <si>
    <r>
      <rPr>
        <rFont val="Assistant"/>
        <b/>
        <color rgb="FFFFFFFF"/>
        <sz val="10.0"/>
      </rPr>
      <t xml:space="preserve">Answer options </t>
    </r>
    <r>
      <rPr>
        <rFont val="Assistant"/>
        <b/>
        <i/>
        <color rgb="FFFFFFFF"/>
        <sz val="10.0"/>
      </rPr>
      <t>(for removed questions)</t>
    </r>
  </si>
  <si>
    <t>Questions (with answer options changed)</t>
  </si>
  <si>
    <t xml:space="preserve">Previous-Answer options </t>
  </si>
  <si>
    <t xml:space="preserve">Updated-Answer options </t>
  </si>
  <si>
    <t>Link to previous survey</t>
  </si>
  <si>
    <t>FOCUS CROP: REVENUES FROM FOCUS CROP</t>
  </si>
  <si>
    <t>Using what measurement unit did you measure the the amount of ", 'Survey Builder'!D15," you consumed during this period?</t>
  </si>
  <si>
    <t>f_focus_own_consumption_measurement</t>
  </si>
  <si>
    <t>-</t>
  </si>
  <si>
    <t>Insert possible options identified by section 3.2 | I don't know|I prefer not to answer | Other, please specify</t>
  </si>
  <si>
    <t>https://docs.google.com/spreadsheets/d/10r0wgcRQ8rhlGTihtSDTsUFmFMP44sTXBEF80ml4XUY/edit#gid=891464723</t>
  </si>
  <si>
    <t>Using what measurement unit did you measure the the amount of ", 'Survey Builder'!D15," you lost during this period?</t>
  </si>
  <si>
    <t>Using what measurement unit did you measure the the amount of ", 'Survey Builder'!D15," you used as seeds during this period?</t>
  </si>
  <si>
    <t>Using what measurement unit did you measure the amount of the [Other main crop.1] that you produced?</t>
  </si>
  <si>
    <t>Free text</t>
  </si>
  <si>
    <t>Insert possible options identified in intake form eg 25kilograms | I don't know|I prefer not to answer | Other, please specify</t>
  </si>
  <si>
    <t>Using what measurement unit did you measure the amount of the [Other main crop.1] that you sold?</t>
  </si>
  <si>
    <t>Using what measurement unit did you measure the amount of the [Other crop.2] that you produced during the past 12 months?</t>
  </si>
  <si>
    <t>Using what measurement unit did you measure the amount of the [Other crop.2] that you sold during the past 12 months?</t>
  </si>
  <si>
    <t xml:space="preserve"> OFF-FARM LABOUR AND OTHER INCOME</t>
  </si>
  <si>
    <r>
      <rPr>
        <rFont val="Assistant"/>
        <i/>
        <color theme="1"/>
        <sz val="10.0"/>
      </rPr>
      <t>If sharing expertise/ farming practices:</t>
    </r>
    <r>
      <rPr>
        <rFont val="Assistant"/>
        <color theme="1"/>
        <sz val="10.0"/>
      </rPr>
      <t xml:space="preserve"> In the past 12 months, how much income did you have from sharing technical experiences/farming practices?</t>
    </r>
  </si>
  <si>
    <t>Number - integer</t>
  </si>
  <si>
    <t>Less than 10%, 10%, 20%, 30%, 40%, 50% (half of it), 60%, 70%, 80%, 90 %, 100% (all, it is our only source of income)</t>
  </si>
  <si>
    <t>f_labour_hired_share</t>
  </si>
  <si>
    <t>Many workers come and go quickly| It's hard to find workers with the right skills| Labour is expensive| Workers are not always available| Other, please specify</t>
  </si>
  <si>
    <t>In which months do you HIRE people to help you with producing ", 'Survey Builder'!D15,"?</t>
  </si>
  <si>
    <t>All months|January|February|March|April|May|June|July|August|September|October|November|December</t>
  </si>
  <si>
    <t xml:space="preserve">Cash| In-kind (providing food, accommodation, or other goods)| Combination of cash and in-kind| Non-monetary exchange| Other
</t>
  </si>
  <si>
    <t xml:space="preserve">Casual or temporary (less than 3 months)| Seasonal (3 - 6 months)| Year-round (more than 6 months)| Variable, depending on tasks| Other
</t>
  </si>
  <si>
    <t>Where do you typically get your farming inputs like seeds, fertilizer, and chemicals?</t>
  </si>
  <si>
    <t>f_inputs_source</t>
  </si>
  <si>
    <t>I buy them from an agro-dealer (established shop)|I get them through my co-operative or farmer group|I get them from the buyer or outgrower scheme I work with|I get them from friends or neighbours|I buy them from a middlmen/salesmen (e.g. traveling salesmen)|Someone else in the household gets the inputs for me|I don't know|I prefer not to say</t>
  </si>
  <si>
    <t>Yes|No| I don't know| I prefer notto say</t>
  </si>
  <si>
    <t>What type of challenges did you have in purchasing inputs?</t>
  </si>
  <si>
    <t xml:space="preserve">I don't have access to finance for buying inputs| I don't know what inputs to get| I don't know where to buy inputs| Inputs are too expensive| Inputs are of low quality| The inputs I want to buy are not available| I don't know| I prefer not to say
</t>
  </si>
  <si>
    <t>Do you know how much it costs you each month/season/year, or for producing the focus crop??</t>
  </si>
  <si>
    <t>f_focus_production_costs_timeframe</t>
  </si>
  <si>
    <t>Per month | Per season | Per year | Per unit of [focus crop produced]</t>
  </si>
  <si>
    <t>On average, how much do you spend on labour costs for producing ", 'Survey Builder'!D15," per month?</t>
  </si>
  <si>
    <t>f_focus_labour_costs_month</t>
  </si>
  <si>
    <t>On average, how much do you spend on labour costs ", 'Survey Builder'!D15," per season?</t>
  </si>
  <si>
    <t>On average, how much do you spend on labour costs ", 'Survey Builder'!D15," per year?</t>
  </si>
  <si>
    <t>f_focus_labour_costs_year</t>
  </si>
  <si>
    <t>f_focus_labour_employment duration</t>
  </si>
  <si>
    <t>Casual or temporary (less than 3 months) | Seasonal (3 - 6 months) | Year-round (more than 6 months) | Variable, depending on tasks | Other</t>
  </si>
  <si>
    <t>Cash | In-kind (providing food, accommodation, or other goods) | Combination of cash and in-kind | Exchange of goods and services | Other</t>
  </si>
  <si>
    <t>We will now ask you a couple of questions about the input use of the ", 'Survey Builder'!D15,". Please indicate for which season you want to report the input use and costs</t>
  </si>
  <si>
    <t xml:space="preserve">Season 1 [INSERT TIMEFRAME]| Season 2 [INSERT TIMEFRAME]| Season 3 [INSERT TIMEFRAME]
</t>
  </si>
  <si>
    <r>
      <rPr>
        <rFont val="Assistant"/>
        <i/>
        <color theme="1"/>
        <sz val="10.0"/>
      </rPr>
      <t>If buying seeds and plants:</t>
    </r>
    <r>
      <rPr>
        <rFont val="Assistant"/>
        <color theme="1"/>
        <sz val="10.0"/>
      </rPr>
      <t xml:space="preserve"> Approximately, in this season, how much do you spend on seeds, seedlings and/or plants?</t>
    </r>
  </si>
  <si>
    <t>Number - allow decimal</t>
  </si>
  <si>
    <r>
      <rPr>
        <rFont val="Assistant"/>
        <i/>
        <color theme="1"/>
        <sz val="10.0"/>
      </rPr>
      <t>If fertilizer</t>
    </r>
    <r>
      <rPr>
        <rFont val="Assistant"/>
        <color theme="1"/>
        <sz val="10.0"/>
      </rPr>
      <t>: Approximately, how much do you spend on fertilizer in this season?</t>
    </r>
  </si>
  <si>
    <r>
      <rPr>
        <rFont val="Assistant"/>
        <i/>
        <color theme="1"/>
        <sz val="10.0"/>
      </rPr>
      <t>If chemicals:</t>
    </r>
    <r>
      <rPr>
        <rFont val="Assistant"/>
        <color theme="1"/>
        <sz val="10.0"/>
      </rPr>
      <t xml:space="preserve"> Approximately, how much do you spend on seeds and/or seedlings in this season?</t>
    </r>
  </si>
  <si>
    <t>Farmer organization, SDM relationship</t>
  </si>
  <si>
    <t>In case of other, which other sustainability standard certificate is held by the cooperative/farmer organisation?</t>
  </si>
  <si>
    <t>f_coop_sustainability_standard_other</t>
  </si>
  <si>
    <t>What is the fee you have to pay to be a member of the cooperative/farmer organisation?</t>
  </si>
  <si>
    <t>Endline questions [ENDLINE CASES ONLY, UPDATE THE REFERENCE PERIOD IF OTHER THAN 3 YEARS]</t>
  </si>
  <si>
    <t>Not at all|A little|Some|A lot|Entirely</t>
  </si>
  <si>
    <t xml:space="preserve">None of it| A little of it| Some of it| A lot of it| All of it
</t>
  </si>
  <si>
    <t>FEMALE DECISION MAKING HOUSEHOLD</t>
  </si>
  <si>
    <t>Decreased a lot|Decreased a little|Didn't change|Increased a little|Increased a lot</t>
  </si>
  <si>
    <t>HOUSEHOLD DEMOGRAPHICS: PART A</t>
  </si>
  <si>
    <t>Male|Female|I don't know|I prefer not to say</t>
  </si>
  <si>
    <t>Male|Female</t>
  </si>
  <si>
    <t>WILL POTENTIALLY BE DELETED</t>
  </si>
  <si>
    <t>On average, how many hours a day do this household member spend on doing unpaid household activities? This includes things like routine housework; shopping; care for household members; child care; adult care; care for non-household members; volunteering; travel related to household activities; other unpaid activities.</t>
  </si>
  <si>
    <t>On average, how many hours a day does this household member spend on ", 'Survey Builder'!D15," production activities?</t>
  </si>
  <si>
    <t>On average, how many hours a day does this household member spend on other farm activities? This does NOT include work related to producing the focus crop. It does include work for producing other crops or keeping livestock.</t>
  </si>
  <si>
    <t>On average, how many hours a day does this household member spend on off-farm labour activities? This can be wage labour on other farms, for another employer, running a household business etc.</t>
  </si>
  <si>
    <t>NORAD Module</t>
  </si>
  <si>
    <t>Can delete</t>
  </si>
  <si>
    <t>don't use</t>
  </si>
  <si>
    <t xml:space="preserve">don't trust </t>
  </si>
  <si>
    <t>requires further deliberation</t>
  </si>
  <si>
    <t>Core question library</t>
  </si>
  <si>
    <t>FO Module question library</t>
  </si>
  <si>
    <t>Permanently delete</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</si>
</sst>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b/>
      <sz val="40.0"/>
      <color rgb="FF000000"/>
      <name val="Assistant"/>
    </font>
    <font>
      <b/>
      <sz val="40.0"/>
      <color rgb="FFFFFFFF"/>
      <name val="Assistant"/>
    </font>
    <font>
      <sz val="14.0"/>
      <color rgb="FF000000"/>
      <name val="Assistant"/>
    </font>
    <font/>
    <font>
      <sz val="14.0"/>
      <color rgb="FFFFFFFF"/>
      <name val="Assistant"/>
    </font>
    <font>
      <b/>
      <sz val="16.0"/>
      <color rgb="FF000000"/>
      <name val="Assistant"/>
    </font>
    <font>
      <b/>
      <sz val="18.0"/>
      <color rgb="FF000000"/>
      <name val="Assistant"/>
    </font>
    <font>
      <b/>
      <sz val="14.0"/>
      <color rgb="FF000000"/>
      <name val="Assistant"/>
    </font>
    <font>
      <i/>
      <sz val="14.0"/>
      <color rgb="FF000000"/>
      <name val="Assistant"/>
    </font>
    <font>
      <i/>
      <sz val="13.0"/>
      <color rgb="FF000000"/>
      <name val="Assistant"/>
    </font>
    <font>
      <b/>
      <i/>
      <u/>
      <sz val="14.0"/>
      <color rgb="FF000000"/>
      <name val="Assistant"/>
    </font>
    <font>
      <sz val="13.0"/>
      <color theme="1"/>
      <name val="Assistant"/>
    </font>
    <font>
      <sz val="14.0"/>
      <color theme="1"/>
      <name val="Assistant"/>
    </font>
    <font>
      <color theme="1"/>
      <name val="Assistant"/>
    </font>
    <font>
      <sz val="12.0"/>
      <color rgb="FF000000"/>
      <name val="Assistant"/>
    </font>
    <font>
      <sz val="11.0"/>
      <color rgb="FF000000"/>
      <name val="Assistant"/>
    </font>
    <font>
      <i/>
      <sz val="12.0"/>
      <color rgb="FF000000"/>
      <name val="Assistant"/>
    </font>
    <font>
      <i/>
      <sz val="10.0"/>
      <color rgb="FF000000"/>
      <name val="Assistant"/>
    </font>
    <font>
      <b/>
      <sz val="12.0"/>
      <color rgb="FF000000"/>
      <name val="Assistant"/>
    </font>
    <font>
      <i/>
      <sz val="9.0"/>
      <color rgb="FF000000"/>
      <name val="Assistant"/>
    </font>
    <font>
      <color theme="1"/>
      <name val="Calibri"/>
      <scheme val="minor"/>
    </font>
    <font>
      <color theme="1"/>
      <name val="Calibri"/>
    </font>
    <font>
      <sz val="12.0"/>
      <color theme="1"/>
      <name val="Avenir"/>
    </font>
    <font>
      <sz val="12.0"/>
      <color rgb="FF000000"/>
      <name val="Avenir"/>
    </font>
    <font>
      <sz val="12.0"/>
      <color rgb="FFFFFFFF"/>
      <name val="Avenir"/>
    </font>
    <font>
      <sz val="12.0"/>
      <color theme="0"/>
      <name val="Avenir"/>
    </font>
    <font>
      <sz val="12.0"/>
      <color theme="1"/>
      <name val="Calibri"/>
    </font>
    <font>
      <sz val="12.0"/>
      <color rgb="FF434343"/>
      <name val="Avenir"/>
    </font>
    <font>
      <sz val="12.0"/>
      <color rgb="FF1F1F1F"/>
      <name val="Avenir"/>
    </font>
    <font>
      <sz val="12.0"/>
      <color theme="4"/>
      <name val="Avenir"/>
    </font>
    <font>
      <b/>
      <sz val="12.0"/>
      <color rgb="FF000000"/>
      <name val="Avenir"/>
    </font>
    <font>
      <sz val="12.0"/>
      <color theme="1"/>
      <name val="Assistant"/>
    </font>
    <font>
      <color rgb="FF000000"/>
      <name val="Assistant"/>
    </font>
    <font>
      <color theme="1"/>
      <name val="Arial"/>
    </font>
    <font>
      <b/>
      <sz val="10.0"/>
      <color rgb="FFFFFFFF"/>
      <name val="Assistant"/>
    </font>
    <font>
      <b/>
      <sz val="10.0"/>
      <color theme="1"/>
      <name val="Assistant"/>
    </font>
    <font>
      <sz val="10.0"/>
      <color theme="1"/>
      <name val="Assistant"/>
    </font>
    <font>
      <sz val="10.0"/>
      <color theme="1"/>
      <name val="Calibri"/>
    </font>
    <font>
      <sz val="10.0"/>
      <color rgb="FF1155CC"/>
      <name val="Assistant"/>
    </font>
    <font>
      <sz val="10.0"/>
      <color rgb="FF000000"/>
      <name val="Calibri"/>
    </font>
    <font>
      <u/>
      <sz val="10.0"/>
      <color rgb="FF1155CC"/>
      <name val="Assistant"/>
    </font>
    <font>
      <u/>
      <sz val="10.0"/>
      <color rgb="FF0000FF"/>
      <name val="Assistant"/>
    </font>
    <font>
      <sz val="10.0"/>
      <color rgb="FF000000"/>
      <name val="Assistant"/>
    </font>
    <font>
      <b/>
      <i/>
      <sz val="10.0"/>
      <color theme="1"/>
      <name val="Assistant"/>
    </font>
    <font>
      <sz val="9.0"/>
      <color rgb="FF1F1F1F"/>
      <name val="Arial"/>
    </font>
    <font>
      <sz val="10.0"/>
      <color rgb="FF1F1F1F"/>
      <name val="Assistant"/>
    </font>
  </fonts>
  <fills count="25">
    <fill>
      <patternFill patternType="none"/>
    </fill>
    <fill>
      <patternFill patternType="lightGray"/>
    </fill>
    <fill>
      <patternFill patternType="solid">
        <fgColor rgb="FF035653"/>
        <bgColor rgb="FF035653"/>
      </patternFill>
    </fill>
    <fill>
      <patternFill patternType="solid">
        <fgColor rgb="FFD8D8D8"/>
        <bgColor rgb="FFD8D8D8"/>
      </patternFill>
    </fill>
    <fill>
      <patternFill patternType="solid">
        <fgColor rgb="FFEFEFEF"/>
        <bgColor rgb="FFEFEFEF"/>
      </patternFill>
    </fill>
    <fill>
      <patternFill patternType="solid">
        <fgColor theme="0"/>
        <bgColor theme="0"/>
      </patternFill>
    </fill>
    <fill>
      <patternFill patternType="solid">
        <fgColor rgb="FFF3F3F3"/>
        <bgColor rgb="FFF3F3F3"/>
      </patternFill>
    </fill>
    <fill>
      <patternFill patternType="solid">
        <fgColor rgb="FFCCCCCC"/>
        <bgColor rgb="FFCCCCCC"/>
      </patternFill>
    </fill>
    <fill>
      <patternFill patternType="solid">
        <fgColor rgb="FFFF0000"/>
        <bgColor rgb="FFFF0000"/>
      </patternFill>
    </fill>
    <fill>
      <patternFill patternType="solid">
        <fgColor theme="4"/>
        <bgColor theme="4"/>
      </patternFill>
    </fill>
    <fill>
      <patternFill patternType="solid">
        <fgColor rgb="FFFBE4D5"/>
        <bgColor rgb="FFFBE4D5"/>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548135"/>
        <bgColor rgb="FF548135"/>
      </patternFill>
    </fill>
    <fill>
      <patternFill patternType="solid">
        <fgColor rgb="FFE2EFD9"/>
        <bgColor rgb="FFE2EFD9"/>
      </patternFill>
    </fill>
    <fill>
      <patternFill patternType="solid">
        <fgColor rgb="FF3D8380"/>
        <bgColor rgb="FF3D8380"/>
      </patternFill>
    </fill>
    <fill>
      <patternFill patternType="solid">
        <fgColor rgb="FF00FF00"/>
        <bgColor rgb="FF00FF00"/>
      </patternFill>
    </fill>
    <fill>
      <patternFill patternType="solid">
        <fgColor rgb="FFA8D08D"/>
        <bgColor rgb="FFA8D08D"/>
      </patternFill>
    </fill>
    <fill>
      <patternFill patternType="solid">
        <fgColor rgb="FF045653"/>
        <bgColor rgb="FF045653"/>
      </patternFill>
    </fill>
    <fill>
      <patternFill patternType="solid">
        <fgColor theme="7"/>
        <bgColor theme="7"/>
      </patternFill>
    </fill>
    <fill>
      <patternFill patternType="solid">
        <fgColor theme="9"/>
        <bgColor theme="9"/>
      </patternFill>
    </fill>
    <fill>
      <patternFill patternType="solid">
        <fgColor theme="6"/>
        <bgColor theme="6"/>
      </patternFill>
    </fill>
    <fill>
      <patternFill patternType="solid">
        <fgColor rgb="FF03AD8C"/>
        <bgColor rgb="FF03AD8C"/>
      </patternFill>
    </fill>
    <fill>
      <patternFill patternType="solid">
        <fgColor rgb="FFC9DAF8"/>
        <bgColor rgb="FFC9DAF8"/>
      </patternFill>
    </fill>
  </fills>
  <borders count="31">
    <border/>
    <border>
      <left/>
      <top/>
    </border>
    <border>
      <top/>
    </border>
    <border>
      <right/>
      <top/>
    </border>
    <border>
      <left/>
    </border>
    <border>
      <right/>
    </border>
    <border>
      <left/>
      <bottom/>
    </border>
    <border>
      <right/>
      <bottom/>
    </border>
    <border>
      <bottom/>
    </border>
    <border>
      <left/>
      <right/>
      <top/>
      <bottom/>
    </border>
    <border>
      <left/>
      <right/>
      <top/>
    </border>
    <border>
      <left/>
      <top/>
      <bottom/>
    </border>
    <border>
      <right/>
      <top/>
      <bottom/>
    </border>
    <border>
      <top/>
      <bottom/>
    </border>
    <border>
      <left/>
      <right/>
      <bottom/>
    </border>
    <border>
      <right style="thin">
        <color rgb="FF999999"/>
      </right>
      <bottom style="thin">
        <color rgb="FF999999"/>
      </bottom>
    </border>
    <border>
      <bottom style="thin">
        <color rgb="FF999999"/>
      </bottom>
    </border>
    <border>
      <right style="thin">
        <color rgb="FF999999"/>
      </right>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right style="thin">
        <color rgb="FFCCCCCC"/>
      </right>
      <top style="thin">
        <color rgb="FFCCCCCC"/>
      </top>
      <bottom style="thin">
        <color rgb="FFCCCCCC"/>
      </bottom>
    </border>
    <border>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top style="thin">
        <color rgb="FFCCCCCC"/>
      </top>
    </border>
    <border>
      <top style="thin">
        <color rgb="FFCCCCCC"/>
      </top>
    </border>
    <border>
      <right style="thin">
        <color rgb="FFCCCCCC"/>
      </right>
      <top style="thin">
        <color rgb="FFCCCCCC"/>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79646"/>
      </left>
      <right style="thin">
        <color rgb="FFF79646"/>
      </right>
      <top style="thin">
        <color rgb="FFF79646"/>
      </top>
      <bottom style="thin">
        <color rgb="FFF79646"/>
      </bottom>
    </border>
    <border>
      <left/>
      <right/>
      <top style="double">
        <color rgb="FF000000"/>
      </top>
      <bottom style="double">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3" numFmtId="0" xfId="0" applyAlignment="1" applyFont="1">
      <alignment horizontal="center" shrinkToFit="0" wrapText="1"/>
    </xf>
    <xf borderId="0" fillId="0" fontId="3" numFmtId="0" xfId="0" applyFont="1"/>
    <xf borderId="1" fillId="2" fontId="1" numFmtId="0" xfId="0" applyAlignment="1" applyBorder="1" applyFont="1">
      <alignment horizontal="left" readingOrder="0" shrinkToFit="0" vertical="center" wrapText="1"/>
    </xf>
    <xf borderId="2" fillId="2" fontId="2" numFmtId="0" xfId="0" applyAlignment="1" applyBorder="1" applyFont="1">
      <alignment horizontal="left" readingOrder="0" shrinkToFit="0" vertical="center" wrapText="1"/>
    </xf>
    <xf borderId="2" fillId="0" fontId="4" numFmtId="0" xfId="0" applyBorder="1" applyFont="1"/>
    <xf borderId="2" fillId="2" fontId="1" numFmtId="0" xfId="0" applyAlignment="1" applyBorder="1" applyFont="1">
      <alignment horizontal="left" readingOrder="0" shrinkToFit="0" vertical="center" wrapText="1"/>
    </xf>
    <xf borderId="2" fillId="2" fontId="3" numFmtId="0" xfId="0" applyAlignment="1" applyBorder="1" applyFont="1">
      <alignment horizontal="center" shrinkToFit="0" wrapText="1"/>
    </xf>
    <xf borderId="3" fillId="2" fontId="3" numFmtId="0" xfId="0" applyAlignment="1" applyBorder="1" applyFont="1">
      <alignment horizontal="center" shrinkToFit="0" wrapText="1"/>
    </xf>
    <xf borderId="4" fillId="2" fontId="1" numFmtId="0" xfId="0" applyAlignment="1" applyBorder="1" applyFont="1">
      <alignment horizontal="left" readingOrder="0" shrinkToFit="0" vertical="center" wrapText="1"/>
    </xf>
    <xf borderId="5" fillId="2" fontId="3" numFmtId="0" xfId="0" applyAlignment="1" applyBorder="1" applyFont="1">
      <alignment horizontal="center" shrinkToFit="0" wrapText="1"/>
    </xf>
    <xf borderId="4" fillId="2" fontId="3" numFmtId="0" xfId="0" applyAlignment="1" applyBorder="1" applyFont="1">
      <alignment horizontal="center" shrinkToFit="0" wrapText="1"/>
    </xf>
    <xf borderId="0" fillId="2" fontId="5" numFmtId="0" xfId="0" applyAlignment="1" applyFont="1">
      <alignment horizontal="left" readingOrder="0" shrinkToFit="0" vertical="center" wrapText="1"/>
    </xf>
    <xf borderId="6" fillId="2" fontId="3" numFmtId="0" xfId="0" applyAlignment="1" applyBorder="1" applyFont="1">
      <alignment horizontal="center" shrinkToFit="0" wrapText="1"/>
    </xf>
    <xf borderId="7" fillId="2" fontId="3" numFmtId="0" xfId="0" applyAlignment="1" applyBorder="1" applyFont="1">
      <alignment horizontal="center" shrinkToFit="0" wrapText="1"/>
    </xf>
    <xf borderId="8" fillId="0" fontId="4" numFmtId="0" xfId="0" applyBorder="1" applyFont="1"/>
    <xf borderId="8" fillId="2" fontId="3" numFmtId="0" xfId="0" applyAlignment="1" applyBorder="1" applyFont="1">
      <alignment horizontal="center" shrinkToFit="0" wrapText="1"/>
    </xf>
    <xf borderId="9" fillId="3" fontId="6" numFmtId="0" xfId="0" applyAlignment="1" applyBorder="1" applyFill="1" applyFont="1">
      <alignment readingOrder="0"/>
    </xf>
    <xf borderId="9" fillId="3" fontId="7" numFmtId="0" xfId="0" applyBorder="1" applyFont="1"/>
    <xf borderId="9" fillId="3" fontId="3" numFmtId="0" xfId="0" applyBorder="1" applyFont="1"/>
    <xf borderId="10" fillId="3" fontId="3" numFmtId="0" xfId="0" applyBorder="1" applyFont="1"/>
    <xf borderId="11" fillId="3" fontId="8" numFmtId="0" xfId="0" applyAlignment="1" applyBorder="1" applyFont="1">
      <alignment readingOrder="0"/>
    </xf>
    <xf borderId="12" fillId="0" fontId="4" numFmtId="0" xfId="0" applyBorder="1" applyFont="1"/>
    <xf borderId="1" fillId="3" fontId="3" numFmtId="0" xfId="0" applyAlignment="1" applyBorder="1" applyFont="1">
      <alignment readingOrder="0"/>
    </xf>
    <xf borderId="9" fillId="3" fontId="9" numFmtId="0" xfId="0" applyAlignment="1" applyBorder="1" applyFont="1">
      <alignment readingOrder="0"/>
    </xf>
    <xf borderId="11" fillId="3" fontId="9" numFmtId="0" xfId="0" applyAlignment="1" applyBorder="1" applyFont="1">
      <alignment readingOrder="0"/>
    </xf>
    <xf borderId="13" fillId="0" fontId="4" numFmtId="0" xfId="0" applyBorder="1" applyFont="1"/>
    <xf borderId="12" fillId="3" fontId="3" numFmtId="0" xfId="0" applyBorder="1" applyFont="1"/>
    <xf borderId="9" fillId="3" fontId="8" numFmtId="0" xfId="0" applyAlignment="1" applyBorder="1" applyFont="1">
      <alignment readingOrder="0"/>
    </xf>
    <xf borderId="9" fillId="3" fontId="8" numFmtId="0" xfId="0" applyBorder="1" applyFont="1"/>
    <xf borderId="14" fillId="3" fontId="3" numFmtId="0" xfId="0" applyBorder="1" applyFont="1"/>
    <xf borderId="14" fillId="3" fontId="3" numFmtId="0" xfId="0" applyAlignment="1" applyBorder="1" applyFont="1">
      <alignment readingOrder="0"/>
    </xf>
    <xf borderId="9" fillId="3" fontId="3" numFmtId="0" xfId="0" applyAlignment="1" applyBorder="1" applyFont="1">
      <alignment readingOrder="0"/>
    </xf>
    <xf borderId="11" fillId="3" fontId="3" numFmtId="0" xfId="0" applyAlignment="1" applyBorder="1" applyFont="1">
      <alignment readingOrder="0"/>
    </xf>
    <xf borderId="15" fillId="4" fontId="3" numFmtId="0" xfId="0" applyBorder="1" applyFill="1" applyFont="1"/>
    <xf borderId="9" fillId="3" fontId="3" numFmtId="0" xfId="0" applyAlignment="1" applyBorder="1" applyFont="1">
      <alignment readingOrder="0"/>
    </xf>
    <xf borderId="9" fillId="3" fontId="10" numFmtId="0" xfId="0" applyAlignment="1" applyBorder="1" applyFont="1">
      <alignment readingOrder="0"/>
    </xf>
    <xf borderId="0" fillId="5" fontId="3" numFmtId="0" xfId="0" applyFill="1" applyFont="1"/>
    <xf borderId="0" fillId="3" fontId="3" numFmtId="0" xfId="0" applyFont="1"/>
    <xf borderId="11" fillId="3" fontId="10" numFmtId="0" xfId="0" applyAlignment="1" applyBorder="1" applyFont="1">
      <alignment readingOrder="0"/>
    </xf>
    <xf borderId="12" fillId="3" fontId="10" numFmtId="0" xfId="0" applyAlignment="1" applyBorder="1" applyFont="1">
      <alignment readingOrder="0"/>
    </xf>
    <xf borderId="0" fillId="3" fontId="3" numFmtId="0" xfId="0" applyAlignment="1" applyFont="1">
      <alignment readingOrder="0"/>
    </xf>
    <xf borderId="11" fillId="3" fontId="3" numFmtId="0" xfId="0" applyAlignment="1" applyBorder="1" applyFont="1">
      <alignment readingOrder="0"/>
    </xf>
    <xf borderId="9" fillId="3" fontId="6" numFmtId="0" xfId="0" applyAlignment="1" applyBorder="1" applyFont="1">
      <alignment horizontal="left" readingOrder="0"/>
    </xf>
    <xf borderId="11" fillId="3" fontId="7" numFmtId="0" xfId="0" applyAlignment="1" applyBorder="1" applyFont="1">
      <alignment readingOrder="0"/>
    </xf>
    <xf borderId="11" fillId="3" fontId="3" numFmtId="0" xfId="0" applyBorder="1" applyFont="1"/>
    <xf borderId="16" fillId="6" fontId="3" numFmtId="0" xfId="0" applyAlignment="1" applyBorder="1" applyFill="1" applyFont="1">
      <alignment readingOrder="0"/>
    </xf>
    <xf borderId="16" fillId="0" fontId="4" numFmtId="0" xfId="0" applyBorder="1" applyFont="1"/>
    <xf borderId="15" fillId="0" fontId="4" numFmtId="0" xfId="0" applyBorder="1" applyFont="1"/>
    <xf borderId="13" fillId="3" fontId="11" numFmtId="0" xfId="0" applyAlignment="1" applyBorder="1" applyFont="1">
      <alignment readingOrder="0"/>
    </xf>
    <xf borderId="11" fillId="3" fontId="12" numFmtId="0" xfId="0" applyAlignment="1" applyBorder="1" applyFont="1">
      <alignment vertical="bottom"/>
    </xf>
    <xf borderId="14" fillId="3" fontId="13" numFmtId="0" xfId="0" applyAlignment="1" applyBorder="1" applyFont="1">
      <alignment horizontal="center"/>
    </xf>
    <xf borderId="9" fillId="3" fontId="13" numFmtId="0" xfId="0" applyAlignment="1" applyBorder="1" applyFont="1">
      <alignment vertical="bottom"/>
    </xf>
    <xf borderId="9" fillId="3" fontId="14" numFmtId="0" xfId="0" applyAlignment="1" applyBorder="1" applyFont="1">
      <alignment vertical="bottom"/>
    </xf>
    <xf borderId="10" fillId="3" fontId="14" numFmtId="0" xfId="0" applyAlignment="1" applyBorder="1" applyFont="1">
      <alignment vertical="bottom"/>
    </xf>
    <xf borderId="10" fillId="3" fontId="13" numFmtId="0" xfId="0" applyAlignment="1" applyBorder="1" applyFont="1">
      <alignment horizontal="center"/>
    </xf>
    <xf borderId="11" fillId="3" fontId="15" numFmtId="0" xfId="0" applyAlignment="1" applyBorder="1" applyFont="1">
      <alignment readingOrder="0"/>
    </xf>
    <xf borderId="0" fillId="4" fontId="16" numFmtId="0" xfId="0" applyAlignment="1" applyFont="1">
      <alignment readingOrder="0"/>
    </xf>
    <xf borderId="17" fillId="0" fontId="4" numFmtId="0" xfId="0" applyBorder="1" applyFont="1"/>
    <xf borderId="9" fillId="3" fontId="17" numFmtId="0" xfId="0" applyAlignment="1" applyBorder="1" applyFont="1">
      <alignment readingOrder="0"/>
    </xf>
    <xf borderId="11" fillId="3" fontId="15" numFmtId="0" xfId="0" applyBorder="1" applyFont="1"/>
    <xf borderId="0" fillId="4" fontId="3" numFmtId="0" xfId="0" applyFont="1"/>
    <xf borderId="16" fillId="4" fontId="3" numFmtId="0" xfId="0" applyBorder="1" applyFont="1"/>
    <xf borderId="18" fillId="7" fontId="6" numFmtId="0" xfId="0" applyAlignment="1" applyBorder="1" applyFill="1" applyFont="1">
      <alignment horizontal="left" readingOrder="0"/>
    </xf>
    <xf borderId="19" fillId="7" fontId="7" numFmtId="0" xfId="0" applyAlignment="1" applyBorder="1" applyFont="1">
      <alignment readingOrder="0"/>
    </xf>
    <xf borderId="20" fillId="0" fontId="4" numFmtId="0" xfId="0" applyBorder="1" applyFont="1"/>
    <xf borderId="18" fillId="7" fontId="3" numFmtId="0" xfId="0" applyBorder="1" applyFont="1"/>
    <xf borderId="18" fillId="7" fontId="15" numFmtId="0" xfId="0" applyAlignment="1" applyBorder="1" applyFont="1">
      <alignment readingOrder="0"/>
    </xf>
    <xf borderId="18" fillId="7" fontId="15" numFmtId="0" xfId="0" applyBorder="1" applyFont="1"/>
    <xf borderId="16" fillId="4" fontId="3" numFmtId="0" xfId="0" applyAlignment="1" applyBorder="1" applyFont="1">
      <alignment readingOrder="0"/>
    </xf>
    <xf borderId="19" fillId="7" fontId="15" numFmtId="0" xfId="0" applyAlignment="1" applyBorder="1" applyFont="1">
      <alignment readingOrder="0" shrinkToFit="0" wrapText="1"/>
    </xf>
    <xf borderId="21" fillId="0" fontId="4" numFmtId="0" xfId="0" applyBorder="1" applyFont="1"/>
    <xf borderId="19" fillId="7" fontId="18" numFmtId="0" xfId="0" applyAlignment="1" applyBorder="1" applyFont="1">
      <alignment readingOrder="0" shrinkToFit="0" wrapText="1"/>
    </xf>
    <xf borderId="18" fillId="7" fontId="19" numFmtId="0" xfId="0" applyAlignment="1" applyBorder="1" applyFont="1">
      <alignment readingOrder="0"/>
    </xf>
    <xf borderId="20" fillId="7" fontId="3" numFmtId="0" xfId="0" applyBorder="1" applyFont="1"/>
    <xf borderId="18" fillId="7" fontId="20" numFmtId="0" xfId="0" applyAlignment="1" applyBorder="1" applyFont="1">
      <alignment readingOrder="0"/>
    </xf>
    <xf borderId="0" fillId="7" fontId="3" numFmtId="0" xfId="0" applyFont="1"/>
    <xf borderId="22" fillId="7" fontId="3" numFmtId="0" xfId="0" applyBorder="1" applyFont="1"/>
    <xf borderId="18" fillId="5" fontId="3" numFmtId="0" xfId="0" applyBorder="1" applyFont="1"/>
    <xf borderId="18" fillId="0" fontId="3" numFmtId="0" xfId="0" applyBorder="1" applyFont="1"/>
    <xf borderId="18" fillId="7" fontId="3" numFmtId="0" xfId="0" applyAlignment="1" applyBorder="1" applyFont="1">
      <alignment readingOrder="0"/>
    </xf>
    <xf borderId="15" fillId="4" fontId="3" numFmtId="0" xfId="0" applyAlignment="1" applyBorder="1" applyFont="1">
      <alignment readingOrder="0"/>
    </xf>
    <xf borderId="19" fillId="7" fontId="3" numFmtId="0" xfId="0" applyBorder="1" applyFont="1"/>
    <xf borderId="18" fillId="7" fontId="21" numFmtId="0" xfId="0" applyBorder="1" applyFont="1"/>
    <xf borderId="16" fillId="4" fontId="15" numFmtId="0" xfId="0" applyAlignment="1" applyBorder="1" applyFont="1">
      <alignment readingOrder="0"/>
    </xf>
    <xf borderId="0" fillId="4" fontId="3" numFmtId="0" xfId="0" applyAlignment="1" applyFont="1">
      <alignment readingOrder="0"/>
    </xf>
    <xf borderId="0" fillId="4" fontId="15" numFmtId="0" xfId="0" applyAlignment="1" applyFont="1">
      <alignment readingOrder="0"/>
    </xf>
    <xf borderId="18" fillId="7" fontId="21" numFmtId="0" xfId="0" applyAlignment="1" applyBorder="1" applyFont="1">
      <alignment readingOrder="0"/>
    </xf>
    <xf borderId="18" fillId="7" fontId="22" numFmtId="0" xfId="0" applyAlignment="1" applyBorder="1" applyFont="1">
      <alignment vertical="bottom"/>
    </xf>
    <xf borderId="18" fillId="7" fontId="22" numFmtId="0" xfId="0" applyAlignment="1" applyBorder="1" applyFont="1">
      <alignment vertical="bottom"/>
    </xf>
    <xf borderId="0" fillId="0" fontId="22" numFmtId="0" xfId="0" applyAlignment="1" applyFont="1">
      <alignment vertical="bottom"/>
    </xf>
    <xf borderId="23" fillId="7" fontId="3" numFmtId="0" xfId="0" applyBorder="1" applyFont="1"/>
    <xf borderId="22" fillId="7" fontId="6" numFmtId="0" xfId="0" applyAlignment="1" applyBorder="1" applyFont="1">
      <alignment horizontal="left" readingOrder="0"/>
    </xf>
    <xf borderId="24" fillId="7" fontId="7" numFmtId="0" xfId="0" applyAlignment="1" applyBorder="1" applyFont="1">
      <alignment readingOrder="0"/>
    </xf>
    <xf borderId="25" fillId="0" fontId="4" numFmtId="0" xfId="0" applyBorder="1" applyFont="1"/>
    <xf borderId="26" fillId="0" fontId="4" numFmtId="0" xfId="0" applyBorder="1" applyFont="1"/>
    <xf borderId="0" fillId="0" fontId="23" numFmtId="0" xfId="0" applyFont="1"/>
    <xf borderId="0" fillId="8" fontId="24" numFmtId="0" xfId="0" applyFill="1" applyFont="1"/>
    <xf borderId="0" fillId="8" fontId="23" numFmtId="0" xfId="0" applyFont="1"/>
    <xf borderId="0" fillId="3" fontId="23" numFmtId="0" xfId="0" applyFont="1"/>
    <xf borderId="0" fillId="0" fontId="23" numFmtId="0" xfId="0" applyAlignment="1" applyFont="1">
      <alignment readingOrder="0"/>
    </xf>
    <xf borderId="0" fillId="9" fontId="25" numFmtId="0" xfId="0" applyFill="1" applyFont="1"/>
    <xf borderId="9" fillId="2" fontId="26" numFmtId="0" xfId="0" applyBorder="1" applyFont="1"/>
    <xf borderId="9" fillId="2" fontId="25" numFmtId="0" xfId="0" applyAlignment="1" applyBorder="1" applyFont="1">
      <alignment readingOrder="0"/>
    </xf>
    <xf borderId="0" fillId="2" fontId="26" numFmtId="0" xfId="0" applyFont="1"/>
    <xf borderId="0" fillId="0" fontId="23" numFmtId="0" xfId="0" applyAlignment="1" applyFont="1">
      <alignment horizontal="left" vertical="top"/>
    </xf>
    <xf borderId="0" fillId="0" fontId="24" numFmtId="0" xfId="0" applyFont="1"/>
    <xf borderId="10" fillId="2" fontId="26" numFmtId="0" xfId="0" applyBorder="1" applyFont="1"/>
    <xf borderId="10" fillId="2" fontId="25" numFmtId="0" xfId="0" applyAlignment="1" applyBorder="1" applyFont="1">
      <alignment readingOrder="0"/>
    </xf>
    <xf borderId="0" fillId="10" fontId="23" numFmtId="0" xfId="0" applyAlignment="1" applyFill="1" applyFont="1">
      <alignment vertical="bottom"/>
    </xf>
    <xf borderId="0" fillId="10" fontId="27" numFmtId="49" xfId="0" applyAlignment="1" applyFont="1" applyNumberFormat="1">
      <alignment vertical="bottom"/>
    </xf>
    <xf borderId="0" fillId="10" fontId="27" numFmtId="0" xfId="0" applyAlignment="1" applyFont="1">
      <alignment vertical="bottom"/>
    </xf>
    <xf borderId="0" fillId="10" fontId="27" numFmtId="0" xfId="0" applyAlignment="1" applyFont="1">
      <alignment vertical="bottom"/>
    </xf>
    <xf borderId="0" fillId="10" fontId="23" numFmtId="0" xfId="0" applyAlignment="1" applyFont="1">
      <alignment readingOrder="0" vertical="bottom"/>
    </xf>
    <xf borderId="14" fillId="2" fontId="26" numFmtId="0" xfId="0" applyBorder="1" applyFont="1"/>
    <xf borderId="0" fillId="11" fontId="23" numFmtId="0" xfId="0" applyFill="1" applyFont="1"/>
    <xf borderId="0" fillId="11" fontId="23" numFmtId="0" xfId="0" applyAlignment="1" applyFont="1">
      <alignment horizontal="left" vertical="top"/>
    </xf>
    <xf borderId="0" fillId="11" fontId="23" numFmtId="0" xfId="0" applyAlignment="1" applyFont="1">
      <alignment readingOrder="0"/>
    </xf>
    <xf borderId="0" fillId="11" fontId="22" numFmtId="0" xfId="0" applyAlignment="1" applyFont="1">
      <alignment vertical="bottom"/>
    </xf>
    <xf borderId="0" fillId="11" fontId="23" numFmtId="0" xfId="0" applyAlignment="1" applyFont="1">
      <alignment shrinkToFit="0" wrapText="0"/>
    </xf>
    <xf borderId="0" fillId="11" fontId="23" numFmtId="0" xfId="0" applyAlignment="1" applyFont="1">
      <alignment shrinkToFit="0" vertical="top" wrapText="0"/>
    </xf>
    <xf borderId="0" fillId="11" fontId="22" numFmtId="0" xfId="0" applyFont="1"/>
    <xf borderId="0" fillId="11" fontId="22" numFmtId="0" xfId="0" applyFont="1"/>
    <xf borderId="0" fillId="11" fontId="28" numFmtId="0" xfId="0" applyAlignment="1" applyFont="1">
      <alignment shrinkToFit="0" vertical="bottom" wrapText="0"/>
    </xf>
    <xf borderId="0" fillId="11" fontId="23" numFmtId="0" xfId="0" applyAlignment="1" applyFont="1">
      <alignment horizontal="center" shrinkToFit="0" wrapText="0"/>
    </xf>
    <xf borderId="0" fillId="0" fontId="23" numFmtId="0" xfId="0" applyAlignment="1" applyFont="1">
      <alignment horizontal="left" readingOrder="0" vertical="top"/>
    </xf>
    <xf borderId="0" fillId="10" fontId="22" numFmtId="0" xfId="0" applyAlignment="1" applyFont="1">
      <alignment vertical="bottom"/>
    </xf>
    <xf borderId="0" fillId="10" fontId="23" numFmtId="0" xfId="0" applyAlignment="1" applyFont="1">
      <alignment shrinkToFit="0" wrapText="0"/>
    </xf>
    <xf borderId="0" fillId="10" fontId="22" numFmtId="0" xfId="0" applyFont="1"/>
    <xf borderId="0" fillId="10" fontId="22" numFmtId="0" xfId="0" applyFont="1"/>
    <xf borderId="0" fillId="12" fontId="23" numFmtId="0" xfId="0" applyAlignment="1" applyFill="1" applyFont="1">
      <alignment vertical="bottom"/>
    </xf>
    <xf borderId="0" fillId="0" fontId="23" numFmtId="0" xfId="0" applyAlignment="1" applyFont="1">
      <alignment readingOrder="0" shrinkToFit="0" vertical="top" wrapText="0"/>
    </xf>
    <xf borderId="0" fillId="0" fontId="23" numFmtId="0" xfId="0" applyAlignment="1" applyFont="1">
      <alignment readingOrder="0" shrinkToFit="0" wrapText="0"/>
    </xf>
    <xf borderId="0" fillId="13" fontId="23" numFmtId="0" xfId="0" applyAlignment="1" applyFill="1" applyFont="1">
      <alignment readingOrder="0" shrinkToFit="0" wrapText="0"/>
    </xf>
    <xf borderId="0" fillId="0" fontId="22" numFmtId="0" xfId="0" applyFont="1"/>
    <xf borderId="0" fillId="0" fontId="23" numFmtId="0" xfId="0" applyAlignment="1" applyFont="1">
      <alignment shrinkToFit="0" wrapText="0"/>
    </xf>
    <xf borderId="0" fillId="11" fontId="23" numFmtId="0" xfId="0" applyAlignment="1" applyFont="1">
      <alignment readingOrder="0" shrinkToFit="0" wrapText="0"/>
    </xf>
    <xf borderId="0" fillId="10" fontId="23" numFmtId="0" xfId="0" applyAlignment="1" applyFont="1">
      <alignment readingOrder="0" shrinkToFit="0" wrapText="0"/>
    </xf>
    <xf borderId="0" fillId="0" fontId="23" numFmtId="0" xfId="0" applyAlignment="1" applyFont="1">
      <alignment readingOrder="0" shrinkToFit="0" vertical="bottom" wrapText="0"/>
    </xf>
    <xf borderId="0" fillId="0" fontId="24" numFmtId="0" xfId="0" applyAlignment="1" applyFont="1">
      <alignment horizontal="left" vertical="top"/>
    </xf>
    <xf borderId="0" fillId="0" fontId="24" numFmtId="0" xfId="0" applyAlignment="1" applyFont="1">
      <alignment horizontal="left" readingOrder="0" vertical="top"/>
    </xf>
    <xf borderId="9" fillId="0" fontId="24" numFmtId="0" xfId="0" applyBorder="1" applyFont="1"/>
    <xf borderId="0" fillId="14" fontId="25" numFmtId="0" xfId="0" applyAlignment="1" applyFill="1" applyFont="1">
      <alignment vertical="bottom"/>
    </xf>
    <xf borderId="0" fillId="14" fontId="23" numFmtId="49" xfId="0" applyAlignment="1" applyFont="1" applyNumberFormat="1">
      <alignment vertical="bottom"/>
    </xf>
    <xf borderId="0" fillId="14" fontId="23" numFmtId="0" xfId="0" applyAlignment="1" applyFont="1">
      <alignment vertical="bottom"/>
    </xf>
    <xf borderId="0" fillId="14" fontId="23" numFmtId="0" xfId="0" applyFont="1"/>
    <xf borderId="0" fillId="11" fontId="23" numFmtId="0" xfId="0" applyAlignment="1" applyFont="1">
      <alignment vertical="bottom"/>
    </xf>
    <xf borderId="0" fillId="0" fontId="23" numFmtId="49" xfId="0" applyAlignment="1" applyFont="1" applyNumberFormat="1">
      <alignment vertical="bottom"/>
    </xf>
    <xf borderId="0" fillId="11" fontId="23" numFmtId="0" xfId="0" applyAlignment="1" applyFont="1">
      <alignment horizontal="center" vertical="bottom"/>
    </xf>
    <xf borderId="0" fillId="0" fontId="23" numFmtId="0" xfId="0" applyFont="1"/>
    <xf borderId="0" fillId="0" fontId="23" numFmtId="0" xfId="0" applyAlignment="1" applyFont="1">
      <alignment vertical="bottom"/>
    </xf>
    <xf borderId="0" fillId="11" fontId="23" numFmtId="49" xfId="0" applyAlignment="1" applyFont="1" applyNumberFormat="1">
      <alignment vertical="bottom"/>
    </xf>
    <xf borderId="0" fillId="15" fontId="23" numFmtId="0" xfId="0" applyFill="1" applyFont="1"/>
    <xf borderId="0" fillId="15" fontId="23" numFmtId="0" xfId="0" applyAlignment="1" applyFont="1">
      <alignment vertical="bottom"/>
    </xf>
    <xf borderId="0" fillId="15" fontId="23" numFmtId="0" xfId="0" applyAlignment="1" applyFont="1">
      <alignment horizontal="center" vertical="bottom"/>
    </xf>
    <xf borderId="0" fillId="15" fontId="23" numFmtId="0" xfId="0" applyFont="1"/>
    <xf borderId="0" fillId="11" fontId="23" numFmtId="0" xfId="0" applyAlignment="1" applyFont="1">
      <alignment readingOrder="0" vertical="bottom"/>
    </xf>
    <xf borderId="0" fillId="0" fontId="23" numFmtId="0" xfId="0" applyAlignment="1" applyFont="1">
      <alignment readingOrder="0" vertical="bottom"/>
    </xf>
    <xf borderId="0" fillId="0" fontId="29" numFmtId="0" xfId="0" applyAlignment="1" applyFont="1">
      <alignment horizontal="left" vertical="top"/>
    </xf>
    <xf borderId="0" fillId="16" fontId="23" numFmtId="0" xfId="0" applyFill="1" applyFont="1"/>
    <xf borderId="0" fillId="16" fontId="23" numFmtId="0" xfId="0" applyAlignment="1" applyFont="1">
      <alignment readingOrder="0"/>
    </xf>
    <xf borderId="0" fillId="14" fontId="25" numFmtId="0" xfId="0" applyFont="1"/>
    <xf borderId="0" fillId="14" fontId="25" numFmtId="0" xfId="0" applyAlignment="1" applyFont="1">
      <alignment readingOrder="0"/>
    </xf>
    <xf borderId="0" fillId="14" fontId="25" numFmtId="0" xfId="0" applyAlignment="1" applyFont="1">
      <alignment horizontal="left" readingOrder="0" vertical="top"/>
    </xf>
    <xf borderId="0" fillId="10" fontId="23" numFmtId="0" xfId="0" applyFont="1"/>
    <xf borderId="0" fillId="10" fontId="23" numFmtId="0" xfId="0" applyAlignment="1" applyFont="1">
      <alignment readingOrder="0"/>
    </xf>
    <xf borderId="0" fillId="10" fontId="23" numFmtId="0" xfId="0" applyAlignment="1" applyFont="1">
      <alignment horizontal="left" vertical="top"/>
    </xf>
    <xf borderId="9" fillId="17" fontId="23" numFmtId="0" xfId="0" applyAlignment="1" applyBorder="1" applyFill="1" applyFont="1">
      <alignment readingOrder="0"/>
    </xf>
    <xf borderId="9" fillId="0" fontId="23" numFmtId="0" xfId="0" applyAlignment="1" applyBorder="1" applyFont="1">
      <alignment readingOrder="0"/>
    </xf>
    <xf borderId="0" fillId="14" fontId="25" numFmtId="0" xfId="0" applyAlignment="1" applyFont="1">
      <alignment readingOrder="0" vertical="bottom"/>
    </xf>
    <xf borderId="0" fillId="14" fontId="23" numFmtId="0" xfId="0" applyFont="1"/>
    <xf borderId="0" fillId="15" fontId="23" numFmtId="0" xfId="0" applyAlignment="1" applyFont="1">
      <alignment shrinkToFit="0" vertical="bottom" wrapText="1"/>
    </xf>
    <xf borderId="0" fillId="15" fontId="23" numFmtId="49" xfId="0" applyAlignment="1" applyFont="1" applyNumberFormat="1">
      <alignment vertical="bottom"/>
    </xf>
    <xf borderId="0" fillId="18" fontId="23" numFmtId="0" xfId="0" applyFill="1" applyFont="1"/>
    <xf borderId="0" fillId="18" fontId="23" numFmtId="0" xfId="0" applyAlignment="1" applyFont="1">
      <alignment vertical="bottom"/>
    </xf>
    <xf borderId="0" fillId="18" fontId="23" numFmtId="0" xfId="0" applyFont="1"/>
    <xf borderId="0" fillId="10" fontId="29" numFmtId="0" xfId="0" applyAlignment="1" applyFont="1">
      <alignment vertical="bottom"/>
    </xf>
    <xf borderId="0" fillId="10" fontId="23" numFmtId="0" xfId="0" applyFont="1"/>
    <xf borderId="0" fillId="0" fontId="24" numFmtId="0" xfId="0" applyAlignment="1" applyFont="1">
      <alignment readingOrder="0"/>
    </xf>
    <xf borderId="0" fillId="17" fontId="23" numFmtId="0" xfId="0" applyAlignment="1" applyFont="1">
      <alignment readingOrder="0"/>
    </xf>
    <xf borderId="0" fillId="17" fontId="24" numFmtId="0" xfId="0" applyAlignment="1" applyFont="1">
      <alignment readingOrder="0"/>
    </xf>
    <xf borderId="0" fillId="18" fontId="23" numFmtId="49" xfId="0" applyAlignment="1" applyFont="1" applyNumberFormat="1">
      <alignment vertical="bottom"/>
    </xf>
    <xf borderId="9" fillId="2" fontId="25" numFmtId="0" xfId="0" applyBorder="1" applyFont="1"/>
    <xf borderId="0" fillId="2" fontId="25" numFmtId="0" xfId="0" applyFont="1"/>
    <xf borderId="0" fillId="0" fontId="24" numFmtId="0" xfId="0" applyAlignment="1" applyFont="1">
      <alignment vertical="center"/>
    </xf>
    <xf borderId="0" fillId="19" fontId="25" numFmtId="0" xfId="0" applyFill="1" applyFont="1"/>
    <xf borderId="9" fillId="19" fontId="25" numFmtId="0" xfId="0" applyBorder="1" applyFont="1"/>
    <xf borderId="9" fillId="19" fontId="25" numFmtId="0" xfId="0" applyAlignment="1" applyBorder="1" applyFont="1">
      <alignment readingOrder="0"/>
    </xf>
    <xf borderId="0" fillId="14" fontId="26" numFmtId="0" xfId="0" applyFont="1"/>
    <xf borderId="9" fillId="14" fontId="26" numFmtId="0" xfId="0" applyBorder="1" applyFont="1"/>
    <xf borderId="9" fillId="14" fontId="25" numFmtId="0" xfId="0" applyAlignment="1" applyBorder="1" applyFont="1">
      <alignment readingOrder="0"/>
    </xf>
    <xf borderId="9" fillId="14" fontId="25" numFmtId="0" xfId="0" applyBorder="1" applyFont="1"/>
    <xf borderId="27" fillId="11" fontId="23" numFmtId="0" xfId="0" applyBorder="1" applyFont="1"/>
    <xf borderId="0" fillId="16" fontId="24" numFmtId="0" xfId="0" applyFont="1"/>
    <xf borderId="0" fillId="16" fontId="24" numFmtId="0" xfId="0" applyAlignment="1" applyFont="1">
      <alignment readingOrder="0"/>
    </xf>
    <xf borderId="0" fillId="16" fontId="24" numFmtId="0" xfId="0" applyAlignment="1" applyFont="1">
      <alignment horizontal="left" readingOrder="0" vertical="top"/>
    </xf>
    <xf borderId="9" fillId="17" fontId="24" numFmtId="0" xfId="0" applyAlignment="1" applyBorder="1" applyFont="1">
      <alignment readingOrder="0"/>
    </xf>
    <xf borderId="9" fillId="16" fontId="24" numFmtId="0" xfId="0" applyAlignment="1" applyBorder="1" applyFont="1">
      <alignment readingOrder="0"/>
    </xf>
    <xf borderId="9" fillId="14" fontId="24" numFmtId="0" xfId="0" applyBorder="1" applyFont="1"/>
    <xf borderId="0" fillId="14" fontId="24" numFmtId="0" xfId="0" applyFont="1"/>
    <xf borderId="0" fillId="0" fontId="24" numFmtId="0" xfId="0" applyAlignment="1" applyFont="1">
      <alignment shrinkToFit="0" vertical="top" wrapText="1"/>
    </xf>
    <xf borderId="0" fillId="0" fontId="23" numFmtId="0" xfId="0" applyAlignment="1" applyFont="1">
      <alignment vertical="top"/>
    </xf>
    <xf borderId="0" fillId="0" fontId="23" numFmtId="0" xfId="0" applyAlignment="1" applyFont="1">
      <alignment horizontal="center" vertical="bottom"/>
    </xf>
    <xf borderId="9" fillId="17" fontId="23" numFmtId="0" xfId="0" applyAlignment="1" applyBorder="1" applyFont="1">
      <alignment vertical="bottom"/>
    </xf>
    <xf borderId="0" fillId="17" fontId="23" numFmtId="0" xfId="0" applyAlignment="1" applyFont="1">
      <alignment horizontal="left" readingOrder="0" vertical="top"/>
    </xf>
    <xf borderId="0" fillId="17" fontId="24" numFmtId="0" xfId="0" applyAlignment="1" applyFont="1">
      <alignment horizontal="left" readingOrder="0" vertical="top"/>
    </xf>
    <xf borderId="0" fillId="0" fontId="23" numFmtId="0" xfId="0" applyAlignment="1" applyFont="1">
      <alignment shrinkToFit="0" vertical="top" wrapText="1"/>
    </xf>
    <xf borderId="0" fillId="12" fontId="23" numFmtId="0" xfId="0" applyAlignment="1" applyFont="1">
      <alignment readingOrder="0"/>
    </xf>
    <xf borderId="0" fillId="0" fontId="25" numFmtId="0" xfId="0" applyFont="1"/>
    <xf borderId="9" fillId="0" fontId="25" numFmtId="0" xfId="0" applyBorder="1" applyFont="1"/>
    <xf borderId="0" fillId="14" fontId="22" numFmtId="0" xfId="0" applyAlignment="1" applyFont="1">
      <alignment vertical="bottom"/>
    </xf>
    <xf borderId="0" fillId="14" fontId="25" numFmtId="0" xfId="0" applyAlignment="1" applyFont="1">
      <alignment vertical="bottom"/>
    </xf>
    <xf borderId="0" fillId="14" fontId="25" numFmtId="0" xfId="0" applyAlignment="1" applyFont="1">
      <alignment vertical="top"/>
    </xf>
    <xf borderId="0" fillId="14" fontId="22" numFmtId="0" xfId="0" applyAlignment="1" applyFont="1">
      <alignment vertical="bottom"/>
    </xf>
    <xf borderId="0" fillId="10" fontId="23" numFmtId="0" xfId="0" applyAlignment="1" applyFont="1">
      <alignment vertical="bottom"/>
    </xf>
    <xf borderId="0" fillId="10" fontId="22" numFmtId="0" xfId="0" applyAlignment="1" applyFont="1">
      <alignment vertical="top"/>
    </xf>
    <xf borderId="0" fillId="10" fontId="22" numFmtId="0" xfId="0" applyAlignment="1" applyFont="1">
      <alignment vertical="bottom"/>
    </xf>
    <xf borderId="0" fillId="14" fontId="22" numFmtId="0" xfId="0" applyAlignment="1" applyFont="1">
      <alignment vertical="top"/>
    </xf>
    <xf borderId="0" fillId="0" fontId="23" numFmtId="0" xfId="0" applyAlignment="1" applyFont="1">
      <alignment shrinkToFit="0" wrapText="0"/>
    </xf>
    <xf borderId="9" fillId="17" fontId="23" numFmtId="0" xfId="0" applyAlignment="1" applyBorder="1" applyFont="1">
      <alignment readingOrder="0" shrinkToFit="0" vertical="bottom" wrapText="0"/>
    </xf>
    <xf borderId="0" fillId="0" fontId="23" numFmtId="0" xfId="0" applyAlignment="1" applyFont="1">
      <alignment readingOrder="0" shrinkToFit="0" wrapText="0"/>
    </xf>
    <xf borderId="28" fillId="17" fontId="24" numFmtId="0" xfId="0" applyAlignment="1" applyBorder="1" applyFont="1">
      <alignment readingOrder="0" shrinkToFit="0" vertical="bottom" wrapText="0"/>
    </xf>
    <xf borderId="0" fillId="0" fontId="24" numFmtId="0" xfId="0" applyAlignment="1" applyFont="1">
      <alignment horizontal="left" readingOrder="0"/>
    </xf>
    <xf borderId="0" fillId="0" fontId="24" numFmtId="0" xfId="0" applyAlignment="1" applyFont="1">
      <alignment horizontal="left"/>
    </xf>
    <xf borderId="28" fillId="0" fontId="24" numFmtId="0" xfId="0" applyAlignment="1" applyBorder="1" applyFont="1">
      <alignment readingOrder="0" shrinkToFit="0" vertical="bottom" wrapText="0"/>
    </xf>
    <xf borderId="0" fillId="0" fontId="24" numFmtId="0" xfId="0" applyAlignment="1" applyFont="1">
      <alignment readingOrder="0" shrinkToFit="0" vertical="bottom" wrapText="0"/>
    </xf>
    <xf quotePrefix="1" borderId="0" fillId="0" fontId="23" numFmtId="0" xfId="0" applyFont="1"/>
    <xf borderId="9" fillId="20" fontId="23" numFmtId="0" xfId="0" applyBorder="1" applyFill="1" applyFont="1"/>
    <xf borderId="9" fillId="20" fontId="26" numFmtId="0" xfId="0" applyBorder="1" applyFont="1"/>
    <xf borderId="0" fillId="20" fontId="23" numFmtId="0" xfId="0" applyFont="1"/>
    <xf borderId="9" fillId="0" fontId="24" numFmtId="0" xfId="0" applyAlignment="1" applyBorder="1" applyFont="1">
      <alignment horizontal="left" readingOrder="0" vertical="top"/>
    </xf>
    <xf borderId="9" fillId="17" fontId="24" numFmtId="0" xfId="0" applyAlignment="1" applyBorder="1" applyFont="1">
      <alignment horizontal="left" readingOrder="0" vertical="top"/>
    </xf>
    <xf borderId="9" fillId="0" fontId="24" numFmtId="0" xfId="0" applyAlignment="1" applyBorder="1" applyFont="1">
      <alignment readingOrder="0"/>
    </xf>
    <xf borderId="9" fillId="20" fontId="30" numFmtId="0" xfId="0" applyBorder="1" applyFont="1"/>
    <xf borderId="0" fillId="20" fontId="30" numFmtId="0" xfId="0" applyFont="1"/>
    <xf borderId="0" fillId="0" fontId="31" numFmtId="0" xfId="0" applyFont="1"/>
    <xf borderId="9" fillId="8" fontId="24" numFmtId="0" xfId="0" applyBorder="1" applyFont="1"/>
    <xf borderId="29" fillId="21" fontId="24" numFmtId="0" xfId="0" applyBorder="1" applyFill="1" applyFont="1"/>
    <xf borderId="29" fillId="21" fontId="15" numFmtId="0" xfId="0" applyBorder="1" applyFont="1"/>
    <xf borderId="29" fillId="21" fontId="32" numFmtId="0" xfId="0" applyAlignment="1" applyBorder="1" applyFont="1">
      <alignment readingOrder="0"/>
    </xf>
    <xf borderId="9" fillId="21" fontId="24" numFmtId="0" xfId="0" applyBorder="1" applyFont="1"/>
    <xf borderId="10" fillId="21" fontId="24" numFmtId="0" xfId="0" applyBorder="1" applyFont="1"/>
    <xf borderId="9" fillId="21" fontId="24" numFmtId="0" xfId="0" applyAlignment="1" applyBorder="1" applyFont="1">
      <alignment readingOrder="0"/>
    </xf>
    <xf borderId="0" fillId="21" fontId="24" numFmtId="0" xfId="0" applyFont="1"/>
    <xf borderId="0" fillId="0" fontId="24" numFmtId="0" xfId="0" applyAlignment="1" applyFont="1">
      <alignment horizontal="left" vertical="center"/>
    </xf>
    <xf borderId="0" fillId="0" fontId="24" numFmtId="9" xfId="0" applyAlignment="1" applyFont="1" applyNumberFormat="1">
      <alignment horizontal="left" vertical="center"/>
    </xf>
    <xf borderId="29" fillId="21" fontId="24" numFmtId="0" xfId="0" applyAlignment="1" applyBorder="1" applyFont="1">
      <alignment readingOrder="0"/>
    </xf>
    <xf borderId="0" fillId="0" fontId="24" numFmtId="9" xfId="0" applyAlignment="1" applyFont="1" applyNumberFormat="1">
      <alignment horizontal="left" vertical="top"/>
    </xf>
    <xf borderId="9" fillId="22" fontId="24" numFmtId="0" xfId="0" applyBorder="1" applyFill="1" applyFont="1"/>
    <xf borderId="0" fillId="0" fontId="23" numFmtId="0" xfId="0" applyAlignment="1" applyFont="1">
      <alignment horizontal="right" vertical="bottom"/>
    </xf>
    <xf borderId="0" fillId="0" fontId="33" numFmtId="0" xfId="0" applyAlignment="1" applyFont="1">
      <alignment readingOrder="0" shrinkToFit="0" vertical="bottom" wrapText="0"/>
    </xf>
    <xf borderId="0" fillId="0" fontId="34" numFmtId="0" xfId="0" applyAlignment="1" applyFont="1">
      <alignment readingOrder="0" vertical="top"/>
    </xf>
    <xf borderId="0" fillId="8" fontId="24" numFmtId="0" xfId="0" applyAlignment="1" applyFont="1">
      <alignment readingOrder="0"/>
    </xf>
    <xf borderId="0" fillId="0" fontId="21" numFmtId="0" xfId="0" applyAlignment="1" applyFont="1">
      <alignment readingOrder="0"/>
    </xf>
    <xf borderId="9" fillId="23" fontId="35" numFmtId="0" xfId="0" applyAlignment="1" applyBorder="1" applyFill="1" applyFont="1">
      <alignment horizontal="center" shrinkToFit="0" vertical="center" wrapText="1"/>
    </xf>
    <xf borderId="30" fillId="24" fontId="36" numFmtId="0" xfId="0" applyAlignment="1" applyBorder="1" applyFill="1" applyFont="1">
      <alignment shrinkToFit="0" wrapText="1"/>
    </xf>
    <xf borderId="9" fillId="24" fontId="37" numFmtId="0" xfId="0" applyAlignment="1" applyBorder="1" applyFont="1">
      <alignment horizontal="left"/>
    </xf>
    <xf borderId="9" fillId="24" fontId="38" numFmtId="0" xfId="0" applyBorder="1" applyFont="1"/>
    <xf borderId="9" fillId="24" fontId="39" numFmtId="0" xfId="0" applyBorder="1" applyFont="1"/>
    <xf borderId="0" fillId="0" fontId="40" numFmtId="0" xfId="0" applyFont="1"/>
    <xf borderId="0" fillId="0" fontId="37" numFmtId="0" xfId="0" applyAlignment="1" applyFont="1">
      <alignment horizontal="left" readingOrder="0"/>
    </xf>
    <xf borderId="0" fillId="0" fontId="37" numFmtId="0" xfId="0" applyFont="1"/>
    <xf borderId="0" fillId="0" fontId="38" numFmtId="0" xfId="0" applyFont="1"/>
    <xf borderId="0" fillId="0" fontId="41" numFmtId="0" xfId="0" applyFont="1"/>
    <xf borderId="0" fillId="0" fontId="42" numFmtId="0" xfId="0" applyFont="1"/>
    <xf borderId="0" fillId="0" fontId="37" numFmtId="0" xfId="0" applyAlignment="1" applyFont="1">
      <alignment horizontal="left"/>
    </xf>
    <xf borderId="0" fillId="0" fontId="39" numFmtId="0" xfId="0" applyFont="1"/>
    <xf borderId="9" fillId="24" fontId="37" numFmtId="0" xfId="0" applyBorder="1" applyFont="1"/>
    <xf borderId="0" fillId="0" fontId="37" numFmtId="0" xfId="0" applyAlignment="1" applyFont="1">
      <alignment shrinkToFit="0" wrapText="1"/>
    </xf>
    <xf borderId="0" fillId="0" fontId="43" numFmtId="0" xfId="0" applyFont="1"/>
    <xf borderId="0" fillId="0" fontId="43" numFmtId="0" xfId="0" applyAlignment="1" applyFont="1">
      <alignment shrinkToFit="0" vertical="top" wrapText="1"/>
    </xf>
    <xf borderId="30" fillId="24" fontId="36" numFmtId="0" xfId="0" applyAlignment="1" applyBorder="1" applyFont="1">
      <alignment shrinkToFit="0" vertical="center" wrapText="1"/>
    </xf>
    <xf borderId="9" fillId="24" fontId="37" numFmtId="0" xfId="0" applyAlignment="1" applyBorder="1" applyFont="1">
      <alignment shrinkToFit="0" wrapText="1"/>
    </xf>
    <xf borderId="9" fillId="24" fontId="43" numFmtId="0" xfId="0" applyBorder="1" applyFont="1"/>
    <xf borderId="30" fillId="24" fontId="44" numFmtId="0" xfId="0" applyAlignment="1" applyBorder="1" applyFont="1">
      <alignment shrinkToFit="0" vertical="top" wrapText="1"/>
    </xf>
    <xf borderId="0" fillId="0" fontId="37" numFmtId="0" xfId="0" applyAlignment="1" applyFont="1">
      <alignment readingOrder="0"/>
    </xf>
    <xf borderId="9" fillId="11" fontId="45" numFmtId="0" xfId="0" applyBorder="1" applyFont="1"/>
    <xf borderId="0" fillId="0" fontId="37" numFmtId="0" xfId="0" applyAlignment="1" applyFont="1">
      <alignment readingOrder="0" shrinkToFit="0" wrapText="1"/>
    </xf>
    <xf borderId="9" fillId="11" fontId="46" numFmtId="0" xfId="0" applyBorder="1" applyFont="1"/>
    <xf borderId="30" fillId="24" fontId="44" numFmtId="0" xfId="0" applyAlignment="1" applyBorder="1" applyFont="1">
      <alignment shrinkToFit="0" wrapText="1"/>
    </xf>
    <xf borderId="0" fillId="0" fontId="37" numFmtId="0" xfId="0" applyAlignment="1" applyFont="1">
      <alignment vertical="top"/>
    </xf>
    <xf borderId="0" fillId="0" fontId="43" numFmtId="0" xfId="0" applyAlignment="1" applyFont="1">
      <alignment horizontal="left"/>
    </xf>
    <xf borderId="0" fillId="0" fontId="37" numFmtId="0" xfId="0" applyAlignment="1" applyFont="1">
      <alignment horizontal="left" vertical="top"/>
    </xf>
    <xf borderId="0" fillId="0" fontId="37" numFmtId="0" xfId="0" applyAlignment="1" applyFont="1">
      <alignment horizontal="left" readingOrder="0" vertical="top"/>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2">
    <tableStyle count="2" pivot="0" name="survey-style">
      <tableStyleElement dxfId="1" type="firstRowStripe"/>
      <tableStyleElement dxfId="2" type="secondRowStripe"/>
    </tableStyle>
    <tableStyle count="2" pivot="0" name="survey-style 2">
      <tableStyleElement dxfId="2" type="firstRowStripe"/>
      <tableStyleElement dxfId="1"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2:W42" displayName="Table_1" name="Table_1" id="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urvey-style" showColumnStripes="0" showFirstColumn="1" showLastColumn="1" showRowStripes="1"/>
</table>
</file>

<file path=xl/tables/table2.xml><?xml version="1.0" encoding="utf-8"?>
<table xmlns="http://schemas.openxmlformats.org/spreadsheetml/2006/main" headerRowCount="0" ref="B45:W51" displayName="Table_2" 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urvey-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04898"/>
      </a:accent1>
      <a:accent2>
        <a:srgbClr val="03AD8C"/>
      </a:accent2>
      <a:accent3>
        <a:srgbClr val="EA5547"/>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0r0wgcRQ8rhlGTihtSDTsUFmFMP44sTXBEF80ml4XUY/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15.86"/>
    <col customWidth="1" min="3" max="4" width="22.71"/>
    <col customWidth="1" min="5" max="5" width="13.57"/>
    <col customWidth="1" min="6" max="6" width="11.0"/>
    <col customWidth="1" min="7" max="7" width="12.29"/>
    <col customWidth="1" min="8" max="8" width="15.14"/>
    <col customWidth="1" min="9" max="9" width="24.29"/>
    <col customWidth="1" min="10" max="15" width="11.0"/>
    <col customWidth="1" min="16" max="26" width="10.71"/>
  </cols>
  <sheetData>
    <row r="1" ht="19.5" customHeight="1">
      <c r="A1" s="1"/>
      <c r="B1" s="2"/>
      <c r="C1" s="2"/>
      <c r="D1" s="2"/>
      <c r="E1" s="2"/>
      <c r="F1" s="2"/>
      <c r="G1" s="2"/>
      <c r="H1" s="1"/>
      <c r="I1" s="3"/>
      <c r="J1" s="3"/>
      <c r="K1" s="3"/>
      <c r="L1" s="3"/>
      <c r="M1" s="3"/>
      <c r="N1" s="3"/>
      <c r="O1" s="3"/>
      <c r="P1" s="4"/>
      <c r="Q1" s="4"/>
      <c r="R1" s="4"/>
      <c r="S1" s="4"/>
      <c r="T1" s="4"/>
      <c r="U1" s="4"/>
      <c r="V1" s="4"/>
      <c r="W1" s="4"/>
      <c r="X1" s="4"/>
      <c r="Y1" s="4"/>
      <c r="Z1" s="4"/>
    </row>
    <row r="2" ht="19.5" customHeight="1">
      <c r="A2" s="5"/>
      <c r="B2" s="6" t="s">
        <v>0</v>
      </c>
      <c r="C2" s="7"/>
      <c r="D2" s="7"/>
      <c r="E2" s="7"/>
      <c r="F2" s="7"/>
      <c r="G2" s="7"/>
      <c r="H2" s="8"/>
      <c r="I2" s="9"/>
      <c r="J2" s="9"/>
      <c r="K2" s="9"/>
      <c r="L2" s="9"/>
      <c r="M2" s="9"/>
      <c r="N2" s="9"/>
      <c r="O2" s="10"/>
      <c r="P2" s="4"/>
      <c r="Q2" s="4"/>
      <c r="R2" s="4"/>
      <c r="S2" s="4"/>
      <c r="T2" s="4"/>
      <c r="U2" s="4"/>
      <c r="V2" s="4"/>
      <c r="W2" s="4"/>
      <c r="X2" s="4"/>
      <c r="Y2" s="4"/>
      <c r="Z2" s="4"/>
    </row>
    <row r="3" ht="19.5" customHeight="1">
      <c r="A3" s="11"/>
      <c r="H3" s="1"/>
      <c r="I3" s="3"/>
      <c r="J3" s="3"/>
      <c r="K3" s="3"/>
      <c r="L3" s="3"/>
      <c r="M3" s="3"/>
      <c r="N3" s="3"/>
      <c r="O3" s="12"/>
      <c r="P3" s="4"/>
      <c r="Q3" s="4"/>
      <c r="R3" s="4"/>
      <c r="S3" s="4"/>
      <c r="T3" s="4"/>
      <c r="U3" s="4"/>
      <c r="V3" s="4"/>
      <c r="W3" s="4"/>
      <c r="X3" s="4"/>
      <c r="Y3" s="4"/>
      <c r="Z3" s="4"/>
    </row>
    <row r="4" ht="19.5" customHeight="1">
      <c r="A4" s="11"/>
      <c r="B4" s="1"/>
      <c r="C4" s="1"/>
      <c r="D4" s="1"/>
      <c r="E4" s="1"/>
      <c r="F4" s="1"/>
      <c r="G4" s="1"/>
      <c r="H4" s="1"/>
      <c r="I4" s="3"/>
      <c r="J4" s="3"/>
      <c r="K4" s="3"/>
      <c r="L4" s="3"/>
      <c r="M4" s="3"/>
      <c r="N4" s="3"/>
      <c r="O4" s="12"/>
      <c r="P4" s="4"/>
      <c r="Q4" s="4"/>
      <c r="R4" s="4"/>
      <c r="S4" s="4"/>
      <c r="T4" s="4"/>
      <c r="U4" s="4"/>
      <c r="V4" s="4"/>
      <c r="W4" s="4"/>
      <c r="X4" s="4"/>
      <c r="Y4" s="4"/>
      <c r="Z4" s="4"/>
    </row>
    <row r="5" ht="19.5" customHeight="1">
      <c r="A5" s="13"/>
      <c r="B5" s="14" t="s">
        <v>1</v>
      </c>
      <c r="O5" s="12"/>
      <c r="P5" s="4"/>
      <c r="Q5" s="4"/>
      <c r="R5" s="4"/>
      <c r="S5" s="4"/>
      <c r="T5" s="4"/>
      <c r="U5" s="4"/>
      <c r="V5" s="4"/>
      <c r="W5" s="4"/>
      <c r="X5" s="4"/>
      <c r="Y5" s="4"/>
      <c r="Z5" s="4"/>
    </row>
    <row r="6" ht="19.5" customHeight="1">
      <c r="A6" s="13"/>
      <c r="O6" s="12"/>
      <c r="P6" s="4"/>
      <c r="Q6" s="4"/>
      <c r="R6" s="4"/>
      <c r="S6" s="4"/>
      <c r="T6" s="4"/>
      <c r="U6" s="4"/>
      <c r="V6" s="4"/>
      <c r="W6" s="4"/>
      <c r="X6" s="4"/>
      <c r="Y6" s="4"/>
      <c r="Z6" s="4"/>
    </row>
    <row r="7" ht="19.5" customHeight="1">
      <c r="A7" s="13"/>
      <c r="O7" s="12"/>
      <c r="P7" s="4"/>
      <c r="Q7" s="4"/>
      <c r="R7" s="4"/>
      <c r="S7" s="4"/>
      <c r="T7" s="4"/>
      <c r="U7" s="4"/>
      <c r="V7" s="4"/>
      <c r="W7" s="4"/>
      <c r="X7" s="4"/>
      <c r="Y7" s="4"/>
      <c r="Z7" s="4"/>
    </row>
    <row r="8" ht="19.5" customHeight="1">
      <c r="A8" s="13"/>
      <c r="O8" s="12"/>
      <c r="P8" s="4"/>
      <c r="Q8" s="4"/>
      <c r="R8" s="4"/>
      <c r="S8" s="4"/>
      <c r="T8" s="4"/>
      <c r="U8" s="4"/>
      <c r="V8" s="4"/>
      <c r="W8" s="4"/>
      <c r="X8" s="4"/>
      <c r="Y8" s="4"/>
      <c r="Z8" s="4"/>
    </row>
    <row r="9" ht="19.5" customHeight="1">
      <c r="A9" s="15"/>
      <c r="O9" s="16"/>
      <c r="P9" s="4"/>
      <c r="Q9" s="4"/>
      <c r="R9" s="4"/>
      <c r="S9" s="4"/>
      <c r="T9" s="4"/>
      <c r="U9" s="4"/>
      <c r="V9" s="4"/>
      <c r="W9" s="4"/>
      <c r="X9" s="4"/>
      <c r="Y9" s="4"/>
      <c r="Z9" s="4"/>
    </row>
    <row r="10" ht="19.5" customHeight="1">
      <c r="A10" s="15"/>
      <c r="B10" s="17"/>
      <c r="C10" s="17"/>
      <c r="D10" s="17"/>
      <c r="E10" s="17"/>
      <c r="F10" s="17"/>
      <c r="G10" s="17"/>
      <c r="H10" s="17"/>
      <c r="I10" s="17"/>
      <c r="J10" s="17"/>
      <c r="K10" s="17"/>
      <c r="L10" s="17"/>
      <c r="M10" s="17"/>
      <c r="N10" s="17"/>
      <c r="O10" s="16"/>
      <c r="P10" s="4"/>
      <c r="Q10" s="4"/>
      <c r="R10" s="4"/>
      <c r="S10" s="4"/>
      <c r="T10" s="4"/>
      <c r="U10" s="4"/>
      <c r="V10" s="4"/>
      <c r="W10" s="4"/>
      <c r="X10" s="4"/>
      <c r="Y10" s="4"/>
      <c r="Z10" s="4"/>
    </row>
    <row r="11" ht="19.5" customHeight="1">
      <c r="A11" s="15"/>
      <c r="B11" s="18"/>
      <c r="C11" s="18"/>
      <c r="D11" s="18"/>
      <c r="E11" s="18"/>
      <c r="F11" s="18"/>
      <c r="G11" s="18"/>
      <c r="H11" s="18"/>
      <c r="I11" s="18"/>
      <c r="J11" s="18"/>
      <c r="K11" s="18"/>
      <c r="L11" s="18"/>
      <c r="M11" s="18"/>
      <c r="N11" s="18"/>
      <c r="O11" s="16"/>
      <c r="P11" s="4"/>
      <c r="Q11" s="4"/>
      <c r="R11" s="4"/>
      <c r="S11" s="4"/>
      <c r="T11" s="4"/>
      <c r="U11" s="4"/>
      <c r="V11" s="4"/>
      <c r="W11" s="4"/>
      <c r="X11" s="4"/>
      <c r="Y11" s="4"/>
      <c r="Z11" s="4"/>
    </row>
    <row r="12" ht="19.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9.5" customHeight="1">
      <c r="A13" s="19">
        <v>1.0</v>
      </c>
      <c r="B13" s="20" t="s">
        <v>2</v>
      </c>
      <c r="C13" s="21"/>
      <c r="D13" s="21"/>
      <c r="E13" s="21"/>
      <c r="F13" s="21"/>
      <c r="G13" s="21"/>
      <c r="H13" s="21"/>
      <c r="I13" s="21"/>
      <c r="J13" s="21"/>
      <c r="K13" s="21"/>
      <c r="L13" s="21"/>
      <c r="M13" s="21"/>
      <c r="N13" s="21"/>
      <c r="O13" s="21"/>
      <c r="P13" s="4"/>
      <c r="Q13" s="4"/>
      <c r="R13" s="4"/>
      <c r="S13" s="4"/>
      <c r="T13" s="4"/>
      <c r="U13" s="4"/>
      <c r="V13" s="4"/>
      <c r="W13" s="4"/>
      <c r="X13" s="4"/>
      <c r="Y13" s="4"/>
      <c r="Z13" s="4"/>
    </row>
    <row r="14" ht="11.25" customHeight="1">
      <c r="A14" s="21"/>
      <c r="B14" s="21"/>
      <c r="C14" s="21"/>
      <c r="D14" s="21"/>
      <c r="E14" s="21"/>
      <c r="F14" s="21"/>
      <c r="G14" s="21"/>
      <c r="H14" s="21"/>
      <c r="I14" s="21"/>
      <c r="J14" s="22"/>
      <c r="K14" s="22"/>
      <c r="L14" s="21"/>
      <c r="M14" s="21"/>
      <c r="N14" s="21"/>
      <c r="O14" s="21"/>
      <c r="P14" s="4"/>
      <c r="Q14" s="4"/>
      <c r="R14" s="4"/>
      <c r="S14" s="4"/>
      <c r="T14" s="4"/>
      <c r="U14" s="4"/>
      <c r="V14" s="4"/>
      <c r="W14" s="4"/>
      <c r="X14" s="4"/>
      <c r="Y14" s="4"/>
      <c r="Z14" s="4"/>
    </row>
    <row r="15" ht="21.75" customHeight="1">
      <c r="A15" s="21"/>
      <c r="B15" s="23" t="s">
        <v>3</v>
      </c>
      <c r="C15" s="24"/>
      <c r="D15" s="25" t="s">
        <v>4</v>
      </c>
      <c r="E15" s="21"/>
      <c r="F15" s="21"/>
      <c r="G15" s="26"/>
      <c r="H15" s="27" t="s">
        <v>5</v>
      </c>
      <c r="I15" s="28"/>
      <c r="J15" s="28"/>
      <c r="K15" s="24"/>
      <c r="L15" s="29"/>
      <c r="M15" s="21"/>
      <c r="N15" s="21"/>
      <c r="O15" s="21"/>
      <c r="P15" s="4"/>
      <c r="Q15" s="4"/>
      <c r="R15" s="4"/>
      <c r="S15" s="4"/>
      <c r="T15" s="4"/>
      <c r="U15" s="4"/>
      <c r="V15" s="4"/>
      <c r="W15" s="4"/>
      <c r="X15" s="4"/>
      <c r="Y15" s="4"/>
      <c r="Z15" s="4"/>
    </row>
    <row r="16" ht="12.75" customHeight="1">
      <c r="A16" s="21"/>
      <c r="B16" s="30"/>
      <c r="C16" s="31"/>
      <c r="D16" s="21"/>
      <c r="E16" s="21"/>
      <c r="F16" s="21"/>
      <c r="G16" s="21"/>
      <c r="H16" s="21"/>
      <c r="I16" s="21"/>
      <c r="J16" s="32"/>
      <c r="K16" s="32"/>
      <c r="L16" s="29"/>
      <c r="M16" s="21"/>
      <c r="N16" s="21"/>
      <c r="O16" s="21"/>
      <c r="P16" s="4"/>
      <c r="Q16" s="4"/>
      <c r="R16" s="4"/>
      <c r="S16" s="4"/>
      <c r="T16" s="4"/>
      <c r="U16" s="4"/>
      <c r="V16" s="4"/>
      <c r="W16" s="4"/>
      <c r="X16" s="4"/>
      <c r="Y16" s="4"/>
      <c r="Z16" s="4"/>
    </row>
    <row r="17" ht="19.5" customHeight="1">
      <c r="A17" s="21"/>
      <c r="B17" s="23" t="s">
        <v>6</v>
      </c>
      <c r="C17" s="24"/>
      <c r="D17" s="33" t="b">
        <v>0</v>
      </c>
      <c r="E17" s="33" t="s">
        <v>7</v>
      </c>
      <c r="F17" s="21"/>
      <c r="G17" s="21"/>
      <c r="H17" s="34" t="b">
        <v>0</v>
      </c>
      <c r="I17" s="34" t="s">
        <v>8</v>
      </c>
      <c r="J17" s="32"/>
      <c r="K17" s="32"/>
      <c r="L17" s="21"/>
      <c r="M17" s="21"/>
      <c r="N17" s="21"/>
      <c r="O17" s="21"/>
      <c r="P17" s="4"/>
      <c r="Q17" s="4"/>
      <c r="R17" s="4"/>
      <c r="S17" s="4"/>
      <c r="T17" s="4"/>
      <c r="U17" s="4"/>
      <c r="V17" s="4"/>
      <c r="W17" s="4"/>
      <c r="X17" s="4"/>
      <c r="Y17" s="4"/>
      <c r="Z17" s="4"/>
    </row>
    <row r="18" ht="6.75" customHeight="1">
      <c r="A18" s="21"/>
      <c r="B18" s="30"/>
      <c r="C18" s="30"/>
      <c r="D18" s="32"/>
      <c r="E18" s="33"/>
      <c r="F18" s="21"/>
      <c r="G18" s="21"/>
      <c r="H18" s="21"/>
      <c r="I18" s="34"/>
      <c r="J18" s="32"/>
      <c r="K18" s="32"/>
      <c r="L18" s="21"/>
      <c r="M18" s="21"/>
      <c r="N18" s="21"/>
      <c r="O18" s="21"/>
      <c r="P18" s="4"/>
      <c r="Q18" s="4"/>
      <c r="R18" s="4"/>
      <c r="S18" s="4"/>
      <c r="T18" s="4"/>
      <c r="U18" s="4"/>
      <c r="V18" s="4"/>
      <c r="W18" s="4"/>
      <c r="X18" s="4"/>
      <c r="Y18" s="4"/>
      <c r="Z18" s="4"/>
    </row>
    <row r="19" ht="19.5" customHeight="1">
      <c r="A19" s="21"/>
      <c r="B19" s="23" t="s">
        <v>9</v>
      </c>
      <c r="C19" s="24"/>
      <c r="D19" s="21" t="b">
        <v>0</v>
      </c>
      <c r="E19" s="34" t="s">
        <v>10</v>
      </c>
      <c r="F19" s="21"/>
      <c r="G19" s="21"/>
      <c r="H19" s="21" t="b">
        <v>0</v>
      </c>
      <c r="I19" s="34" t="s">
        <v>11</v>
      </c>
      <c r="J19" s="21"/>
      <c r="K19" s="22"/>
      <c r="L19" s="21"/>
      <c r="M19" s="21"/>
      <c r="N19" s="21"/>
      <c r="O19" s="21"/>
      <c r="P19" s="4"/>
      <c r="Q19" s="4"/>
      <c r="R19" s="4"/>
      <c r="S19" s="4"/>
      <c r="T19" s="4"/>
      <c r="U19" s="4"/>
      <c r="V19" s="4"/>
      <c r="W19" s="4"/>
      <c r="X19" s="4"/>
      <c r="Y19" s="4"/>
      <c r="Z19" s="4"/>
    </row>
    <row r="20" ht="27.0" customHeight="1">
      <c r="A20" s="21"/>
      <c r="B20" s="21"/>
      <c r="C20" s="21"/>
      <c r="D20" s="21"/>
      <c r="E20" s="21"/>
      <c r="F20" s="21"/>
      <c r="G20" s="21"/>
      <c r="H20" s="26" t="s">
        <v>12</v>
      </c>
      <c r="I20" s="35" t="s">
        <v>13</v>
      </c>
      <c r="J20" s="24"/>
      <c r="K20" s="36"/>
      <c r="L20" s="29"/>
      <c r="M20" s="21"/>
      <c r="N20" s="21"/>
      <c r="O20" s="21"/>
      <c r="P20" s="4"/>
      <c r="Q20" s="4"/>
      <c r="R20" s="4"/>
      <c r="S20" s="4"/>
      <c r="T20" s="4"/>
      <c r="U20" s="4"/>
      <c r="V20" s="4"/>
      <c r="W20" s="4"/>
      <c r="X20" s="4"/>
      <c r="Y20" s="4"/>
      <c r="Z20" s="4"/>
    </row>
    <row r="21" ht="28.5" customHeight="1">
      <c r="A21" s="21"/>
      <c r="B21" s="34"/>
      <c r="C21" s="34"/>
      <c r="D21" s="37"/>
      <c r="E21" s="37"/>
      <c r="F21" s="21"/>
      <c r="G21" s="38"/>
      <c r="H21" s="38"/>
      <c r="I21" s="35" t="s">
        <v>14</v>
      </c>
      <c r="J21" s="24"/>
      <c r="K21" s="36"/>
      <c r="L21" s="29"/>
      <c r="M21" s="21"/>
      <c r="N21" s="21"/>
      <c r="O21" s="21"/>
      <c r="P21" s="39"/>
      <c r="Q21" s="39"/>
      <c r="R21" s="39"/>
      <c r="S21" s="39"/>
      <c r="T21" s="39"/>
      <c r="U21" s="39"/>
      <c r="V21" s="39"/>
      <c r="W21" s="39"/>
      <c r="X21" s="39"/>
      <c r="Y21" s="39"/>
      <c r="Z21" s="39"/>
    </row>
    <row r="22" ht="21.75" customHeight="1">
      <c r="A22" s="21"/>
      <c r="B22" s="34"/>
      <c r="C22" s="34"/>
      <c r="D22" s="37"/>
      <c r="E22" s="37"/>
      <c r="F22" s="21"/>
      <c r="G22" s="38"/>
      <c r="H22" s="38"/>
      <c r="I22" s="38"/>
      <c r="J22" s="38"/>
      <c r="K22" s="40"/>
      <c r="L22" s="21"/>
      <c r="M22" s="21"/>
      <c r="N22" s="21"/>
      <c r="O22" s="21"/>
      <c r="P22" s="39"/>
      <c r="Q22" s="39"/>
      <c r="R22" s="39"/>
      <c r="S22" s="39"/>
      <c r="T22" s="39"/>
      <c r="U22" s="39"/>
      <c r="V22" s="39"/>
      <c r="W22" s="39"/>
      <c r="X22" s="39"/>
      <c r="Y22" s="39"/>
      <c r="Z22" s="39"/>
    </row>
    <row r="23" ht="21.75" customHeight="1">
      <c r="A23" s="21"/>
      <c r="B23" s="23" t="s">
        <v>15</v>
      </c>
      <c r="C23" s="24"/>
      <c r="D23" s="35">
        <v>1.0</v>
      </c>
      <c r="E23" s="35" t="s">
        <v>16</v>
      </c>
      <c r="F23" s="28"/>
      <c r="G23" s="28"/>
      <c r="H23" s="24"/>
      <c r="I23" s="41" t="s">
        <v>17</v>
      </c>
      <c r="J23" s="42"/>
      <c r="K23" s="21"/>
      <c r="L23" s="21"/>
      <c r="M23" s="21"/>
      <c r="N23" s="21"/>
      <c r="O23" s="21"/>
      <c r="P23" s="39"/>
      <c r="Q23" s="39"/>
      <c r="R23" s="39"/>
      <c r="S23" s="39"/>
      <c r="T23" s="39"/>
      <c r="U23" s="39"/>
      <c r="V23" s="39"/>
      <c r="W23" s="39"/>
      <c r="X23" s="39"/>
      <c r="Y23" s="39"/>
      <c r="Z23" s="39"/>
    </row>
    <row r="24" ht="19.5" customHeight="1">
      <c r="A24" s="21"/>
      <c r="B24" s="21"/>
      <c r="C24" s="21"/>
      <c r="D24" s="34">
        <v>2.0</v>
      </c>
      <c r="E24" s="35" t="s">
        <v>18</v>
      </c>
      <c r="F24" s="28"/>
      <c r="G24" s="28"/>
      <c r="H24" s="24"/>
      <c r="I24" s="21"/>
      <c r="J24" s="21"/>
      <c r="K24" s="21"/>
      <c r="L24" s="21"/>
      <c r="M24" s="21"/>
      <c r="N24" s="21"/>
      <c r="O24" s="21"/>
      <c r="P24" s="39"/>
      <c r="Q24" s="39"/>
      <c r="R24" s="39"/>
      <c r="S24" s="39"/>
      <c r="T24" s="39"/>
      <c r="U24" s="39"/>
      <c r="V24" s="39"/>
      <c r="W24" s="39"/>
      <c r="X24" s="39"/>
      <c r="Y24" s="39"/>
      <c r="Z24" s="39"/>
    </row>
    <row r="25" ht="19.5" customHeight="1">
      <c r="A25" s="40"/>
      <c r="B25" s="40"/>
      <c r="C25" s="40"/>
      <c r="D25" s="43">
        <v>3.0</v>
      </c>
      <c r="E25" s="44"/>
      <c r="F25" s="28"/>
      <c r="G25" s="28"/>
      <c r="H25" s="24"/>
      <c r="I25" s="40"/>
      <c r="J25" s="40"/>
      <c r="K25" s="40"/>
      <c r="L25" s="40"/>
      <c r="M25" s="40"/>
      <c r="N25" s="40"/>
      <c r="O25" s="40"/>
      <c r="P25" s="39"/>
      <c r="Q25" s="39"/>
      <c r="R25" s="39"/>
      <c r="S25" s="39"/>
      <c r="T25" s="39"/>
      <c r="U25" s="39"/>
      <c r="V25" s="39"/>
      <c r="W25" s="39"/>
      <c r="X25" s="39"/>
      <c r="Y25" s="39"/>
      <c r="Z25" s="39"/>
    </row>
    <row r="26" ht="19.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9.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9.5" customHeight="1">
      <c r="A28" s="45">
        <v>2.0</v>
      </c>
      <c r="B28" s="46" t="s">
        <v>19</v>
      </c>
      <c r="C28" s="24"/>
      <c r="D28" s="21"/>
      <c r="E28" s="21"/>
      <c r="F28" s="21"/>
      <c r="G28" s="21"/>
      <c r="H28" s="21"/>
      <c r="I28" s="21"/>
      <c r="J28" s="21"/>
      <c r="K28" s="39"/>
      <c r="L28" s="39"/>
      <c r="M28" s="39"/>
      <c r="N28" s="39"/>
      <c r="O28" s="39"/>
      <c r="P28" s="39"/>
      <c r="Q28" s="39"/>
      <c r="R28" s="39"/>
      <c r="S28" s="39"/>
      <c r="T28" s="39"/>
      <c r="U28" s="39"/>
      <c r="V28" s="39"/>
      <c r="W28" s="39"/>
      <c r="X28" s="39"/>
      <c r="Y28" s="39"/>
      <c r="Z28" s="39"/>
    </row>
    <row r="29" ht="19.5" customHeight="1">
      <c r="A29" s="21"/>
      <c r="B29" s="21"/>
      <c r="C29" s="21"/>
      <c r="D29" s="22"/>
      <c r="E29" s="22"/>
      <c r="F29" s="22"/>
      <c r="G29" s="21"/>
      <c r="H29" s="21"/>
      <c r="I29" s="21"/>
      <c r="J29" s="22"/>
      <c r="K29" s="39"/>
      <c r="L29" s="39"/>
      <c r="M29" s="39"/>
      <c r="N29" s="39"/>
      <c r="O29" s="39"/>
      <c r="P29" s="39"/>
      <c r="Q29" s="39"/>
      <c r="R29" s="39"/>
      <c r="S29" s="39"/>
      <c r="T29" s="39"/>
      <c r="U29" s="39"/>
      <c r="V29" s="39"/>
      <c r="W29" s="39"/>
      <c r="X29" s="39"/>
      <c r="Y29" s="39"/>
      <c r="Z29" s="39"/>
    </row>
    <row r="30" ht="19.5" customHeight="1">
      <c r="A30" s="21"/>
      <c r="B30" s="34" t="s">
        <v>20</v>
      </c>
      <c r="C30" s="47"/>
      <c r="D30" s="48" t="s">
        <v>21</v>
      </c>
      <c r="E30" s="49"/>
      <c r="F30" s="50"/>
      <c r="G30" s="21"/>
      <c r="H30" s="51" t="s">
        <v>22</v>
      </c>
      <c r="I30" s="28"/>
      <c r="J30" s="21"/>
      <c r="K30" s="39"/>
      <c r="L30" s="39"/>
      <c r="M30" s="39"/>
      <c r="N30" s="39"/>
      <c r="O30" s="39"/>
      <c r="P30" s="39"/>
      <c r="Q30" s="39"/>
      <c r="R30" s="39"/>
      <c r="S30" s="39"/>
      <c r="T30" s="39"/>
      <c r="U30" s="39"/>
      <c r="V30" s="39"/>
      <c r="W30" s="39"/>
      <c r="X30" s="39"/>
      <c r="Y30" s="39"/>
      <c r="Z30" s="39"/>
    </row>
    <row r="31" ht="21.75" customHeight="1">
      <c r="A31" s="21"/>
      <c r="B31" s="52" t="s">
        <v>23</v>
      </c>
      <c r="C31" s="28"/>
      <c r="D31" s="28"/>
      <c r="E31" s="24"/>
      <c r="F31" s="53" t="b">
        <v>0</v>
      </c>
      <c r="G31" s="21"/>
      <c r="H31" s="21"/>
      <c r="I31" s="21"/>
      <c r="J31" s="32"/>
      <c r="K31" s="39"/>
      <c r="L31" s="39"/>
      <c r="M31" s="39"/>
      <c r="N31" s="39"/>
      <c r="O31" s="39"/>
      <c r="P31" s="39"/>
      <c r="Q31" s="39"/>
      <c r="R31" s="39"/>
      <c r="S31" s="39"/>
      <c r="T31" s="39"/>
      <c r="U31" s="39"/>
      <c r="V31" s="39"/>
      <c r="W31" s="39"/>
      <c r="X31" s="39"/>
      <c r="Y31" s="39"/>
      <c r="Z31" s="39"/>
    </row>
    <row r="32" ht="10.5" customHeight="1">
      <c r="A32" s="21"/>
      <c r="B32" s="54"/>
      <c r="C32" s="55"/>
      <c r="D32" s="55"/>
      <c r="E32" s="56"/>
      <c r="F32" s="57"/>
      <c r="G32" s="22"/>
      <c r="H32" s="22"/>
      <c r="I32" s="22"/>
      <c r="J32" s="21"/>
      <c r="K32" s="39"/>
      <c r="L32" s="39"/>
      <c r="M32" s="39"/>
      <c r="N32" s="39"/>
      <c r="O32" s="39"/>
      <c r="P32" s="39"/>
      <c r="Q32" s="39"/>
      <c r="R32" s="39"/>
      <c r="S32" s="39"/>
      <c r="T32" s="39"/>
      <c r="U32" s="39"/>
      <c r="V32" s="39"/>
      <c r="W32" s="39"/>
      <c r="X32" s="39"/>
      <c r="Y32" s="39"/>
      <c r="Z32" s="39"/>
    </row>
    <row r="33" ht="19.5" customHeight="1">
      <c r="A33" s="21"/>
      <c r="B33" s="34" t="s">
        <v>24</v>
      </c>
      <c r="C33" s="21"/>
      <c r="D33" s="58" t="b">
        <v>0</v>
      </c>
      <c r="E33" s="59" t="s">
        <v>25</v>
      </c>
      <c r="I33" s="60"/>
      <c r="J33" s="29"/>
      <c r="K33" s="39"/>
      <c r="L33" s="39"/>
      <c r="M33" s="39"/>
      <c r="N33" s="39"/>
      <c r="O33" s="39"/>
      <c r="P33" s="39"/>
      <c r="Q33" s="39"/>
      <c r="R33" s="39"/>
      <c r="S33" s="39"/>
      <c r="T33" s="39"/>
      <c r="U33" s="39"/>
      <c r="V33" s="39"/>
      <c r="W33" s="39"/>
      <c r="X33" s="39"/>
      <c r="Y33" s="39"/>
      <c r="Z33" s="39"/>
    </row>
    <row r="34" ht="19.5" customHeight="1">
      <c r="A34" s="21"/>
      <c r="B34" s="61" t="s">
        <v>26</v>
      </c>
      <c r="C34" s="21"/>
      <c r="D34" s="62" t="b">
        <v>0</v>
      </c>
      <c r="E34" s="59" t="s">
        <v>27</v>
      </c>
      <c r="I34" s="60"/>
      <c r="J34" s="29"/>
      <c r="K34" s="39"/>
      <c r="L34" s="39"/>
      <c r="M34" s="39"/>
      <c r="N34" s="39"/>
      <c r="O34" s="39"/>
      <c r="P34" s="39"/>
      <c r="Q34" s="39"/>
      <c r="R34" s="39"/>
      <c r="S34" s="39"/>
      <c r="T34" s="39"/>
      <c r="U34" s="39"/>
      <c r="V34" s="39"/>
      <c r="W34" s="39"/>
      <c r="X34" s="39"/>
      <c r="Y34" s="39"/>
      <c r="Z34" s="39"/>
    </row>
    <row r="35" ht="19.5" customHeight="1">
      <c r="A35" s="21"/>
      <c r="B35" s="21"/>
      <c r="C35" s="21"/>
      <c r="D35" s="62" t="b">
        <v>0</v>
      </c>
      <c r="E35" s="59" t="s">
        <v>28</v>
      </c>
      <c r="I35" s="60"/>
      <c r="J35" s="29"/>
      <c r="K35" s="39"/>
      <c r="L35" s="39"/>
      <c r="M35" s="39"/>
      <c r="N35" s="39"/>
      <c r="O35" s="39"/>
      <c r="P35" s="39"/>
      <c r="Q35" s="39"/>
      <c r="R35" s="39"/>
      <c r="S35" s="39"/>
      <c r="T35" s="39"/>
      <c r="U35" s="39"/>
      <c r="V35" s="39"/>
      <c r="W35" s="39"/>
      <c r="X35" s="39"/>
      <c r="Y35" s="39"/>
      <c r="Z35" s="39"/>
    </row>
    <row r="36" ht="19.5" customHeight="1">
      <c r="A36" s="21"/>
      <c r="B36" s="21"/>
      <c r="C36" s="21"/>
      <c r="D36" s="62" t="b">
        <v>0</v>
      </c>
      <c r="E36" s="59" t="s">
        <v>29</v>
      </c>
      <c r="I36" s="60"/>
      <c r="J36" s="29"/>
      <c r="K36" s="39"/>
      <c r="L36" s="39"/>
      <c r="M36" s="39"/>
      <c r="N36" s="39"/>
      <c r="O36" s="39"/>
      <c r="P36" s="39"/>
      <c r="Q36" s="39"/>
      <c r="R36" s="39"/>
      <c r="S36" s="39"/>
      <c r="T36" s="39"/>
      <c r="U36" s="39"/>
      <c r="V36" s="39"/>
      <c r="W36" s="39"/>
      <c r="X36" s="39"/>
      <c r="Y36" s="39"/>
      <c r="Z36" s="39"/>
    </row>
    <row r="37" ht="19.5" customHeight="1">
      <c r="A37" s="21"/>
      <c r="B37" s="21"/>
      <c r="C37" s="21"/>
      <c r="D37" s="62" t="b">
        <v>0</v>
      </c>
      <c r="E37" s="59" t="s">
        <v>30</v>
      </c>
      <c r="I37" s="60"/>
      <c r="J37" s="29"/>
      <c r="K37" s="39"/>
      <c r="L37" s="39"/>
      <c r="M37" s="39"/>
      <c r="N37" s="39"/>
      <c r="O37" s="39"/>
      <c r="P37" s="39"/>
      <c r="Q37" s="39"/>
      <c r="R37" s="39"/>
      <c r="S37" s="39"/>
      <c r="T37" s="39"/>
      <c r="U37" s="39"/>
      <c r="V37" s="39"/>
      <c r="W37" s="39"/>
      <c r="X37" s="39"/>
      <c r="Y37" s="39"/>
      <c r="Z37" s="39"/>
    </row>
    <row r="38" ht="19.5" customHeight="1">
      <c r="A38" s="21"/>
      <c r="B38" s="21"/>
      <c r="C38" s="21"/>
      <c r="D38" s="62" t="b">
        <v>0</v>
      </c>
      <c r="E38" s="59" t="s">
        <v>31</v>
      </c>
      <c r="I38" s="60"/>
      <c r="J38" s="29"/>
      <c r="K38" s="39"/>
      <c r="L38" s="39"/>
      <c r="M38" s="39"/>
      <c r="N38" s="39"/>
      <c r="O38" s="39"/>
      <c r="P38" s="39"/>
      <c r="Q38" s="39"/>
      <c r="R38" s="39"/>
      <c r="S38" s="39"/>
      <c r="T38" s="39"/>
      <c r="U38" s="39"/>
      <c r="V38" s="39"/>
      <c r="W38" s="39"/>
      <c r="X38" s="39"/>
      <c r="Y38" s="39"/>
      <c r="Z38" s="39"/>
    </row>
    <row r="39" ht="19.5" customHeight="1">
      <c r="A39" s="21"/>
      <c r="B39" s="21"/>
      <c r="C39" s="21"/>
      <c r="D39" s="62" t="b">
        <v>0</v>
      </c>
      <c r="E39" s="59" t="s">
        <v>32</v>
      </c>
      <c r="I39" s="60"/>
      <c r="J39" s="29"/>
      <c r="K39" s="39"/>
      <c r="L39" s="39"/>
      <c r="M39" s="39"/>
      <c r="N39" s="39"/>
      <c r="O39" s="39"/>
      <c r="P39" s="39"/>
      <c r="Q39" s="39"/>
      <c r="R39" s="39"/>
      <c r="S39" s="39"/>
      <c r="T39" s="39"/>
      <c r="U39" s="39"/>
      <c r="V39" s="39"/>
      <c r="W39" s="39"/>
      <c r="X39" s="39"/>
      <c r="Y39" s="39"/>
      <c r="Z39" s="39"/>
    </row>
    <row r="40" ht="19.5" customHeight="1">
      <c r="A40" s="21"/>
      <c r="B40" s="21"/>
      <c r="C40" s="21"/>
      <c r="D40" s="62" t="b">
        <v>0</v>
      </c>
      <c r="E40" s="59" t="s">
        <v>33</v>
      </c>
      <c r="I40" s="60"/>
      <c r="J40" s="29"/>
      <c r="K40" s="39"/>
      <c r="L40" s="39"/>
      <c r="M40" s="39"/>
      <c r="N40" s="39"/>
      <c r="O40" s="39"/>
      <c r="P40" s="39"/>
      <c r="Q40" s="39"/>
      <c r="R40" s="39"/>
      <c r="S40" s="39"/>
      <c r="T40" s="39"/>
      <c r="U40" s="39"/>
      <c r="V40" s="39"/>
      <c r="W40" s="39"/>
      <c r="X40" s="39"/>
      <c r="Y40" s="39"/>
      <c r="Z40" s="39"/>
    </row>
    <row r="41" ht="19.5" customHeight="1">
      <c r="A41" s="21"/>
      <c r="B41" s="21"/>
      <c r="C41" s="21"/>
      <c r="D41" s="62" t="b">
        <v>0</v>
      </c>
      <c r="E41" s="59" t="s">
        <v>34</v>
      </c>
      <c r="I41" s="60"/>
      <c r="J41" s="29"/>
      <c r="K41" s="39"/>
      <c r="L41" s="39"/>
      <c r="M41" s="39"/>
      <c r="N41" s="39"/>
      <c r="O41" s="39"/>
      <c r="P41" s="39"/>
      <c r="Q41" s="39"/>
      <c r="R41" s="39"/>
      <c r="S41" s="39"/>
      <c r="T41" s="39"/>
      <c r="U41" s="39"/>
      <c r="V41" s="39"/>
      <c r="W41" s="39"/>
      <c r="X41" s="39"/>
      <c r="Y41" s="39"/>
      <c r="Z41" s="39"/>
    </row>
    <row r="42" ht="19.5" customHeight="1">
      <c r="A42" s="21"/>
      <c r="B42" s="21"/>
      <c r="C42" s="21"/>
      <c r="D42" s="62" t="b">
        <v>0</v>
      </c>
      <c r="E42" s="59" t="s">
        <v>35</v>
      </c>
      <c r="I42" s="60"/>
      <c r="J42" s="29"/>
      <c r="K42" s="39"/>
      <c r="L42" s="39"/>
      <c r="M42" s="39"/>
      <c r="N42" s="39"/>
      <c r="O42" s="39"/>
      <c r="P42" s="39"/>
      <c r="Q42" s="39"/>
      <c r="R42" s="39"/>
      <c r="S42" s="39"/>
      <c r="T42" s="39"/>
      <c r="U42" s="39"/>
      <c r="V42" s="39"/>
      <c r="W42" s="39"/>
      <c r="X42" s="39"/>
      <c r="Y42" s="39"/>
      <c r="Z42" s="39"/>
    </row>
    <row r="43" ht="19.5" customHeight="1">
      <c r="A43" s="21"/>
      <c r="B43" s="21"/>
      <c r="C43" s="21"/>
      <c r="D43" s="62" t="b">
        <v>0</v>
      </c>
      <c r="E43" s="59" t="s">
        <v>36</v>
      </c>
      <c r="I43" s="60"/>
      <c r="J43" s="29"/>
      <c r="K43" s="39"/>
      <c r="L43" s="39"/>
      <c r="M43" s="39"/>
      <c r="N43" s="39"/>
      <c r="O43" s="39"/>
      <c r="P43" s="39"/>
      <c r="Q43" s="39"/>
      <c r="R43" s="39"/>
      <c r="S43" s="39"/>
      <c r="T43" s="39"/>
      <c r="U43" s="39"/>
      <c r="V43" s="39"/>
      <c r="W43" s="39"/>
      <c r="X43" s="39"/>
      <c r="Y43" s="39"/>
      <c r="Z43" s="39"/>
    </row>
    <row r="44" ht="19.5" customHeight="1">
      <c r="A44" s="21"/>
      <c r="B44" s="21"/>
      <c r="C44" s="21"/>
      <c r="D44" s="62" t="b">
        <v>0</v>
      </c>
      <c r="E44" s="59" t="s">
        <v>37</v>
      </c>
      <c r="I44" s="60"/>
      <c r="J44" s="29"/>
      <c r="K44" s="39"/>
      <c r="L44" s="39"/>
      <c r="M44" s="39"/>
      <c r="N44" s="39"/>
      <c r="O44" s="39"/>
      <c r="P44" s="39"/>
      <c r="Q44" s="39"/>
      <c r="R44" s="39"/>
      <c r="S44" s="39"/>
      <c r="T44" s="39"/>
      <c r="U44" s="39"/>
      <c r="V44" s="39"/>
      <c r="W44" s="39"/>
      <c r="X44" s="39"/>
      <c r="Y44" s="39"/>
      <c r="Z44" s="39"/>
    </row>
    <row r="45" ht="19.5" customHeight="1">
      <c r="A45" s="21"/>
      <c r="B45" s="21"/>
      <c r="C45" s="21"/>
      <c r="D45" s="62" t="b">
        <v>0</v>
      </c>
      <c r="E45" s="59" t="s">
        <v>38</v>
      </c>
      <c r="I45" s="60"/>
      <c r="J45" s="29"/>
      <c r="K45" s="39"/>
      <c r="L45" s="39"/>
      <c r="M45" s="39"/>
      <c r="N45" s="39"/>
      <c r="O45" s="39"/>
      <c r="P45" s="39"/>
      <c r="Q45" s="39"/>
      <c r="R45" s="39"/>
      <c r="S45" s="39"/>
      <c r="T45" s="39"/>
      <c r="U45" s="39"/>
      <c r="V45" s="39"/>
      <c r="W45" s="39"/>
      <c r="X45" s="39"/>
      <c r="Y45" s="39"/>
      <c r="Z45" s="39"/>
    </row>
    <row r="46" ht="19.5" customHeight="1">
      <c r="A46" s="21"/>
      <c r="B46" s="21"/>
      <c r="C46" s="21"/>
      <c r="D46" s="62" t="b">
        <v>0</v>
      </c>
      <c r="E46" s="59" t="s">
        <v>39</v>
      </c>
      <c r="I46" s="60"/>
      <c r="J46" s="29"/>
      <c r="K46" s="39"/>
      <c r="L46" s="39"/>
      <c r="M46" s="39"/>
      <c r="N46" s="39"/>
      <c r="O46" s="39"/>
      <c r="P46" s="39"/>
      <c r="Q46" s="39"/>
      <c r="R46" s="39"/>
      <c r="S46" s="39"/>
      <c r="T46" s="39"/>
      <c r="U46" s="39"/>
      <c r="V46" s="39"/>
      <c r="W46" s="39"/>
      <c r="X46" s="39"/>
      <c r="Y46" s="39"/>
      <c r="Z46" s="39"/>
    </row>
    <row r="47" ht="19.5" customHeight="1">
      <c r="A47" s="21"/>
      <c r="B47" s="21"/>
      <c r="C47" s="21"/>
      <c r="D47" s="62" t="b">
        <v>0</v>
      </c>
      <c r="E47" s="59" t="s">
        <v>40</v>
      </c>
      <c r="I47" s="60"/>
      <c r="J47" s="29"/>
      <c r="K47" s="39"/>
      <c r="L47" s="39"/>
      <c r="M47" s="39"/>
      <c r="N47" s="39"/>
      <c r="O47" s="39"/>
      <c r="P47" s="39"/>
      <c r="Q47" s="39"/>
      <c r="R47" s="39"/>
      <c r="S47" s="39"/>
      <c r="T47" s="39"/>
      <c r="U47" s="39"/>
      <c r="V47" s="39"/>
      <c r="W47" s="39"/>
      <c r="X47" s="39"/>
      <c r="Y47" s="39"/>
      <c r="Z47" s="39"/>
    </row>
    <row r="48" ht="19.5" customHeight="1">
      <c r="A48" s="21"/>
      <c r="B48" s="21"/>
      <c r="C48" s="21"/>
      <c r="D48" s="62" t="b">
        <v>0</v>
      </c>
      <c r="E48" s="59" t="s">
        <v>41</v>
      </c>
      <c r="I48" s="60"/>
      <c r="J48" s="29"/>
      <c r="K48" s="39"/>
      <c r="L48" s="39"/>
      <c r="M48" s="39"/>
      <c r="N48" s="39"/>
      <c r="O48" s="39"/>
      <c r="P48" s="39"/>
      <c r="Q48" s="39"/>
      <c r="R48" s="39"/>
      <c r="S48" s="39"/>
      <c r="T48" s="39"/>
      <c r="U48" s="39"/>
      <c r="V48" s="39"/>
      <c r="W48" s="39"/>
      <c r="X48" s="39"/>
      <c r="Y48" s="39"/>
      <c r="Z48" s="39"/>
    </row>
    <row r="49" ht="19.5" customHeight="1">
      <c r="A49" s="21"/>
      <c r="B49" s="21"/>
      <c r="C49" s="21"/>
      <c r="D49" s="62" t="b">
        <v>0</v>
      </c>
      <c r="E49" s="63"/>
      <c r="I49" s="60"/>
      <c r="J49" s="29"/>
      <c r="K49" s="39"/>
      <c r="L49" s="39"/>
      <c r="M49" s="39"/>
      <c r="N49" s="39"/>
      <c r="O49" s="39"/>
      <c r="P49" s="39"/>
      <c r="Q49" s="39"/>
      <c r="R49" s="39"/>
      <c r="S49" s="39"/>
      <c r="T49" s="39"/>
      <c r="U49" s="39"/>
      <c r="V49" s="39"/>
      <c r="W49" s="39"/>
      <c r="X49" s="39"/>
      <c r="Y49" s="39"/>
      <c r="Z49" s="39"/>
    </row>
    <row r="50" ht="19.5" customHeight="1">
      <c r="A50" s="21"/>
      <c r="B50" s="21"/>
      <c r="C50" s="21"/>
      <c r="D50" s="62" t="b">
        <v>0</v>
      </c>
      <c r="E50" s="63"/>
      <c r="I50" s="60"/>
      <c r="J50" s="29"/>
      <c r="K50" s="39"/>
      <c r="L50" s="39"/>
      <c r="M50" s="39"/>
      <c r="N50" s="39"/>
      <c r="O50" s="39"/>
      <c r="P50" s="39"/>
      <c r="Q50" s="39"/>
      <c r="R50" s="39"/>
      <c r="S50" s="39"/>
      <c r="T50" s="39"/>
      <c r="U50" s="39"/>
      <c r="V50" s="39"/>
      <c r="W50" s="39"/>
      <c r="X50" s="39"/>
      <c r="Y50" s="39"/>
      <c r="Z50" s="39"/>
    </row>
    <row r="51" ht="19.5" customHeight="1">
      <c r="A51" s="21"/>
      <c r="B51" s="21"/>
      <c r="C51" s="21"/>
      <c r="D51" s="62" t="b">
        <v>0</v>
      </c>
      <c r="E51" s="63"/>
      <c r="I51" s="60"/>
      <c r="J51" s="29"/>
      <c r="K51" s="39"/>
      <c r="L51" s="39"/>
      <c r="M51" s="39"/>
      <c r="N51" s="39"/>
      <c r="O51" s="39"/>
      <c r="P51" s="39"/>
      <c r="Q51" s="39"/>
      <c r="R51" s="39"/>
      <c r="S51" s="39"/>
      <c r="T51" s="39"/>
      <c r="U51" s="39"/>
      <c r="V51" s="39"/>
      <c r="W51" s="39"/>
      <c r="X51" s="39"/>
      <c r="Y51" s="39"/>
      <c r="Z51" s="39"/>
    </row>
    <row r="52" ht="19.5" customHeight="1">
      <c r="A52" s="21"/>
      <c r="B52" s="21"/>
      <c r="C52" s="21"/>
      <c r="D52" s="62" t="b">
        <v>0</v>
      </c>
      <c r="E52" s="63"/>
      <c r="I52" s="60"/>
      <c r="J52" s="29"/>
      <c r="K52" s="39"/>
      <c r="L52" s="39"/>
      <c r="M52" s="39"/>
      <c r="N52" s="39"/>
      <c r="O52" s="39"/>
      <c r="P52" s="39"/>
      <c r="Q52" s="39"/>
      <c r="R52" s="39"/>
      <c r="S52" s="39"/>
      <c r="T52" s="39"/>
      <c r="U52" s="39"/>
      <c r="V52" s="39"/>
      <c r="W52" s="39"/>
      <c r="X52" s="39"/>
      <c r="Y52" s="39"/>
      <c r="Z52" s="39"/>
    </row>
    <row r="53" ht="19.5" customHeight="1">
      <c r="A53" s="21"/>
      <c r="B53" s="21"/>
      <c r="C53" s="21"/>
      <c r="D53" s="62" t="b">
        <v>0</v>
      </c>
      <c r="E53" s="63"/>
      <c r="I53" s="60"/>
      <c r="J53" s="29"/>
      <c r="K53" s="39"/>
      <c r="L53" s="39"/>
      <c r="M53" s="39"/>
      <c r="N53" s="39"/>
      <c r="O53" s="39"/>
      <c r="P53" s="39"/>
      <c r="Q53" s="39"/>
      <c r="R53" s="39"/>
      <c r="S53" s="39"/>
      <c r="T53" s="39"/>
      <c r="U53" s="39"/>
      <c r="V53" s="39"/>
      <c r="W53" s="39"/>
      <c r="X53" s="39"/>
      <c r="Y53" s="39"/>
      <c r="Z53" s="39"/>
    </row>
    <row r="54" ht="19.5" customHeight="1">
      <c r="A54" s="21"/>
      <c r="B54" s="21"/>
      <c r="C54" s="21"/>
      <c r="D54" s="62" t="b">
        <v>0</v>
      </c>
      <c r="E54" s="63"/>
      <c r="I54" s="60"/>
      <c r="J54" s="29"/>
      <c r="K54" s="39"/>
      <c r="L54" s="39"/>
      <c r="M54" s="39"/>
      <c r="N54" s="39"/>
      <c r="O54" s="39"/>
      <c r="P54" s="39"/>
      <c r="Q54" s="39"/>
      <c r="R54" s="39"/>
      <c r="S54" s="39"/>
      <c r="T54" s="39"/>
      <c r="U54" s="39"/>
      <c r="V54" s="39"/>
      <c r="W54" s="39"/>
      <c r="X54" s="39"/>
      <c r="Y54" s="39"/>
      <c r="Z54" s="39"/>
    </row>
    <row r="55" ht="19.5" customHeight="1">
      <c r="A55" s="21"/>
      <c r="B55" s="21"/>
      <c r="C55" s="21"/>
      <c r="D55" s="62" t="b">
        <v>0</v>
      </c>
      <c r="E55" s="64"/>
      <c r="F55" s="49"/>
      <c r="G55" s="49"/>
      <c r="H55" s="49"/>
      <c r="I55" s="50"/>
      <c r="J55" s="29"/>
      <c r="K55" s="39"/>
      <c r="L55" s="39"/>
      <c r="M55" s="39"/>
      <c r="N55" s="39"/>
      <c r="O55" s="39"/>
      <c r="P55" s="39"/>
      <c r="Q55" s="39"/>
      <c r="R55" s="39"/>
      <c r="S55" s="39"/>
      <c r="T55" s="39"/>
      <c r="U55" s="39"/>
      <c r="V55" s="39"/>
      <c r="W55" s="39"/>
      <c r="X55" s="39"/>
      <c r="Y55" s="39"/>
      <c r="Z55" s="39"/>
    </row>
    <row r="56" ht="19.5" customHeight="1">
      <c r="A56" s="21"/>
      <c r="B56" s="21"/>
      <c r="C56" s="21"/>
      <c r="D56" s="21"/>
      <c r="E56" s="32"/>
      <c r="F56" s="32"/>
      <c r="G56" s="32"/>
      <c r="H56" s="32"/>
      <c r="I56" s="32"/>
      <c r="J56" s="21"/>
      <c r="K56" s="39"/>
      <c r="L56" s="39"/>
      <c r="M56" s="39"/>
      <c r="N56" s="39"/>
      <c r="O56" s="39"/>
      <c r="P56" s="39"/>
      <c r="Q56" s="39"/>
      <c r="R56" s="39"/>
      <c r="S56" s="39"/>
      <c r="T56" s="39"/>
      <c r="U56" s="4"/>
      <c r="V56" s="4"/>
      <c r="W56" s="4"/>
      <c r="X56" s="4"/>
      <c r="Y56" s="4"/>
      <c r="Z56" s="4"/>
    </row>
    <row r="57" ht="19.5" customHeight="1">
      <c r="A57" s="4"/>
      <c r="B57" s="4"/>
      <c r="C57" s="4"/>
      <c r="D57" s="4"/>
      <c r="E57" s="4"/>
      <c r="F57" s="4"/>
      <c r="G57" s="4"/>
      <c r="H57" s="4"/>
      <c r="I57" s="39"/>
      <c r="J57" s="39"/>
      <c r="K57" s="39"/>
      <c r="L57" s="39"/>
      <c r="M57" s="39"/>
      <c r="N57" s="39"/>
      <c r="O57" s="39"/>
      <c r="P57" s="39"/>
      <c r="Q57" s="39"/>
      <c r="R57" s="39"/>
      <c r="S57" s="39"/>
      <c r="T57" s="39"/>
      <c r="U57" s="4"/>
      <c r="V57" s="4"/>
      <c r="W57" s="4"/>
      <c r="X57" s="4"/>
      <c r="Y57" s="4"/>
      <c r="Z57" s="4"/>
    </row>
    <row r="58" ht="19.5" customHeight="1">
      <c r="A58" s="65">
        <v>2.0</v>
      </c>
      <c r="B58" s="66" t="s">
        <v>42</v>
      </c>
      <c r="C58" s="67"/>
      <c r="D58" s="68"/>
      <c r="E58" s="68"/>
      <c r="F58" s="68"/>
      <c r="G58" s="68"/>
      <c r="H58" s="68"/>
      <c r="I58" s="68"/>
      <c r="J58" s="68"/>
      <c r="K58" s="39"/>
      <c r="L58" s="39"/>
      <c r="M58" s="39"/>
      <c r="N58" s="39"/>
      <c r="O58" s="39"/>
      <c r="P58" s="39"/>
      <c r="Q58" s="39"/>
      <c r="R58" s="39"/>
      <c r="S58" s="39"/>
      <c r="T58" s="39"/>
      <c r="U58" s="4"/>
      <c r="V58" s="4"/>
      <c r="W58" s="4"/>
      <c r="X58" s="4"/>
      <c r="Y58" s="4"/>
      <c r="Z58" s="4"/>
    </row>
    <row r="59" ht="19.5" customHeight="1">
      <c r="A59" s="68"/>
      <c r="B59" s="68"/>
      <c r="C59" s="68"/>
      <c r="D59" s="68"/>
      <c r="E59" s="68"/>
      <c r="F59" s="68"/>
      <c r="G59" s="68"/>
      <c r="H59" s="68"/>
      <c r="I59" s="68"/>
      <c r="J59" s="68"/>
      <c r="K59" s="39"/>
      <c r="L59" s="39"/>
      <c r="M59" s="39"/>
      <c r="N59" s="39"/>
      <c r="O59" s="39"/>
      <c r="P59" s="39"/>
      <c r="Q59" s="39"/>
      <c r="R59" s="39"/>
      <c r="S59" s="39"/>
      <c r="T59" s="39"/>
      <c r="U59" s="4"/>
      <c r="V59" s="4"/>
      <c r="W59" s="4"/>
      <c r="X59" s="4"/>
      <c r="Y59" s="4"/>
      <c r="Z59" s="4"/>
    </row>
    <row r="60" ht="19.5" customHeight="1">
      <c r="A60" s="68"/>
      <c r="B60" s="69" t="s">
        <v>43</v>
      </c>
      <c r="C60" s="70"/>
      <c r="D60" s="70"/>
      <c r="E60" s="71" t="s">
        <v>44</v>
      </c>
      <c r="F60" s="49"/>
      <c r="G60" s="49"/>
      <c r="H60" s="49"/>
      <c r="I60" s="50"/>
      <c r="J60" s="68"/>
      <c r="K60" s="39"/>
      <c r="L60" s="39"/>
      <c r="M60" s="39"/>
      <c r="N60" s="39"/>
      <c r="O60" s="39"/>
      <c r="P60" s="39"/>
      <c r="Q60" s="39"/>
      <c r="R60" s="39"/>
      <c r="S60" s="39"/>
      <c r="T60" s="39"/>
      <c r="U60" s="4"/>
      <c r="V60" s="4"/>
      <c r="W60" s="4"/>
      <c r="X60" s="4"/>
      <c r="Y60" s="4"/>
      <c r="Z60" s="4"/>
    </row>
    <row r="61" ht="19.5" customHeight="1">
      <c r="A61" s="68"/>
      <c r="B61" s="72" t="s">
        <v>45</v>
      </c>
      <c r="C61" s="73"/>
      <c r="D61" s="67"/>
      <c r="E61" s="71" t="s">
        <v>46</v>
      </c>
      <c r="F61" s="49"/>
      <c r="G61" s="49"/>
      <c r="H61" s="49"/>
      <c r="I61" s="50"/>
      <c r="J61" s="68"/>
      <c r="K61" s="39"/>
      <c r="L61" s="39"/>
      <c r="M61" s="39"/>
      <c r="N61" s="39"/>
      <c r="O61" s="39"/>
      <c r="P61" s="39"/>
      <c r="Q61" s="39"/>
      <c r="R61" s="39"/>
      <c r="S61" s="39"/>
      <c r="T61" s="39"/>
      <c r="U61" s="4"/>
      <c r="V61" s="4"/>
      <c r="W61" s="4"/>
      <c r="X61" s="4"/>
      <c r="Y61" s="4"/>
      <c r="Z61" s="4"/>
    </row>
    <row r="62" ht="19.5" customHeight="1">
      <c r="A62" s="68"/>
      <c r="B62" s="72" t="s">
        <v>47</v>
      </c>
      <c r="C62" s="73"/>
      <c r="D62" s="67"/>
      <c r="E62" s="71" t="s">
        <v>48</v>
      </c>
      <c r="F62" s="49"/>
      <c r="G62" s="49"/>
      <c r="H62" s="49"/>
      <c r="I62" s="50"/>
      <c r="J62" s="68"/>
      <c r="K62" s="39"/>
      <c r="L62" s="39"/>
      <c r="M62" s="39"/>
      <c r="N62" s="39"/>
      <c r="O62" s="39"/>
      <c r="P62" s="39"/>
      <c r="Q62" s="39"/>
      <c r="R62" s="39"/>
      <c r="S62" s="39"/>
      <c r="T62" s="39"/>
      <c r="U62" s="4"/>
      <c r="V62" s="4"/>
      <c r="W62" s="4"/>
      <c r="X62" s="4"/>
      <c r="Y62" s="4"/>
      <c r="Z62" s="4"/>
    </row>
    <row r="63" ht="19.5" customHeight="1">
      <c r="A63" s="68"/>
      <c r="B63" s="72" t="s">
        <v>49</v>
      </c>
      <c r="C63" s="73"/>
      <c r="D63" s="67"/>
      <c r="E63" s="71" t="s">
        <v>50</v>
      </c>
      <c r="F63" s="49"/>
      <c r="G63" s="49"/>
      <c r="H63" s="49"/>
      <c r="I63" s="50"/>
      <c r="J63" s="68"/>
      <c r="K63" s="39"/>
      <c r="L63" s="39"/>
      <c r="M63" s="39"/>
      <c r="N63" s="39"/>
      <c r="O63" s="39"/>
      <c r="P63" s="39"/>
      <c r="Q63" s="39"/>
      <c r="R63" s="39"/>
      <c r="S63" s="39"/>
      <c r="T63" s="39"/>
      <c r="U63" s="4"/>
      <c r="V63" s="4"/>
      <c r="W63" s="4"/>
      <c r="X63" s="4"/>
      <c r="Y63" s="4"/>
      <c r="Z63" s="4"/>
    </row>
    <row r="64" ht="19.5" customHeight="1">
      <c r="A64" s="68"/>
      <c r="B64" s="72" t="s">
        <v>51</v>
      </c>
      <c r="C64" s="73"/>
      <c r="D64" s="67"/>
      <c r="E64" s="71" t="s">
        <v>52</v>
      </c>
      <c r="F64" s="49"/>
      <c r="G64" s="49"/>
      <c r="H64" s="49"/>
      <c r="I64" s="50"/>
      <c r="J64" s="68"/>
      <c r="K64" s="39"/>
      <c r="L64" s="39"/>
      <c r="M64" s="39"/>
      <c r="N64" s="39"/>
      <c r="O64" s="39"/>
      <c r="P64" s="39"/>
      <c r="Q64" s="39"/>
      <c r="R64" s="39"/>
      <c r="S64" s="39"/>
      <c r="T64" s="39"/>
      <c r="U64" s="4"/>
      <c r="V64" s="4"/>
      <c r="W64" s="4"/>
      <c r="X64" s="4"/>
      <c r="Y64" s="4"/>
      <c r="Z64" s="4"/>
    </row>
    <row r="65" ht="19.5" customHeight="1">
      <c r="A65" s="68"/>
      <c r="B65" s="74" t="s">
        <v>53</v>
      </c>
      <c r="C65" s="73"/>
      <c r="D65" s="67"/>
      <c r="E65" s="68"/>
      <c r="F65" s="68"/>
      <c r="G65" s="68"/>
      <c r="H65" s="68"/>
      <c r="I65" s="68"/>
      <c r="J65" s="68"/>
      <c r="K65" s="39"/>
      <c r="L65" s="39"/>
      <c r="M65" s="39"/>
      <c r="N65" s="39"/>
      <c r="O65" s="39"/>
      <c r="P65" s="39"/>
      <c r="Q65" s="39"/>
      <c r="R65" s="39"/>
      <c r="S65" s="39"/>
      <c r="T65" s="39"/>
      <c r="U65" s="4"/>
      <c r="V65" s="4"/>
      <c r="W65" s="4"/>
      <c r="X65" s="4"/>
      <c r="Y65" s="4"/>
      <c r="Z65" s="4"/>
    </row>
    <row r="66" ht="19.5" customHeight="1">
      <c r="A66" s="68"/>
      <c r="B66" s="68"/>
      <c r="C66" s="68"/>
      <c r="D66" s="68"/>
      <c r="E66" s="68"/>
      <c r="F66" s="68"/>
      <c r="G66" s="68"/>
      <c r="H66" s="68"/>
      <c r="I66" s="68"/>
      <c r="J66" s="68"/>
      <c r="K66" s="39"/>
      <c r="L66" s="39"/>
      <c r="M66" s="39"/>
      <c r="N66" s="39"/>
      <c r="O66" s="39"/>
      <c r="P66" s="39"/>
      <c r="Q66" s="39"/>
      <c r="R66" s="39"/>
      <c r="S66" s="39"/>
      <c r="T66" s="39"/>
      <c r="U66" s="4"/>
      <c r="V66" s="4"/>
      <c r="W66" s="4"/>
      <c r="X66" s="4"/>
      <c r="Y66" s="4"/>
      <c r="Z66" s="4"/>
    </row>
    <row r="67" ht="19.5" customHeight="1">
      <c r="A67" s="68"/>
      <c r="B67" s="75" t="s">
        <v>54</v>
      </c>
      <c r="C67" s="68"/>
      <c r="D67" s="68"/>
      <c r="E67" s="71" t="b">
        <v>1</v>
      </c>
      <c r="F67" s="71" t="s">
        <v>55</v>
      </c>
      <c r="G67" s="49"/>
      <c r="H67" s="49"/>
      <c r="I67" s="50"/>
      <c r="J67" s="76"/>
      <c r="K67" s="39"/>
      <c r="L67" s="39"/>
      <c r="M67" s="39"/>
      <c r="N67" s="39"/>
      <c r="O67" s="39"/>
      <c r="P67" s="39"/>
      <c r="Q67" s="39"/>
      <c r="R67" s="39"/>
      <c r="S67" s="39"/>
      <c r="T67" s="39"/>
      <c r="U67" s="4"/>
      <c r="V67" s="4"/>
      <c r="W67" s="4"/>
      <c r="X67" s="4"/>
      <c r="Y67" s="4"/>
      <c r="Z67" s="4"/>
    </row>
    <row r="68" ht="19.5" customHeight="1">
      <c r="A68" s="68"/>
      <c r="B68" s="77" t="s">
        <v>56</v>
      </c>
      <c r="C68" s="68"/>
      <c r="D68" s="68"/>
      <c r="E68" s="71" t="b">
        <v>1</v>
      </c>
      <c r="F68" s="71" t="s">
        <v>57</v>
      </c>
      <c r="G68" s="49"/>
      <c r="H68" s="49"/>
      <c r="I68" s="50"/>
      <c r="J68" s="76"/>
      <c r="K68" s="39"/>
      <c r="L68" s="39"/>
      <c r="M68" s="39"/>
      <c r="N68" s="39"/>
      <c r="O68" s="39"/>
      <c r="P68" s="39"/>
      <c r="Q68" s="39"/>
      <c r="R68" s="39"/>
      <c r="S68" s="39"/>
      <c r="T68" s="39"/>
      <c r="U68" s="4"/>
      <c r="V68" s="4"/>
      <c r="W68" s="4"/>
      <c r="X68" s="4"/>
      <c r="Y68" s="4"/>
      <c r="Z68" s="4"/>
    </row>
    <row r="69" ht="19.5" customHeight="1">
      <c r="A69" s="68"/>
      <c r="B69" s="69" t="s">
        <v>58</v>
      </c>
      <c r="C69" s="68"/>
      <c r="D69" s="68"/>
      <c r="E69" s="71" t="b">
        <v>1</v>
      </c>
      <c r="F69" s="71"/>
      <c r="G69" s="49"/>
      <c r="H69" s="49"/>
      <c r="I69" s="50"/>
      <c r="J69" s="68"/>
      <c r="K69" s="39"/>
      <c r="L69" s="39"/>
      <c r="M69" s="39"/>
      <c r="N69" s="39"/>
      <c r="O69" s="39"/>
      <c r="P69" s="39"/>
      <c r="Q69" s="39"/>
      <c r="R69" s="39"/>
      <c r="S69" s="39"/>
      <c r="T69" s="39"/>
      <c r="U69" s="4"/>
      <c r="V69" s="4"/>
      <c r="W69" s="4"/>
      <c r="X69" s="4"/>
      <c r="Y69" s="4"/>
      <c r="Z69" s="4"/>
    </row>
    <row r="70" ht="19.5" customHeight="1">
      <c r="A70" s="68"/>
      <c r="B70" s="69" t="s">
        <v>58</v>
      </c>
      <c r="C70" s="68"/>
      <c r="D70" s="68"/>
      <c r="E70" s="64" t="b">
        <v>0</v>
      </c>
      <c r="F70" s="71"/>
      <c r="G70" s="49"/>
      <c r="H70" s="49"/>
      <c r="I70" s="50"/>
      <c r="J70" s="68"/>
      <c r="K70" s="39"/>
      <c r="L70" s="39"/>
      <c r="M70" s="39"/>
      <c r="N70" s="39"/>
      <c r="O70" s="39"/>
      <c r="P70" s="39"/>
      <c r="Q70" s="39"/>
      <c r="R70" s="39"/>
      <c r="S70" s="39"/>
      <c r="T70" s="39"/>
      <c r="U70" s="4"/>
      <c r="V70" s="4"/>
      <c r="W70" s="4"/>
      <c r="X70" s="4"/>
      <c r="Y70" s="4"/>
      <c r="Z70" s="4"/>
    </row>
    <row r="71" ht="19.5" customHeight="1">
      <c r="A71" s="68"/>
      <c r="B71" s="69"/>
      <c r="C71" s="68"/>
      <c r="D71" s="68"/>
      <c r="E71" s="78"/>
      <c r="F71" s="78"/>
      <c r="G71" s="78"/>
      <c r="H71" s="78"/>
      <c r="I71" s="78"/>
      <c r="J71" s="68"/>
      <c r="K71" s="39"/>
      <c r="L71" s="39"/>
      <c r="M71" s="39"/>
      <c r="N71" s="39"/>
      <c r="O71" s="39"/>
      <c r="P71" s="39"/>
      <c r="Q71" s="39"/>
      <c r="R71" s="39"/>
      <c r="S71" s="39"/>
      <c r="T71" s="39"/>
      <c r="U71" s="4"/>
      <c r="V71" s="4"/>
      <c r="W71" s="4"/>
      <c r="X71" s="4"/>
      <c r="Y71" s="4"/>
      <c r="Z71" s="4"/>
    </row>
    <row r="72" ht="19.5" customHeight="1">
      <c r="A72" s="68"/>
      <c r="B72" s="69"/>
      <c r="C72" s="68"/>
      <c r="D72" s="68"/>
      <c r="E72" s="78"/>
      <c r="F72" s="78"/>
      <c r="G72" s="78"/>
      <c r="H72" s="78"/>
      <c r="I72" s="78"/>
      <c r="J72" s="68"/>
      <c r="K72" s="39"/>
      <c r="L72" s="39"/>
      <c r="M72" s="39"/>
      <c r="N72" s="39"/>
      <c r="O72" s="39"/>
      <c r="P72" s="39"/>
      <c r="Q72" s="39"/>
      <c r="R72" s="39"/>
      <c r="S72" s="39"/>
      <c r="T72" s="39"/>
      <c r="U72" s="4"/>
      <c r="V72" s="4"/>
      <c r="W72" s="4"/>
      <c r="X72" s="4"/>
      <c r="Y72" s="4"/>
      <c r="Z72" s="4"/>
    </row>
    <row r="73" ht="19.5" customHeight="1">
      <c r="A73" s="68"/>
      <c r="B73" s="69" t="s">
        <v>59</v>
      </c>
      <c r="C73" s="68"/>
      <c r="D73" s="68"/>
      <c r="E73" s="64"/>
      <c r="F73" s="49"/>
      <c r="G73" s="49"/>
      <c r="H73" s="49"/>
      <c r="I73" s="50"/>
      <c r="J73" s="68"/>
      <c r="K73" s="39"/>
      <c r="L73" s="39"/>
      <c r="M73" s="39"/>
      <c r="N73" s="39"/>
      <c r="O73" s="39"/>
      <c r="P73" s="39"/>
      <c r="Q73" s="39"/>
      <c r="R73" s="39"/>
      <c r="S73" s="39"/>
      <c r="T73" s="39"/>
      <c r="U73" s="4"/>
      <c r="V73" s="4"/>
      <c r="W73" s="4"/>
      <c r="X73" s="4"/>
      <c r="Y73" s="4"/>
      <c r="Z73" s="4"/>
    </row>
    <row r="74" ht="19.5" customHeight="1">
      <c r="A74" s="68"/>
      <c r="B74" s="68"/>
      <c r="C74" s="68"/>
      <c r="D74" s="68"/>
      <c r="E74" s="68"/>
      <c r="F74" s="68"/>
      <c r="G74" s="68"/>
      <c r="H74" s="68"/>
      <c r="I74" s="68"/>
      <c r="J74" s="68"/>
      <c r="K74" s="39"/>
      <c r="L74" s="39"/>
      <c r="M74" s="39"/>
      <c r="N74" s="39"/>
      <c r="O74" s="39"/>
      <c r="P74" s="39"/>
      <c r="Q74" s="39"/>
      <c r="R74" s="39"/>
      <c r="S74" s="39"/>
      <c r="T74" s="39"/>
      <c r="U74" s="4"/>
      <c r="V74" s="4"/>
      <c r="W74" s="4"/>
      <c r="X74" s="4"/>
      <c r="Y74" s="4"/>
      <c r="Z74" s="4"/>
    </row>
    <row r="75" ht="19.5" customHeight="1">
      <c r="A75" s="68"/>
      <c r="B75" s="75" t="s">
        <v>60</v>
      </c>
      <c r="C75" s="68"/>
      <c r="D75" s="68"/>
      <c r="E75" s="64"/>
      <c r="F75" s="49"/>
      <c r="G75" s="49"/>
      <c r="H75" s="49"/>
      <c r="I75" s="50"/>
      <c r="J75" s="68"/>
      <c r="K75" s="39"/>
      <c r="L75" s="39"/>
      <c r="M75" s="39"/>
      <c r="N75" s="39"/>
      <c r="O75" s="39"/>
      <c r="P75" s="39"/>
      <c r="Q75" s="39"/>
      <c r="R75" s="39"/>
      <c r="S75" s="39"/>
      <c r="T75" s="39"/>
      <c r="U75" s="4"/>
      <c r="V75" s="4"/>
      <c r="W75" s="4"/>
      <c r="X75" s="4"/>
      <c r="Y75" s="4"/>
      <c r="Z75" s="4"/>
    </row>
    <row r="76" ht="19.5" customHeight="1">
      <c r="A76" s="68"/>
      <c r="B76" s="69" t="s">
        <v>61</v>
      </c>
      <c r="C76" s="68"/>
      <c r="D76" s="68"/>
      <c r="E76" s="64"/>
      <c r="F76" s="49"/>
      <c r="G76" s="49"/>
      <c r="H76" s="49"/>
      <c r="I76" s="50"/>
      <c r="J76" s="68"/>
      <c r="K76" s="39"/>
      <c r="L76" s="39"/>
      <c r="M76" s="39"/>
      <c r="N76" s="39"/>
      <c r="O76" s="39"/>
      <c r="P76" s="39"/>
      <c r="Q76" s="39"/>
      <c r="R76" s="39"/>
      <c r="S76" s="39"/>
      <c r="T76" s="39"/>
      <c r="U76" s="4"/>
      <c r="V76" s="4"/>
      <c r="W76" s="4"/>
      <c r="X76" s="4"/>
      <c r="Y76" s="4"/>
      <c r="Z76" s="4"/>
    </row>
    <row r="77" ht="19.5" customHeight="1">
      <c r="A77" s="68"/>
      <c r="B77" s="69" t="s">
        <v>62</v>
      </c>
      <c r="C77" s="68"/>
      <c r="D77" s="68"/>
      <c r="E77" s="64"/>
      <c r="F77" s="49"/>
      <c r="G77" s="49"/>
      <c r="H77" s="49"/>
      <c r="I77" s="50"/>
      <c r="J77" s="68"/>
      <c r="K77" s="39"/>
      <c r="L77" s="39"/>
      <c r="M77" s="39"/>
      <c r="N77" s="39"/>
      <c r="O77" s="39"/>
      <c r="P77" s="39"/>
      <c r="Q77" s="39"/>
      <c r="R77" s="39"/>
      <c r="S77" s="39"/>
      <c r="T77" s="39"/>
      <c r="U77" s="4"/>
      <c r="V77" s="4"/>
      <c r="W77" s="4"/>
      <c r="X77" s="4"/>
      <c r="Y77" s="4"/>
      <c r="Z77" s="4"/>
    </row>
    <row r="78" ht="19.5" customHeight="1">
      <c r="A78" s="79"/>
      <c r="B78" s="79"/>
      <c r="C78" s="79"/>
      <c r="D78" s="79"/>
      <c r="E78" s="79"/>
      <c r="F78" s="79"/>
      <c r="G78" s="79"/>
      <c r="H78" s="79"/>
      <c r="I78" s="79"/>
      <c r="J78" s="79"/>
      <c r="K78" s="39"/>
      <c r="L78" s="39"/>
      <c r="M78" s="39"/>
      <c r="N78" s="39"/>
      <c r="O78" s="39"/>
      <c r="P78" s="39"/>
      <c r="Q78" s="39"/>
      <c r="R78" s="39"/>
      <c r="S78" s="39"/>
      <c r="T78" s="39"/>
      <c r="U78" s="4"/>
      <c r="V78" s="4"/>
      <c r="W78" s="4"/>
      <c r="X78" s="4"/>
      <c r="Y78" s="4"/>
      <c r="Z78" s="4"/>
    </row>
    <row r="79" ht="19.5" customHeight="1">
      <c r="A79" s="68"/>
      <c r="B79" s="75" t="s">
        <v>63</v>
      </c>
      <c r="C79" s="68"/>
      <c r="D79" s="68"/>
      <c r="E79" s="64"/>
      <c r="F79" s="49"/>
      <c r="G79" s="49"/>
      <c r="H79" s="49"/>
      <c r="I79" s="50"/>
      <c r="J79" s="68"/>
      <c r="K79" s="80"/>
      <c r="L79" s="80"/>
      <c r="M79" s="80"/>
      <c r="N79" s="80"/>
      <c r="O79" s="80"/>
      <c r="P79" s="80"/>
      <c r="Q79" s="80"/>
      <c r="R79" s="80"/>
      <c r="S79" s="80"/>
      <c r="T79" s="80"/>
      <c r="U79" s="81"/>
      <c r="V79" s="81"/>
      <c r="W79" s="81"/>
      <c r="X79" s="81"/>
      <c r="Y79" s="81"/>
      <c r="Z79" s="81"/>
    </row>
    <row r="80" ht="19.5" customHeight="1">
      <c r="A80" s="68"/>
      <c r="B80" s="69" t="s">
        <v>64</v>
      </c>
      <c r="C80" s="68"/>
      <c r="D80" s="68"/>
      <c r="E80" s="64"/>
      <c r="F80" s="49"/>
      <c r="G80" s="49"/>
      <c r="H80" s="49"/>
      <c r="I80" s="50"/>
      <c r="J80" s="68"/>
      <c r="K80" s="80"/>
      <c r="L80" s="80"/>
      <c r="M80" s="80"/>
      <c r="N80" s="80"/>
      <c r="O80" s="80"/>
      <c r="P80" s="80"/>
      <c r="Q80" s="80"/>
      <c r="R80" s="80"/>
      <c r="S80" s="80"/>
      <c r="T80" s="80"/>
      <c r="U80" s="81"/>
      <c r="V80" s="81"/>
      <c r="W80" s="81"/>
      <c r="X80" s="81"/>
      <c r="Y80" s="81"/>
      <c r="Z80" s="81"/>
    </row>
    <row r="81" ht="19.5" customHeight="1">
      <c r="A81" s="68"/>
      <c r="B81" s="69" t="s">
        <v>65</v>
      </c>
      <c r="C81" s="68"/>
      <c r="D81" s="68"/>
      <c r="E81" s="64"/>
      <c r="F81" s="49"/>
      <c r="G81" s="49"/>
      <c r="H81" s="49"/>
      <c r="I81" s="50"/>
      <c r="J81" s="68"/>
      <c r="K81" s="80"/>
      <c r="L81" s="80"/>
      <c r="M81" s="80"/>
      <c r="N81" s="80"/>
      <c r="O81" s="80"/>
      <c r="P81" s="80"/>
      <c r="Q81" s="80"/>
      <c r="R81" s="80"/>
      <c r="S81" s="80"/>
      <c r="T81" s="80"/>
      <c r="U81" s="81"/>
      <c r="V81" s="81"/>
      <c r="W81" s="81"/>
      <c r="X81" s="81"/>
      <c r="Y81" s="81"/>
      <c r="Z81" s="81"/>
    </row>
    <row r="82" ht="19.5" customHeight="1">
      <c r="A82" s="68"/>
      <c r="B82" s="75" t="s">
        <v>66</v>
      </c>
      <c r="C82" s="68"/>
      <c r="D82" s="68"/>
      <c r="E82" s="64"/>
      <c r="F82" s="49"/>
      <c r="G82" s="49"/>
      <c r="H82" s="49"/>
      <c r="I82" s="50"/>
      <c r="J82" s="68"/>
      <c r="K82" s="80"/>
      <c r="L82" s="80"/>
      <c r="M82" s="80"/>
      <c r="N82" s="80"/>
      <c r="O82" s="80"/>
      <c r="P82" s="80"/>
      <c r="Q82" s="80"/>
      <c r="R82" s="80"/>
      <c r="S82" s="80"/>
      <c r="T82" s="80"/>
      <c r="U82" s="81"/>
      <c r="V82" s="81"/>
      <c r="W82" s="81"/>
      <c r="X82" s="81"/>
      <c r="Y82" s="81"/>
      <c r="Z82" s="81"/>
    </row>
    <row r="83" ht="19.5" customHeight="1">
      <c r="A83" s="68"/>
      <c r="B83" s="69" t="s">
        <v>67</v>
      </c>
      <c r="C83" s="68"/>
      <c r="D83" s="68"/>
      <c r="E83" s="64"/>
      <c r="F83" s="49"/>
      <c r="G83" s="49"/>
      <c r="H83" s="49"/>
      <c r="I83" s="50"/>
      <c r="J83" s="68"/>
      <c r="K83" s="80"/>
      <c r="L83" s="80"/>
      <c r="M83" s="80"/>
      <c r="N83" s="80"/>
      <c r="O83" s="80"/>
      <c r="P83" s="80"/>
      <c r="Q83" s="80"/>
      <c r="R83" s="80"/>
      <c r="S83" s="80"/>
      <c r="T83" s="80"/>
      <c r="U83" s="81"/>
      <c r="V83" s="81"/>
      <c r="W83" s="81"/>
      <c r="X83" s="81"/>
      <c r="Y83" s="81"/>
      <c r="Z83" s="81"/>
    </row>
    <row r="84" ht="19.5" customHeight="1">
      <c r="A84" s="68"/>
      <c r="B84" s="69" t="s">
        <v>68</v>
      </c>
      <c r="C84" s="68"/>
      <c r="D84" s="68"/>
      <c r="E84" s="64"/>
      <c r="F84" s="49"/>
      <c r="G84" s="49"/>
      <c r="H84" s="49"/>
      <c r="I84" s="50"/>
      <c r="J84" s="68"/>
      <c r="K84" s="80"/>
      <c r="L84" s="80"/>
      <c r="M84" s="80"/>
      <c r="N84" s="80"/>
      <c r="O84" s="80"/>
      <c r="P84" s="80"/>
      <c r="Q84" s="80"/>
      <c r="R84" s="80"/>
      <c r="S84" s="80"/>
      <c r="T84" s="80"/>
      <c r="U84" s="81"/>
      <c r="V84" s="81"/>
      <c r="W84" s="81"/>
      <c r="X84" s="81"/>
      <c r="Y84" s="81"/>
      <c r="Z84" s="81"/>
    </row>
    <row r="85" ht="19.5" customHeight="1">
      <c r="A85" s="68"/>
      <c r="B85" s="69" t="s">
        <v>69</v>
      </c>
      <c r="C85" s="68"/>
      <c r="D85" s="68"/>
      <c r="E85" s="64"/>
      <c r="F85" s="49"/>
      <c r="G85" s="49"/>
      <c r="H85" s="49"/>
      <c r="I85" s="50"/>
      <c r="J85" s="68"/>
      <c r="K85" s="80"/>
      <c r="L85" s="80"/>
      <c r="M85" s="80"/>
      <c r="N85" s="80"/>
      <c r="O85" s="80"/>
      <c r="P85" s="80"/>
      <c r="Q85" s="80"/>
      <c r="R85" s="80"/>
      <c r="S85" s="80"/>
      <c r="T85" s="80"/>
      <c r="U85" s="81"/>
      <c r="V85" s="81"/>
      <c r="W85" s="81"/>
      <c r="X85" s="81"/>
      <c r="Y85" s="81"/>
      <c r="Z85" s="81"/>
    </row>
    <row r="86" ht="19.5" customHeight="1">
      <c r="A86" s="68"/>
      <c r="B86" s="68"/>
      <c r="C86" s="68"/>
      <c r="D86" s="68"/>
      <c r="E86" s="68"/>
      <c r="F86" s="68"/>
      <c r="G86" s="68"/>
      <c r="H86" s="68"/>
      <c r="I86" s="68"/>
      <c r="J86" s="68"/>
      <c r="K86" s="80"/>
      <c r="L86" s="80"/>
      <c r="M86" s="80"/>
      <c r="N86" s="80"/>
      <c r="O86" s="80"/>
      <c r="P86" s="80"/>
      <c r="Q86" s="80"/>
      <c r="R86" s="80"/>
      <c r="S86" s="80"/>
      <c r="T86" s="80"/>
      <c r="U86" s="81"/>
      <c r="V86" s="81"/>
      <c r="W86" s="81"/>
      <c r="X86" s="81"/>
      <c r="Y86" s="81"/>
      <c r="Z86" s="81"/>
    </row>
    <row r="87" ht="19.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9.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9.5" customHeight="1">
      <c r="A89" s="65">
        <v>2.0</v>
      </c>
      <c r="B89" s="66" t="s">
        <v>70</v>
      </c>
      <c r="C89" s="67"/>
      <c r="D89" s="68"/>
      <c r="E89" s="68"/>
      <c r="F89" s="68"/>
      <c r="G89" s="68"/>
      <c r="H89" s="68"/>
      <c r="I89" s="68"/>
      <c r="J89" s="68"/>
      <c r="K89" s="39"/>
      <c r="L89" s="39"/>
      <c r="M89" s="39"/>
      <c r="N89" s="39"/>
      <c r="O89" s="39"/>
      <c r="P89" s="39"/>
      <c r="Q89" s="39"/>
      <c r="R89" s="39"/>
      <c r="S89" s="39"/>
      <c r="T89" s="39"/>
      <c r="U89" s="4"/>
      <c r="V89" s="4"/>
      <c r="W89" s="4"/>
      <c r="X89" s="4"/>
      <c r="Y89" s="4"/>
      <c r="Z89" s="4"/>
    </row>
    <row r="90" ht="19.5" customHeight="1">
      <c r="A90" s="68"/>
      <c r="B90" s="68"/>
      <c r="C90" s="68"/>
      <c r="D90" s="68"/>
      <c r="E90" s="68"/>
      <c r="F90" s="68"/>
      <c r="G90" s="68"/>
      <c r="H90" s="68"/>
      <c r="I90" s="68"/>
      <c r="J90" s="68"/>
      <c r="K90" s="80"/>
      <c r="L90" s="80"/>
      <c r="M90" s="80"/>
      <c r="N90" s="80"/>
      <c r="O90" s="80"/>
      <c r="P90" s="80"/>
      <c r="Q90" s="80"/>
      <c r="R90" s="80"/>
      <c r="S90" s="80"/>
      <c r="T90" s="80"/>
      <c r="U90" s="81"/>
      <c r="V90" s="81"/>
      <c r="W90" s="81"/>
      <c r="X90" s="81"/>
      <c r="Y90" s="81"/>
      <c r="Z90" s="81"/>
    </row>
    <row r="91" ht="19.5" customHeight="1">
      <c r="A91" s="68"/>
      <c r="B91" s="75" t="str">
        <f>concatenate("Measurement units ",D15)</f>
        <v>Measurement units cocoa</v>
      </c>
      <c r="C91" s="68"/>
      <c r="D91" s="68"/>
      <c r="E91" s="71" t="b">
        <v>1</v>
      </c>
      <c r="F91" s="71" t="s">
        <v>71</v>
      </c>
      <c r="G91" s="49"/>
      <c r="H91" s="82" t="s">
        <v>72</v>
      </c>
      <c r="I91" s="83">
        <v>1.0</v>
      </c>
      <c r="J91" s="76"/>
      <c r="K91" s="80"/>
      <c r="L91" s="80"/>
      <c r="M91" s="80"/>
      <c r="N91" s="80"/>
      <c r="O91" s="80"/>
      <c r="P91" s="80"/>
      <c r="Q91" s="80"/>
      <c r="R91" s="80"/>
      <c r="S91" s="80"/>
      <c r="T91" s="80"/>
      <c r="U91" s="81"/>
      <c r="V91" s="81"/>
      <c r="W91" s="81"/>
      <c r="X91" s="81"/>
      <c r="Y91" s="81"/>
      <c r="Z91" s="81"/>
    </row>
    <row r="92" ht="19.5" customHeight="1">
      <c r="A92" s="68"/>
      <c r="B92" s="68"/>
      <c r="C92" s="68"/>
      <c r="D92" s="68"/>
      <c r="E92" s="71" t="b">
        <v>1</v>
      </c>
      <c r="F92" s="71" t="s">
        <v>73</v>
      </c>
      <c r="G92" s="49"/>
      <c r="H92" s="82" t="s">
        <v>72</v>
      </c>
      <c r="I92" s="83">
        <v>60.0</v>
      </c>
      <c r="J92" s="76"/>
      <c r="K92" s="80"/>
      <c r="L92" s="80"/>
      <c r="M92" s="80"/>
      <c r="N92" s="80"/>
      <c r="O92" s="80"/>
      <c r="P92" s="80"/>
      <c r="Q92" s="80"/>
      <c r="R92" s="80"/>
      <c r="S92" s="80"/>
      <c r="T92" s="80"/>
      <c r="U92" s="81"/>
      <c r="V92" s="81"/>
      <c r="W92" s="81"/>
      <c r="X92" s="81"/>
      <c r="Y92" s="81"/>
      <c r="Z92" s="81"/>
    </row>
    <row r="93" ht="19.5" customHeight="1">
      <c r="A93" s="68"/>
      <c r="B93" s="68"/>
      <c r="C93" s="68"/>
      <c r="D93" s="68"/>
      <c r="E93" s="71" t="b">
        <v>1</v>
      </c>
      <c r="F93" s="71" t="s">
        <v>74</v>
      </c>
      <c r="G93" s="49"/>
      <c r="H93" s="82" t="s">
        <v>72</v>
      </c>
      <c r="I93" s="83">
        <v>30.0</v>
      </c>
      <c r="J93" s="76"/>
      <c r="K93" s="39"/>
      <c r="L93" s="39"/>
      <c r="M93" s="39"/>
      <c r="N93" s="39"/>
      <c r="O93" s="39"/>
      <c r="P93" s="39"/>
      <c r="Q93" s="39"/>
      <c r="R93" s="39"/>
      <c r="S93" s="39"/>
      <c r="T93" s="39"/>
      <c r="U93" s="4"/>
      <c r="V93" s="4"/>
      <c r="W93" s="4"/>
      <c r="X93" s="4"/>
      <c r="Y93" s="4"/>
      <c r="Z93" s="4"/>
    </row>
    <row r="94" ht="19.5" customHeight="1">
      <c r="A94" s="68"/>
      <c r="B94" s="69" t="s">
        <v>58</v>
      </c>
      <c r="C94" s="68"/>
      <c r="D94" s="68"/>
      <c r="E94" s="64" t="b">
        <v>0</v>
      </c>
      <c r="F94" s="71"/>
      <c r="G94" s="49"/>
      <c r="H94" s="82" t="s">
        <v>72</v>
      </c>
      <c r="I94" s="83"/>
      <c r="J94" s="76"/>
      <c r="K94" s="39"/>
      <c r="L94" s="39"/>
      <c r="M94" s="39"/>
      <c r="N94" s="39"/>
      <c r="O94" s="39"/>
      <c r="P94" s="39"/>
      <c r="Q94" s="39"/>
      <c r="R94" s="39"/>
      <c r="S94" s="39"/>
      <c r="T94" s="39"/>
      <c r="U94" s="4"/>
      <c r="V94" s="4"/>
      <c r="W94" s="4"/>
      <c r="X94" s="4"/>
      <c r="Y94" s="4"/>
      <c r="Z94" s="4"/>
    </row>
    <row r="95" ht="19.5" customHeight="1">
      <c r="A95" s="68"/>
      <c r="B95" s="69" t="s">
        <v>58</v>
      </c>
      <c r="C95" s="68"/>
      <c r="D95" s="68"/>
      <c r="E95" s="64" t="b">
        <v>0</v>
      </c>
      <c r="F95" s="71"/>
      <c r="G95" s="49"/>
      <c r="H95" s="82" t="s">
        <v>72</v>
      </c>
      <c r="I95" s="83"/>
      <c r="J95" s="68"/>
      <c r="K95" s="4"/>
      <c r="L95" s="4"/>
      <c r="M95" s="4"/>
      <c r="N95" s="4"/>
      <c r="O95" s="4"/>
      <c r="P95" s="4"/>
      <c r="Q95" s="4"/>
      <c r="R95" s="4"/>
      <c r="S95" s="4"/>
      <c r="T95" s="4"/>
      <c r="U95" s="4"/>
      <c r="V95" s="4"/>
      <c r="W95" s="4"/>
      <c r="X95" s="4"/>
      <c r="Y95" s="4"/>
      <c r="Z95" s="4"/>
    </row>
    <row r="96" ht="19.5" customHeight="1">
      <c r="A96" s="68"/>
      <c r="B96" s="69" t="s">
        <v>58</v>
      </c>
      <c r="C96" s="68"/>
      <c r="D96" s="68"/>
      <c r="E96" s="64" t="b">
        <v>0</v>
      </c>
      <c r="F96" s="71"/>
      <c r="G96" s="49"/>
      <c r="H96" s="82" t="s">
        <v>72</v>
      </c>
      <c r="I96" s="83"/>
      <c r="J96" s="68"/>
      <c r="K96" s="4"/>
      <c r="L96" s="4"/>
      <c r="M96" s="4"/>
      <c r="N96" s="4"/>
      <c r="O96" s="4"/>
      <c r="P96" s="4"/>
      <c r="Q96" s="4"/>
      <c r="R96" s="4"/>
      <c r="S96" s="4"/>
      <c r="T96" s="4"/>
      <c r="U96" s="4"/>
      <c r="V96" s="4"/>
      <c r="W96" s="4"/>
      <c r="X96" s="4"/>
      <c r="Y96" s="4"/>
      <c r="Z96" s="4"/>
    </row>
    <row r="97" ht="19.5" customHeight="1">
      <c r="A97" s="68"/>
      <c r="B97" s="69" t="s">
        <v>58</v>
      </c>
      <c r="C97" s="68"/>
      <c r="D97" s="68"/>
      <c r="E97" s="64" t="b">
        <v>0</v>
      </c>
      <c r="F97" s="71"/>
      <c r="G97" s="49"/>
      <c r="H97" s="82" t="s">
        <v>72</v>
      </c>
      <c r="I97" s="83"/>
      <c r="J97" s="68"/>
      <c r="K97" s="4"/>
      <c r="L97" s="4"/>
      <c r="M97" s="4"/>
      <c r="N97" s="4"/>
      <c r="O97" s="4"/>
      <c r="P97" s="4"/>
      <c r="Q97" s="4"/>
      <c r="R97" s="4"/>
      <c r="S97" s="4"/>
      <c r="T97" s="4"/>
      <c r="U97" s="4"/>
      <c r="V97" s="4"/>
      <c r="W97" s="4"/>
      <c r="X97" s="4"/>
      <c r="Y97" s="4"/>
      <c r="Z97" s="4"/>
    </row>
    <row r="98" ht="19.5" customHeight="1">
      <c r="A98" s="68"/>
      <c r="B98" s="79"/>
      <c r="C98" s="79"/>
      <c r="D98" s="79"/>
      <c r="E98" s="68"/>
      <c r="F98" s="68"/>
      <c r="G98" s="68"/>
      <c r="H98" s="68"/>
      <c r="I98" s="68"/>
      <c r="J98" s="68"/>
      <c r="K98" s="4"/>
      <c r="L98" s="4"/>
      <c r="M98" s="4"/>
      <c r="N98" s="4"/>
      <c r="O98" s="4"/>
      <c r="P98" s="4"/>
      <c r="Q98" s="4"/>
      <c r="R98" s="4"/>
      <c r="S98" s="4"/>
      <c r="T98" s="4"/>
      <c r="U98" s="4"/>
      <c r="V98" s="4"/>
      <c r="W98" s="4"/>
      <c r="X98" s="4"/>
      <c r="Y98" s="4"/>
      <c r="Z98" s="4"/>
    </row>
    <row r="99" ht="19.5" customHeight="1">
      <c r="A99" s="84"/>
      <c r="B99" s="75" t="str">
        <f>concatenate("Varieties of ",D15," relevant in the context:")</f>
        <v>Varieties of cocoa relevant in the context:</v>
      </c>
      <c r="C99" s="85"/>
      <c r="D99" s="85"/>
      <c r="E99" s="76"/>
      <c r="F99" s="68"/>
      <c r="G99" s="75" t="s">
        <v>75</v>
      </c>
      <c r="H99" s="68"/>
      <c r="I99" s="68"/>
      <c r="J99" s="68"/>
      <c r="K99" s="4"/>
      <c r="L99" s="4"/>
      <c r="M99" s="4"/>
      <c r="N99" s="4"/>
      <c r="O99" s="4"/>
      <c r="P99" s="4"/>
      <c r="Q99" s="4"/>
      <c r="R99" s="4"/>
      <c r="S99" s="4"/>
      <c r="T99" s="4"/>
      <c r="U99" s="4"/>
      <c r="V99" s="4"/>
      <c r="W99" s="4"/>
      <c r="X99" s="4"/>
      <c r="Y99" s="4"/>
      <c r="Z99" s="4"/>
    </row>
    <row r="100" ht="19.5" customHeight="1">
      <c r="A100" s="84"/>
      <c r="B100" s="85"/>
      <c r="C100" s="85"/>
      <c r="D100" s="85"/>
      <c r="E100" s="76"/>
      <c r="F100" s="68"/>
      <c r="G100" s="68"/>
      <c r="H100" s="68"/>
      <c r="I100" s="68"/>
      <c r="J100" s="68"/>
      <c r="K100" s="4"/>
      <c r="L100" s="4"/>
      <c r="M100" s="4"/>
      <c r="N100" s="4"/>
      <c r="O100" s="4"/>
      <c r="P100" s="4"/>
      <c r="Q100" s="4"/>
      <c r="R100" s="4"/>
      <c r="S100" s="4"/>
      <c r="T100" s="4"/>
      <c r="U100" s="4"/>
      <c r="V100" s="4"/>
      <c r="W100" s="4"/>
      <c r="X100" s="4"/>
      <c r="Y100" s="4"/>
      <c r="Z100" s="4"/>
    </row>
    <row r="101" ht="19.5" customHeight="1">
      <c r="A101" s="68"/>
      <c r="B101" s="69" t="s">
        <v>76</v>
      </c>
      <c r="C101" s="71" t="s">
        <v>77</v>
      </c>
      <c r="D101" s="71"/>
      <c r="E101" s="68"/>
      <c r="F101" s="68"/>
      <c r="G101" s="71" t="b">
        <v>1</v>
      </c>
      <c r="H101" s="86" t="s">
        <v>78</v>
      </c>
      <c r="I101" s="49"/>
      <c r="J101" s="68"/>
      <c r="K101" s="4"/>
      <c r="L101" s="4"/>
      <c r="M101" s="4"/>
      <c r="N101" s="4"/>
      <c r="O101" s="4"/>
      <c r="P101" s="4"/>
      <c r="Q101" s="4"/>
      <c r="R101" s="4"/>
      <c r="S101" s="4"/>
      <c r="T101" s="4"/>
      <c r="U101" s="4"/>
      <c r="V101" s="4"/>
      <c r="W101" s="4"/>
      <c r="X101" s="4"/>
      <c r="Y101" s="4"/>
      <c r="Z101" s="4"/>
    </row>
    <row r="102" ht="19.5" customHeight="1">
      <c r="A102" s="68"/>
      <c r="B102" s="69" t="s">
        <v>79</v>
      </c>
      <c r="C102" s="71" t="s">
        <v>80</v>
      </c>
      <c r="D102" s="71"/>
      <c r="E102" s="68"/>
      <c r="F102" s="68"/>
      <c r="G102" s="71" t="b">
        <v>1</v>
      </c>
      <c r="H102" s="86" t="s">
        <v>81</v>
      </c>
      <c r="I102" s="49"/>
      <c r="J102" s="68"/>
      <c r="K102" s="4"/>
      <c r="L102" s="4"/>
      <c r="M102" s="4"/>
      <c r="N102" s="4"/>
      <c r="O102" s="4"/>
      <c r="P102" s="4"/>
      <c r="Q102" s="4"/>
      <c r="R102" s="4"/>
      <c r="S102" s="4"/>
      <c r="T102" s="4"/>
      <c r="U102" s="4"/>
      <c r="V102" s="4"/>
      <c r="W102" s="4"/>
      <c r="X102" s="4"/>
      <c r="Y102" s="4"/>
      <c r="Z102" s="4"/>
    </row>
    <row r="103" ht="19.5" customHeight="1">
      <c r="A103" s="68"/>
      <c r="B103" s="69" t="s">
        <v>82</v>
      </c>
      <c r="C103" s="71" t="s">
        <v>83</v>
      </c>
      <c r="D103" s="71"/>
      <c r="E103" s="68"/>
      <c r="F103" s="68"/>
      <c r="G103" s="71" t="b">
        <v>1</v>
      </c>
      <c r="H103" s="86" t="s">
        <v>84</v>
      </c>
      <c r="I103" s="49"/>
      <c r="J103" s="68"/>
      <c r="K103" s="4"/>
      <c r="L103" s="4"/>
      <c r="M103" s="4"/>
      <c r="N103" s="4"/>
      <c r="O103" s="4"/>
      <c r="P103" s="4"/>
      <c r="Q103" s="4"/>
      <c r="R103" s="4"/>
      <c r="S103" s="4"/>
      <c r="T103" s="4"/>
      <c r="U103" s="4"/>
      <c r="V103" s="4"/>
      <c r="W103" s="4"/>
      <c r="X103" s="4"/>
      <c r="Y103" s="4"/>
      <c r="Z103" s="4"/>
    </row>
    <row r="104" ht="19.5" customHeight="1">
      <c r="A104" s="68"/>
      <c r="B104" s="69" t="s">
        <v>85</v>
      </c>
      <c r="C104" s="71" t="s">
        <v>86</v>
      </c>
      <c r="D104" s="71"/>
      <c r="E104" s="68"/>
      <c r="F104" s="68"/>
      <c r="G104" s="71" t="b">
        <v>1</v>
      </c>
      <c r="H104" s="86" t="s">
        <v>87</v>
      </c>
      <c r="I104" s="49"/>
      <c r="J104" s="68"/>
      <c r="K104" s="4"/>
      <c r="L104" s="4"/>
      <c r="M104" s="4"/>
      <c r="N104" s="4"/>
      <c r="O104" s="4"/>
      <c r="P104" s="4"/>
      <c r="Q104" s="4"/>
      <c r="R104" s="4"/>
      <c r="S104" s="4"/>
      <c r="T104" s="4"/>
      <c r="U104" s="4"/>
      <c r="V104" s="4"/>
      <c r="W104" s="4"/>
      <c r="X104" s="4"/>
      <c r="Y104" s="4"/>
      <c r="Z104" s="4"/>
    </row>
    <row r="105" ht="19.5" customHeight="1">
      <c r="A105" s="68"/>
      <c r="B105" s="69" t="s">
        <v>88</v>
      </c>
      <c r="C105" s="71" t="s">
        <v>89</v>
      </c>
      <c r="D105" s="71"/>
      <c r="E105" s="68"/>
      <c r="F105" s="68"/>
      <c r="G105" s="71" t="b">
        <v>1</v>
      </c>
      <c r="H105" s="86" t="s">
        <v>90</v>
      </c>
      <c r="I105" s="49"/>
      <c r="J105" s="68"/>
      <c r="K105" s="4"/>
      <c r="L105" s="4"/>
      <c r="M105" s="4"/>
      <c r="N105" s="4"/>
      <c r="O105" s="4"/>
      <c r="P105" s="4"/>
      <c r="Q105" s="4"/>
      <c r="R105" s="4"/>
      <c r="S105" s="4"/>
      <c r="T105" s="4"/>
      <c r="U105" s="4"/>
      <c r="V105" s="4"/>
      <c r="W105" s="4"/>
      <c r="X105" s="4"/>
      <c r="Y105" s="4"/>
      <c r="Z105" s="4"/>
    </row>
    <row r="106" ht="19.5" customHeight="1">
      <c r="A106" s="68"/>
      <c r="B106" s="69" t="s">
        <v>91</v>
      </c>
      <c r="C106" s="71"/>
      <c r="D106" s="71"/>
      <c r="E106" s="68"/>
      <c r="F106" s="68"/>
      <c r="G106" s="71" t="b">
        <v>1</v>
      </c>
      <c r="H106" s="86" t="s">
        <v>92</v>
      </c>
      <c r="I106" s="49"/>
      <c r="J106" s="68"/>
      <c r="K106" s="4"/>
      <c r="L106" s="4"/>
      <c r="M106" s="4"/>
      <c r="N106" s="4"/>
      <c r="O106" s="4"/>
      <c r="P106" s="4"/>
      <c r="Q106" s="4"/>
      <c r="R106" s="4"/>
      <c r="S106" s="4"/>
      <c r="T106" s="4"/>
      <c r="U106" s="4"/>
      <c r="V106" s="4"/>
      <c r="W106" s="4"/>
      <c r="X106" s="4"/>
      <c r="Y106" s="4"/>
      <c r="Z106" s="4"/>
    </row>
    <row r="107" ht="19.5" customHeight="1">
      <c r="A107" s="68"/>
      <c r="B107" s="69" t="s">
        <v>93</v>
      </c>
      <c r="C107" s="71"/>
      <c r="D107" s="71"/>
      <c r="E107" s="68"/>
      <c r="F107" s="68"/>
      <c r="G107" s="71" t="b">
        <v>1</v>
      </c>
      <c r="H107" s="86" t="s">
        <v>94</v>
      </c>
      <c r="I107" s="49"/>
      <c r="J107" s="68"/>
      <c r="K107" s="4"/>
      <c r="L107" s="4"/>
      <c r="M107" s="4"/>
      <c r="N107" s="4"/>
      <c r="O107" s="4"/>
      <c r="P107" s="4"/>
      <c r="Q107" s="4"/>
      <c r="R107" s="4"/>
      <c r="S107" s="4"/>
      <c r="T107" s="4"/>
      <c r="U107" s="4"/>
      <c r="V107" s="4"/>
      <c r="W107" s="4"/>
      <c r="X107" s="4"/>
      <c r="Y107" s="4"/>
      <c r="Z107" s="4"/>
    </row>
    <row r="108" ht="19.5" customHeight="1">
      <c r="A108" s="68"/>
      <c r="B108" s="69" t="s">
        <v>95</v>
      </c>
      <c r="C108" s="87"/>
      <c r="D108" s="87"/>
      <c r="E108" s="68"/>
      <c r="F108" s="68"/>
      <c r="G108" s="71" t="b">
        <v>1</v>
      </c>
      <c r="H108" s="86" t="s">
        <v>96</v>
      </c>
      <c r="I108" s="49"/>
      <c r="J108" s="68"/>
      <c r="K108" s="4"/>
      <c r="L108" s="4"/>
      <c r="M108" s="4"/>
      <c r="N108" s="4"/>
      <c r="O108" s="4"/>
      <c r="P108" s="4"/>
      <c r="Q108" s="4"/>
      <c r="R108" s="4"/>
      <c r="S108" s="4"/>
      <c r="T108" s="4"/>
      <c r="U108" s="4"/>
      <c r="V108" s="4"/>
      <c r="W108" s="4"/>
      <c r="X108" s="4"/>
      <c r="Y108" s="4"/>
      <c r="Z108" s="4"/>
    </row>
    <row r="109" ht="19.5" customHeight="1">
      <c r="A109" s="68"/>
      <c r="B109" s="85"/>
      <c r="C109" s="85"/>
      <c r="D109" s="85"/>
      <c r="E109" s="68"/>
      <c r="F109" s="68"/>
      <c r="G109" s="71" t="b">
        <v>1</v>
      </c>
      <c r="H109" s="86" t="s">
        <v>97</v>
      </c>
      <c r="I109" s="49"/>
      <c r="J109" s="68"/>
      <c r="K109" s="4"/>
      <c r="L109" s="4"/>
      <c r="M109" s="4"/>
      <c r="N109" s="4"/>
      <c r="O109" s="4"/>
      <c r="P109" s="4"/>
      <c r="Q109" s="4"/>
      <c r="R109" s="4"/>
      <c r="S109" s="4"/>
      <c r="T109" s="4"/>
      <c r="U109" s="4"/>
      <c r="V109" s="4"/>
      <c r="W109" s="4"/>
      <c r="X109" s="4"/>
      <c r="Y109" s="4"/>
      <c r="Z109" s="4"/>
    </row>
    <row r="110" ht="19.5" customHeight="1">
      <c r="A110" s="68"/>
      <c r="B110" s="75" t="str">
        <f>concatenate("season names ", D15)</f>
        <v>season names cocoa</v>
      </c>
      <c r="C110" s="85"/>
      <c r="D110" s="85"/>
      <c r="E110" s="68"/>
      <c r="F110" s="68"/>
      <c r="G110" s="71" t="b">
        <v>1</v>
      </c>
      <c r="H110" s="86" t="s">
        <v>98</v>
      </c>
      <c r="I110" s="49"/>
      <c r="J110" s="68"/>
      <c r="K110" s="4"/>
      <c r="L110" s="4"/>
      <c r="M110" s="4"/>
      <c r="N110" s="4"/>
      <c r="O110" s="4"/>
      <c r="P110" s="4"/>
      <c r="Q110" s="4"/>
      <c r="R110" s="4"/>
      <c r="S110" s="4"/>
      <c r="T110" s="4"/>
      <c r="U110" s="4"/>
      <c r="V110" s="4"/>
      <c r="W110" s="4"/>
      <c r="X110" s="4"/>
      <c r="Y110" s="4"/>
      <c r="Z110" s="4"/>
    </row>
    <row r="111" ht="19.5" customHeight="1">
      <c r="A111" s="68"/>
      <c r="B111" s="71" t="b">
        <v>1</v>
      </c>
      <c r="C111" s="88" t="s">
        <v>99</v>
      </c>
      <c r="D111" s="89" t="s">
        <v>100</v>
      </c>
      <c r="E111" s="68"/>
      <c r="F111" s="68"/>
      <c r="G111" s="71" t="b">
        <v>1</v>
      </c>
      <c r="H111" s="86" t="s">
        <v>101</v>
      </c>
      <c r="I111" s="49"/>
      <c r="J111" s="68"/>
      <c r="K111" s="4"/>
      <c r="L111" s="4"/>
      <c r="M111" s="4"/>
      <c r="N111" s="4"/>
      <c r="O111" s="4"/>
      <c r="P111" s="4"/>
      <c r="Q111" s="4"/>
      <c r="R111" s="4"/>
      <c r="S111" s="4"/>
      <c r="T111" s="4"/>
      <c r="U111" s="4"/>
      <c r="V111" s="4"/>
      <c r="W111" s="4"/>
      <c r="X111" s="4"/>
      <c r="Y111" s="4"/>
      <c r="Z111" s="4"/>
    </row>
    <row r="112" ht="19.5" customHeight="1">
      <c r="A112" s="68"/>
      <c r="B112" s="71" t="b">
        <v>0</v>
      </c>
      <c r="C112" s="88" t="s">
        <v>102</v>
      </c>
      <c r="D112" s="89" t="s">
        <v>100</v>
      </c>
      <c r="E112" s="68"/>
      <c r="F112" s="68"/>
      <c r="G112" s="71" t="b">
        <v>1</v>
      </c>
      <c r="H112" s="86" t="s">
        <v>103</v>
      </c>
      <c r="I112" s="49"/>
      <c r="J112" s="68"/>
      <c r="K112" s="4"/>
      <c r="L112" s="4"/>
      <c r="M112" s="4"/>
      <c r="N112" s="4"/>
      <c r="O112" s="4"/>
      <c r="P112" s="4"/>
      <c r="Q112" s="4"/>
      <c r="R112" s="4"/>
      <c r="S112" s="4"/>
      <c r="T112" s="4"/>
      <c r="U112" s="4"/>
      <c r="V112" s="4"/>
      <c r="W112" s="4"/>
      <c r="X112" s="4"/>
      <c r="Y112" s="4"/>
      <c r="Z112" s="4"/>
    </row>
    <row r="113" ht="19.5" customHeight="1">
      <c r="A113" s="68"/>
      <c r="B113" s="71" t="b">
        <v>0</v>
      </c>
      <c r="C113" s="88" t="s">
        <v>104</v>
      </c>
      <c r="D113" s="89" t="s">
        <v>100</v>
      </c>
      <c r="E113" s="68"/>
      <c r="F113" s="68"/>
      <c r="G113" s="71" t="b">
        <v>1</v>
      </c>
      <c r="H113" s="86" t="s">
        <v>105</v>
      </c>
      <c r="I113" s="49"/>
      <c r="J113" s="68"/>
      <c r="K113" s="4"/>
      <c r="L113" s="4"/>
      <c r="M113" s="4"/>
      <c r="N113" s="4"/>
      <c r="O113" s="4"/>
      <c r="P113" s="4"/>
      <c r="Q113" s="4"/>
      <c r="R113" s="4"/>
      <c r="S113" s="4"/>
      <c r="T113" s="4"/>
      <c r="U113" s="4"/>
      <c r="V113" s="4"/>
      <c r="W113" s="4"/>
      <c r="X113" s="4"/>
      <c r="Y113" s="4"/>
      <c r="Z113" s="4"/>
    </row>
    <row r="114" ht="19.5" customHeight="1">
      <c r="A114" s="68"/>
      <c r="B114" s="71" t="b">
        <v>0</v>
      </c>
      <c r="C114" s="88" t="s">
        <v>106</v>
      </c>
      <c r="D114" s="89" t="s">
        <v>100</v>
      </c>
      <c r="E114" s="68"/>
      <c r="F114" s="68"/>
      <c r="G114" s="71" t="b">
        <v>1</v>
      </c>
      <c r="H114" s="86" t="s">
        <v>107</v>
      </c>
      <c r="I114" s="49"/>
      <c r="J114" s="68"/>
      <c r="K114" s="4"/>
      <c r="L114" s="4"/>
      <c r="M114" s="4"/>
      <c r="N114" s="4"/>
      <c r="O114" s="4"/>
      <c r="P114" s="4"/>
      <c r="Q114" s="4"/>
      <c r="R114" s="4"/>
      <c r="S114" s="4"/>
      <c r="T114" s="4"/>
      <c r="U114" s="4"/>
      <c r="V114" s="4"/>
      <c r="W114" s="4"/>
      <c r="X114" s="4"/>
      <c r="Y114" s="4"/>
      <c r="Z114" s="4"/>
    </row>
    <row r="115" ht="19.5" customHeight="1">
      <c r="A115" s="68"/>
      <c r="B115" s="71" t="b">
        <v>0</v>
      </c>
      <c r="C115" s="88" t="s">
        <v>108</v>
      </c>
      <c r="D115" s="89" t="s">
        <v>100</v>
      </c>
      <c r="E115" s="68"/>
      <c r="F115" s="68"/>
      <c r="G115" s="71" t="b">
        <v>1</v>
      </c>
      <c r="H115" s="86" t="s">
        <v>109</v>
      </c>
      <c r="I115" s="49"/>
      <c r="J115" s="68"/>
      <c r="K115" s="4"/>
      <c r="L115" s="4"/>
      <c r="M115" s="4"/>
      <c r="N115" s="4"/>
      <c r="O115" s="4"/>
      <c r="P115" s="4"/>
      <c r="Q115" s="4"/>
      <c r="R115" s="4"/>
      <c r="S115" s="4"/>
      <c r="T115" s="4"/>
      <c r="U115" s="4"/>
      <c r="V115" s="4"/>
      <c r="W115" s="4"/>
      <c r="X115" s="4"/>
      <c r="Y115" s="4"/>
      <c r="Z115" s="4"/>
    </row>
    <row r="116" ht="19.5" customHeight="1">
      <c r="A116" s="68"/>
      <c r="B116" s="71" t="b">
        <v>0</v>
      </c>
      <c r="C116" s="88" t="s">
        <v>110</v>
      </c>
      <c r="D116" s="89" t="s">
        <v>100</v>
      </c>
      <c r="E116" s="68"/>
      <c r="F116" s="68"/>
      <c r="G116" s="71" t="b">
        <v>1</v>
      </c>
      <c r="H116" s="86" t="s">
        <v>111</v>
      </c>
      <c r="I116" s="49"/>
      <c r="J116" s="68"/>
      <c r="K116" s="4"/>
      <c r="L116" s="4"/>
      <c r="M116" s="4"/>
      <c r="N116" s="4"/>
      <c r="O116" s="4"/>
      <c r="P116" s="4"/>
      <c r="Q116" s="4"/>
      <c r="R116" s="4"/>
      <c r="S116" s="4"/>
      <c r="T116" s="4"/>
      <c r="U116" s="4"/>
      <c r="V116" s="4"/>
      <c r="W116" s="4"/>
      <c r="X116" s="4"/>
      <c r="Y116" s="4"/>
      <c r="Z116" s="4"/>
    </row>
    <row r="117" ht="19.5" customHeight="1">
      <c r="A117" s="68"/>
      <c r="B117" s="71" t="b">
        <v>0</v>
      </c>
      <c r="C117" s="88" t="s">
        <v>112</v>
      </c>
      <c r="D117" s="89" t="s">
        <v>100</v>
      </c>
      <c r="E117" s="68"/>
      <c r="F117" s="68"/>
      <c r="G117" s="71" t="b">
        <v>1</v>
      </c>
      <c r="H117" s="86" t="s">
        <v>113</v>
      </c>
      <c r="I117" s="49"/>
      <c r="J117" s="68"/>
      <c r="K117" s="4"/>
      <c r="L117" s="4"/>
      <c r="M117" s="4"/>
      <c r="N117" s="4"/>
      <c r="O117" s="4"/>
      <c r="P117" s="4"/>
      <c r="Q117" s="4"/>
      <c r="R117" s="4"/>
      <c r="S117" s="4"/>
      <c r="T117" s="4"/>
      <c r="U117" s="4"/>
      <c r="V117" s="4"/>
      <c r="W117" s="4"/>
      <c r="X117" s="4"/>
      <c r="Y117" s="4"/>
      <c r="Z117" s="4"/>
    </row>
    <row r="118" ht="19.5" customHeight="1">
      <c r="A118" s="68"/>
      <c r="B118" s="71" t="b">
        <v>0</v>
      </c>
      <c r="C118" s="88" t="s">
        <v>114</v>
      </c>
      <c r="D118" s="89" t="s">
        <v>100</v>
      </c>
      <c r="E118" s="68"/>
      <c r="F118" s="68"/>
      <c r="G118" s="71" t="b">
        <v>1</v>
      </c>
      <c r="H118" s="86" t="s">
        <v>115</v>
      </c>
      <c r="I118" s="49"/>
      <c r="J118" s="68"/>
      <c r="K118" s="4"/>
      <c r="L118" s="4"/>
      <c r="M118" s="4"/>
      <c r="N118" s="4"/>
      <c r="O118" s="4"/>
      <c r="P118" s="4"/>
      <c r="Q118" s="4"/>
      <c r="R118" s="4"/>
      <c r="S118" s="4"/>
      <c r="T118" s="4"/>
      <c r="U118" s="4"/>
      <c r="V118" s="4"/>
      <c r="W118" s="4"/>
      <c r="X118" s="4"/>
      <c r="Y118" s="4"/>
      <c r="Z118" s="4"/>
    </row>
    <row r="119" ht="19.5" customHeight="1">
      <c r="A119" s="68"/>
      <c r="B119" s="71" t="b">
        <v>0</v>
      </c>
      <c r="C119" s="88"/>
      <c r="D119" s="89" t="s">
        <v>116</v>
      </c>
      <c r="E119" s="68"/>
      <c r="F119" s="68"/>
      <c r="G119" s="71" t="b">
        <v>1</v>
      </c>
      <c r="H119" s="86" t="s">
        <v>117</v>
      </c>
      <c r="I119" s="49"/>
      <c r="J119" s="68"/>
      <c r="K119" s="4"/>
      <c r="L119" s="4"/>
      <c r="M119" s="4"/>
      <c r="N119" s="4"/>
      <c r="O119" s="4"/>
      <c r="P119" s="4"/>
      <c r="Q119" s="4"/>
      <c r="R119" s="4"/>
      <c r="S119" s="4"/>
      <c r="T119" s="4"/>
      <c r="U119" s="4"/>
      <c r="V119" s="4"/>
      <c r="W119" s="4"/>
      <c r="X119" s="4"/>
      <c r="Y119" s="4"/>
      <c r="Z119" s="4"/>
    </row>
    <row r="120" ht="19.5" customHeight="1">
      <c r="A120" s="68"/>
      <c r="B120" s="71" t="b">
        <v>0</v>
      </c>
      <c r="C120" s="88"/>
      <c r="D120" s="89" t="s">
        <v>116</v>
      </c>
      <c r="E120" s="68"/>
      <c r="F120" s="68"/>
      <c r="G120" s="71" t="b">
        <v>1</v>
      </c>
      <c r="H120" s="86" t="s">
        <v>118</v>
      </c>
      <c r="I120" s="49"/>
      <c r="J120" s="68"/>
      <c r="K120" s="4"/>
      <c r="L120" s="4"/>
      <c r="M120" s="4"/>
      <c r="N120" s="4"/>
      <c r="O120" s="4"/>
      <c r="P120" s="4"/>
      <c r="Q120" s="4"/>
      <c r="R120" s="4"/>
      <c r="S120" s="4"/>
      <c r="T120" s="4"/>
      <c r="U120" s="4"/>
      <c r="V120" s="4"/>
      <c r="W120" s="4"/>
      <c r="X120" s="4"/>
      <c r="Y120" s="4"/>
      <c r="Z120" s="4"/>
    </row>
    <row r="121" ht="19.5" customHeight="1">
      <c r="A121" s="68"/>
      <c r="B121" s="85"/>
      <c r="C121" s="85"/>
      <c r="D121" s="85"/>
      <c r="E121" s="68"/>
      <c r="F121" s="68"/>
      <c r="G121" s="71" t="b">
        <v>1</v>
      </c>
      <c r="H121" s="86" t="s">
        <v>119</v>
      </c>
      <c r="I121" s="49"/>
      <c r="J121" s="68"/>
      <c r="K121" s="4"/>
      <c r="L121" s="4"/>
      <c r="M121" s="4"/>
      <c r="N121" s="4"/>
      <c r="O121" s="4"/>
      <c r="P121" s="4"/>
      <c r="Q121" s="4"/>
      <c r="R121" s="4"/>
      <c r="S121" s="4"/>
      <c r="T121" s="4"/>
      <c r="U121" s="4"/>
      <c r="V121" s="4"/>
      <c r="W121" s="4"/>
      <c r="X121" s="4"/>
      <c r="Y121" s="4"/>
      <c r="Z121" s="4"/>
    </row>
    <row r="122" ht="19.5" customHeight="1">
      <c r="A122" s="68"/>
      <c r="B122" s="85"/>
      <c r="C122" s="85"/>
      <c r="D122" s="85"/>
      <c r="E122" s="68"/>
      <c r="F122" s="68"/>
      <c r="G122" s="71" t="b">
        <v>1</v>
      </c>
      <c r="H122" s="86" t="s">
        <v>120</v>
      </c>
      <c r="I122" s="49"/>
      <c r="J122" s="68"/>
      <c r="K122" s="4"/>
      <c r="L122" s="4"/>
      <c r="M122" s="4"/>
      <c r="N122" s="4"/>
      <c r="O122" s="4"/>
      <c r="P122" s="4"/>
      <c r="Q122" s="4"/>
      <c r="R122" s="4"/>
      <c r="S122" s="4"/>
      <c r="T122" s="4"/>
      <c r="U122" s="4"/>
      <c r="V122" s="4"/>
      <c r="W122" s="4"/>
      <c r="X122" s="4"/>
      <c r="Y122" s="4"/>
      <c r="Z122" s="4"/>
    </row>
    <row r="123" ht="19.5" customHeight="1">
      <c r="A123" s="68"/>
      <c r="B123" s="85"/>
      <c r="C123" s="85"/>
      <c r="D123" s="85"/>
      <c r="E123" s="68"/>
      <c r="F123" s="68"/>
      <c r="G123" s="71" t="b">
        <v>1</v>
      </c>
      <c r="H123" s="86" t="s">
        <v>121</v>
      </c>
      <c r="I123" s="49"/>
      <c r="J123" s="68"/>
      <c r="K123" s="4"/>
      <c r="L123" s="4"/>
      <c r="M123" s="4"/>
      <c r="N123" s="4"/>
      <c r="O123" s="4"/>
      <c r="P123" s="4"/>
      <c r="Q123" s="4"/>
      <c r="R123" s="4"/>
      <c r="S123" s="4"/>
      <c r="T123" s="4"/>
      <c r="U123" s="4"/>
      <c r="V123" s="4"/>
      <c r="W123" s="4"/>
      <c r="X123" s="4"/>
      <c r="Y123" s="4"/>
      <c r="Z123" s="4"/>
    </row>
    <row r="124" ht="19.5" customHeight="1">
      <c r="A124" s="68"/>
      <c r="B124" s="85"/>
      <c r="C124" s="85"/>
      <c r="D124" s="85"/>
      <c r="E124" s="68"/>
      <c r="F124" s="68"/>
      <c r="G124" s="71" t="b">
        <v>1</v>
      </c>
      <c r="H124" s="86" t="s">
        <v>122</v>
      </c>
      <c r="I124" s="49"/>
      <c r="J124" s="68"/>
      <c r="K124" s="4"/>
      <c r="L124" s="4"/>
      <c r="M124" s="4"/>
      <c r="N124" s="4"/>
      <c r="O124" s="4"/>
      <c r="P124" s="4"/>
      <c r="Q124" s="4"/>
      <c r="R124" s="4"/>
      <c r="S124" s="4"/>
      <c r="T124" s="4"/>
      <c r="U124" s="4"/>
      <c r="V124" s="4"/>
      <c r="W124" s="4"/>
      <c r="X124" s="4"/>
      <c r="Y124" s="4"/>
      <c r="Z124" s="4"/>
    </row>
    <row r="125" ht="19.5" customHeight="1">
      <c r="A125" s="68"/>
      <c r="B125" s="85"/>
      <c r="C125" s="85"/>
      <c r="D125" s="85"/>
      <c r="E125" s="68"/>
      <c r="F125" s="68"/>
      <c r="G125" s="71" t="b">
        <v>1</v>
      </c>
      <c r="H125" s="86" t="s">
        <v>123</v>
      </c>
      <c r="I125" s="49"/>
      <c r="J125" s="68"/>
      <c r="K125" s="4"/>
      <c r="L125" s="4"/>
      <c r="M125" s="4"/>
      <c r="N125" s="4"/>
      <c r="O125" s="4"/>
      <c r="P125" s="4"/>
      <c r="Q125" s="4"/>
      <c r="R125" s="4"/>
      <c r="S125" s="4"/>
      <c r="T125" s="4"/>
      <c r="U125" s="4"/>
      <c r="V125" s="4"/>
      <c r="W125" s="4"/>
      <c r="X125" s="4"/>
      <c r="Y125" s="4"/>
      <c r="Z125" s="4"/>
    </row>
    <row r="126" ht="19.5" customHeight="1">
      <c r="A126" s="68"/>
      <c r="B126" s="85"/>
      <c r="C126" s="85"/>
      <c r="D126" s="85"/>
      <c r="E126" s="68"/>
      <c r="F126" s="68"/>
      <c r="G126" s="71" t="b">
        <v>1</v>
      </c>
      <c r="H126" s="86" t="s">
        <v>124</v>
      </c>
      <c r="I126" s="49"/>
      <c r="J126" s="68"/>
      <c r="K126" s="4"/>
      <c r="L126" s="4"/>
      <c r="M126" s="4"/>
      <c r="N126" s="4"/>
      <c r="O126" s="4"/>
      <c r="P126" s="4"/>
      <c r="Q126" s="4"/>
      <c r="R126" s="4"/>
      <c r="S126" s="4"/>
      <c r="T126" s="4"/>
      <c r="U126" s="4"/>
      <c r="V126" s="4"/>
      <c r="W126" s="4"/>
      <c r="X126" s="4"/>
      <c r="Y126" s="4"/>
      <c r="Z126" s="4"/>
    </row>
    <row r="127" ht="19.5" customHeight="1">
      <c r="A127" s="68"/>
      <c r="B127" s="85"/>
      <c r="C127" s="85"/>
      <c r="D127" s="85"/>
      <c r="E127" s="68"/>
      <c r="F127" s="68"/>
      <c r="G127" s="71" t="b">
        <v>1</v>
      </c>
      <c r="H127" s="86" t="s">
        <v>125</v>
      </c>
      <c r="I127" s="49"/>
      <c r="J127" s="68"/>
      <c r="K127" s="4"/>
      <c r="L127" s="4"/>
      <c r="M127" s="4"/>
      <c r="N127" s="4"/>
      <c r="O127" s="4"/>
      <c r="P127" s="4"/>
      <c r="Q127" s="4"/>
      <c r="R127" s="4"/>
      <c r="S127" s="4"/>
      <c r="T127" s="4"/>
      <c r="U127" s="4"/>
      <c r="V127" s="4"/>
      <c r="W127" s="4"/>
      <c r="X127" s="4"/>
      <c r="Y127" s="4"/>
      <c r="Z127" s="4"/>
    </row>
    <row r="128" ht="19.5" customHeight="1">
      <c r="A128" s="68"/>
      <c r="B128" s="85"/>
      <c r="C128" s="85"/>
      <c r="D128" s="85"/>
      <c r="E128" s="68"/>
      <c r="F128" s="68"/>
      <c r="G128" s="71" t="b">
        <v>1</v>
      </c>
      <c r="H128" s="86" t="s">
        <v>126</v>
      </c>
      <c r="I128" s="49"/>
      <c r="J128" s="68"/>
      <c r="K128" s="4"/>
      <c r="L128" s="4"/>
      <c r="M128" s="4"/>
      <c r="N128" s="4"/>
      <c r="O128" s="4"/>
      <c r="P128" s="4"/>
      <c r="Q128" s="4"/>
      <c r="R128" s="4"/>
      <c r="S128" s="4"/>
      <c r="T128" s="4"/>
      <c r="U128" s="4"/>
      <c r="V128" s="4"/>
      <c r="W128" s="4"/>
      <c r="X128" s="4"/>
      <c r="Y128" s="4"/>
      <c r="Z128" s="4"/>
    </row>
    <row r="129" ht="19.5" customHeight="1">
      <c r="A129" s="68"/>
      <c r="B129" s="85"/>
      <c r="C129" s="85"/>
      <c r="D129" s="85"/>
      <c r="E129" s="68"/>
      <c r="F129" s="68"/>
      <c r="G129" s="71" t="b">
        <v>1</v>
      </c>
      <c r="H129" s="86" t="s">
        <v>127</v>
      </c>
      <c r="I129" s="49"/>
      <c r="J129" s="68"/>
      <c r="K129" s="4"/>
      <c r="L129" s="4"/>
      <c r="M129" s="4"/>
      <c r="N129" s="4"/>
      <c r="O129" s="4"/>
      <c r="P129" s="4"/>
      <c r="Q129" s="4"/>
      <c r="R129" s="4"/>
      <c r="S129" s="4"/>
      <c r="T129" s="4"/>
      <c r="U129" s="4"/>
      <c r="V129" s="4"/>
      <c r="W129" s="4"/>
      <c r="X129" s="4"/>
      <c r="Y129" s="4"/>
      <c r="Z129" s="4"/>
    </row>
    <row r="130" ht="19.5" customHeight="1">
      <c r="A130" s="68"/>
      <c r="B130" s="85"/>
      <c r="C130" s="85"/>
      <c r="D130" s="85"/>
      <c r="E130" s="68"/>
      <c r="F130" s="68"/>
      <c r="G130" s="71" t="b">
        <v>1</v>
      </c>
      <c r="H130" s="86" t="s">
        <v>128</v>
      </c>
      <c r="I130" s="49"/>
      <c r="J130" s="68"/>
      <c r="K130" s="4"/>
      <c r="L130" s="4"/>
      <c r="M130" s="4"/>
      <c r="N130" s="4"/>
      <c r="O130" s="4"/>
      <c r="P130" s="4"/>
      <c r="Q130" s="4"/>
      <c r="R130" s="4"/>
      <c r="S130" s="4"/>
      <c r="T130" s="4"/>
      <c r="U130" s="4"/>
      <c r="V130" s="4"/>
      <c r="W130" s="4"/>
      <c r="X130" s="4"/>
      <c r="Y130" s="4"/>
      <c r="Z130" s="4"/>
    </row>
    <row r="131" ht="19.5" customHeight="1">
      <c r="A131" s="68"/>
      <c r="B131" s="85"/>
      <c r="C131" s="85"/>
      <c r="D131" s="85"/>
      <c r="E131" s="68"/>
      <c r="F131" s="68"/>
      <c r="G131" s="71" t="b">
        <v>1</v>
      </c>
      <c r="H131" s="86" t="s">
        <v>129</v>
      </c>
      <c r="I131" s="49"/>
      <c r="J131" s="68"/>
      <c r="K131" s="4"/>
      <c r="L131" s="4"/>
      <c r="M131" s="4"/>
      <c r="N131" s="4"/>
      <c r="O131" s="4"/>
      <c r="P131" s="4"/>
      <c r="Q131" s="4"/>
      <c r="R131" s="4"/>
      <c r="S131" s="4"/>
      <c r="T131" s="4"/>
      <c r="U131" s="4"/>
      <c r="V131" s="4"/>
      <c r="W131" s="4"/>
      <c r="X131" s="4"/>
      <c r="Y131" s="4"/>
      <c r="Z131" s="4"/>
    </row>
    <row r="132" ht="19.5" customHeight="1">
      <c r="A132" s="68"/>
      <c r="B132" s="85"/>
      <c r="C132" s="85"/>
      <c r="D132" s="85"/>
      <c r="E132" s="68"/>
      <c r="F132" s="68"/>
      <c r="G132" s="71" t="b">
        <v>1</v>
      </c>
      <c r="H132" s="86" t="s">
        <v>130</v>
      </c>
      <c r="I132" s="49"/>
      <c r="J132" s="68"/>
      <c r="K132" s="4"/>
      <c r="L132" s="4"/>
      <c r="M132" s="4"/>
      <c r="N132" s="4"/>
      <c r="O132" s="4"/>
      <c r="P132" s="4"/>
      <c r="Q132" s="4"/>
      <c r="R132" s="4"/>
      <c r="S132" s="4"/>
      <c r="T132" s="4"/>
      <c r="U132" s="4"/>
      <c r="V132" s="4"/>
      <c r="W132" s="4"/>
      <c r="X132" s="4"/>
      <c r="Y132" s="4"/>
      <c r="Z132" s="4"/>
    </row>
    <row r="133" ht="19.5" customHeight="1">
      <c r="A133" s="68"/>
      <c r="B133" s="85"/>
      <c r="C133" s="85"/>
      <c r="D133" s="85"/>
      <c r="E133" s="68"/>
      <c r="F133" s="68"/>
      <c r="G133" s="71" t="b">
        <v>1</v>
      </c>
      <c r="H133" s="86" t="s">
        <v>131</v>
      </c>
      <c r="I133" s="49"/>
      <c r="J133" s="68"/>
      <c r="K133" s="4"/>
      <c r="L133" s="4"/>
      <c r="M133" s="4"/>
      <c r="N133" s="4"/>
      <c r="O133" s="4"/>
      <c r="P133" s="4"/>
      <c r="Q133" s="4"/>
      <c r="R133" s="4"/>
      <c r="S133" s="4"/>
      <c r="T133" s="4"/>
      <c r="U133" s="4"/>
      <c r="V133" s="4"/>
      <c r="W133" s="4"/>
      <c r="X133" s="4"/>
      <c r="Y133" s="4"/>
      <c r="Z133" s="4"/>
    </row>
    <row r="134" ht="19.5" customHeight="1">
      <c r="A134" s="68"/>
      <c r="B134" s="85"/>
      <c r="C134" s="85"/>
      <c r="D134" s="85"/>
      <c r="E134" s="68"/>
      <c r="F134" s="68"/>
      <c r="G134" s="71" t="b">
        <v>1</v>
      </c>
      <c r="H134" s="86" t="s">
        <v>132</v>
      </c>
      <c r="I134" s="49"/>
      <c r="J134" s="68"/>
      <c r="K134" s="4"/>
      <c r="L134" s="4"/>
      <c r="M134" s="4"/>
      <c r="N134" s="4"/>
      <c r="O134" s="4"/>
      <c r="P134" s="4"/>
      <c r="Q134" s="4"/>
      <c r="R134" s="4"/>
      <c r="S134" s="4"/>
      <c r="T134" s="4"/>
      <c r="U134" s="4"/>
      <c r="V134" s="4"/>
      <c r="W134" s="4"/>
      <c r="X134" s="4"/>
      <c r="Y134" s="4"/>
      <c r="Z134" s="4"/>
    </row>
    <row r="135" ht="19.5" customHeight="1">
      <c r="A135" s="68"/>
      <c r="B135" s="85"/>
      <c r="C135" s="85"/>
      <c r="D135" s="85"/>
      <c r="E135" s="68"/>
      <c r="F135" s="68"/>
      <c r="G135" s="71" t="b">
        <v>1</v>
      </c>
      <c r="H135" s="86" t="s">
        <v>133</v>
      </c>
      <c r="I135" s="49"/>
      <c r="J135" s="68"/>
      <c r="K135" s="4"/>
      <c r="L135" s="4"/>
      <c r="M135" s="4"/>
      <c r="N135" s="4"/>
      <c r="O135" s="4"/>
      <c r="P135" s="4"/>
      <c r="Q135" s="4"/>
      <c r="R135" s="4"/>
      <c r="S135" s="4"/>
      <c r="T135" s="4"/>
      <c r="U135" s="4"/>
      <c r="V135" s="4"/>
      <c r="W135" s="4"/>
      <c r="X135" s="4"/>
      <c r="Y135" s="4"/>
      <c r="Z135" s="4"/>
    </row>
    <row r="136" ht="19.5" customHeight="1">
      <c r="A136" s="68"/>
      <c r="B136" s="85"/>
      <c r="C136" s="85"/>
      <c r="D136" s="85"/>
      <c r="E136" s="68"/>
      <c r="F136" s="68"/>
      <c r="G136" s="71" t="b">
        <v>1</v>
      </c>
      <c r="H136" s="86" t="s">
        <v>134</v>
      </c>
      <c r="I136" s="49"/>
      <c r="J136" s="68"/>
      <c r="K136" s="4"/>
      <c r="L136" s="4"/>
      <c r="M136" s="4"/>
      <c r="N136" s="4"/>
      <c r="O136" s="4"/>
      <c r="P136" s="4"/>
      <c r="Q136" s="4"/>
      <c r="R136" s="4"/>
      <c r="S136" s="4"/>
      <c r="T136" s="4"/>
      <c r="U136" s="4"/>
      <c r="V136" s="4"/>
      <c r="W136" s="4"/>
      <c r="X136" s="4"/>
      <c r="Y136" s="4"/>
      <c r="Z136" s="4"/>
    </row>
    <row r="137" ht="19.5" customHeight="1">
      <c r="A137" s="68"/>
      <c r="B137" s="85"/>
      <c r="C137" s="85"/>
      <c r="D137" s="85"/>
      <c r="E137" s="68"/>
      <c r="F137" s="68"/>
      <c r="G137" s="71" t="b">
        <v>1</v>
      </c>
      <c r="H137" s="86" t="s">
        <v>135</v>
      </c>
      <c r="I137" s="49"/>
      <c r="J137" s="68"/>
      <c r="K137" s="4"/>
      <c r="L137" s="4"/>
      <c r="M137" s="4"/>
      <c r="N137" s="4"/>
      <c r="O137" s="4"/>
      <c r="P137" s="4"/>
      <c r="Q137" s="4"/>
      <c r="R137" s="4"/>
      <c r="S137" s="4"/>
      <c r="T137" s="4"/>
      <c r="U137" s="4"/>
      <c r="V137" s="4"/>
      <c r="W137" s="4"/>
      <c r="X137" s="4"/>
      <c r="Y137" s="4"/>
      <c r="Z137" s="4"/>
    </row>
    <row r="138" ht="19.5" customHeight="1">
      <c r="A138" s="68"/>
      <c r="B138" s="85"/>
      <c r="C138" s="85"/>
      <c r="D138" s="85"/>
      <c r="E138" s="68"/>
      <c r="F138" s="68"/>
      <c r="G138" s="71" t="b">
        <v>1</v>
      </c>
      <c r="H138" s="86" t="s">
        <v>136</v>
      </c>
      <c r="I138" s="49"/>
      <c r="J138" s="68"/>
      <c r="K138" s="4"/>
      <c r="L138" s="4"/>
      <c r="M138" s="4"/>
      <c r="N138" s="4"/>
      <c r="O138" s="4"/>
      <c r="P138" s="4"/>
      <c r="Q138" s="4"/>
      <c r="R138" s="4"/>
      <c r="S138" s="4"/>
      <c r="T138" s="4"/>
      <c r="U138" s="4"/>
      <c r="V138" s="4"/>
      <c r="W138" s="4"/>
      <c r="X138" s="4"/>
      <c r="Y138" s="4"/>
      <c r="Z138" s="4"/>
    </row>
    <row r="139" ht="19.5" customHeight="1">
      <c r="A139" s="68"/>
      <c r="B139" s="85"/>
      <c r="C139" s="85"/>
      <c r="D139" s="85"/>
      <c r="E139" s="68"/>
      <c r="F139" s="68"/>
      <c r="G139" s="71" t="b">
        <v>1</v>
      </c>
      <c r="H139" s="86" t="s">
        <v>137</v>
      </c>
      <c r="I139" s="49"/>
      <c r="J139" s="68"/>
      <c r="K139" s="4"/>
      <c r="L139" s="4"/>
      <c r="M139" s="4"/>
      <c r="N139" s="4"/>
      <c r="O139" s="4"/>
      <c r="P139" s="4"/>
      <c r="Q139" s="4"/>
      <c r="R139" s="4"/>
      <c r="S139" s="4"/>
      <c r="T139" s="4"/>
      <c r="U139" s="4"/>
      <c r="V139" s="4"/>
      <c r="W139" s="4"/>
      <c r="X139" s="4"/>
      <c r="Y139" s="4"/>
      <c r="Z139" s="4"/>
    </row>
    <row r="140" ht="19.5" customHeight="1">
      <c r="A140" s="68"/>
      <c r="B140" s="85"/>
      <c r="C140" s="85"/>
      <c r="D140" s="85"/>
      <c r="E140" s="68"/>
      <c r="F140" s="68"/>
      <c r="G140" s="71" t="b">
        <v>1</v>
      </c>
      <c r="H140" s="86" t="s">
        <v>138</v>
      </c>
      <c r="I140" s="49"/>
      <c r="J140" s="68"/>
      <c r="K140" s="4"/>
      <c r="L140" s="4"/>
      <c r="M140" s="4"/>
      <c r="N140" s="4"/>
      <c r="O140" s="4"/>
      <c r="P140" s="4"/>
      <c r="Q140" s="4"/>
      <c r="R140" s="4"/>
      <c r="S140" s="4"/>
      <c r="T140" s="4"/>
      <c r="U140" s="4"/>
      <c r="V140" s="4"/>
      <c r="W140" s="4"/>
      <c r="X140" s="4"/>
      <c r="Y140" s="4"/>
      <c r="Z140" s="4"/>
    </row>
    <row r="141" ht="19.5" customHeight="1">
      <c r="A141" s="68"/>
      <c r="B141" s="85"/>
      <c r="C141" s="85"/>
      <c r="D141" s="85"/>
      <c r="E141" s="68"/>
      <c r="F141" s="68"/>
      <c r="G141" s="71" t="b">
        <v>1</v>
      </c>
      <c r="H141" s="86" t="s">
        <v>139</v>
      </c>
      <c r="I141" s="49"/>
      <c r="J141" s="68"/>
      <c r="K141" s="4"/>
      <c r="L141" s="4"/>
      <c r="M141" s="4"/>
      <c r="N141" s="4"/>
      <c r="O141" s="4"/>
      <c r="P141" s="4"/>
      <c r="Q141" s="4"/>
      <c r="R141" s="4"/>
      <c r="S141" s="4"/>
      <c r="T141" s="4"/>
      <c r="U141" s="4"/>
      <c r="V141" s="4"/>
      <c r="W141" s="4"/>
      <c r="X141" s="4"/>
      <c r="Y141" s="4"/>
      <c r="Z141" s="4"/>
    </row>
    <row r="142" ht="19.5" customHeight="1">
      <c r="A142" s="68"/>
      <c r="B142" s="85"/>
      <c r="C142" s="85"/>
      <c r="D142" s="85"/>
      <c r="E142" s="68"/>
      <c r="F142" s="68"/>
      <c r="G142" s="71" t="b">
        <v>1</v>
      </c>
      <c r="H142" s="86" t="s">
        <v>140</v>
      </c>
      <c r="I142" s="49"/>
      <c r="J142" s="68"/>
      <c r="K142" s="4"/>
      <c r="L142" s="4"/>
      <c r="M142" s="4"/>
      <c r="N142" s="4"/>
      <c r="O142" s="4"/>
      <c r="P142" s="4"/>
      <c r="Q142" s="4"/>
      <c r="R142" s="4"/>
      <c r="S142" s="4"/>
      <c r="T142" s="4"/>
      <c r="U142" s="4"/>
      <c r="V142" s="4"/>
      <c r="W142" s="4"/>
      <c r="X142" s="4"/>
      <c r="Y142" s="4"/>
      <c r="Z142" s="4"/>
    </row>
    <row r="143" ht="19.5" customHeight="1">
      <c r="A143" s="68"/>
      <c r="B143" s="85"/>
      <c r="C143" s="85"/>
      <c r="D143" s="85"/>
      <c r="E143" s="68"/>
      <c r="F143" s="68"/>
      <c r="G143" s="71" t="b">
        <v>1</v>
      </c>
      <c r="H143" s="86" t="s">
        <v>141</v>
      </c>
      <c r="I143" s="49"/>
      <c r="J143" s="68"/>
      <c r="K143" s="4"/>
      <c r="L143" s="4"/>
      <c r="M143" s="4"/>
      <c r="N143" s="4"/>
      <c r="O143" s="4"/>
      <c r="P143" s="4"/>
      <c r="Q143" s="4"/>
      <c r="R143" s="4"/>
      <c r="S143" s="4"/>
      <c r="T143" s="4"/>
      <c r="U143" s="4"/>
      <c r="V143" s="4"/>
      <c r="W143" s="4"/>
      <c r="X143" s="4"/>
      <c r="Y143" s="4"/>
      <c r="Z143" s="4"/>
    </row>
    <row r="144" ht="19.5" customHeight="1">
      <c r="A144" s="68"/>
      <c r="B144" s="85"/>
      <c r="C144" s="85"/>
      <c r="D144" s="85"/>
      <c r="E144" s="68"/>
      <c r="F144" s="68"/>
      <c r="G144" s="71" t="b">
        <v>1</v>
      </c>
      <c r="H144" s="86" t="s">
        <v>142</v>
      </c>
      <c r="I144" s="49"/>
      <c r="J144" s="68"/>
      <c r="K144" s="4"/>
      <c r="L144" s="4"/>
      <c r="M144" s="4"/>
      <c r="N144" s="4"/>
      <c r="O144" s="4"/>
      <c r="P144" s="4"/>
      <c r="Q144" s="4"/>
      <c r="R144" s="4"/>
      <c r="S144" s="4"/>
      <c r="T144" s="4"/>
      <c r="U144" s="4"/>
      <c r="V144" s="4"/>
      <c r="W144" s="4"/>
      <c r="X144" s="4"/>
      <c r="Y144" s="4"/>
      <c r="Z144" s="4"/>
    </row>
    <row r="145" ht="19.5" customHeight="1">
      <c r="A145" s="68"/>
      <c r="B145" s="85"/>
      <c r="C145" s="85"/>
      <c r="D145" s="85"/>
      <c r="E145" s="68"/>
      <c r="F145" s="68"/>
      <c r="G145" s="71" t="b">
        <v>1</v>
      </c>
      <c r="H145" s="86" t="s">
        <v>143</v>
      </c>
      <c r="I145" s="49"/>
      <c r="J145" s="68"/>
      <c r="K145" s="4"/>
      <c r="L145" s="4"/>
      <c r="M145" s="4"/>
      <c r="N145" s="4"/>
      <c r="O145" s="4"/>
      <c r="P145" s="4"/>
      <c r="Q145" s="4"/>
      <c r="R145" s="4"/>
      <c r="S145" s="4"/>
      <c r="T145" s="4"/>
      <c r="U145" s="4"/>
      <c r="V145" s="4"/>
      <c r="W145" s="4"/>
      <c r="X145" s="4"/>
      <c r="Y145" s="4"/>
      <c r="Z145" s="4"/>
    </row>
    <row r="146" ht="19.5" customHeight="1">
      <c r="A146" s="68"/>
      <c r="B146" s="85"/>
      <c r="C146" s="85"/>
      <c r="D146" s="85"/>
      <c r="E146" s="68"/>
      <c r="F146" s="68"/>
      <c r="G146" s="71" t="b">
        <v>1</v>
      </c>
      <c r="H146" s="86" t="s">
        <v>144</v>
      </c>
      <c r="I146" s="49"/>
      <c r="J146" s="68"/>
      <c r="K146" s="4"/>
      <c r="L146" s="4"/>
      <c r="M146" s="4"/>
      <c r="N146" s="4"/>
      <c r="O146" s="4"/>
      <c r="P146" s="4"/>
      <c r="Q146" s="4"/>
      <c r="R146" s="4"/>
      <c r="S146" s="4"/>
      <c r="T146" s="4"/>
      <c r="U146" s="4"/>
      <c r="V146" s="4"/>
      <c r="W146" s="4"/>
      <c r="X146" s="4"/>
      <c r="Y146" s="4"/>
      <c r="Z146" s="4"/>
    </row>
    <row r="147" ht="19.5" customHeight="1">
      <c r="A147" s="68"/>
      <c r="B147" s="85"/>
      <c r="C147" s="85"/>
      <c r="D147" s="85"/>
      <c r="E147" s="68"/>
      <c r="F147" s="68"/>
      <c r="G147" s="71" t="b">
        <v>1</v>
      </c>
      <c r="H147" s="86" t="s">
        <v>145</v>
      </c>
      <c r="I147" s="49"/>
      <c r="J147" s="68"/>
      <c r="K147" s="4"/>
      <c r="L147" s="4"/>
      <c r="M147" s="4"/>
      <c r="N147" s="4"/>
      <c r="O147" s="4"/>
      <c r="P147" s="4"/>
      <c r="Q147" s="4"/>
      <c r="R147" s="4"/>
      <c r="S147" s="4"/>
      <c r="T147" s="4"/>
      <c r="U147" s="4"/>
      <c r="V147" s="4"/>
      <c r="W147" s="4"/>
      <c r="X147" s="4"/>
      <c r="Y147" s="4"/>
      <c r="Z147" s="4"/>
    </row>
    <row r="148" ht="19.5" customHeight="1">
      <c r="A148" s="68"/>
      <c r="B148" s="85"/>
      <c r="C148" s="85"/>
      <c r="D148" s="85"/>
      <c r="E148" s="68"/>
      <c r="F148" s="68"/>
      <c r="G148" s="71" t="b">
        <v>1</v>
      </c>
      <c r="H148" s="86" t="s">
        <v>146</v>
      </c>
      <c r="I148" s="49"/>
      <c r="J148" s="68"/>
      <c r="K148" s="4"/>
      <c r="L148" s="4"/>
      <c r="M148" s="4"/>
      <c r="N148" s="4"/>
      <c r="O148" s="4"/>
      <c r="P148" s="4"/>
      <c r="Q148" s="4"/>
      <c r="R148" s="4"/>
      <c r="S148" s="4"/>
      <c r="T148" s="4"/>
      <c r="U148" s="4"/>
      <c r="V148" s="4"/>
      <c r="W148" s="4"/>
      <c r="X148" s="4"/>
      <c r="Y148" s="4"/>
      <c r="Z148" s="4"/>
    </row>
    <row r="149" ht="19.5" customHeight="1">
      <c r="A149" s="68"/>
      <c r="B149" s="85"/>
      <c r="C149" s="85"/>
      <c r="D149" s="85"/>
      <c r="E149" s="68"/>
      <c r="F149" s="68"/>
      <c r="G149" s="71" t="b">
        <v>1</v>
      </c>
      <c r="H149" s="86" t="s">
        <v>147</v>
      </c>
      <c r="I149" s="49"/>
      <c r="J149" s="68"/>
      <c r="K149" s="4"/>
      <c r="L149" s="4"/>
      <c r="M149" s="4"/>
      <c r="N149" s="4"/>
      <c r="O149" s="4"/>
      <c r="P149" s="4"/>
      <c r="Q149" s="4"/>
      <c r="R149" s="4"/>
      <c r="S149" s="4"/>
      <c r="T149" s="4"/>
      <c r="U149" s="4"/>
      <c r="V149" s="4"/>
      <c r="W149" s="4"/>
      <c r="X149" s="4"/>
      <c r="Y149" s="4"/>
      <c r="Z149" s="4"/>
    </row>
    <row r="150" ht="19.5" customHeight="1">
      <c r="A150" s="68"/>
      <c r="B150" s="85"/>
      <c r="C150" s="85"/>
      <c r="D150" s="85"/>
      <c r="E150" s="68"/>
      <c r="F150" s="68"/>
      <c r="G150" s="71" t="b">
        <v>1</v>
      </c>
      <c r="H150" s="86" t="s">
        <v>148</v>
      </c>
      <c r="I150" s="49"/>
      <c r="J150" s="68"/>
      <c r="K150" s="4"/>
      <c r="L150" s="4"/>
      <c r="M150" s="4"/>
      <c r="N150" s="4"/>
      <c r="O150" s="4"/>
      <c r="P150" s="4"/>
      <c r="Q150" s="4"/>
      <c r="R150" s="4"/>
      <c r="S150" s="4"/>
      <c r="T150" s="4"/>
      <c r="U150" s="4"/>
      <c r="V150" s="4"/>
      <c r="W150" s="4"/>
      <c r="X150" s="4"/>
      <c r="Y150" s="4"/>
      <c r="Z150" s="4"/>
    </row>
    <row r="151" ht="19.5" customHeight="1">
      <c r="A151" s="68"/>
      <c r="B151" s="85"/>
      <c r="C151" s="85"/>
      <c r="D151" s="85"/>
      <c r="E151" s="68"/>
      <c r="F151" s="68"/>
      <c r="G151" s="71" t="b">
        <v>1</v>
      </c>
      <c r="H151" s="86" t="s">
        <v>149</v>
      </c>
      <c r="I151" s="49"/>
      <c r="J151" s="68"/>
      <c r="K151" s="4"/>
      <c r="L151" s="4"/>
      <c r="M151" s="4"/>
      <c r="N151" s="4"/>
      <c r="O151" s="4"/>
      <c r="P151" s="4"/>
      <c r="Q151" s="4"/>
      <c r="R151" s="4"/>
      <c r="S151" s="4"/>
      <c r="T151" s="4"/>
      <c r="U151" s="4"/>
      <c r="V151" s="4"/>
      <c r="W151" s="4"/>
      <c r="X151" s="4"/>
      <c r="Y151" s="4"/>
      <c r="Z151" s="4"/>
    </row>
    <row r="152" ht="19.5" customHeight="1">
      <c r="A152" s="68"/>
      <c r="B152" s="85"/>
      <c r="C152" s="85"/>
      <c r="D152" s="85"/>
      <c r="E152" s="68"/>
      <c r="F152" s="68"/>
      <c r="G152" s="71" t="b">
        <v>1</v>
      </c>
      <c r="H152" s="86" t="s">
        <v>150</v>
      </c>
      <c r="I152" s="49"/>
      <c r="J152" s="68"/>
      <c r="K152" s="4"/>
      <c r="L152" s="4"/>
      <c r="M152" s="4"/>
      <c r="N152" s="4"/>
      <c r="O152" s="4"/>
      <c r="P152" s="4"/>
      <c r="Q152" s="4"/>
      <c r="R152" s="4"/>
      <c r="S152" s="4"/>
      <c r="T152" s="4"/>
      <c r="U152" s="4"/>
      <c r="V152" s="4"/>
      <c r="W152" s="4"/>
      <c r="X152" s="4"/>
      <c r="Y152" s="4"/>
      <c r="Z152" s="4"/>
    </row>
    <row r="153" ht="19.5" customHeight="1">
      <c r="A153" s="68"/>
      <c r="B153" s="85"/>
      <c r="C153" s="85"/>
      <c r="D153" s="85"/>
      <c r="E153" s="68"/>
      <c r="F153" s="68"/>
      <c r="G153" s="71" t="b">
        <v>1</v>
      </c>
      <c r="H153" s="86" t="s">
        <v>151</v>
      </c>
      <c r="I153" s="49"/>
      <c r="J153" s="68"/>
      <c r="K153" s="4"/>
      <c r="L153" s="4"/>
      <c r="M153" s="4"/>
      <c r="N153" s="4"/>
      <c r="O153" s="4"/>
      <c r="P153" s="4"/>
      <c r="Q153" s="4"/>
      <c r="R153" s="4"/>
      <c r="S153" s="4"/>
      <c r="T153" s="4"/>
      <c r="U153" s="4"/>
      <c r="V153" s="4"/>
      <c r="W153" s="4"/>
      <c r="X153" s="4"/>
      <c r="Y153" s="4"/>
      <c r="Z153" s="4"/>
    </row>
    <row r="154" ht="19.5" customHeight="1">
      <c r="A154" s="68"/>
      <c r="B154" s="85"/>
      <c r="C154" s="85"/>
      <c r="D154" s="85"/>
      <c r="E154" s="68"/>
      <c r="F154" s="68"/>
      <c r="G154" s="71" t="b">
        <v>1</v>
      </c>
      <c r="H154" s="86" t="s">
        <v>152</v>
      </c>
      <c r="I154" s="49"/>
      <c r="J154" s="68"/>
      <c r="K154" s="4"/>
      <c r="L154" s="4"/>
      <c r="M154" s="4"/>
      <c r="N154" s="4"/>
      <c r="O154" s="4"/>
      <c r="P154" s="4"/>
      <c r="Q154" s="4"/>
      <c r="R154" s="4"/>
      <c r="S154" s="4"/>
      <c r="T154" s="4"/>
      <c r="U154" s="4"/>
      <c r="V154" s="4"/>
      <c r="W154" s="4"/>
      <c r="X154" s="4"/>
      <c r="Y154" s="4"/>
      <c r="Z154" s="4"/>
    </row>
    <row r="155" ht="19.5" customHeight="1">
      <c r="A155" s="68"/>
      <c r="B155" s="85"/>
      <c r="C155" s="85"/>
      <c r="D155" s="85"/>
      <c r="E155" s="68"/>
      <c r="F155" s="68"/>
      <c r="G155" s="71" t="b">
        <v>1</v>
      </c>
      <c r="H155" s="86" t="s">
        <v>153</v>
      </c>
      <c r="I155" s="49"/>
      <c r="J155" s="68"/>
      <c r="K155" s="4"/>
      <c r="L155" s="4"/>
      <c r="M155" s="4"/>
      <c r="N155" s="4"/>
      <c r="O155" s="4"/>
      <c r="P155" s="4"/>
      <c r="Q155" s="4"/>
      <c r="R155" s="4"/>
      <c r="S155" s="4"/>
      <c r="T155" s="4"/>
      <c r="U155" s="4"/>
      <c r="V155" s="4"/>
      <c r="W155" s="4"/>
      <c r="X155" s="4"/>
      <c r="Y155" s="4"/>
      <c r="Z155" s="4"/>
    </row>
    <row r="156" ht="19.5" customHeight="1">
      <c r="A156" s="68"/>
      <c r="B156" s="85"/>
      <c r="C156" s="85"/>
      <c r="D156" s="85"/>
      <c r="E156" s="68"/>
      <c r="F156" s="68"/>
      <c r="G156" s="71" t="b">
        <v>1</v>
      </c>
      <c r="H156" s="86" t="s">
        <v>154</v>
      </c>
      <c r="I156" s="49"/>
      <c r="J156" s="68"/>
      <c r="K156" s="4"/>
      <c r="L156" s="4"/>
      <c r="M156" s="4"/>
      <c r="N156" s="4"/>
      <c r="O156" s="4"/>
      <c r="P156" s="4"/>
      <c r="Q156" s="4"/>
      <c r="R156" s="4"/>
      <c r="S156" s="4"/>
      <c r="T156" s="4"/>
      <c r="U156" s="4"/>
      <c r="V156" s="4"/>
      <c r="W156" s="4"/>
      <c r="X156" s="4"/>
      <c r="Y156" s="4"/>
      <c r="Z156" s="4"/>
    </row>
    <row r="157" ht="19.5" customHeight="1">
      <c r="A157" s="90"/>
      <c r="B157" s="90"/>
      <c r="C157" s="91"/>
      <c r="D157" s="91"/>
      <c r="E157" s="90"/>
      <c r="F157" s="90"/>
      <c r="G157" s="90"/>
      <c r="H157" s="90"/>
      <c r="I157" s="90"/>
      <c r="J157" s="90"/>
      <c r="K157" s="92"/>
      <c r="L157" s="92"/>
      <c r="M157" s="92"/>
      <c r="N157" s="92"/>
      <c r="O157" s="92"/>
      <c r="P157" s="92"/>
      <c r="Q157" s="92"/>
      <c r="R157" s="92"/>
      <c r="S157" s="92"/>
      <c r="T157" s="92"/>
      <c r="U157" s="92"/>
      <c r="V157" s="92"/>
      <c r="W157" s="92"/>
      <c r="X157" s="92"/>
      <c r="Y157" s="92"/>
      <c r="Z157" s="92"/>
    </row>
    <row r="158" ht="19.5" customHeight="1">
      <c r="A158" s="90"/>
      <c r="B158" s="90"/>
      <c r="C158" s="91"/>
      <c r="D158" s="91"/>
      <c r="E158" s="90"/>
      <c r="F158" s="90"/>
      <c r="G158" s="90"/>
      <c r="H158" s="90"/>
      <c r="I158" s="90"/>
      <c r="J158" s="90"/>
      <c r="K158" s="92"/>
      <c r="L158" s="92"/>
      <c r="M158" s="92"/>
      <c r="N158" s="92"/>
      <c r="O158" s="92"/>
      <c r="P158" s="92"/>
      <c r="Q158" s="92"/>
      <c r="R158" s="92"/>
      <c r="S158" s="92"/>
      <c r="T158" s="92"/>
      <c r="U158" s="92"/>
      <c r="V158" s="92"/>
      <c r="W158" s="92"/>
      <c r="X158" s="92"/>
      <c r="Y158" s="92"/>
      <c r="Z158" s="92"/>
    </row>
    <row r="159" ht="19.5" customHeight="1">
      <c r="A159" s="68"/>
      <c r="B159" s="68"/>
      <c r="C159" s="93"/>
      <c r="D159" s="93"/>
      <c r="E159" s="68"/>
      <c r="F159" s="68"/>
      <c r="G159" s="68"/>
      <c r="H159" s="68"/>
      <c r="I159" s="68"/>
      <c r="J159" s="68"/>
      <c r="K159" s="4"/>
      <c r="L159" s="4"/>
      <c r="M159" s="4"/>
      <c r="N159" s="4"/>
      <c r="O159" s="4"/>
      <c r="P159" s="4"/>
      <c r="Q159" s="4"/>
      <c r="R159" s="4"/>
      <c r="S159" s="4"/>
      <c r="T159" s="4"/>
      <c r="U159" s="4"/>
      <c r="V159" s="4"/>
      <c r="W159" s="4"/>
      <c r="X159" s="4"/>
      <c r="Y159" s="4"/>
      <c r="Z159" s="4"/>
    </row>
    <row r="160" ht="19.5" customHeight="1">
      <c r="A160" s="68"/>
      <c r="B160" s="68"/>
      <c r="C160" s="93"/>
      <c r="D160" s="93"/>
      <c r="E160" s="68"/>
      <c r="F160" s="68"/>
      <c r="G160" s="68"/>
      <c r="H160" s="68"/>
      <c r="I160" s="68"/>
      <c r="J160" s="68"/>
      <c r="K160" s="4"/>
      <c r="L160" s="4"/>
      <c r="M160" s="4"/>
      <c r="N160" s="4"/>
      <c r="O160" s="4"/>
      <c r="P160" s="4"/>
      <c r="Q160" s="4"/>
      <c r="R160" s="4"/>
      <c r="S160" s="4"/>
      <c r="T160" s="4"/>
      <c r="U160" s="4"/>
      <c r="V160" s="4"/>
      <c r="W160" s="4"/>
      <c r="X160" s="4"/>
      <c r="Y160" s="4"/>
      <c r="Z160" s="4"/>
    </row>
    <row r="161" ht="19.5" customHeight="1">
      <c r="A161" s="68"/>
      <c r="B161" s="68"/>
      <c r="C161" s="68"/>
      <c r="D161" s="68"/>
      <c r="E161" s="68"/>
      <c r="F161" s="68"/>
      <c r="G161" s="68"/>
      <c r="H161" s="68"/>
      <c r="I161" s="68"/>
      <c r="J161" s="68"/>
      <c r="K161" s="4"/>
      <c r="L161" s="4"/>
      <c r="M161" s="4"/>
      <c r="N161" s="4"/>
      <c r="O161" s="4"/>
      <c r="P161" s="4"/>
      <c r="Q161" s="4"/>
      <c r="R161" s="4"/>
      <c r="S161" s="4"/>
      <c r="T161" s="4"/>
      <c r="U161" s="4"/>
      <c r="V161" s="4"/>
      <c r="W161" s="4"/>
      <c r="X161" s="4"/>
      <c r="Y161" s="4"/>
      <c r="Z161" s="4"/>
    </row>
    <row r="162" ht="19.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9.5" customHeight="1">
      <c r="A163" s="94">
        <v>3.0</v>
      </c>
      <c r="B163" s="95" t="s">
        <v>155</v>
      </c>
      <c r="C163" s="96"/>
      <c r="D163" s="96"/>
      <c r="E163" s="97"/>
      <c r="F163" s="79"/>
      <c r="G163" s="79"/>
      <c r="H163" s="79"/>
      <c r="I163" s="79"/>
      <c r="J163" s="79"/>
      <c r="K163" s="39"/>
      <c r="L163" s="39"/>
      <c r="M163" s="39"/>
      <c r="N163" s="39"/>
      <c r="O163" s="39"/>
      <c r="P163" s="39"/>
      <c r="Q163" s="39"/>
      <c r="R163" s="39"/>
      <c r="S163" s="39"/>
      <c r="T163" s="39"/>
      <c r="U163" s="4"/>
      <c r="V163" s="4"/>
      <c r="W163" s="4"/>
      <c r="X163" s="4"/>
      <c r="Y163" s="4"/>
      <c r="Z163" s="4"/>
    </row>
    <row r="164" ht="19.5" customHeight="1">
      <c r="A164" s="68"/>
      <c r="B164" s="68"/>
      <c r="C164" s="68"/>
      <c r="D164" s="68"/>
      <c r="E164" s="68"/>
      <c r="F164" s="68"/>
      <c r="G164" s="68"/>
      <c r="H164" s="68"/>
      <c r="I164" s="68"/>
      <c r="J164" s="68"/>
      <c r="K164" s="4"/>
      <c r="L164" s="4"/>
      <c r="M164" s="4"/>
      <c r="N164" s="4"/>
      <c r="O164" s="4"/>
      <c r="P164" s="4"/>
      <c r="Q164" s="4"/>
      <c r="R164" s="4"/>
      <c r="S164" s="4"/>
      <c r="T164" s="4"/>
      <c r="U164" s="4"/>
      <c r="V164" s="4"/>
      <c r="W164" s="4"/>
      <c r="X164" s="4"/>
      <c r="Y164" s="4"/>
      <c r="Z164" s="4"/>
    </row>
    <row r="165" ht="19.5" customHeight="1">
      <c r="A165" s="68"/>
      <c r="B165" s="75" t="s">
        <v>156</v>
      </c>
      <c r="C165" s="68"/>
      <c r="D165" s="68"/>
      <c r="E165" s="71" t="b">
        <v>1</v>
      </c>
      <c r="F165" s="86" t="s">
        <v>157</v>
      </c>
      <c r="G165" s="49"/>
      <c r="H165" s="68"/>
      <c r="I165" s="68"/>
      <c r="J165" s="68"/>
      <c r="K165" s="4"/>
      <c r="L165" s="4"/>
      <c r="M165" s="4"/>
      <c r="N165" s="4"/>
      <c r="O165" s="4"/>
      <c r="P165" s="4"/>
      <c r="Q165" s="4"/>
      <c r="R165" s="4"/>
      <c r="S165" s="4"/>
      <c r="T165" s="4"/>
      <c r="U165" s="4"/>
      <c r="V165" s="4"/>
      <c r="W165" s="4"/>
      <c r="X165" s="4"/>
      <c r="Y165" s="4"/>
      <c r="Z165" s="4"/>
    </row>
    <row r="166" ht="19.5" customHeight="1">
      <c r="A166" s="68"/>
      <c r="B166" s="68"/>
      <c r="C166" s="68"/>
      <c r="D166" s="68"/>
      <c r="E166" s="71" t="b">
        <v>1</v>
      </c>
      <c r="F166" s="86" t="s">
        <v>158</v>
      </c>
      <c r="G166" s="49"/>
      <c r="H166" s="68"/>
      <c r="I166" s="68"/>
      <c r="J166" s="68"/>
      <c r="K166" s="4"/>
      <c r="L166" s="4"/>
      <c r="M166" s="4"/>
      <c r="N166" s="4"/>
      <c r="O166" s="4"/>
      <c r="P166" s="4"/>
      <c r="Q166" s="4"/>
      <c r="R166" s="4"/>
      <c r="S166" s="4"/>
      <c r="T166" s="4"/>
      <c r="U166" s="4"/>
      <c r="V166" s="4"/>
      <c r="W166" s="4"/>
      <c r="X166" s="4"/>
      <c r="Y166" s="4"/>
      <c r="Z166" s="4"/>
    </row>
    <row r="167" ht="19.5" customHeight="1">
      <c r="A167" s="68"/>
      <c r="B167" s="68"/>
      <c r="C167" s="68"/>
      <c r="D167" s="68"/>
      <c r="E167" s="71" t="b">
        <v>1</v>
      </c>
      <c r="F167" s="86" t="s">
        <v>159</v>
      </c>
      <c r="G167" s="49"/>
      <c r="H167" s="68"/>
      <c r="I167" s="68"/>
      <c r="J167" s="68"/>
      <c r="K167" s="4"/>
      <c r="L167" s="4"/>
      <c r="M167" s="4"/>
      <c r="N167" s="4"/>
      <c r="O167" s="4"/>
      <c r="P167" s="4"/>
      <c r="Q167" s="4"/>
      <c r="R167" s="4"/>
      <c r="S167" s="4"/>
      <c r="T167" s="4"/>
      <c r="U167" s="4"/>
      <c r="V167" s="4"/>
      <c r="W167" s="4"/>
      <c r="X167" s="4"/>
      <c r="Y167" s="4"/>
      <c r="Z167" s="4"/>
    </row>
    <row r="168" ht="19.5" customHeight="1">
      <c r="A168" s="68"/>
      <c r="B168" s="69"/>
      <c r="C168" s="68"/>
      <c r="D168" s="68"/>
      <c r="E168" s="71" t="b">
        <v>1</v>
      </c>
      <c r="F168" s="86" t="s">
        <v>160</v>
      </c>
      <c r="G168" s="49"/>
      <c r="H168" s="68"/>
      <c r="I168" s="68"/>
      <c r="J168" s="68"/>
      <c r="K168" s="4"/>
      <c r="L168" s="4"/>
      <c r="M168" s="4"/>
      <c r="N168" s="4"/>
      <c r="O168" s="4"/>
      <c r="P168" s="4"/>
      <c r="Q168" s="4"/>
      <c r="R168" s="4"/>
      <c r="S168" s="4"/>
      <c r="T168" s="4"/>
      <c r="U168" s="4"/>
      <c r="V168" s="4"/>
      <c r="W168" s="4"/>
      <c r="X168" s="4"/>
      <c r="Y168" s="4"/>
      <c r="Z168" s="4"/>
    </row>
    <row r="169" ht="19.5" customHeight="1">
      <c r="A169" s="68"/>
      <c r="B169" s="69" t="s">
        <v>58</v>
      </c>
      <c r="C169" s="68"/>
      <c r="D169" s="68"/>
      <c r="E169" s="64" t="b">
        <v>0</v>
      </c>
      <c r="F169" s="71"/>
      <c r="G169" s="49"/>
      <c r="H169" s="68"/>
      <c r="I169" s="68"/>
      <c r="J169" s="68"/>
      <c r="K169" s="4"/>
      <c r="L169" s="4"/>
      <c r="M169" s="4"/>
      <c r="N169" s="4"/>
      <c r="O169" s="4"/>
      <c r="P169" s="4"/>
      <c r="Q169" s="4"/>
      <c r="R169" s="4"/>
      <c r="S169" s="4"/>
      <c r="T169" s="4"/>
      <c r="U169" s="4"/>
      <c r="V169" s="4"/>
      <c r="W169" s="4"/>
      <c r="X169" s="4"/>
      <c r="Y169" s="4"/>
      <c r="Z169" s="4"/>
    </row>
    <row r="170" ht="19.5" customHeight="1">
      <c r="A170" s="68"/>
      <c r="B170" s="69" t="s">
        <v>58</v>
      </c>
      <c r="C170" s="68"/>
      <c r="D170" s="68"/>
      <c r="E170" s="64" t="b">
        <v>0</v>
      </c>
      <c r="F170" s="71"/>
      <c r="G170" s="49"/>
      <c r="H170" s="68"/>
      <c r="I170" s="68"/>
      <c r="J170" s="68"/>
      <c r="K170" s="4"/>
      <c r="L170" s="4"/>
      <c r="M170" s="4"/>
      <c r="N170" s="4"/>
      <c r="O170" s="4"/>
      <c r="P170" s="4"/>
      <c r="Q170" s="4"/>
      <c r="R170" s="4"/>
      <c r="S170" s="4"/>
      <c r="T170" s="4"/>
      <c r="U170" s="4"/>
      <c r="V170" s="4"/>
      <c r="W170" s="4"/>
      <c r="X170" s="4"/>
      <c r="Y170" s="4"/>
      <c r="Z170" s="4"/>
    </row>
    <row r="171" ht="19.5" customHeight="1">
      <c r="A171" s="68"/>
      <c r="B171" s="69" t="s">
        <v>58</v>
      </c>
      <c r="C171" s="68"/>
      <c r="D171" s="68"/>
      <c r="E171" s="64" t="b">
        <v>0</v>
      </c>
      <c r="F171" s="71"/>
      <c r="G171" s="49"/>
      <c r="H171" s="68"/>
      <c r="I171" s="68"/>
      <c r="J171" s="68"/>
      <c r="K171" s="4"/>
      <c r="L171" s="4"/>
      <c r="M171" s="4"/>
      <c r="N171" s="4"/>
      <c r="O171" s="4"/>
      <c r="P171" s="4"/>
      <c r="Q171" s="4"/>
      <c r="R171" s="4"/>
      <c r="S171" s="4"/>
      <c r="T171" s="4"/>
      <c r="U171" s="4"/>
      <c r="V171" s="4"/>
      <c r="W171" s="4"/>
      <c r="X171" s="4"/>
      <c r="Y171" s="4"/>
      <c r="Z171" s="4"/>
    </row>
    <row r="172" ht="19.5" customHeight="1">
      <c r="A172" s="68"/>
      <c r="B172" s="68"/>
      <c r="C172" s="68"/>
      <c r="D172" s="68"/>
      <c r="E172" s="68"/>
      <c r="F172" s="68"/>
      <c r="G172" s="68"/>
      <c r="H172" s="68"/>
      <c r="I172" s="68"/>
      <c r="J172" s="68"/>
      <c r="K172" s="4"/>
      <c r="L172" s="4"/>
      <c r="M172" s="4"/>
      <c r="N172" s="4"/>
      <c r="O172" s="4"/>
      <c r="P172" s="4"/>
      <c r="Q172" s="4"/>
      <c r="R172" s="4"/>
      <c r="S172" s="4"/>
      <c r="T172" s="4"/>
      <c r="U172" s="4"/>
      <c r="V172" s="4"/>
      <c r="W172" s="4"/>
      <c r="X172" s="4"/>
      <c r="Y172" s="4"/>
      <c r="Z172" s="4"/>
    </row>
    <row r="173" ht="19.5" customHeight="1">
      <c r="A173" s="68"/>
      <c r="B173" s="68"/>
      <c r="C173" s="68"/>
      <c r="D173" s="68"/>
      <c r="E173" s="68"/>
      <c r="F173" s="68"/>
      <c r="G173" s="68"/>
      <c r="H173" s="68"/>
      <c r="I173" s="68"/>
      <c r="J173" s="68"/>
      <c r="K173" s="4"/>
      <c r="L173" s="4"/>
      <c r="M173" s="4"/>
      <c r="N173" s="4"/>
      <c r="O173" s="4"/>
      <c r="P173" s="4"/>
      <c r="Q173" s="4"/>
      <c r="R173" s="4"/>
      <c r="S173" s="4"/>
      <c r="T173" s="4"/>
      <c r="U173" s="4"/>
      <c r="V173" s="4"/>
      <c r="W173" s="4"/>
      <c r="X173" s="4"/>
      <c r="Y173" s="4"/>
      <c r="Z173" s="4"/>
    </row>
    <row r="174" ht="19.5" customHeight="1">
      <c r="A174" s="68"/>
      <c r="B174" s="68"/>
      <c r="C174" s="68"/>
      <c r="D174" s="68"/>
      <c r="E174" s="68"/>
      <c r="F174" s="68"/>
      <c r="G174" s="68"/>
      <c r="H174" s="68"/>
      <c r="I174" s="68"/>
      <c r="J174" s="68"/>
      <c r="K174" s="4"/>
      <c r="L174" s="4"/>
      <c r="M174" s="4"/>
      <c r="N174" s="4"/>
      <c r="O174" s="4"/>
      <c r="P174" s="4"/>
      <c r="Q174" s="4"/>
      <c r="R174" s="4"/>
      <c r="S174" s="4"/>
      <c r="T174" s="4"/>
      <c r="U174" s="4"/>
      <c r="V174" s="4"/>
      <c r="W174" s="4"/>
      <c r="X174" s="4"/>
      <c r="Y174" s="4"/>
      <c r="Z174" s="4"/>
    </row>
    <row r="175" ht="19.5" customHeight="1">
      <c r="A175" s="68"/>
      <c r="B175" s="68"/>
      <c r="C175" s="68"/>
      <c r="D175" s="68"/>
      <c r="E175" s="68"/>
      <c r="F175" s="68"/>
      <c r="G175" s="68"/>
      <c r="H175" s="68"/>
      <c r="I175" s="68"/>
      <c r="J175" s="68"/>
      <c r="K175" s="4"/>
      <c r="L175" s="4"/>
      <c r="M175" s="4"/>
      <c r="N175" s="4"/>
      <c r="O175" s="4"/>
      <c r="P175" s="4"/>
      <c r="Q175" s="4"/>
      <c r="R175" s="4"/>
      <c r="S175" s="4"/>
      <c r="T175" s="4"/>
      <c r="U175" s="4"/>
      <c r="V175" s="4"/>
      <c r="W175" s="4"/>
      <c r="X175" s="4"/>
      <c r="Y175" s="4"/>
      <c r="Z175" s="4"/>
    </row>
    <row r="176" ht="19.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9.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9.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9.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9.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9.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9.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9.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9.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9.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9.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9.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9.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9.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9.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9.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9.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9.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9.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9.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9.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9.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9.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9.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9.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9.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9.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9.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9.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9.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9.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9.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9.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9.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9.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9.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9.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9.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9.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9.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9.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9.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9.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9.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9.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9.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9.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9.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9.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9.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9.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9.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9.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9.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9.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9.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9.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9.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9.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9.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9.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9.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9.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9.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9.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9.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9.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9.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9.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9.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9.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9.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9.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9.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9.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9.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9.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9.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9.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9.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9.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9.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9.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9.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9.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9.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9.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9.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9.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9.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9.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9.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9.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9.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9.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9.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9.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9.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9.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9.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9.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9.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9.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9.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9.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9.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9.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9.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9.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9.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9.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9.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9.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9.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9.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9.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9.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9.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9.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9.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9.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9.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9.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9.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9.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9.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9.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9.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9.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9.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9.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9.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9.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9.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9.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9.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9.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9.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9.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9.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9.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9.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9.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9.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9.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9.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9.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9.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9.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9.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9.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9.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9.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9.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9.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9.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9.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9.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9.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9.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9.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9.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9.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9.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9.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9.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9.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9.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9.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9.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9.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9.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9.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9.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9.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9.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9.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9.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9.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9.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9.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9.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9.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9.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9.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9.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9.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9.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9.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9.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9.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9.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9.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9.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9.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9.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9.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9.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9.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9.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9.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9.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9.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9.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9.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9.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9.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9.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9.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9.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9.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9.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9.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9.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9.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9.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9.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9.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9.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9.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9.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9.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9.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9.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9.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9.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9.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9.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9.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9.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9.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9.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9.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9.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9.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9.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9.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9.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9.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9.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9.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9.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9.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9.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9.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9.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9.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9.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9.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9.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9.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9.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9.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9.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9.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9.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9.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9.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9.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9.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9.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9.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9.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9.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9.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9.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9.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9.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9.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9.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9.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9.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9.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9.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9.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9.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9.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9.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9.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9.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9.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9.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9.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9.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9.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9.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9.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9.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9.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9.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9.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9.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9.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9.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9.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9.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9.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9.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9.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9.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9.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9.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9.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9.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9.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9.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9.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9.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9.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9.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9.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9.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9.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9.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9.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9.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9.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9.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9.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9.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9.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9.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9.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9.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9.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9.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9.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9.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9.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9.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9.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9.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9.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9.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9.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9.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9.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9.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9.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9.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9.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9.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9.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9.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9.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9.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9.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9.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9.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9.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9.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9.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9.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9.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9.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9.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9.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9.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9.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9.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9.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9.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9.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19.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sheetData>
  <mergeCells count="137">
    <mergeCell ref="B2:G3"/>
    <mergeCell ref="B5:N10"/>
    <mergeCell ref="B15:C15"/>
    <mergeCell ref="H15:K15"/>
    <mergeCell ref="B17:C17"/>
    <mergeCell ref="I20:J20"/>
    <mergeCell ref="I21:J21"/>
    <mergeCell ref="B19:C19"/>
    <mergeCell ref="B23:C23"/>
    <mergeCell ref="E23:H23"/>
    <mergeCell ref="E24:H24"/>
    <mergeCell ref="E25:H25"/>
    <mergeCell ref="B28:C28"/>
    <mergeCell ref="H30:I30"/>
    <mergeCell ref="D30:F30"/>
    <mergeCell ref="B31:E31"/>
    <mergeCell ref="E33:I33"/>
    <mergeCell ref="E34:I34"/>
    <mergeCell ref="E35:I35"/>
    <mergeCell ref="E36:I36"/>
    <mergeCell ref="E37:I37"/>
    <mergeCell ref="E38:I38"/>
    <mergeCell ref="E39:I39"/>
    <mergeCell ref="E40:I40"/>
    <mergeCell ref="E41:I41"/>
    <mergeCell ref="E42:I42"/>
    <mergeCell ref="E43:I43"/>
    <mergeCell ref="E44:I44"/>
    <mergeCell ref="E45:I45"/>
    <mergeCell ref="E46:I46"/>
    <mergeCell ref="E47:I47"/>
    <mergeCell ref="E48:I48"/>
    <mergeCell ref="E49:I49"/>
    <mergeCell ref="E50:I50"/>
    <mergeCell ref="E51:I51"/>
    <mergeCell ref="B61:D61"/>
    <mergeCell ref="B62:D62"/>
    <mergeCell ref="B63:D63"/>
    <mergeCell ref="B64:D64"/>
    <mergeCell ref="B65:D65"/>
    <mergeCell ref="E52:I52"/>
    <mergeCell ref="E53:I53"/>
    <mergeCell ref="E54:I54"/>
    <mergeCell ref="E55:I55"/>
    <mergeCell ref="B58:C58"/>
    <mergeCell ref="E60:I60"/>
    <mergeCell ref="E61:I61"/>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144:I144"/>
    <mergeCell ref="H145:I145"/>
    <mergeCell ref="H146:I146"/>
    <mergeCell ref="H147:I147"/>
    <mergeCell ref="H148:I148"/>
    <mergeCell ref="H149:I149"/>
    <mergeCell ref="H150:I150"/>
    <mergeCell ref="H151:I151"/>
    <mergeCell ref="F166:G166"/>
    <mergeCell ref="F167:G167"/>
    <mergeCell ref="F168:G168"/>
    <mergeCell ref="F169:G169"/>
    <mergeCell ref="F170:G170"/>
    <mergeCell ref="F171:G171"/>
    <mergeCell ref="H152:I152"/>
    <mergeCell ref="H153:I153"/>
    <mergeCell ref="H154:I154"/>
    <mergeCell ref="H155:I155"/>
    <mergeCell ref="H156:I156"/>
    <mergeCell ref="B163:E163"/>
    <mergeCell ref="F165:G165"/>
    <mergeCell ref="E62:I62"/>
    <mergeCell ref="E63:I63"/>
    <mergeCell ref="E64:I64"/>
    <mergeCell ref="F67:I67"/>
    <mergeCell ref="F68:I68"/>
    <mergeCell ref="F69:I69"/>
    <mergeCell ref="F70:I70"/>
    <mergeCell ref="E73:I73"/>
    <mergeCell ref="E75:I75"/>
    <mergeCell ref="E76:I76"/>
    <mergeCell ref="E77:I77"/>
    <mergeCell ref="E79:I79"/>
    <mergeCell ref="E80:I80"/>
    <mergeCell ref="E81:I81"/>
    <mergeCell ref="E82:I82"/>
    <mergeCell ref="E83:I83"/>
    <mergeCell ref="E84:I84"/>
    <mergeCell ref="E85:I85"/>
    <mergeCell ref="B89:C89"/>
    <mergeCell ref="F91:G91"/>
    <mergeCell ref="F92:G92"/>
    <mergeCell ref="F93:G93"/>
    <mergeCell ref="F94:G94"/>
    <mergeCell ref="F95:G95"/>
    <mergeCell ref="F96:G96"/>
    <mergeCell ref="F97:G97"/>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s>
  <dataValidations>
    <dataValidation type="list" allowBlank="1" showErrorMessage="1" sqref="E75 E79 E82">
      <formula1>"Yes,No"</formula1>
    </dataValidation>
    <dataValidation type="list" allowBlank="1" showErrorMessage="1" sqref="E23:E25">
      <formula1>"Regenerative Agriculture (9),Farmer Organisation (13),Youth &amp; Future Outlook (9),Agent Model Farmers (16),Perennial Crop Basic Information (3),Focus Crop Consumption Management (4),Deep dive livestock (6),Deep dive other crops (2),General Farm Practices ("&amp;"5),Production Levels over the years (7),Deep dive access to Finance (10),Deep dive labour cost (6),Gender-intentional Transformative (14),Deep dive asset costs (2)"</formula1>
    </dataValidation>
    <dataValidation type="list" allowBlank="1" showErrorMessage="1" sqref="D15">
      <formula1>"coffee,cocoa,maize,rice,tomato,spices,beans,peanuts,sunflower,dairy farming,potato,macadamia"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min="2" max="2" width="39.57"/>
    <col customWidth="1" min="3" max="3" width="29.29"/>
    <col customWidth="1" min="4" max="4" width="84.86"/>
    <col customWidth="1" min="5" max="22" width="11.0"/>
    <col customWidth="1" min="23" max="23" width="13.29"/>
    <col customWidth="1" min="24" max="43" width="11.0"/>
  </cols>
  <sheetData>
    <row r="1" ht="16.5" customHeight="1">
      <c r="A1" s="98"/>
      <c r="B1" s="98" t="s">
        <v>161</v>
      </c>
      <c r="C1" s="98" t="s">
        <v>162</v>
      </c>
      <c r="D1" s="98" t="s">
        <v>163</v>
      </c>
      <c r="E1" s="98" t="s">
        <v>164</v>
      </c>
      <c r="F1" s="98" t="s">
        <v>165</v>
      </c>
      <c r="G1" s="98" t="s">
        <v>166</v>
      </c>
      <c r="H1" s="98" t="s">
        <v>167</v>
      </c>
      <c r="I1" s="98" t="s">
        <v>168</v>
      </c>
      <c r="J1" s="98" t="s">
        <v>169</v>
      </c>
      <c r="K1" s="99" t="s">
        <v>170</v>
      </c>
      <c r="L1" s="98" t="s">
        <v>171</v>
      </c>
      <c r="M1" s="98" t="s">
        <v>172</v>
      </c>
      <c r="N1" s="98" t="s">
        <v>173</v>
      </c>
      <c r="O1" s="98" t="s">
        <v>174</v>
      </c>
      <c r="P1" s="98" t="s">
        <v>175</v>
      </c>
      <c r="Q1" s="98" t="s">
        <v>176</v>
      </c>
      <c r="R1" s="98" t="s">
        <v>177</v>
      </c>
      <c r="S1" s="98" t="s">
        <v>178</v>
      </c>
      <c r="T1" s="98" t="s">
        <v>179</v>
      </c>
      <c r="U1" s="98" t="s">
        <v>180</v>
      </c>
      <c r="V1" s="98" t="s">
        <v>181</v>
      </c>
      <c r="W1" s="100" t="s">
        <v>182</v>
      </c>
      <c r="X1" s="98"/>
      <c r="Y1" s="98"/>
      <c r="Z1" s="98"/>
      <c r="AA1" s="98"/>
      <c r="AB1" s="98"/>
      <c r="AC1" s="98"/>
      <c r="AD1" s="98"/>
      <c r="AE1" s="98"/>
      <c r="AF1" s="98"/>
      <c r="AG1" s="98"/>
      <c r="AH1" s="98"/>
      <c r="AI1" s="98"/>
      <c r="AJ1" s="98"/>
      <c r="AK1" s="98"/>
      <c r="AL1" s="98"/>
      <c r="AM1" s="98"/>
      <c r="AN1" s="98"/>
      <c r="AO1" s="98"/>
      <c r="AP1" s="98"/>
      <c r="AQ1" s="98"/>
    </row>
    <row r="2" ht="16.5" customHeight="1">
      <c r="A2" s="101"/>
      <c r="B2" s="101" t="s">
        <v>183</v>
      </c>
      <c r="C2" s="101" t="s">
        <v>184</v>
      </c>
      <c r="D2" s="101"/>
      <c r="E2" s="101"/>
      <c r="F2" s="101"/>
      <c r="G2" s="101"/>
      <c r="H2" s="101"/>
      <c r="I2" s="101"/>
      <c r="J2" s="101"/>
      <c r="K2" s="101"/>
      <c r="L2" s="101"/>
      <c r="M2" s="101"/>
      <c r="N2" s="101"/>
      <c r="O2" s="101"/>
      <c r="P2" s="101"/>
      <c r="Q2" s="101"/>
      <c r="R2" s="101"/>
      <c r="S2" s="101"/>
      <c r="T2" s="101"/>
      <c r="U2" s="101" t="s">
        <v>185</v>
      </c>
      <c r="V2" s="101"/>
      <c r="W2" s="101"/>
      <c r="X2" s="101"/>
      <c r="Y2" s="101"/>
      <c r="Z2" s="101"/>
      <c r="AA2" s="101"/>
      <c r="AB2" s="101"/>
      <c r="AC2" s="101"/>
      <c r="AD2" s="101"/>
      <c r="AE2" s="101"/>
      <c r="AF2" s="101"/>
      <c r="AG2" s="101"/>
      <c r="AH2" s="101"/>
      <c r="AI2" s="101"/>
      <c r="AJ2" s="101"/>
      <c r="AK2" s="101"/>
      <c r="AL2" s="101"/>
      <c r="AM2" s="101"/>
      <c r="AN2" s="101"/>
      <c r="AO2" s="101"/>
      <c r="AP2" s="101"/>
      <c r="AQ2" s="101"/>
    </row>
    <row r="3" ht="16.5" customHeight="1">
      <c r="A3" s="101"/>
      <c r="B3" s="101" t="s">
        <v>186</v>
      </c>
      <c r="C3" s="101" t="s">
        <v>187</v>
      </c>
      <c r="D3" s="101"/>
      <c r="E3" s="101"/>
      <c r="F3" s="101"/>
      <c r="G3" s="101"/>
      <c r="H3" s="101"/>
      <c r="I3" s="101"/>
      <c r="J3" s="101"/>
      <c r="K3" s="101"/>
      <c r="L3" s="101"/>
      <c r="M3" s="101"/>
      <c r="N3" s="101"/>
      <c r="O3" s="101"/>
      <c r="P3" s="101"/>
      <c r="Q3" s="101"/>
      <c r="R3" s="101"/>
      <c r="S3" s="101"/>
      <c r="T3" s="101"/>
      <c r="U3" s="101" t="s">
        <v>185</v>
      </c>
      <c r="V3" s="101"/>
      <c r="W3" s="101"/>
      <c r="X3" s="101"/>
      <c r="Y3" s="101"/>
      <c r="Z3" s="101"/>
      <c r="AA3" s="101"/>
      <c r="AB3" s="101"/>
      <c r="AC3" s="101"/>
      <c r="AD3" s="101"/>
      <c r="AE3" s="101"/>
      <c r="AF3" s="101"/>
      <c r="AG3" s="101"/>
      <c r="AH3" s="101"/>
      <c r="AI3" s="101"/>
      <c r="AJ3" s="101"/>
      <c r="AK3" s="101"/>
      <c r="AL3" s="101"/>
      <c r="AM3" s="101"/>
      <c r="AN3" s="101"/>
      <c r="AO3" s="101"/>
      <c r="AP3" s="101"/>
      <c r="AQ3" s="101"/>
    </row>
    <row r="4" ht="16.5" customHeight="1">
      <c r="A4" s="101"/>
      <c r="B4" s="101" t="s">
        <v>188</v>
      </c>
      <c r="C4" s="101" t="s">
        <v>188</v>
      </c>
      <c r="D4" s="101"/>
      <c r="E4" s="101"/>
      <c r="F4" s="101"/>
      <c r="G4" s="101"/>
      <c r="H4" s="101"/>
      <c r="I4" s="101"/>
      <c r="J4" s="101"/>
      <c r="K4" s="101"/>
      <c r="L4" s="101"/>
      <c r="M4" s="101"/>
      <c r="N4" s="101"/>
      <c r="O4" s="101"/>
      <c r="P4" s="101"/>
      <c r="Q4" s="101"/>
      <c r="R4" s="101"/>
      <c r="S4" s="101"/>
      <c r="T4" s="101"/>
      <c r="U4" s="101" t="s">
        <v>185</v>
      </c>
      <c r="V4" s="101"/>
      <c r="W4" s="101"/>
      <c r="X4" s="101"/>
      <c r="Y4" s="101"/>
      <c r="Z4" s="101"/>
      <c r="AA4" s="101"/>
      <c r="AB4" s="101"/>
      <c r="AC4" s="101"/>
      <c r="AD4" s="101"/>
      <c r="AE4" s="101"/>
      <c r="AF4" s="101"/>
      <c r="AG4" s="101"/>
      <c r="AH4" s="101"/>
      <c r="AI4" s="101"/>
      <c r="AJ4" s="101"/>
      <c r="AK4" s="101"/>
      <c r="AL4" s="101"/>
      <c r="AM4" s="101"/>
      <c r="AN4" s="101"/>
      <c r="AO4" s="101"/>
      <c r="AP4" s="101"/>
      <c r="AQ4" s="101"/>
    </row>
    <row r="5" ht="16.5" customHeight="1">
      <c r="A5" s="101"/>
      <c r="B5" s="101" t="s">
        <v>189</v>
      </c>
      <c r="C5" s="101" t="s">
        <v>189</v>
      </c>
      <c r="D5" s="101"/>
      <c r="E5" s="101"/>
      <c r="F5" s="101"/>
      <c r="G5" s="101"/>
      <c r="H5" s="101"/>
      <c r="I5" s="101"/>
      <c r="J5" s="101"/>
      <c r="K5" s="101"/>
      <c r="L5" s="101"/>
      <c r="M5" s="101"/>
      <c r="N5" s="101"/>
      <c r="O5" s="101"/>
      <c r="P5" s="101"/>
      <c r="Q5" s="101"/>
      <c r="R5" s="101"/>
      <c r="S5" s="101"/>
      <c r="T5" s="101"/>
      <c r="U5" s="101" t="s">
        <v>185</v>
      </c>
      <c r="V5" s="101"/>
      <c r="W5" s="101"/>
      <c r="X5" s="101"/>
      <c r="Y5" s="101"/>
      <c r="Z5" s="101"/>
      <c r="AA5" s="101"/>
      <c r="AB5" s="101"/>
      <c r="AC5" s="101"/>
      <c r="AD5" s="101"/>
      <c r="AE5" s="101"/>
      <c r="AF5" s="101"/>
      <c r="AG5" s="101"/>
      <c r="AH5" s="101"/>
      <c r="AI5" s="101"/>
      <c r="AJ5" s="101"/>
      <c r="AK5" s="101"/>
      <c r="AL5" s="101"/>
      <c r="AM5" s="101"/>
      <c r="AN5" s="101"/>
      <c r="AO5" s="101"/>
      <c r="AP5" s="101"/>
      <c r="AQ5" s="101"/>
    </row>
    <row r="6" ht="16.5" customHeight="1">
      <c r="A6" s="101"/>
      <c r="B6" s="101" t="s">
        <v>190</v>
      </c>
      <c r="C6" s="101" t="s">
        <v>191</v>
      </c>
      <c r="D6" s="101"/>
      <c r="E6" s="101"/>
      <c r="F6" s="101"/>
      <c r="G6" s="101"/>
      <c r="H6" s="101"/>
      <c r="I6" s="101"/>
      <c r="J6" s="101"/>
      <c r="K6" s="101"/>
      <c r="L6" s="101"/>
      <c r="M6" s="101"/>
      <c r="N6" s="101"/>
      <c r="O6" s="101"/>
      <c r="P6" s="101"/>
      <c r="Q6" s="101"/>
      <c r="R6" s="101"/>
      <c r="S6" s="101"/>
      <c r="T6" s="101"/>
      <c r="U6" s="101" t="s">
        <v>185</v>
      </c>
      <c r="V6" s="101"/>
      <c r="W6" s="101"/>
      <c r="X6" s="101"/>
      <c r="Y6" s="101"/>
      <c r="Z6" s="101"/>
      <c r="AA6" s="101"/>
      <c r="AB6" s="101"/>
      <c r="AC6" s="101"/>
      <c r="AD6" s="101"/>
      <c r="AE6" s="101"/>
      <c r="AF6" s="101"/>
      <c r="AG6" s="101"/>
      <c r="AH6" s="101"/>
      <c r="AI6" s="101"/>
      <c r="AJ6" s="101"/>
      <c r="AK6" s="101"/>
      <c r="AL6" s="101"/>
      <c r="AM6" s="101"/>
      <c r="AN6" s="101"/>
      <c r="AO6" s="101"/>
      <c r="AP6" s="101"/>
      <c r="AQ6" s="101"/>
    </row>
    <row r="7" ht="16.5" customHeight="1">
      <c r="A7" s="101"/>
      <c r="B7" s="101" t="s">
        <v>192</v>
      </c>
      <c r="C7" s="101" t="s">
        <v>193</v>
      </c>
      <c r="D7" s="101"/>
      <c r="E7" s="101"/>
      <c r="F7" s="101"/>
      <c r="G7" s="101"/>
      <c r="H7" s="101"/>
      <c r="I7" s="101"/>
      <c r="J7" s="101"/>
      <c r="K7" s="101"/>
      <c r="L7" s="101"/>
      <c r="M7" s="101"/>
      <c r="N7" s="101"/>
      <c r="O7" s="101"/>
      <c r="P7" s="101"/>
      <c r="Q7" s="101"/>
      <c r="R7" s="101"/>
      <c r="S7" s="101"/>
      <c r="T7" s="101"/>
      <c r="U7" s="101" t="s">
        <v>185</v>
      </c>
      <c r="V7" s="101"/>
      <c r="W7" s="101"/>
      <c r="X7" s="101"/>
      <c r="Y7" s="101"/>
      <c r="Z7" s="101"/>
      <c r="AA7" s="101"/>
      <c r="AB7" s="101"/>
      <c r="AC7" s="101"/>
      <c r="AD7" s="101"/>
      <c r="AE7" s="101"/>
      <c r="AF7" s="101"/>
      <c r="AG7" s="101"/>
      <c r="AH7" s="101"/>
      <c r="AI7" s="101"/>
      <c r="AJ7" s="101"/>
      <c r="AK7" s="101"/>
      <c r="AL7" s="101"/>
      <c r="AM7" s="101"/>
      <c r="AN7" s="101"/>
      <c r="AO7" s="101"/>
      <c r="AP7" s="101"/>
      <c r="AQ7" s="101"/>
    </row>
    <row r="8" ht="16.5" customHeight="1">
      <c r="A8" s="101"/>
      <c r="B8" s="101" t="s">
        <v>194</v>
      </c>
      <c r="C8" s="101" t="s">
        <v>195</v>
      </c>
      <c r="D8" s="101"/>
      <c r="E8" s="101"/>
      <c r="F8" s="101"/>
      <c r="G8" s="101"/>
      <c r="H8" s="101"/>
      <c r="I8" s="101"/>
      <c r="J8" s="101"/>
      <c r="K8" s="101"/>
      <c r="L8" s="101"/>
      <c r="M8" s="101" t="s">
        <v>196</v>
      </c>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row>
    <row r="9" ht="16.5" customHeight="1">
      <c r="A9" s="101"/>
      <c r="B9" s="101" t="s">
        <v>194</v>
      </c>
      <c r="C9" s="101" t="s">
        <v>197</v>
      </c>
      <c r="D9" s="101"/>
      <c r="E9" s="101"/>
      <c r="F9" s="101"/>
      <c r="G9" s="101"/>
      <c r="H9" s="101"/>
      <c r="I9" s="101"/>
      <c r="J9" s="101"/>
      <c r="K9" s="101"/>
      <c r="L9" s="101"/>
      <c r="M9" s="101" t="s">
        <v>198</v>
      </c>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row>
    <row r="10" ht="16.5" customHeight="1">
      <c r="A10" s="98"/>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row>
    <row r="11" ht="16.5" customHeight="1">
      <c r="A11" s="98"/>
      <c r="B11" s="98" t="s">
        <v>199</v>
      </c>
      <c r="C11" s="98" t="s">
        <v>200</v>
      </c>
      <c r="D11" s="102" t="s">
        <v>201</v>
      </c>
      <c r="E11" s="98"/>
      <c r="F11" s="98"/>
      <c r="G11" s="98"/>
      <c r="H11" s="98"/>
      <c r="I11" s="98"/>
      <c r="J11" s="98"/>
      <c r="K11" s="98"/>
      <c r="L11" s="98" t="b">
        <v>1</v>
      </c>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row>
    <row r="12" ht="16.5" customHeight="1">
      <c r="A12" s="98"/>
      <c r="B12" s="98"/>
      <c r="C12" s="98"/>
      <c r="D12" s="98"/>
      <c r="E12" s="98"/>
      <c r="F12" s="98"/>
      <c r="G12" s="98"/>
      <c r="H12" s="98"/>
      <c r="I12" s="98"/>
      <c r="J12" s="98"/>
      <c r="K12" s="98"/>
      <c r="L12" s="98" t="b">
        <v>1</v>
      </c>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row>
    <row r="13" ht="16.5" customHeight="1">
      <c r="A13" s="103"/>
      <c r="B13" s="103" t="s">
        <v>177</v>
      </c>
      <c r="C13" s="103" t="s">
        <v>202</v>
      </c>
      <c r="D13" s="103" t="s">
        <v>203</v>
      </c>
      <c r="E13" s="103"/>
      <c r="F13" s="103"/>
      <c r="G13" s="103"/>
      <c r="H13" s="103"/>
      <c r="I13" s="103"/>
      <c r="J13" s="103"/>
      <c r="K13" s="103"/>
      <c r="L13" s="103" t="b">
        <v>1</v>
      </c>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row>
    <row r="14" ht="16.5" customHeight="1">
      <c r="A14" s="98"/>
      <c r="B14" s="98"/>
      <c r="C14" s="98"/>
      <c r="D14" s="98"/>
      <c r="E14" s="98"/>
      <c r="F14" s="98"/>
      <c r="G14" s="98"/>
      <c r="H14" s="98"/>
      <c r="I14" s="98"/>
      <c r="J14" s="98"/>
      <c r="K14" s="98"/>
      <c r="L14" s="98" t="b">
        <v>1</v>
      </c>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row>
    <row r="15" ht="16.5" customHeight="1">
      <c r="A15" s="98"/>
      <c r="B15" s="98" t="s">
        <v>204</v>
      </c>
      <c r="C15" s="98" t="s">
        <v>205</v>
      </c>
      <c r="D15" s="98" t="s">
        <v>206</v>
      </c>
      <c r="E15" s="98" t="s">
        <v>207</v>
      </c>
      <c r="F15" s="98"/>
      <c r="G15" s="98"/>
      <c r="H15" s="98"/>
      <c r="I15" s="98"/>
      <c r="J15" s="98"/>
      <c r="K15" s="98"/>
      <c r="L15" s="98" t="b">
        <v>1</v>
      </c>
      <c r="M15" s="98"/>
      <c r="N15" s="98"/>
      <c r="O15" s="98"/>
      <c r="P15" s="98"/>
      <c r="Q15" s="98"/>
      <c r="R15" s="98" t="s">
        <v>208</v>
      </c>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row>
    <row r="16" ht="16.5" customHeight="1">
      <c r="A16" s="104"/>
      <c r="B16" s="104" t="s">
        <v>209</v>
      </c>
      <c r="C16" s="105" t="s">
        <v>210</v>
      </c>
      <c r="D16" s="105" t="s">
        <v>211</v>
      </c>
      <c r="E16" s="104"/>
      <c r="F16" s="104"/>
      <c r="G16" s="104"/>
      <c r="H16" s="104"/>
      <c r="I16" s="104"/>
      <c r="J16" s="104"/>
      <c r="K16" s="105" t="s">
        <v>212</v>
      </c>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6"/>
      <c r="AO16" s="106"/>
      <c r="AP16" s="106"/>
      <c r="AQ16" s="106"/>
    </row>
    <row r="17" ht="16.5" customHeight="1">
      <c r="A17" s="98"/>
      <c r="B17" s="98" t="s">
        <v>213</v>
      </c>
      <c r="C17" s="98" t="s">
        <v>214</v>
      </c>
      <c r="D17" s="107" t="str">
        <f>CONCATENATE("Does the farmer grow ", 'Contextualisation form'!D15,"?")</f>
        <v>Does the farmer grow cocoa?</v>
      </c>
      <c r="E17" s="108" t="s">
        <v>215</v>
      </c>
      <c r="F17" s="98" t="b">
        <f>if('Contextualisation form'!$D$15="dairy farming",TRUE,FALSE)</f>
        <v>0</v>
      </c>
      <c r="G17" s="98"/>
      <c r="H17" s="98"/>
      <c r="I17" s="98"/>
      <c r="J17" s="98"/>
      <c r="K17" s="98"/>
      <c r="L17" s="102" t="b">
        <v>1</v>
      </c>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row>
    <row r="18" ht="16.5" customHeight="1">
      <c r="A18" s="98"/>
      <c r="B18" s="102" t="s">
        <v>216</v>
      </c>
      <c r="C18" s="98" t="s">
        <v>217</v>
      </c>
      <c r="D18" s="98" t="s">
        <v>218</v>
      </c>
      <c r="E18" s="98" t="s">
        <v>219</v>
      </c>
      <c r="F18" s="98"/>
      <c r="G18" s="98"/>
      <c r="H18" s="98"/>
      <c r="I18" s="98"/>
      <c r="J18" s="98"/>
      <c r="K18" s="98"/>
      <c r="L18" s="98" t="b">
        <v>1</v>
      </c>
      <c r="M18" s="98"/>
      <c r="N18" s="98"/>
      <c r="O18" s="98"/>
      <c r="P18" s="98"/>
      <c r="Q18" s="98"/>
      <c r="R18" s="98" t="s">
        <v>208</v>
      </c>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row>
    <row r="19" ht="16.5" customHeight="1">
      <c r="A19" s="98"/>
      <c r="B19" s="98"/>
      <c r="C19" s="98"/>
      <c r="D19" s="98"/>
      <c r="E19" s="98"/>
      <c r="F19" s="98"/>
      <c r="G19" s="98"/>
      <c r="H19" s="98"/>
      <c r="I19" s="98"/>
      <c r="J19" s="98"/>
      <c r="K19" s="98"/>
      <c r="L19" s="102" t="b">
        <v>1</v>
      </c>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row>
    <row r="20" ht="16.5" customHeight="1">
      <c r="A20" s="109"/>
      <c r="B20" s="109" t="s">
        <v>209</v>
      </c>
      <c r="C20" s="109" t="s">
        <v>220</v>
      </c>
      <c r="D20" s="110" t="s">
        <v>221</v>
      </c>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6"/>
      <c r="AO20" s="106"/>
      <c r="AP20" s="106"/>
      <c r="AQ20" s="106"/>
    </row>
    <row r="21">
      <c r="A21" s="98"/>
      <c r="B21" s="102" t="s">
        <v>222</v>
      </c>
      <c r="C21" s="102" t="s">
        <v>223</v>
      </c>
      <c r="D21" s="107" t="str">
        <f>concatenate("In what ",'Contextualisation form'!E61  ," is the farm located?")</f>
        <v>In what province is the farm located?</v>
      </c>
      <c r="E21" s="108"/>
      <c r="F21" s="98"/>
      <c r="G21" s="98"/>
      <c r="H21" s="98"/>
      <c r="I21" s="98"/>
      <c r="J21" s="98"/>
      <c r="K21" s="102"/>
      <c r="L21" s="102" t="b">
        <v>1</v>
      </c>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row>
    <row r="22" ht="16.5" customHeight="1">
      <c r="A22" s="98"/>
      <c r="B22" s="98" t="s">
        <v>224</v>
      </c>
      <c r="C22" s="98" t="s">
        <v>225</v>
      </c>
      <c r="D22" s="107" t="str">
        <f>concatenate("In what other ",'Contextualisation form'!E61  ," is the farm located?")</f>
        <v>In what other province is the farm located?</v>
      </c>
      <c r="E22" s="108"/>
      <c r="F22" s="98"/>
      <c r="G22" s="98"/>
      <c r="H22" s="98"/>
      <c r="I22" s="98"/>
      <c r="J22" s="98"/>
      <c r="K22" s="102" t="s">
        <v>226</v>
      </c>
      <c r="L22" s="102" t="b">
        <v>1</v>
      </c>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row>
    <row r="23" ht="16.5" customHeight="1">
      <c r="A23" s="98"/>
      <c r="B23" s="111" t="s">
        <v>194</v>
      </c>
      <c r="C23" s="111" t="s">
        <v>227</v>
      </c>
      <c r="D23" s="112"/>
      <c r="E23" s="112"/>
      <c r="F23" s="112"/>
      <c r="G23" s="113"/>
      <c r="H23" s="113"/>
      <c r="I23" s="113"/>
      <c r="J23" s="113"/>
      <c r="K23" s="114"/>
      <c r="L23" s="102" t="b">
        <v>1</v>
      </c>
      <c r="M23" s="115" t="s">
        <v>228</v>
      </c>
      <c r="N23" s="113"/>
      <c r="O23" s="113"/>
      <c r="P23" s="111"/>
      <c r="Q23" s="113"/>
      <c r="R23" s="113"/>
      <c r="S23" s="113"/>
      <c r="T23" s="113"/>
      <c r="U23" s="111" t="s">
        <v>208</v>
      </c>
      <c r="V23" s="113"/>
      <c r="W23" s="113"/>
      <c r="X23" s="113"/>
      <c r="Y23" s="113"/>
      <c r="Z23" s="113"/>
      <c r="AA23" s="113"/>
      <c r="AB23" s="113"/>
      <c r="AC23" s="113"/>
      <c r="AD23" s="113"/>
      <c r="AE23" s="113"/>
      <c r="AF23" s="113"/>
      <c r="AG23" s="113"/>
      <c r="AH23" s="113"/>
      <c r="AI23" s="113"/>
      <c r="AJ23" s="113"/>
      <c r="AK23" s="113"/>
      <c r="AL23" s="113"/>
      <c r="AM23" s="113"/>
      <c r="AN23" s="113"/>
      <c r="AO23" s="113"/>
      <c r="AP23" s="113"/>
      <c r="AQ23" s="98"/>
    </row>
    <row r="24" ht="16.5" customHeight="1">
      <c r="A24" s="98"/>
      <c r="B24" s="102" t="s">
        <v>229</v>
      </c>
      <c r="C24" s="102" t="s">
        <v>230</v>
      </c>
      <c r="D24" s="107" t="str">
        <f>concatenate("In what ",'Contextualisation form'!E62  ," is the farm located?")</f>
        <v>In what district is the farm located?</v>
      </c>
      <c r="E24" s="108"/>
      <c r="F24" s="98"/>
      <c r="G24" s="98"/>
      <c r="H24" s="98"/>
      <c r="I24" s="98"/>
      <c r="J24" s="98"/>
      <c r="K24" s="102"/>
      <c r="L24" s="102" t="b">
        <v>1</v>
      </c>
      <c r="M24" s="98"/>
      <c r="N24" s="98"/>
      <c r="O24" s="98"/>
      <c r="P24" s="98"/>
      <c r="Q24" s="98"/>
      <c r="R24" s="98"/>
      <c r="S24" s="98"/>
      <c r="T24" s="98"/>
      <c r="U24" s="98"/>
      <c r="V24" s="98"/>
      <c r="W24" s="102" t="s">
        <v>231</v>
      </c>
      <c r="X24" s="98"/>
      <c r="Y24" s="98"/>
      <c r="Z24" s="98"/>
      <c r="AA24" s="98"/>
      <c r="AB24" s="98"/>
      <c r="AC24" s="98"/>
      <c r="AD24" s="98"/>
      <c r="AE24" s="98"/>
      <c r="AF24" s="98"/>
      <c r="AG24" s="98"/>
      <c r="AH24" s="98"/>
      <c r="AI24" s="98"/>
      <c r="AJ24" s="98"/>
      <c r="AK24" s="98"/>
      <c r="AL24" s="98"/>
      <c r="AM24" s="98"/>
      <c r="AN24" s="98"/>
      <c r="AO24" s="98"/>
      <c r="AP24" s="98"/>
      <c r="AQ24" s="98"/>
    </row>
    <row r="25" ht="16.5" customHeight="1">
      <c r="A25" s="98"/>
      <c r="B25" s="98" t="s">
        <v>224</v>
      </c>
      <c r="C25" s="98" t="s">
        <v>232</v>
      </c>
      <c r="D25" s="107" t="str">
        <f>concatenate("In what ther ",'Contextualisation form'!E62  ," is the farm located?")</f>
        <v>In what ther district is the farm located?</v>
      </c>
      <c r="E25" s="108"/>
      <c r="F25" s="98"/>
      <c r="G25" s="98"/>
      <c r="H25" s="98"/>
      <c r="I25" s="98"/>
      <c r="J25" s="98"/>
      <c r="K25" s="102" t="s">
        <v>233</v>
      </c>
      <c r="L25" s="102" t="b">
        <v>1</v>
      </c>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row>
    <row r="26" ht="16.5" customHeight="1">
      <c r="A26" s="98"/>
      <c r="B26" s="111" t="s">
        <v>194</v>
      </c>
      <c r="C26" s="111" t="s">
        <v>234</v>
      </c>
      <c r="D26" s="112"/>
      <c r="E26" s="112"/>
      <c r="F26" s="112"/>
      <c r="G26" s="113"/>
      <c r="H26" s="113"/>
      <c r="I26" s="113"/>
      <c r="J26" s="113"/>
      <c r="K26" s="114"/>
      <c r="L26" s="102" t="b">
        <v>1</v>
      </c>
      <c r="M26" s="115" t="s">
        <v>235</v>
      </c>
      <c r="N26" s="113"/>
      <c r="O26" s="113"/>
      <c r="P26" s="111"/>
      <c r="Q26" s="113"/>
      <c r="R26" s="113"/>
      <c r="S26" s="113"/>
      <c r="T26" s="113"/>
      <c r="U26" s="111" t="s">
        <v>208</v>
      </c>
      <c r="V26" s="113"/>
      <c r="W26" s="113"/>
      <c r="X26" s="113"/>
      <c r="Y26" s="113"/>
      <c r="Z26" s="113"/>
      <c r="AA26" s="113"/>
      <c r="AB26" s="113"/>
      <c r="AC26" s="113"/>
      <c r="AD26" s="113"/>
      <c r="AE26" s="113"/>
      <c r="AF26" s="113"/>
      <c r="AG26" s="113"/>
      <c r="AH26" s="113"/>
      <c r="AI26" s="113"/>
      <c r="AJ26" s="113"/>
      <c r="AK26" s="113"/>
      <c r="AL26" s="113"/>
      <c r="AM26" s="113"/>
      <c r="AN26" s="113"/>
      <c r="AO26" s="113"/>
      <c r="AP26" s="113"/>
      <c r="AQ26" s="98"/>
    </row>
    <row r="27" ht="16.5" customHeight="1">
      <c r="A27" s="98"/>
      <c r="B27" s="102" t="s">
        <v>236</v>
      </c>
      <c r="C27" s="102" t="s">
        <v>237</v>
      </c>
      <c r="D27" s="107" t="str">
        <f>concatenate("In what ",'Contextualisation form'!E63  ," is the farm located?")</f>
        <v>In what chiefdom is the farm located?</v>
      </c>
      <c r="E27" s="108"/>
      <c r="F27" s="98"/>
      <c r="G27" s="98"/>
      <c r="H27" s="98"/>
      <c r="I27" s="98"/>
      <c r="J27" s="98"/>
      <c r="K27" s="102"/>
      <c r="L27" s="102" t="b">
        <v>1</v>
      </c>
      <c r="M27" s="98"/>
      <c r="N27" s="98"/>
      <c r="O27" s="98"/>
      <c r="P27" s="98"/>
      <c r="Q27" s="98"/>
      <c r="R27" s="98"/>
      <c r="S27" s="98"/>
      <c r="T27" s="98"/>
      <c r="U27" s="98"/>
      <c r="V27" s="98"/>
      <c r="W27" s="102" t="s">
        <v>238</v>
      </c>
      <c r="X27" s="98"/>
      <c r="Y27" s="98"/>
      <c r="Z27" s="98"/>
      <c r="AA27" s="98"/>
      <c r="AB27" s="98"/>
      <c r="AC27" s="98"/>
      <c r="AD27" s="98"/>
      <c r="AE27" s="98"/>
      <c r="AF27" s="98"/>
      <c r="AG27" s="98"/>
      <c r="AH27" s="98"/>
      <c r="AI27" s="98"/>
      <c r="AJ27" s="98"/>
      <c r="AK27" s="98"/>
      <c r="AL27" s="98"/>
      <c r="AM27" s="98"/>
      <c r="AN27" s="98"/>
      <c r="AO27" s="98"/>
      <c r="AP27" s="98"/>
      <c r="AQ27" s="98"/>
    </row>
    <row r="28" ht="16.5" customHeight="1">
      <c r="A28" s="98"/>
      <c r="B28" s="98" t="s">
        <v>224</v>
      </c>
      <c r="C28" s="98" t="s">
        <v>239</v>
      </c>
      <c r="D28" s="107" t="str">
        <f>concatenate("In what other ",'Contextualisation form'!E63  ," is the farm located?")</f>
        <v>In what other chiefdom is the farm located?</v>
      </c>
      <c r="E28" s="108"/>
      <c r="F28" s="98"/>
      <c r="G28" s="98"/>
      <c r="H28" s="98"/>
      <c r="I28" s="98"/>
      <c r="J28" s="98"/>
      <c r="K28" s="102" t="s">
        <v>240</v>
      </c>
      <c r="L28" s="102" t="b">
        <v>1</v>
      </c>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row>
    <row r="29" ht="16.5" customHeight="1">
      <c r="A29" s="98"/>
      <c r="B29" s="111" t="s">
        <v>194</v>
      </c>
      <c r="C29" s="111" t="s">
        <v>241</v>
      </c>
      <c r="D29" s="112"/>
      <c r="E29" s="112"/>
      <c r="F29" s="112"/>
      <c r="G29" s="113"/>
      <c r="H29" s="113"/>
      <c r="I29" s="113"/>
      <c r="J29" s="113"/>
      <c r="K29" s="114"/>
      <c r="L29" s="102" t="b">
        <v>1</v>
      </c>
      <c r="M29" s="115" t="s">
        <v>242</v>
      </c>
      <c r="N29" s="113"/>
      <c r="O29" s="113"/>
      <c r="P29" s="111"/>
      <c r="Q29" s="113"/>
      <c r="R29" s="113"/>
      <c r="S29" s="113"/>
      <c r="T29" s="113"/>
      <c r="U29" s="111" t="s">
        <v>208</v>
      </c>
      <c r="V29" s="113"/>
      <c r="W29" s="113"/>
      <c r="X29" s="113"/>
      <c r="Y29" s="113"/>
      <c r="Z29" s="113"/>
      <c r="AA29" s="113"/>
      <c r="AB29" s="113"/>
      <c r="AC29" s="113"/>
      <c r="AD29" s="113"/>
      <c r="AE29" s="113"/>
      <c r="AF29" s="113"/>
      <c r="AG29" s="113"/>
      <c r="AH29" s="113"/>
      <c r="AI29" s="113"/>
      <c r="AJ29" s="113"/>
      <c r="AK29" s="113"/>
      <c r="AL29" s="113"/>
      <c r="AM29" s="113"/>
      <c r="AN29" s="113"/>
      <c r="AO29" s="113"/>
      <c r="AP29" s="113"/>
      <c r="AQ29" s="98"/>
    </row>
    <row r="30" ht="16.5" customHeight="1">
      <c r="A30" s="98"/>
      <c r="B30" s="102" t="s">
        <v>243</v>
      </c>
      <c r="C30" s="102" t="s">
        <v>244</v>
      </c>
      <c r="D30" s="107" t="str">
        <f>concatenate("In what ",'Contextualisation form'!E64  ," is the farm located?")</f>
        <v>In what village is the farm located?</v>
      </c>
      <c r="E30" s="108"/>
      <c r="F30" s="98"/>
      <c r="G30" s="98"/>
      <c r="H30" s="98"/>
      <c r="I30" s="98"/>
      <c r="J30" s="98"/>
      <c r="K30" s="102"/>
      <c r="L30" s="102" t="b">
        <v>1</v>
      </c>
      <c r="M30" s="98"/>
      <c r="N30" s="98"/>
      <c r="O30" s="98"/>
      <c r="P30" s="98"/>
      <c r="Q30" s="98"/>
      <c r="R30" s="98"/>
      <c r="S30" s="98"/>
      <c r="T30" s="98"/>
      <c r="U30" s="98"/>
      <c r="V30" s="98"/>
      <c r="W30" s="102" t="s">
        <v>245</v>
      </c>
      <c r="X30" s="98"/>
      <c r="Y30" s="98"/>
      <c r="Z30" s="98"/>
      <c r="AA30" s="98"/>
      <c r="AB30" s="98"/>
      <c r="AC30" s="98"/>
      <c r="AD30" s="98"/>
      <c r="AE30" s="98"/>
      <c r="AF30" s="98"/>
      <c r="AG30" s="98"/>
      <c r="AH30" s="98"/>
      <c r="AI30" s="98"/>
      <c r="AJ30" s="98"/>
      <c r="AK30" s="98"/>
      <c r="AL30" s="98"/>
      <c r="AM30" s="98"/>
      <c r="AN30" s="98"/>
      <c r="AO30" s="98"/>
      <c r="AP30" s="98"/>
      <c r="AQ30" s="98"/>
    </row>
    <row r="31" ht="16.5" customHeight="1">
      <c r="A31" s="98"/>
      <c r="B31" s="98" t="s">
        <v>224</v>
      </c>
      <c r="C31" s="98" t="s">
        <v>246</v>
      </c>
      <c r="D31" s="107" t="str">
        <f>concatenate("In what other ",'Contextualisation form'!E64  ," is the farm located?")</f>
        <v>In what other village is the farm located?</v>
      </c>
      <c r="E31" s="108"/>
      <c r="F31" s="98"/>
      <c r="G31" s="98"/>
      <c r="H31" s="98"/>
      <c r="I31" s="98"/>
      <c r="J31" s="98"/>
      <c r="K31" s="102" t="s">
        <v>247</v>
      </c>
      <c r="L31" s="102" t="b">
        <v>1</v>
      </c>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row>
    <row r="32" ht="16.5" customHeight="1">
      <c r="A32" s="98"/>
      <c r="B32" s="111" t="s">
        <v>194</v>
      </c>
      <c r="C32" s="111" t="s">
        <v>248</v>
      </c>
      <c r="D32" s="112"/>
      <c r="E32" s="112"/>
      <c r="F32" s="112"/>
      <c r="G32" s="113"/>
      <c r="H32" s="113"/>
      <c r="I32" s="113"/>
      <c r="J32" s="113"/>
      <c r="K32" s="114"/>
      <c r="L32" s="102" t="b">
        <v>1</v>
      </c>
      <c r="M32" s="115" t="s">
        <v>249</v>
      </c>
      <c r="N32" s="113"/>
      <c r="O32" s="113"/>
      <c r="P32" s="111"/>
      <c r="Q32" s="113"/>
      <c r="R32" s="113"/>
      <c r="S32" s="113"/>
      <c r="T32" s="113"/>
      <c r="U32" s="111" t="s">
        <v>208</v>
      </c>
      <c r="V32" s="113"/>
      <c r="W32" s="113"/>
      <c r="X32" s="113"/>
      <c r="Y32" s="113"/>
      <c r="Z32" s="113"/>
      <c r="AA32" s="113"/>
      <c r="AB32" s="113"/>
      <c r="AC32" s="113"/>
      <c r="AD32" s="113"/>
      <c r="AE32" s="113"/>
      <c r="AF32" s="113"/>
      <c r="AG32" s="113"/>
      <c r="AH32" s="113"/>
      <c r="AI32" s="113"/>
      <c r="AJ32" s="113"/>
      <c r="AK32" s="113"/>
      <c r="AL32" s="113"/>
      <c r="AM32" s="113"/>
      <c r="AN32" s="113"/>
      <c r="AO32" s="113"/>
      <c r="AP32" s="113"/>
      <c r="AQ32" s="98"/>
    </row>
    <row r="33" ht="16.5" customHeight="1">
      <c r="A33" s="98"/>
      <c r="B33" s="98" t="s">
        <v>250</v>
      </c>
      <c r="C33" s="98" t="s">
        <v>251</v>
      </c>
      <c r="D33" s="98" t="s">
        <v>252</v>
      </c>
      <c r="E33" s="98"/>
      <c r="F33" s="98"/>
      <c r="G33" s="98"/>
      <c r="H33" s="98"/>
      <c r="I33" s="98"/>
      <c r="J33" s="98"/>
      <c r="K33" s="98"/>
      <c r="L33" s="98" t="b">
        <v>1</v>
      </c>
      <c r="M33" s="98"/>
      <c r="N33" s="98"/>
      <c r="O33" s="98"/>
      <c r="P33" s="98"/>
      <c r="Q33" s="98"/>
      <c r="R33" s="98" t="s">
        <v>208</v>
      </c>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row>
    <row r="34" ht="16.5" customHeight="1">
      <c r="A34" s="116"/>
      <c r="B34" s="116" t="s">
        <v>253</v>
      </c>
      <c r="C34" s="116" t="s">
        <v>220</v>
      </c>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06"/>
      <c r="AO34" s="106"/>
      <c r="AP34" s="106"/>
      <c r="AQ34" s="106"/>
    </row>
    <row r="35" ht="16.5" customHeight="1">
      <c r="A35" s="98"/>
      <c r="B35" s="98"/>
      <c r="C35" s="98"/>
      <c r="D35" s="98"/>
      <c r="E35" s="98"/>
      <c r="F35" s="98"/>
      <c r="G35" s="98"/>
      <c r="H35" s="98"/>
      <c r="I35" s="98"/>
      <c r="J35" s="98"/>
      <c r="K35" s="98"/>
      <c r="L35" s="102"/>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row>
    <row r="36" ht="16.5" customHeight="1">
      <c r="A36" s="109"/>
      <c r="B36" s="109" t="s">
        <v>209</v>
      </c>
      <c r="C36" s="109" t="s">
        <v>254</v>
      </c>
      <c r="D36" s="110" t="s">
        <v>255</v>
      </c>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6"/>
      <c r="AO36" s="106"/>
      <c r="AP36" s="106"/>
      <c r="AQ36" s="106"/>
    </row>
    <row r="37" ht="16.5" customHeight="1">
      <c r="A37" s="117"/>
      <c r="B37" s="117" t="s">
        <v>256</v>
      </c>
      <c r="C37" s="117" t="s">
        <v>257</v>
      </c>
      <c r="D37" s="117" t="s">
        <v>258</v>
      </c>
      <c r="E37" s="117" t="s">
        <v>259</v>
      </c>
      <c r="F37" s="117"/>
      <c r="G37" s="117"/>
      <c r="H37" s="117"/>
      <c r="I37" s="117"/>
      <c r="J37" s="117"/>
      <c r="K37" s="117"/>
      <c r="L37" s="117" t="b">
        <v>1</v>
      </c>
      <c r="M37" s="117"/>
      <c r="N37" s="117"/>
      <c r="O37" s="117"/>
      <c r="P37" s="117"/>
      <c r="Q37" s="117"/>
      <c r="R37" s="117" t="s">
        <v>260</v>
      </c>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row>
    <row r="38" ht="16.5" customHeight="1">
      <c r="A38" s="117"/>
      <c r="B38" s="117" t="s">
        <v>224</v>
      </c>
      <c r="C38" s="117" t="s">
        <v>261</v>
      </c>
      <c r="D38" s="117" t="s">
        <v>262</v>
      </c>
      <c r="E38" s="117"/>
      <c r="F38" s="117"/>
      <c r="G38" s="117"/>
      <c r="H38" s="117"/>
      <c r="I38" s="117"/>
      <c r="J38" s="117"/>
      <c r="K38" s="117" t="s">
        <v>263</v>
      </c>
      <c r="L38" s="117" t="b">
        <v>1</v>
      </c>
      <c r="M38" s="117"/>
      <c r="N38" s="117"/>
      <c r="O38" s="117"/>
      <c r="P38" s="117"/>
      <c r="Q38" s="117"/>
      <c r="R38" s="117" t="s">
        <v>208</v>
      </c>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row>
    <row r="39" ht="16.5" customHeight="1">
      <c r="A39" s="117"/>
      <c r="B39" s="117" t="s">
        <v>264</v>
      </c>
      <c r="C39" s="117" t="s">
        <v>265</v>
      </c>
      <c r="D39" s="118" t="s">
        <v>266</v>
      </c>
      <c r="E39" s="117" t="s">
        <v>267</v>
      </c>
      <c r="F39" s="117"/>
      <c r="G39" s="117"/>
      <c r="H39" s="117"/>
      <c r="I39" s="117"/>
      <c r="J39" s="117"/>
      <c r="K39" s="117"/>
      <c r="L39" s="117" t="b">
        <v>1</v>
      </c>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row>
    <row r="40" ht="16.5" customHeight="1">
      <c r="A40" s="117"/>
      <c r="B40" s="117" t="s">
        <v>264</v>
      </c>
      <c r="C40" s="117" t="s">
        <v>268</v>
      </c>
      <c r="D40" s="118" t="str">
        <f>CONCATENATE("What is the size of the farm dedicated to ", 'Contextualisation form'!D15,"?")</f>
        <v>What is the size of the farm dedicated to cocoa?</v>
      </c>
      <c r="E40" s="117" t="s">
        <v>269</v>
      </c>
      <c r="F40" s="117"/>
      <c r="G40" s="117"/>
      <c r="H40" s="117"/>
      <c r="I40" s="117"/>
      <c r="J40" s="117"/>
      <c r="K40" s="117"/>
      <c r="L40" s="117" t="b">
        <v>1</v>
      </c>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row>
    <row r="41" ht="16.5" customHeight="1">
      <c r="A41" s="117"/>
      <c r="B41" s="117" t="s">
        <v>270</v>
      </c>
      <c r="C41" s="117" t="s">
        <v>271</v>
      </c>
      <c r="D41" s="117" t="str">
        <f>concatenate("What are the types of crops you grow on your farm, other than ",'Contextualisation form'!D15,"?")</f>
        <v>What are the types of crops you grow on your farm, other than cocoa?</v>
      </c>
      <c r="E41" s="119"/>
      <c r="F41" s="117"/>
      <c r="G41" s="117"/>
      <c r="H41" s="117"/>
      <c r="I41" s="117" t="s">
        <v>272</v>
      </c>
      <c r="J41" s="117" t="s">
        <v>273</v>
      </c>
      <c r="K41" s="117"/>
      <c r="L41" s="117" t="b">
        <v>1</v>
      </c>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row>
    <row r="42" ht="16.5" customHeight="1">
      <c r="A42" s="120"/>
      <c r="B42" s="121" t="s">
        <v>224</v>
      </c>
      <c r="C42" s="121" t="s">
        <v>274</v>
      </c>
      <c r="D42" s="122" t="s">
        <v>275</v>
      </c>
      <c r="E42" s="123"/>
      <c r="F42" s="124"/>
      <c r="G42" s="124"/>
      <c r="H42" s="124"/>
      <c r="I42" s="124"/>
      <c r="J42" s="124"/>
      <c r="K42" s="125" t="s">
        <v>276</v>
      </c>
      <c r="L42" s="126" t="b">
        <v>1</v>
      </c>
      <c r="M42" s="124"/>
      <c r="N42" s="124"/>
      <c r="O42" s="124"/>
      <c r="P42" s="124"/>
      <c r="Q42" s="124"/>
      <c r="R42" s="124"/>
      <c r="S42" s="124"/>
      <c r="T42" s="124"/>
      <c r="U42" s="124"/>
      <c r="V42" s="124"/>
      <c r="W42" s="124"/>
      <c r="X42" s="120"/>
      <c r="Y42" s="120"/>
      <c r="Z42" s="120"/>
      <c r="AA42" s="120"/>
      <c r="AB42" s="120"/>
      <c r="AC42" s="120"/>
      <c r="AD42" s="120"/>
      <c r="AE42" s="120"/>
      <c r="AF42" s="120"/>
      <c r="AG42" s="120"/>
      <c r="AH42" s="120"/>
      <c r="AI42" s="120"/>
      <c r="AJ42" s="120"/>
      <c r="AK42" s="120"/>
      <c r="AL42" s="120"/>
      <c r="AM42" s="120"/>
      <c r="AN42" s="120"/>
      <c r="AO42" s="120"/>
      <c r="AP42" s="120"/>
      <c r="AQ42" s="120"/>
    </row>
    <row r="43" ht="16.5" customHeight="1">
      <c r="A43" s="117"/>
      <c r="B43" s="117" t="s">
        <v>277</v>
      </c>
      <c r="C43" s="117" t="s">
        <v>278</v>
      </c>
      <c r="D43" s="127" t="str">
        <f>concatenate("What is the crop that generates the highest income for your farm, other than ",'Contextualisation form'!D15,"?")</f>
        <v>What is the crop that generates the highest income for your farm, other than cocoa?</v>
      </c>
      <c r="E43" s="119"/>
      <c r="F43" s="117"/>
      <c r="G43" s="117"/>
      <c r="H43" s="117"/>
      <c r="I43" s="117"/>
      <c r="J43" s="117"/>
      <c r="K43" s="117"/>
      <c r="L43" s="117" t="b">
        <v>1</v>
      </c>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row>
    <row r="44" ht="16.5" customHeight="1">
      <c r="A44" s="117"/>
      <c r="B44" s="117" t="s">
        <v>224</v>
      </c>
      <c r="C44" s="117" t="s">
        <v>279</v>
      </c>
      <c r="D44" s="102" t="s">
        <v>280</v>
      </c>
      <c r="E44" s="117"/>
      <c r="F44" s="117"/>
      <c r="G44" s="117"/>
      <c r="H44" s="117"/>
      <c r="I44" s="117"/>
      <c r="J44" s="117"/>
      <c r="K44" s="117" t="s">
        <v>281</v>
      </c>
      <c r="L44" s="117" t="b">
        <v>1</v>
      </c>
      <c r="M44" s="117"/>
      <c r="N44" s="117"/>
      <c r="O44" s="117"/>
      <c r="P44" s="117"/>
      <c r="Q44" s="117"/>
      <c r="R44" s="117" t="s">
        <v>208</v>
      </c>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row>
    <row r="45" ht="16.5" customHeight="1">
      <c r="A45" s="128"/>
      <c r="B45" s="129" t="s">
        <v>194</v>
      </c>
      <c r="C45" s="129" t="s">
        <v>282</v>
      </c>
      <c r="D45" s="130"/>
      <c r="E45" s="131"/>
      <c r="F45" s="131"/>
      <c r="G45" s="131"/>
      <c r="H45" s="131"/>
      <c r="I45" s="131"/>
      <c r="J45" s="131"/>
      <c r="K45" s="131"/>
      <c r="L45" s="131"/>
      <c r="M45" s="129" t="s">
        <v>283</v>
      </c>
      <c r="N45" s="131"/>
      <c r="O45" s="131"/>
      <c r="P45" s="131"/>
      <c r="Q45" s="131"/>
      <c r="R45" s="131"/>
      <c r="S45" s="131"/>
      <c r="T45" s="131"/>
      <c r="U45" s="131"/>
      <c r="V45" s="131"/>
      <c r="W45" s="131"/>
      <c r="X45" s="128"/>
      <c r="Y45" s="128"/>
      <c r="Z45" s="128"/>
      <c r="AA45" s="128"/>
      <c r="AB45" s="128"/>
      <c r="AC45" s="128"/>
      <c r="AD45" s="128"/>
      <c r="AE45" s="128"/>
      <c r="AF45" s="128"/>
      <c r="AG45" s="128"/>
      <c r="AH45" s="128"/>
      <c r="AI45" s="128"/>
      <c r="AJ45" s="128"/>
      <c r="AK45" s="128"/>
      <c r="AL45" s="128"/>
      <c r="AM45" s="128"/>
      <c r="AN45" s="128"/>
      <c r="AO45" s="128"/>
      <c r="AP45" s="128"/>
      <c r="AQ45" s="128"/>
    </row>
    <row r="46" ht="16.5" customHeight="1">
      <c r="A46" s="132" t="s">
        <v>284</v>
      </c>
      <c r="B46" s="121" t="s">
        <v>277</v>
      </c>
      <c r="C46" s="121" t="s">
        <v>285</v>
      </c>
      <c r="D46" s="133" t="str">
        <f>concatenate("What is the crop that generates the second highest income for your farm, other than ",'Contextualisation form'!D15,"?")</f>
        <v>What is the crop that generates the second highest income for your farm, other than cocoa?</v>
      </c>
      <c r="E46" s="124"/>
      <c r="F46" s="117"/>
      <c r="G46" s="124"/>
      <c r="H46" s="124"/>
      <c r="I46" s="124"/>
      <c r="J46" s="124"/>
      <c r="K46" s="125" t="s">
        <v>286</v>
      </c>
      <c r="L46" s="126" t="b">
        <v>1</v>
      </c>
      <c r="M46" s="124"/>
      <c r="N46" s="124"/>
      <c r="O46" s="124"/>
      <c r="P46" s="124"/>
      <c r="Q46" s="124"/>
      <c r="R46" s="124"/>
      <c r="S46" s="124"/>
      <c r="T46" s="124"/>
      <c r="U46" s="124"/>
      <c r="V46" s="124"/>
      <c r="W46" s="121" t="s">
        <v>287</v>
      </c>
      <c r="X46" s="120"/>
      <c r="Y46" s="120"/>
      <c r="Z46" s="120"/>
      <c r="AA46" s="120"/>
      <c r="AB46" s="120"/>
      <c r="AC46" s="120"/>
      <c r="AD46" s="120"/>
      <c r="AE46" s="120"/>
      <c r="AF46" s="120"/>
      <c r="AG46" s="120"/>
      <c r="AH46" s="120"/>
      <c r="AI46" s="120"/>
      <c r="AJ46" s="120"/>
      <c r="AK46" s="120"/>
      <c r="AL46" s="120"/>
      <c r="AM46" s="120"/>
      <c r="AN46" s="120"/>
      <c r="AO46" s="120"/>
      <c r="AP46" s="120"/>
      <c r="AQ46" s="120"/>
    </row>
    <row r="47" ht="16.5" customHeight="1">
      <c r="A47" s="132" t="s">
        <v>284</v>
      </c>
      <c r="B47" s="121" t="s">
        <v>224</v>
      </c>
      <c r="C47" s="121" t="s">
        <v>288</v>
      </c>
      <c r="D47" s="134" t="s">
        <v>289</v>
      </c>
      <c r="E47" s="124"/>
      <c r="F47" s="117"/>
      <c r="G47" s="124"/>
      <c r="H47" s="124"/>
      <c r="I47" s="124"/>
      <c r="J47" s="124"/>
      <c r="K47" s="121" t="s">
        <v>290</v>
      </c>
      <c r="L47" s="126" t="b">
        <v>1</v>
      </c>
      <c r="M47" s="124"/>
      <c r="N47" s="124"/>
      <c r="O47" s="124"/>
      <c r="P47" s="124"/>
      <c r="Q47" s="124"/>
      <c r="R47" s="124"/>
      <c r="S47" s="124"/>
      <c r="T47" s="124"/>
      <c r="U47" s="124"/>
      <c r="V47" s="124"/>
      <c r="W47" s="124"/>
      <c r="X47" s="120"/>
      <c r="Y47" s="120"/>
      <c r="Z47" s="120"/>
      <c r="AA47" s="120"/>
      <c r="AB47" s="120"/>
      <c r="AC47" s="120"/>
      <c r="AD47" s="120"/>
      <c r="AE47" s="120"/>
      <c r="AF47" s="120"/>
      <c r="AG47" s="120"/>
      <c r="AH47" s="120"/>
      <c r="AI47" s="120"/>
      <c r="AJ47" s="120"/>
      <c r="AK47" s="120"/>
      <c r="AL47" s="120"/>
      <c r="AM47" s="120"/>
      <c r="AN47" s="120"/>
      <c r="AO47" s="120"/>
      <c r="AP47" s="120"/>
      <c r="AQ47" s="120"/>
    </row>
    <row r="48" ht="16.5" customHeight="1">
      <c r="A48" s="128"/>
      <c r="B48" s="129" t="s">
        <v>194</v>
      </c>
      <c r="C48" s="129" t="s">
        <v>291</v>
      </c>
      <c r="D48" s="130"/>
      <c r="E48" s="131"/>
      <c r="F48" s="131"/>
      <c r="G48" s="131"/>
      <c r="H48" s="131"/>
      <c r="I48" s="131"/>
      <c r="J48" s="131"/>
      <c r="K48" s="131"/>
      <c r="L48" s="131"/>
      <c r="M48" s="129" t="s">
        <v>292</v>
      </c>
      <c r="N48" s="131"/>
      <c r="O48" s="131"/>
      <c r="P48" s="131"/>
      <c r="Q48" s="131"/>
      <c r="R48" s="131"/>
      <c r="S48" s="131"/>
      <c r="T48" s="131"/>
      <c r="U48" s="131"/>
      <c r="V48" s="131"/>
      <c r="W48" s="131"/>
      <c r="X48" s="128"/>
      <c r="Y48" s="128"/>
      <c r="Z48" s="128"/>
      <c r="AA48" s="128"/>
      <c r="AB48" s="128"/>
      <c r="AC48" s="128"/>
      <c r="AD48" s="128"/>
      <c r="AE48" s="128"/>
      <c r="AF48" s="128"/>
      <c r="AG48" s="128"/>
      <c r="AH48" s="128"/>
      <c r="AI48" s="128"/>
      <c r="AJ48" s="128"/>
      <c r="AK48" s="128"/>
      <c r="AL48" s="128"/>
      <c r="AM48" s="128"/>
      <c r="AN48" s="128"/>
      <c r="AO48" s="128"/>
      <c r="AP48" s="128"/>
      <c r="AQ48" s="128"/>
    </row>
    <row r="49" ht="16.5" customHeight="1">
      <c r="A49" s="92"/>
      <c r="B49" s="134" t="s">
        <v>293</v>
      </c>
      <c r="C49" s="134" t="s">
        <v>294</v>
      </c>
      <c r="D49" s="135" t="str">
        <f>concatenate("Which company/companies are you selling the ",'Contextualisation form'!D15," to?")</f>
        <v>Which company/companies are you selling the cocoa to?</v>
      </c>
      <c r="E49" s="136"/>
      <c r="F49" s="136"/>
      <c r="G49" s="136"/>
      <c r="H49" s="136"/>
      <c r="I49" s="136"/>
      <c r="J49" s="136"/>
      <c r="K49" s="136"/>
      <c r="L49" s="136"/>
      <c r="M49" s="137"/>
      <c r="N49" s="136"/>
      <c r="O49" s="136"/>
      <c r="P49" s="136"/>
      <c r="Q49" s="136"/>
      <c r="R49" s="136"/>
      <c r="S49" s="136"/>
      <c r="T49" s="136"/>
      <c r="U49" s="136"/>
      <c r="V49" s="136"/>
      <c r="W49" s="136"/>
      <c r="X49" s="92"/>
      <c r="Y49" s="92"/>
      <c r="Z49" s="92"/>
      <c r="AA49" s="92"/>
      <c r="AB49" s="92"/>
      <c r="AC49" s="92"/>
      <c r="AD49" s="92"/>
      <c r="AE49" s="92"/>
      <c r="AF49" s="92"/>
      <c r="AG49" s="92"/>
      <c r="AH49" s="92"/>
      <c r="AI49" s="92"/>
      <c r="AJ49" s="92"/>
      <c r="AK49" s="92"/>
      <c r="AL49" s="92"/>
      <c r="AM49" s="92"/>
      <c r="AN49" s="92"/>
      <c r="AO49" s="92"/>
      <c r="AP49" s="92"/>
      <c r="AQ49" s="92"/>
    </row>
    <row r="50" ht="16.5" customHeight="1">
      <c r="A50" s="92"/>
      <c r="B50" s="134" t="s">
        <v>224</v>
      </c>
      <c r="C50" s="134" t="s">
        <v>295</v>
      </c>
      <c r="D50" s="135" t="s">
        <v>296</v>
      </c>
      <c r="E50" s="136"/>
      <c r="F50" s="136"/>
      <c r="G50" s="136"/>
      <c r="H50" s="136"/>
      <c r="I50" s="136"/>
      <c r="J50" s="136"/>
      <c r="K50" s="138" t="s">
        <v>297</v>
      </c>
      <c r="L50" s="136"/>
      <c r="M50" s="137"/>
      <c r="N50" s="136"/>
      <c r="O50" s="136"/>
      <c r="P50" s="136"/>
      <c r="Q50" s="136"/>
      <c r="R50" s="136"/>
      <c r="S50" s="136"/>
      <c r="T50" s="136"/>
      <c r="U50" s="136"/>
      <c r="V50" s="136"/>
      <c r="W50" s="136"/>
      <c r="X50" s="92"/>
      <c r="Y50" s="92"/>
      <c r="Z50" s="92"/>
      <c r="AA50" s="92"/>
      <c r="AB50" s="92"/>
      <c r="AC50" s="92"/>
      <c r="AD50" s="92"/>
      <c r="AE50" s="92"/>
      <c r="AF50" s="92"/>
      <c r="AG50" s="92"/>
      <c r="AH50" s="92"/>
      <c r="AI50" s="92"/>
      <c r="AJ50" s="92"/>
      <c r="AK50" s="92"/>
      <c r="AL50" s="92"/>
      <c r="AM50" s="92"/>
      <c r="AN50" s="92"/>
      <c r="AO50" s="92"/>
      <c r="AP50" s="92"/>
      <c r="AQ50" s="92"/>
    </row>
    <row r="51" ht="16.5" customHeight="1">
      <c r="A51" s="128"/>
      <c r="B51" s="139" t="s">
        <v>194</v>
      </c>
      <c r="C51" s="139" t="s">
        <v>298</v>
      </c>
      <c r="D51" s="139"/>
      <c r="E51" s="131"/>
      <c r="F51" s="131"/>
      <c r="G51" s="131"/>
      <c r="H51" s="131"/>
      <c r="I51" s="131"/>
      <c r="J51" s="131"/>
      <c r="K51" s="139"/>
      <c r="L51" s="131"/>
      <c r="M51" s="139" t="s">
        <v>299</v>
      </c>
      <c r="N51" s="131"/>
      <c r="O51" s="131"/>
      <c r="P51" s="131"/>
      <c r="Q51" s="131"/>
      <c r="R51" s="131"/>
      <c r="S51" s="131"/>
      <c r="T51" s="131"/>
      <c r="U51" s="131"/>
      <c r="V51" s="131"/>
      <c r="W51" s="131"/>
      <c r="X51" s="128"/>
      <c r="Y51" s="128"/>
      <c r="Z51" s="128"/>
      <c r="AA51" s="128"/>
      <c r="AB51" s="128"/>
      <c r="AC51" s="128"/>
      <c r="AD51" s="128"/>
      <c r="AE51" s="128"/>
      <c r="AF51" s="128"/>
      <c r="AG51" s="128"/>
      <c r="AH51" s="128"/>
      <c r="AI51" s="128"/>
      <c r="AJ51" s="128"/>
      <c r="AK51" s="128"/>
      <c r="AL51" s="128"/>
      <c r="AM51" s="128"/>
      <c r="AN51" s="128"/>
      <c r="AO51" s="128"/>
      <c r="AP51" s="128"/>
      <c r="AQ51" s="128"/>
    </row>
    <row r="52" ht="16.5" customHeight="1">
      <c r="A52" s="116"/>
      <c r="B52" s="116" t="s">
        <v>253</v>
      </c>
      <c r="C52" s="116" t="s">
        <v>254</v>
      </c>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06"/>
      <c r="AO52" s="106"/>
      <c r="AP52" s="106"/>
      <c r="AQ52" s="106"/>
    </row>
    <row r="53" ht="16.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row>
    <row r="54" ht="16.5" customHeight="1">
      <c r="A54" s="104"/>
      <c r="B54" s="104" t="s">
        <v>209</v>
      </c>
      <c r="C54" s="104" t="s">
        <v>300</v>
      </c>
      <c r="D54" s="105" t="s">
        <v>301</v>
      </c>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6"/>
      <c r="AO54" s="106"/>
      <c r="AP54" s="106"/>
      <c r="AQ54" s="106"/>
    </row>
    <row r="55" ht="16.5" customHeight="1">
      <c r="A55" s="98"/>
      <c r="B55" s="98" t="s">
        <v>302</v>
      </c>
      <c r="C55" s="140" t="s">
        <v>303</v>
      </c>
      <c r="D55" s="141" t="s">
        <v>304</v>
      </c>
      <c r="E55" s="102" t="s">
        <v>305</v>
      </c>
      <c r="F55" s="98"/>
      <c r="G55" s="98"/>
      <c r="H55" s="98"/>
      <c r="I55" s="98"/>
      <c r="J55" s="98"/>
      <c r="K55" s="98"/>
      <c r="L55" s="102" t="b">
        <v>1</v>
      </c>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row>
    <row r="56" ht="16.5" customHeight="1">
      <c r="A56" s="102" t="s">
        <v>306</v>
      </c>
      <c r="B56" s="98" t="s">
        <v>307</v>
      </c>
      <c r="C56" s="140" t="s">
        <v>308</v>
      </c>
      <c r="D56" s="142" t="str">
        <f>CONCATENATE("How many ", 'Contextualisation form'!D15," plants do you have on this farm? (For example, trees, bushes, or individual plants)")</f>
        <v>How many cocoa plants do you have on this farm? (For example, trees, bushes, or individual plants)</v>
      </c>
      <c r="E56" s="102" t="s">
        <v>309</v>
      </c>
      <c r="F56" s="143" t="b">
        <f>if(OR('Contextualisation form'!$E$23="Perennial Crop Basic Information (3)",'Contextualisation form'!$E$24= "Perennial Crop Basic Information (3)",'Contextualisation form'!$E$25="Perennial Crop Basic Information (3)"),FALSE,TRUE)</f>
        <v>1</v>
      </c>
      <c r="G56" s="98"/>
      <c r="H56" s="98"/>
      <c r="I56" s="98"/>
      <c r="J56" s="98"/>
      <c r="K56" s="98"/>
      <c r="L56" s="102" t="b">
        <v>1</v>
      </c>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row>
    <row r="57" ht="16.5" customHeight="1">
      <c r="A57" s="102" t="s">
        <v>306</v>
      </c>
      <c r="B57" s="102" t="s">
        <v>310</v>
      </c>
      <c r="C57" s="140" t="s">
        <v>311</v>
      </c>
      <c r="D57" s="142" t="str">
        <f>CONCATENATE("How did you determine the number of ",'Contextualisation form'!D15," trees on your farm?")</f>
        <v>How did you determine the number of cocoa trees on your farm?</v>
      </c>
      <c r="E57" s="102"/>
      <c r="F57" s="143" t="b">
        <f>if(OR('Contextualisation form'!$E$23="Perennial Crop Basic Information (3)",'Contextualisation form'!$E$24= "Perennial Crop Basic Information (3)",'Contextualisation form'!$E$25="Perennial Crop Basic Information (3)"),FALSE,TRUE)</f>
        <v>1</v>
      </c>
      <c r="G57" s="98"/>
      <c r="H57" s="98"/>
      <c r="I57" s="98"/>
      <c r="J57" s="98"/>
      <c r="K57" s="98"/>
      <c r="L57" s="102"/>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row>
    <row r="58" ht="16.5" customHeight="1">
      <c r="A58" s="98"/>
      <c r="B58" s="98" t="s">
        <v>312</v>
      </c>
      <c r="C58" s="140" t="s">
        <v>313</v>
      </c>
      <c r="D58" s="141" t="str">
        <f>CONCATENATE("What variety/varieties of ", 'Contextualisation form'!D15," do you grow?")</f>
        <v>What variety/varieties of cocoa do you grow?</v>
      </c>
      <c r="E58" s="98"/>
      <c r="F58" s="98"/>
      <c r="G58" s="98"/>
      <c r="H58" s="98"/>
      <c r="I58" s="98"/>
      <c r="J58" s="98"/>
      <c r="K58" s="98"/>
      <c r="L58" s="102" t="b">
        <v>1</v>
      </c>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row>
    <row r="59" ht="16.5" customHeight="1">
      <c r="A59" s="102" t="s">
        <v>306</v>
      </c>
      <c r="B59" s="102" t="s">
        <v>307</v>
      </c>
      <c r="C59" s="102" t="s">
        <v>314</v>
      </c>
      <c r="D59" s="102" t="s">
        <v>315</v>
      </c>
      <c r="E59" s="98"/>
      <c r="F59" s="143" t="b">
        <f>if(OR('Contextualisation form'!$E$23="Perennial Crop Basic Information (3)",'Contextualisation form'!$E$24= "Perennial Crop Basic Information (3)",'Contextualisation form'!$E$25="Perennial Crop Basic Information (3)"),FALSE,TRUE)</f>
        <v>1</v>
      </c>
      <c r="G59" s="98"/>
      <c r="H59" s="98"/>
      <c r="I59" s="98"/>
      <c r="J59" s="98"/>
      <c r="K59" s="98"/>
      <c r="L59" s="102" t="b">
        <v>1</v>
      </c>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ht="16.5" customHeight="1">
      <c r="A60" s="98"/>
      <c r="B60" s="98" t="s">
        <v>316</v>
      </c>
      <c r="C60" s="98" t="s">
        <v>317</v>
      </c>
      <c r="D60" s="107" t="str">
        <f>CONCATENATE("In the last 12 months how many (harvest) seasons of the ", 'Contextualisation form'!D15," did you have?")</f>
        <v>In the last 12 months how many (harvest) seasons of the cocoa did you have?</v>
      </c>
      <c r="E60" s="98"/>
      <c r="F60" s="98"/>
      <c r="G60" s="98"/>
      <c r="H60" s="98"/>
      <c r="I60" s="98"/>
      <c r="J60" s="98"/>
      <c r="K60" s="98"/>
      <c r="L60" s="102" t="b">
        <v>1</v>
      </c>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row>
    <row r="61" ht="16.5" customHeight="1">
      <c r="A61" s="98"/>
      <c r="B61" s="102"/>
      <c r="C61" s="140"/>
      <c r="D61" s="140"/>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row>
    <row r="62" ht="16.5" customHeight="1">
      <c r="A62" s="144"/>
      <c r="B62" s="144" t="s">
        <v>209</v>
      </c>
      <c r="C62" s="144" t="s">
        <v>318</v>
      </c>
      <c r="D62" s="145"/>
      <c r="E62" s="145"/>
      <c r="F62" s="146"/>
      <c r="G62" s="146"/>
      <c r="H62" s="146"/>
      <c r="I62" s="146"/>
      <c r="J62" s="146"/>
      <c r="K62" s="144"/>
      <c r="L62" s="146"/>
      <c r="M62" s="146"/>
      <c r="N62" s="146"/>
      <c r="O62" s="146"/>
      <c r="P62" s="146"/>
      <c r="Q62" s="146"/>
      <c r="R62" s="144" t="s">
        <v>109</v>
      </c>
      <c r="S62" s="146"/>
      <c r="T62" s="146"/>
      <c r="U62" s="146"/>
      <c r="V62" s="146"/>
      <c r="W62" s="146"/>
      <c r="X62" s="146"/>
      <c r="Y62" s="146"/>
      <c r="Z62" s="146"/>
      <c r="AA62" s="146"/>
      <c r="AB62" s="146"/>
      <c r="AC62" s="146"/>
      <c r="AD62" s="146"/>
      <c r="AE62" s="146"/>
      <c r="AF62" s="146"/>
      <c r="AG62" s="146"/>
      <c r="AH62" s="146"/>
      <c r="AI62" s="146"/>
      <c r="AJ62" s="146"/>
      <c r="AK62" s="146"/>
      <c r="AL62" s="146"/>
      <c r="AM62" s="146"/>
      <c r="AN62" s="147"/>
      <c r="AO62" s="147"/>
      <c r="AP62" s="147"/>
      <c r="AQ62" s="147"/>
    </row>
    <row r="63" ht="16.5" customHeight="1">
      <c r="A63" s="98"/>
      <c r="B63" s="148" t="s">
        <v>319</v>
      </c>
      <c r="C63" s="148" t="s">
        <v>320</v>
      </c>
      <c r="D63" s="149" t="s">
        <v>321</v>
      </c>
      <c r="E63" s="148"/>
      <c r="F63" s="98" t="b">
        <f>if('Contextualisation form'!$D$15="coffee",FALSE,TRUE)</f>
        <v>1</v>
      </c>
      <c r="G63" s="148"/>
      <c r="H63" s="148"/>
      <c r="I63" s="148"/>
      <c r="J63" s="148"/>
      <c r="K63" s="148"/>
      <c r="L63" s="150" t="b">
        <v>1</v>
      </c>
      <c r="M63" s="148"/>
      <c r="N63" s="148"/>
      <c r="O63" s="148"/>
      <c r="P63" s="148"/>
      <c r="Q63" s="148"/>
      <c r="R63" s="148" t="s">
        <v>109</v>
      </c>
      <c r="S63" s="148"/>
      <c r="T63" s="148"/>
      <c r="U63" s="148"/>
      <c r="V63" s="148"/>
      <c r="W63" s="148"/>
      <c r="X63" s="148"/>
      <c r="Y63" s="148"/>
      <c r="Z63" s="148"/>
      <c r="AA63" s="148"/>
      <c r="AB63" s="148"/>
      <c r="AC63" s="148"/>
      <c r="AD63" s="148"/>
      <c r="AE63" s="148"/>
      <c r="AF63" s="148"/>
      <c r="AG63" s="148"/>
      <c r="AH63" s="148"/>
      <c r="AI63" s="148"/>
      <c r="AJ63" s="148"/>
      <c r="AK63" s="148"/>
      <c r="AL63" s="148"/>
      <c r="AM63" s="148"/>
      <c r="AN63" s="151"/>
      <c r="AO63" s="151"/>
      <c r="AP63" s="151"/>
      <c r="AQ63" s="151"/>
    </row>
    <row r="64" ht="16.5" customHeight="1">
      <c r="A64" s="98"/>
      <c r="B64" s="148" t="s">
        <v>307</v>
      </c>
      <c r="C64" s="148" t="s">
        <v>322</v>
      </c>
      <c r="D64" s="152" t="s">
        <v>323</v>
      </c>
      <c r="E64" s="148" t="s">
        <v>309</v>
      </c>
      <c r="F64" s="98" t="b">
        <f>if('Contextualisation form'!$D$15="coffee",FALSE,TRUE)</f>
        <v>1</v>
      </c>
      <c r="G64" s="148"/>
      <c r="H64" s="148"/>
      <c r="I64" s="148" t="s">
        <v>324</v>
      </c>
      <c r="J64" s="148" t="s">
        <v>325</v>
      </c>
      <c r="K64" s="148"/>
      <c r="L64" s="150" t="b">
        <v>1</v>
      </c>
      <c r="M64" s="148"/>
      <c r="N64" s="148"/>
      <c r="O64" s="148"/>
      <c r="P64" s="148"/>
      <c r="Q64" s="148"/>
      <c r="R64" s="148" t="s">
        <v>109</v>
      </c>
      <c r="S64" s="148"/>
      <c r="T64" s="148"/>
      <c r="U64" s="148"/>
      <c r="V64" s="148"/>
      <c r="W64" s="148"/>
      <c r="X64" s="148"/>
      <c r="Y64" s="148"/>
      <c r="Z64" s="148"/>
      <c r="AA64" s="148"/>
      <c r="AB64" s="148"/>
      <c r="AC64" s="148"/>
      <c r="AD64" s="148"/>
      <c r="AE64" s="148"/>
      <c r="AF64" s="148"/>
      <c r="AG64" s="148"/>
      <c r="AH64" s="148"/>
      <c r="AI64" s="148"/>
      <c r="AJ64" s="148"/>
      <c r="AK64" s="148"/>
      <c r="AL64" s="148"/>
      <c r="AM64" s="148"/>
      <c r="AN64" s="151"/>
      <c r="AO64" s="151"/>
      <c r="AP64" s="151"/>
      <c r="AQ64" s="151"/>
    </row>
    <row r="65" ht="16.5" customHeight="1">
      <c r="A65" s="98"/>
      <c r="B65" s="148" t="s">
        <v>307</v>
      </c>
      <c r="C65" s="148" t="s">
        <v>326</v>
      </c>
      <c r="D65" s="152" t="s">
        <v>327</v>
      </c>
      <c r="E65" s="148" t="s">
        <v>309</v>
      </c>
      <c r="F65" s="98" t="b">
        <f>if('Contextualisation form'!$D$15="coffee",FALSE,TRUE)</f>
        <v>1</v>
      </c>
      <c r="G65" s="148"/>
      <c r="H65" s="148"/>
      <c r="I65" s="148" t="s">
        <v>324</v>
      </c>
      <c r="J65" s="148" t="s">
        <v>325</v>
      </c>
      <c r="K65" s="148"/>
      <c r="L65" s="150" t="b">
        <v>1</v>
      </c>
      <c r="M65" s="148"/>
      <c r="N65" s="148"/>
      <c r="O65" s="148"/>
      <c r="P65" s="148"/>
      <c r="Q65" s="148"/>
      <c r="R65" s="148" t="s">
        <v>109</v>
      </c>
      <c r="S65" s="148"/>
      <c r="T65" s="148"/>
      <c r="U65" s="148"/>
      <c r="V65" s="148"/>
      <c r="W65" s="148"/>
      <c r="X65" s="148"/>
      <c r="Y65" s="148"/>
      <c r="Z65" s="148"/>
      <c r="AA65" s="148"/>
      <c r="AB65" s="148"/>
      <c r="AC65" s="148"/>
      <c r="AD65" s="148"/>
      <c r="AE65" s="148"/>
      <c r="AF65" s="148"/>
      <c r="AG65" s="148"/>
      <c r="AH65" s="148"/>
      <c r="AI65" s="148"/>
      <c r="AJ65" s="148"/>
      <c r="AK65" s="148"/>
      <c r="AL65" s="148"/>
      <c r="AM65" s="148"/>
      <c r="AN65" s="151"/>
      <c r="AO65" s="151"/>
      <c r="AP65" s="151"/>
      <c r="AQ65" s="151"/>
    </row>
    <row r="66" ht="16.5" customHeight="1">
      <c r="A66" s="98"/>
      <c r="B66" s="148" t="s">
        <v>307</v>
      </c>
      <c r="C66" s="148" t="s">
        <v>328</v>
      </c>
      <c r="D66" s="152" t="s">
        <v>329</v>
      </c>
      <c r="E66" s="153" t="s">
        <v>309</v>
      </c>
      <c r="F66" s="98" t="b">
        <f>if('Contextualisation form'!$D$15="coffee",FALSE,TRUE)</f>
        <v>1</v>
      </c>
      <c r="G66" s="148"/>
      <c r="H66" s="148"/>
      <c r="I66" s="148" t="s">
        <v>324</v>
      </c>
      <c r="J66" s="148" t="s">
        <v>325</v>
      </c>
      <c r="K66" s="148"/>
      <c r="L66" s="150" t="b">
        <v>1</v>
      </c>
      <c r="M66" s="148"/>
      <c r="N66" s="148"/>
      <c r="O66" s="148"/>
      <c r="P66" s="148"/>
      <c r="Q66" s="148"/>
      <c r="R66" s="148" t="s">
        <v>109</v>
      </c>
      <c r="S66" s="148"/>
      <c r="T66" s="148"/>
      <c r="U66" s="148"/>
      <c r="V66" s="148"/>
      <c r="W66" s="148"/>
      <c r="X66" s="148"/>
      <c r="Y66" s="148"/>
      <c r="Z66" s="148"/>
      <c r="AA66" s="148"/>
      <c r="AB66" s="148"/>
      <c r="AC66" s="148"/>
      <c r="AD66" s="148"/>
      <c r="AE66" s="148"/>
      <c r="AF66" s="148"/>
      <c r="AG66" s="148"/>
      <c r="AH66" s="148"/>
      <c r="AI66" s="148"/>
      <c r="AJ66" s="148"/>
      <c r="AK66" s="148"/>
      <c r="AL66" s="148"/>
      <c r="AM66" s="148"/>
      <c r="AN66" s="151"/>
      <c r="AO66" s="151"/>
      <c r="AP66" s="151"/>
      <c r="AQ66" s="151"/>
    </row>
    <row r="67" ht="16.5" customHeight="1">
      <c r="A67" s="98"/>
      <c r="B67" s="148" t="s">
        <v>307</v>
      </c>
      <c r="C67" s="148" t="s">
        <v>330</v>
      </c>
      <c r="D67" s="152" t="s">
        <v>331</v>
      </c>
      <c r="E67" s="153" t="s">
        <v>309</v>
      </c>
      <c r="F67" s="98" t="b">
        <f>if('Contextualisation form'!$D$15="coffee",FALSE,TRUE)</f>
        <v>1</v>
      </c>
      <c r="G67" s="148"/>
      <c r="H67" s="148"/>
      <c r="I67" s="148" t="s">
        <v>324</v>
      </c>
      <c r="J67" s="148" t="s">
        <v>325</v>
      </c>
      <c r="K67" s="148"/>
      <c r="L67" s="150" t="b">
        <v>1</v>
      </c>
      <c r="M67" s="148"/>
      <c r="N67" s="148"/>
      <c r="O67" s="148"/>
      <c r="P67" s="148"/>
      <c r="Q67" s="148"/>
      <c r="R67" s="148" t="s">
        <v>109</v>
      </c>
      <c r="S67" s="148"/>
      <c r="T67" s="148"/>
      <c r="U67" s="148"/>
      <c r="V67" s="148"/>
      <c r="W67" s="148"/>
      <c r="X67" s="148"/>
      <c r="Y67" s="148"/>
      <c r="Z67" s="148"/>
      <c r="AA67" s="148"/>
      <c r="AB67" s="148"/>
      <c r="AC67" s="148"/>
      <c r="AD67" s="148"/>
      <c r="AE67" s="148"/>
      <c r="AF67" s="148"/>
      <c r="AG67" s="148"/>
      <c r="AH67" s="148"/>
      <c r="AI67" s="148"/>
      <c r="AJ67" s="148"/>
      <c r="AK67" s="148"/>
      <c r="AL67" s="148"/>
      <c r="AM67" s="148"/>
      <c r="AN67" s="151"/>
      <c r="AO67" s="151"/>
      <c r="AP67" s="151"/>
      <c r="AQ67" s="151"/>
    </row>
    <row r="68" ht="16.5" customHeight="1">
      <c r="A68" s="98"/>
      <c r="B68" s="148" t="s">
        <v>307</v>
      </c>
      <c r="C68" s="148" t="s">
        <v>332</v>
      </c>
      <c r="D68" s="152" t="s">
        <v>333</v>
      </c>
      <c r="E68" s="153" t="s">
        <v>309</v>
      </c>
      <c r="F68" s="98" t="b">
        <f>if('Contextualisation form'!$D$15="coffee",FALSE,TRUE)</f>
        <v>1</v>
      </c>
      <c r="G68" s="148"/>
      <c r="H68" s="148"/>
      <c r="I68" s="148" t="s">
        <v>324</v>
      </c>
      <c r="J68" s="148" t="s">
        <v>325</v>
      </c>
      <c r="K68" s="148"/>
      <c r="L68" s="150" t="b">
        <v>1</v>
      </c>
      <c r="M68" s="148"/>
      <c r="N68" s="148"/>
      <c r="O68" s="148"/>
      <c r="P68" s="148"/>
      <c r="Q68" s="148"/>
      <c r="R68" s="148" t="s">
        <v>109</v>
      </c>
      <c r="S68" s="148"/>
      <c r="T68" s="148"/>
      <c r="U68" s="148"/>
      <c r="V68" s="148"/>
      <c r="W68" s="148"/>
      <c r="X68" s="148"/>
      <c r="Y68" s="148"/>
      <c r="Z68" s="148"/>
      <c r="AA68" s="148"/>
      <c r="AB68" s="148"/>
      <c r="AC68" s="148"/>
      <c r="AD68" s="148"/>
      <c r="AE68" s="148"/>
      <c r="AF68" s="148"/>
      <c r="AG68" s="148"/>
      <c r="AH68" s="148"/>
      <c r="AI68" s="148"/>
      <c r="AJ68" s="148"/>
      <c r="AK68" s="148"/>
      <c r="AL68" s="148"/>
      <c r="AM68" s="148"/>
      <c r="AN68" s="151"/>
      <c r="AO68" s="151"/>
      <c r="AP68" s="151"/>
      <c r="AQ68" s="151"/>
    </row>
    <row r="69" ht="16.5" customHeight="1">
      <c r="A69" s="98"/>
      <c r="B69" s="148" t="s">
        <v>307</v>
      </c>
      <c r="C69" s="148" t="s">
        <v>334</v>
      </c>
      <c r="D69" s="152" t="s">
        <v>335</v>
      </c>
      <c r="E69" s="153" t="s">
        <v>309</v>
      </c>
      <c r="F69" s="98" t="b">
        <f>if('Contextualisation form'!$D$15="coffee",FALSE,TRUE)</f>
        <v>1</v>
      </c>
      <c r="G69" s="148"/>
      <c r="H69" s="148"/>
      <c r="I69" s="148" t="s">
        <v>324</v>
      </c>
      <c r="J69" s="148" t="s">
        <v>325</v>
      </c>
      <c r="K69" s="148"/>
      <c r="L69" s="150" t="b">
        <v>1</v>
      </c>
      <c r="M69" s="148"/>
      <c r="N69" s="148"/>
      <c r="O69" s="148"/>
      <c r="P69" s="148"/>
      <c r="Q69" s="148"/>
      <c r="R69" s="148" t="s">
        <v>109</v>
      </c>
      <c r="S69" s="148"/>
      <c r="T69" s="148"/>
      <c r="U69" s="148"/>
      <c r="V69" s="148"/>
      <c r="W69" s="148"/>
      <c r="X69" s="148"/>
      <c r="Y69" s="148"/>
      <c r="Z69" s="148"/>
      <c r="AA69" s="148"/>
      <c r="AB69" s="148"/>
      <c r="AC69" s="148"/>
      <c r="AD69" s="148"/>
      <c r="AE69" s="148"/>
      <c r="AF69" s="148"/>
      <c r="AG69" s="148"/>
      <c r="AH69" s="148"/>
      <c r="AI69" s="148"/>
      <c r="AJ69" s="148"/>
      <c r="AK69" s="148"/>
      <c r="AL69" s="148"/>
      <c r="AM69" s="148"/>
      <c r="AN69" s="151"/>
      <c r="AO69" s="151"/>
      <c r="AP69" s="151"/>
      <c r="AQ69" s="151"/>
    </row>
    <row r="70" ht="16.5" customHeight="1">
      <c r="A70" s="154"/>
      <c r="B70" s="155" t="s">
        <v>177</v>
      </c>
      <c r="C70" s="155" t="s">
        <v>336</v>
      </c>
      <c r="D70" s="155" t="s">
        <v>337</v>
      </c>
      <c r="E70" s="155"/>
      <c r="F70" s="154" t="b">
        <f>if('Contextualisation form'!$D$15="coffee",FALSE,TRUE)</f>
        <v>1</v>
      </c>
      <c r="G70" s="155"/>
      <c r="H70" s="155"/>
      <c r="I70" s="155"/>
      <c r="J70" s="155"/>
      <c r="K70" s="155" t="s">
        <v>338</v>
      </c>
      <c r="L70" s="156" t="b">
        <v>1</v>
      </c>
      <c r="M70" s="155"/>
      <c r="N70" s="155"/>
      <c r="O70" s="155"/>
      <c r="P70" s="155"/>
      <c r="Q70" s="155"/>
      <c r="R70" s="155" t="s">
        <v>109</v>
      </c>
      <c r="S70" s="155"/>
      <c r="T70" s="155"/>
      <c r="U70" s="155"/>
      <c r="V70" s="155"/>
      <c r="W70" s="155"/>
      <c r="X70" s="155"/>
      <c r="Y70" s="155"/>
      <c r="Z70" s="155"/>
      <c r="AA70" s="155"/>
      <c r="AB70" s="155"/>
      <c r="AC70" s="155"/>
      <c r="AD70" s="155"/>
      <c r="AE70" s="155"/>
      <c r="AF70" s="155"/>
      <c r="AG70" s="155"/>
      <c r="AH70" s="155"/>
      <c r="AI70" s="155"/>
      <c r="AJ70" s="155"/>
      <c r="AK70" s="155"/>
      <c r="AL70" s="155"/>
      <c r="AM70" s="155"/>
      <c r="AN70" s="157"/>
      <c r="AO70" s="157"/>
      <c r="AP70" s="157"/>
      <c r="AQ70" s="157"/>
    </row>
    <row r="71" ht="16.5" customHeight="1">
      <c r="A71" s="98"/>
      <c r="B71" s="148" t="s">
        <v>339</v>
      </c>
      <c r="C71" s="148" t="s">
        <v>340</v>
      </c>
      <c r="D71" s="152" t="s">
        <v>341</v>
      </c>
      <c r="E71" s="148"/>
      <c r="F71" s="98" t="b">
        <f>if('Contextualisation form'!$D$15="coffee",FALSE,TRUE)</f>
        <v>1</v>
      </c>
      <c r="G71" s="148"/>
      <c r="H71" s="148"/>
      <c r="I71" s="148"/>
      <c r="J71" s="148"/>
      <c r="K71" s="148"/>
      <c r="L71" s="150" t="b">
        <v>1</v>
      </c>
      <c r="M71" s="148"/>
      <c r="N71" s="148"/>
      <c r="O71" s="148"/>
      <c r="P71" s="148"/>
      <c r="Q71" s="148"/>
      <c r="R71" s="148" t="s">
        <v>109</v>
      </c>
      <c r="S71" s="148"/>
      <c r="T71" s="148"/>
      <c r="U71" s="148"/>
      <c r="V71" s="148"/>
      <c r="W71" s="148"/>
      <c r="X71" s="148"/>
      <c r="Y71" s="148"/>
      <c r="Z71" s="148"/>
      <c r="AA71" s="148"/>
      <c r="AB71" s="148"/>
      <c r="AC71" s="148"/>
      <c r="AD71" s="148"/>
      <c r="AE71" s="148"/>
      <c r="AF71" s="148"/>
      <c r="AG71" s="148"/>
      <c r="AH71" s="148"/>
      <c r="AI71" s="148"/>
      <c r="AJ71" s="148"/>
      <c r="AK71" s="148"/>
      <c r="AL71" s="148"/>
      <c r="AM71" s="148"/>
      <c r="AN71" s="151"/>
      <c r="AO71" s="151"/>
      <c r="AP71" s="151"/>
      <c r="AQ71" s="151"/>
    </row>
    <row r="72" ht="16.5" customHeight="1">
      <c r="A72" s="98"/>
      <c r="B72" s="158" t="s">
        <v>224</v>
      </c>
      <c r="C72" s="158" t="s">
        <v>342</v>
      </c>
      <c r="D72" s="159" t="s">
        <v>343</v>
      </c>
      <c r="E72" s="148"/>
      <c r="F72" s="98" t="b">
        <f>if('Contextualisation form'!$D$15="coffee",FALSE,TRUE)</f>
        <v>1</v>
      </c>
      <c r="G72" s="148"/>
      <c r="H72" s="148"/>
      <c r="I72" s="148"/>
      <c r="J72" s="148"/>
      <c r="K72" s="148"/>
      <c r="L72" s="150" t="b">
        <v>1</v>
      </c>
      <c r="M72" s="148"/>
      <c r="N72" s="148"/>
      <c r="O72" s="148"/>
      <c r="P72" s="148"/>
      <c r="Q72" s="148"/>
      <c r="R72" s="148"/>
      <c r="S72" s="148"/>
      <c r="T72" s="148"/>
      <c r="U72" s="148"/>
      <c r="V72" s="148"/>
      <c r="W72" s="148"/>
      <c r="X72" s="148"/>
      <c r="Y72" s="148"/>
      <c r="Z72" s="148"/>
      <c r="AA72" s="148"/>
      <c r="AB72" s="148"/>
      <c r="AC72" s="148"/>
      <c r="AD72" s="148"/>
      <c r="AE72" s="148"/>
      <c r="AF72" s="148"/>
      <c r="AG72" s="148"/>
      <c r="AH72" s="148"/>
      <c r="AI72" s="148"/>
      <c r="AJ72" s="148"/>
      <c r="AK72" s="148"/>
      <c r="AL72" s="148"/>
      <c r="AM72" s="148"/>
      <c r="AN72" s="151"/>
      <c r="AO72" s="151"/>
      <c r="AP72" s="151"/>
      <c r="AQ72" s="151"/>
    </row>
    <row r="73" ht="16.5" customHeight="1">
      <c r="A73" s="144"/>
      <c r="B73" s="144" t="s">
        <v>253</v>
      </c>
      <c r="C73" s="144" t="s">
        <v>318</v>
      </c>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7"/>
      <c r="AP73" s="147"/>
      <c r="AQ73" s="147"/>
    </row>
    <row r="74" ht="16.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row>
    <row r="75" ht="16.5" customHeight="1">
      <c r="A75" s="104"/>
      <c r="B75" s="104" t="s">
        <v>253</v>
      </c>
      <c r="C75" s="104" t="s">
        <v>300</v>
      </c>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6"/>
      <c r="AO75" s="106"/>
      <c r="AP75" s="106"/>
      <c r="AQ75" s="106"/>
    </row>
    <row r="76" ht="16.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row>
    <row r="77" ht="16.5" customHeight="1">
      <c r="A77" s="104"/>
      <c r="B77" s="104" t="s">
        <v>209</v>
      </c>
      <c r="C77" s="104" t="s">
        <v>344</v>
      </c>
      <c r="D77" s="105" t="s">
        <v>345</v>
      </c>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6"/>
      <c r="AO77" s="106"/>
      <c r="AP77" s="106"/>
      <c r="AQ77" s="106"/>
    </row>
    <row r="78" ht="16.5" customHeight="1">
      <c r="A78" s="98"/>
      <c r="B78" s="98" t="s">
        <v>346</v>
      </c>
      <c r="C78" s="98" t="s">
        <v>347</v>
      </c>
      <c r="D78" s="160" t="str">
        <f>CONCATENATE("We will now ask you a couple of questions about the production and revenues of the ", 'Contextualisation form'!D15," in the last 12 months. Please indicate for which season you know the production level, quantity sold, revenues received, price received etc.")</f>
        <v>We will now ask you a couple of questions about the production and revenues of the cocoa in the last 12 months. Please indicate for which season you know the production level, quantity sold, revenues received, price received etc.</v>
      </c>
      <c r="E78" s="98"/>
      <c r="F78" s="98"/>
      <c r="G78" s="98"/>
      <c r="H78" s="98"/>
      <c r="I78" s="98"/>
      <c r="J78" s="98"/>
      <c r="K78" s="98"/>
      <c r="L78" s="102" t="b">
        <v>1</v>
      </c>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row>
    <row r="79" ht="16.5" customHeight="1">
      <c r="A79" s="161"/>
      <c r="B79" s="161" t="s">
        <v>177</v>
      </c>
      <c r="C79" s="161" t="s">
        <v>348</v>
      </c>
      <c r="D79" s="162" t="s">
        <v>349</v>
      </c>
      <c r="E79" s="161"/>
      <c r="F79" s="161"/>
      <c r="G79" s="161"/>
      <c r="H79" s="161"/>
      <c r="I79" s="161"/>
      <c r="J79" s="161"/>
      <c r="K79" s="161"/>
      <c r="L79" s="162" t="b">
        <v>1</v>
      </c>
      <c r="M79" s="161"/>
      <c r="N79" s="161"/>
      <c r="O79" s="161"/>
      <c r="P79" s="161"/>
      <c r="Q79" s="161"/>
      <c r="R79" s="161" t="s">
        <v>350</v>
      </c>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row>
    <row r="80" ht="16.5" customHeight="1">
      <c r="A80" s="161"/>
      <c r="B80" s="161" t="s">
        <v>351</v>
      </c>
      <c r="C80" s="161" t="s">
        <v>352</v>
      </c>
      <c r="D80" s="161" t="s">
        <v>353</v>
      </c>
      <c r="E80" s="161"/>
      <c r="F80" s="161"/>
      <c r="G80" s="161"/>
      <c r="H80" s="161"/>
      <c r="I80" s="161"/>
      <c r="J80" s="161"/>
      <c r="K80" s="161"/>
      <c r="L80" s="162" t="b">
        <v>1</v>
      </c>
      <c r="M80" s="161"/>
      <c r="N80" s="161" t="s">
        <v>354</v>
      </c>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row>
    <row r="81" ht="16.5" customHeight="1">
      <c r="A81" s="161"/>
      <c r="B81" s="161" t="s">
        <v>194</v>
      </c>
      <c r="C81" s="161" t="s">
        <v>355</v>
      </c>
      <c r="D81" s="161" t="s">
        <v>356</v>
      </c>
      <c r="E81" s="161"/>
      <c r="F81" s="161"/>
      <c r="G81" s="161"/>
      <c r="H81" s="161"/>
      <c r="I81" s="161"/>
      <c r="J81" s="161"/>
      <c r="K81" s="161"/>
      <c r="L81" s="162" t="b">
        <v>1</v>
      </c>
      <c r="M81" s="161" t="s">
        <v>357</v>
      </c>
      <c r="N81" s="161"/>
      <c r="O81" s="161"/>
      <c r="P81" s="161"/>
      <c r="Q81" s="161"/>
      <c r="R81" s="161" t="s">
        <v>350</v>
      </c>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row>
    <row r="82" ht="16.5" customHeight="1">
      <c r="A82" s="98"/>
      <c r="B82" s="98" t="s">
        <v>264</v>
      </c>
      <c r="C82" s="98" t="s">
        <v>358</v>
      </c>
      <c r="D82" s="107" t="str">
        <f>CONCATENATE("How much of the ", 'Contextualisation form'!D15," did you produce during this period?")</f>
        <v>How much of the cocoa did you produce during this period?</v>
      </c>
      <c r="E82" s="98"/>
      <c r="F82" s="98"/>
      <c r="G82" s="98"/>
      <c r="H82" s="98"/>
      <c r="I82" s="98" t="s">
        <v>324</v>
      </c>
      <c r="J82" s="98" t="s">
        <v>325</v>
      </c>
      <c r="K82" s="98"/>
      <c r="L82" s="102" t="b">
        <v>1</v>
      </c>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row>
    <row r="83" ht="16.5" customHeight="1">
      <c r="A83" s="98"/>
      <c r="B83" s="98" t="s">
        <v>359</v>
      </c>
      <c r="C83" s="98" t="s">
        <v>360</v>
      </c>
      <c r="D83" s="107" t="str">
        <f>CONCATENATE("Using what measurement unit did you measure the amount of ", 'Contextualisation form'!D15," that you produced during this period?")</f>
        <v>Using what measurement unit did you measure the amount of cocoa that you produced during this period?</v>
      </c>
      <c r="E83" s="98"/>
      <c r="F83" s="98"/>
      <c r="G83" s="98"/>
      <c r="H83" s="98"/>
      <c r="I83" s="98"/>
      <c r="J83" s="98"/>
      <c r="K83" s="98"/>
      <c r="L83" s="102" t="b">
        <v>1</v>
      </c>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row>
    <row r="84" ht="16.5" customHeight="1">
      <c r="A84" s="98"/>
      <c r="B84" s="98" t="s">
        <v>224</v>
      </c>
      <c r="C84" s="98" t="s">
        <v>361</v>
      </c>
      <c r="D84" s="98" t="str">
        <f>CONCATENATE("Please specify the other measurement used to measure the amount of ", 'Contextualisation form'!D15," that you produced:")</f>
        <v>Please specify the other measurement used to measure the amount of cocoa that you produced:</v>
      </c>
      <c r="E84" s="98"/>
      <c r="F84" s="98"/>
      <c r="G84" s="98"/>
      <c r="H84" s="98"/>
      <c r="I84" s="98"/>
      <c r="J84" s="98"/>
      <c r="K84" s="98" t="s">
        <v>362</v>
      </c>
      <c r="L84" s="102" t="b">
        <v>1</v>
      </c>
      <c r="M84" s="98"/>
      <c r="N84" s="98"/>
      <c r="O84" s="98"/>
      <c r="P84" s="98"/>
      <c r="Q84" s="98"/>
      <c r="R84" s="98" t="s">
        <v>350</v>
      </c>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row>
    <row r="85" ht="16.5" customHeight="1">
      <c r="A85" s="98"/>
      <c r="B85" s="98" t="s">
        <v>264</v>
      </c>
      <c r="C85" s="98" t="s">
        <v>363</v>
      </c>
      <c r="D85" s="107" t="str">
        <f>CONCATENATE("How much ", 'Contextualisation form'!D15," did you sell during this period?")</f>
        <v>How much cocoa did you sell during this period?</v>
      </c>
      <c r="E85" s="98"/>
      <c r="F85" s="98"/>
      <c r="G85" s="98"/>
      <c r="H85" s="98"/>
      <c r="I85" s="98" t="s">
        <v>324</v>
      </c>
      <c r="J85" s="98" t="s">
        <v>325</v>
      </c>
      <c r="K85" s="98"/>
      <c r="L85" s="102" t="b">
        <v>1</v>
      </c>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row>
    <row r="86" ht="16.5" customHeight="1">
      <c r="A86" s="98"/>
      <c r="B86" s="98" t="s">
        <v>359</v>
      </c>
      <c r="C86" s="98" t="s">
        <v>364</v>
      </c>
      <c r="D86" s="107" t="str">
        <f>CONCATENATE("Using what measurement unit did you measure the the amount of ", 'Contextualisation form'!D15," you sold during this period?")</f>
        <v>Using what measurement unit did you measure the the amount of cocoa you sold during this period?</v>
      </c>
      <c r="E86" s="98" t="s">
        <v>365</v>
      </c>
      <c r="F86" s="98"/>
      <c r="G86" s="98"/>
      <c r="H86" s="98"/>
      <c r="I86" s="98"/>
      <c r="J86" s="98"/>
      <c r="K86" s="98"/>
      <c r="L86" s="102" t="b">
        <v>1</v>
      </c>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row>
    <row r="87" ht="16.5" customHeight="1">
      <c r="A87" s="98"/>
      <c r="B87" s="98" t="s">
        <v>224</v>
      </c>
      <c r="C87" s="98" t="s">
        <v>366</v>
      </c>
      <c r="D87" s="98" t="str">
        <f>CONCATENATE("Please specify the other measurement used to measure the amount of ", 'Contextualisation form'!D15," that you sold: ")</f>
        <v>Please specify the other measurement used to measure the amount of cocoa that you sold: </v>
      </c>
      <c r="E87" s="98"/>
      <c r="F87" s="98"/>
      <c r="G87" s="98"/>
      <c r="H87" s="98"/>
      <c r="I87" s="98"/>
      <c r="J87" s="98"/>
      <c r="K87" s="98" t="s">
        <v>367</v>
      </c>
      <c r="L87" s="102" t="b">
        <v>1</v>
      </c>
      <c r="M87" s="98"/>
      <c r="N87" s="98"/>
      <c r="O87" s="98"/>
      <c r="P87" s="98"/>
      <c r="Q87" s="98"/>
      <c r="R87" s="98" t="s">
        <v>350</v>
      </c>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row>
    <row r="88" ht="16.5" customHeight="1">
      <c r="A88" s="163"/>
      <c r="B88" s="164" t="s">
        <v>351</v>
      </c>
      <c r="C88" s="164" t="s">
        <v>368</v>
      </c>
      <c r="D88" s="165" t="s">
        <v>369</v>
      </c>
      <c r="E88" s="163"/>
      <c r="F88" s="163"/>
      <c r="G88" s="163"/>
      <c r="H88" s="163"/>
      <c r="I88" s="163"/>
      <c r="J88" s="163"/>
      <c r="K88" s="163"/>
      <c r="L88" s="164"/>
      <c r="M88" s="163"/>
      <c r="N88" s="164" t="s">
        <v>370</v>
      </c>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row>
    <row r="89" ht="16.5" customHeight="1">
      <c r="A89" s="166"/>
      <c r="B89" s="167" t="s">
        <v>194</v>
      </c>
      <c r="C89" s="167" t="s">
        <v>371</v>
      </c>
      <c r="D89" s="168"/>
      <c r="E89" s="166"/>
      <c r="F89" s="166"/>
      <c r="G89" s="166"/>
      <c r="H89" s="166"/>
      <c r="I89" s="166"/>
      <c r="J89" s="166"/>
      <c r="K89" s="166"/>
      <c r="L89" s="167"/>
      <c r="M89" s="167" t="s">
        <v>372</v>
      </c>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row>
    <row r="90" ht="16.5" customHeight="1">
      <c r="A90" s="166"/>
      <c r="B90" s="167" t="s">
        <v>194</v>
      </c>
      <c r="C90" s="167" t="s">
        <v>373</v>
      </c>
      <c r="D90" s="168"/>
      <c r="E90" s="166"/>
      <c r="F90" s="166"/>
      <c r="G90" s="166"/>
      <c r="H90" s="166"/>
      <c r="I90" s="166"/>
      <c r="J90" s="166"/>
      <c r="K90" s="166"/>
      <c r="L90" s="167"/>
      <c r="M90" s="167" t="s">
        <v>374</v>
      </c>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row>
    <row r="91" ht="16.5" customHeight="1">
      <c r="A91" s="166"/>
      <c r="B91" s="167" t="s">
        <v>194</v>
      </c>
      <c r="C91" s="167" t="s">
        <v>375</v>
      </c>
      <c r="D91" s="168"/>
      <c r="E91" s="166"/>
      <c r="F91" s="166"/>
      <c r="G91" s="166"/>
      <c r="H91" s="166"/>
      <c r="I91" s="166"/>
      <c r="J91" s="166"/>
      <c r="K91" s="166"/>
      <c r="L91" s="167"/>
      <c r="M91" s="167" t="s">
        <v>376</v>
      </c>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row>
    <row r="92" ht="16.5" customHeight="1">
      <c r="A92" s="98"/>
      <c r="B92" s="98" t="s">
        <v>264</v>
      </c>
      <c r="C92" s="169" t="s">
        <v>377</v>
      </c>
      <c r="D92" s="127" t="s">
        <v>378</v>
      </c>
      <c r="E92" s="98"/>
      <c r="F92" s="98"/>
      <c r="G92" s="98"/>
      <c r="H92" s="98"/>
      <c r="I92" s="98"/>
      <c r="J92" s="98"/>
      <c r="K92" s="98"/>
      <c r="L92" s="102" t="b">
        <v>1</v>
      </c>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row>
    <row r="93" ht="16.5" customHeight="1">
      <c r="A93" s="163"/>
      <c r="B93" s="164" t="s">
        <v>379</v>
      </c>
      <c r="C93" s="164" t="s">
        <v>368</v>
      </c>
      <c r="D93" s="165"/>
      <c r="E93" s="163"/>
      <c r="F93" s="163"/>
      <c r="G93" s="163"/>
      <c r="H93" s="163"/>
      <c r="I93" s="163"/>
      <c r="J93" s="163"/>
      <c r="K93" s="163"/>
      <c r="L93" s="164"/>
      <c r="M93" s="163"/>
      <c r="N93" s="164" t="s">
        <v>370</v>
      </c>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row>
    <row r="94" ht="16.5" customHeight="1">
      <c r="A94" s="98"/>
      <c r="B94" s="98" t="s">
        <v>264</v>
      </c>
      <c r="C94" s="98" t="s">
        <v>380</v>
      </c>
      <c r="D94" s="98" t="str">
        <f>concatenate("What was the price you received for selling a unit of ",'Contextualisation form'!D15, " during the harvesting period (i.e., when the crop was in season)? (farmer sells in bags, ask price per bags, etc.)")</f>
        <v>What was the price you received for selling a unit of cocoa during the harvesting period (i.e., when the crop was in season)? (farmer sells in bags, ask price per bags, etc.)</v>
      </c>
      <c r="E94" s="98" t="s">
        <v>381</v>
      </c>
      <c r="F94" s="98"/>
      <c r="G94" s="98"/>
      <c r="H94" s="98"/>
      <c r="I94" s="98" t="s">
        <v>382</v>
      </c>
      <c r="J94" s="98" t="s">
        <v>383</v>
      </c>
      <c r="K94" s="98"/>
      <c r="L94" s="102" t="b">
        <v>1</v>
      </c>
      <c r="M94" s="98"/>
      <c r="N94" s="98"/>
      <c r="O94" s="98"/>
      <c r="P94" s="98"/>
      <c r="Q94" s="98"/>
      <c r="R94" s="98" t="s">
        <v>350</v>
      </c>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row>
    <row r="95" ht="16.5" customHeight="1">
      <c r="A95" s="98"/>
      <c r="B95" s="98" t="s">
        <v>384</v>
      </c>
      <c r="C95" s="98" t="s">
        <v>385</v>
      </c>
      <c r="D95" s="98" t="str">
        <f>CONCATENATE("What share of your total household income is coming from ", 'Contextualisation form'!D15,"?")</f>
        <v>What share of your total household income is coming from cocoa?</v>
      </c>
      <c r="E95" s="98"/>
      <c r="F95" s="98"/>
      <c r="G95" s="98"/>
      <c r="H95" s="98"/>
      <c r="I95" s="98"/>
      <c r="J95" s="98"/>
      <c r="K95" s="98"/>
      <c r="L95" s="102" t="b">
        <v>1</v>
      </c>
      <c r="M95" s="98"/>
      <c r="N95" s="98"/>
      <c r="O95" s="98"/>
      <c r="P95" s="98"/>
      <c r="Q95" s="98"/>
      <c r="R95" s="98" t="s">
        <v>350</v>
      </c>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row>
    <row r="96" ht="16.5" customHeight="1">
      <c r="A96" s="102"/>
      <c r="B96" s="108" t="s">
        <v>386</v>
      </c>
      <c r="C96" s="170" t="s">
        <v>387</v>
      </c>
      <c r="D96" s="107" t="str">
        <f>CONCATENATE("Do you (and your household members) consume a part of the ", 'Contextualisation form'!D15," produced and do you know how much you consumed?")</f>
        <v>Do you (and your household members) consume a part of the cocoa produced and do you know how much you consumed?</v>
      </c>
      <c r="E96" s="98"/>
      <c r="F96" s="143"/>
      <c r="G96" s="98"/>
      <c r="H96" s="98"/>
      <c r="I96" s="98"/>
      <c r="J96" s="98"/>
      <c r="K96" s="98"/>
      <c r="L96" s="102" t="b">
        <v>1</v>
      </c>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row>
    <row r="97" ht="16.5" customHeight="1">
      <c r="A97" s="98"/>
      <c r="B97" s="98" t="s">
        <v>388</v>
      </c>
      <c r="C97" s="98" t="s">
        <v>389</v>
      </c>
      <c r="D97" s="107" t="str">
        <f>CONCATENATE("During the same season, what share of the ", 'Contextualisation form'!D15," did you use for your own (you and your household members) consumption?")</f>
        <v>During the same season, what share of the cocoa did you use for your own (you and your household members) consumption?</v>
      </c>
      <c r="E97" s="98"/>
      <c r="F97" s="98"/>
      <c r="G97" s="98"/>
      <c r="H97" s="98"/>
      <c r="I97" s="98"/>
      <c r="J97" s="98"/>
      <c r="K97" s="98" t="s">
        <v>390</v>
      </c>
      <c r="L97" s="102" t="b">
        <v>1</v>
      </c>
      <c r="M97" s="98"/>
      <c r="N97" s="98"/>
      <c r="O97" s="98"/>
      <c r="P97" s="98"/>
      <c r="Q97" s="98"/>
      <c r="R97" s="98" t="s">
        <v>350</v>
      </c>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row>
    <row r="98" ht="16.5" customHeight="1">
      <c r="A98" s="98"/>
      <c r="B98" s="98" t="s">
        <v>391</v>
      </c>
      <c r="C98" s="98" t="s">
        <v>392</v>
      </c>
      <c r="D98" s="107" t="str">
        <f>CONCATENATE("During the same season, did you lose a part of the ", 'Contextualisation form'!D15," produced after harvesting and do you know how much you lost? (Post-harvest loss)")</f>
        <v>During the same season, did you lose a part of the cocoa produced after harvesting and do you know how much you lost? (Post-harvest loss)</v>
      </c>
      <c r="E98" s="98"/>
      <c r="F98" s="98"/>
      <c r="G98" s="98"/>
      <c r="H98" s="98"/>
      <c r="I98" s="98"/>
      <c r="J98" s="98"/>
      <c r="K98" s="98"/>
      <c r="L98" s="102" t="b">
        <v>1</v>
      </c>
      <c r="M98" s="98"/>
      <c r="N98" s="98"/>
      <c r="O98" s="98"/>
      <c r="P98" s="98"/>
      <c r="Q98" s="98"/>
      <c r="R98" s="98" t="s">
        <v>350</v>
      </c>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row>
    <row r="99" ht="16.5" customHeight="1">
      <c r="A99" s="98"/>
      <c r="B99" s="98" t="s">
        <v>307</v>
      </c>
      <c r="C99" s="98" t="s">
        <v>393</v>
      </c>
      <c r="D99" s="107" t="str">
        <f>CONCATENATE("During this period, how much of the ", 'Contextualisation form'!D15," did you lose from the total production (post-harvest loss)?")</f>
        <v>During this period, how much of the cocoa did you lose from the total production (post-harvest loss)?</v>
      </c>
      <c r="E99" s="98"/>
      <c r="F99" s="98"/>
      <c r="G99" s="98"/>
      <c r="H99" s="98"/>
      <c r="I99" s="98" t="s">
        <v>324</v>
      </c>
      <c r="J99" s="98" t="s">
        <v>325</v>
      </c>
      <c r="K99" s="98" t="s">
        <v>394</v>
      </c>
      <c r="L99" s="102" t="b">
        <v>1</v>
      </c>
      <c r="M99" s="98"/>
      <c r="N99" s="98"/>
      <c r="O99" s="98"/>
      <c r="P99" s="98"/>
      <c r="Q99" s="98"/>
      <c r="R99" s="98" t="s">
        <v>350</v>
      </c>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row>
    <row r="100" ht="16.5" customHeight="1">
      <c r="A100" s="98"/>
      <c r="B100" s="98" t="s">
        <v>359</v>
      </c>
      <c r="C100" s="98" t="s">
        <v>395</v>
      </c>
      <c r="D100" s="107" t="str">
        <f>CONCATENATE("Using what measurement unit did you measure the the amount of ", 'Contextualisation form'!D15," you lost during this period?")</f>
        <v>Using what measurement unit did you measure the the amount of cocoa you lost during this period?</v>
      </c>
      <c r="E100" s="98" t="s">
        <v>365</v>
      </c>
      <c r="F100" s="98"/>
      <c r="G100" s="98"/>
      <c r="H100" s="98"/>
      <c r="I100" s="98"/>
      <c r="J100" s="98"/>
      <c r="K100" s="98" t="s">
        <v>394</v>
      </c>
      <c r="L100" s="102" t="b">
        <v>1</v>
      </c>
      <c r="M100" s="98"/>
      <c r="N100" s="98"/>
      <c r="O100" s="98"/>
      <c r="P100" s="98"/>
      <c r="Q100" s="98"/>
      <c r="R100" s="98" t="s">
        <v>350</v>
      </c>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row>
    <row r="101" ht="16.5" customHeight="1">
      <c r="A101" s="98"/>
      <c r="B101" s="98" t="s">
        <v>224</v>
      </c>
      <c r="C101" s="98" t="s">
        <v>396</v>
      </c>
      <c r="D101" s="98" t="str">
        <f>CONCATENATE("Please specify the other measurement used to measure the amount of ", 'Contextualisation form'!D15," that you lost:")</f>
        <v>Please specify the other measurement used to measure the amount of cocoa that you lost:</v>
      </c>
      <c r="E101" s="98"/>
      <c r="F101" s="98"/>
      <c r="G101" s="98"/>
      <c r="H101" s="98"/>
      <c r="I101" s="98"/>
      <c r="J101" s="98"/>
      <c r="K101" s="98" t="s">
        <v>397</v>
      </c>
      <c r="L101" s="102" t="b">
        <v>1</v>
      </c>
      <c r="M101" s="98"/>
      <c r="N101" s="98"/>
      <c r="O101" s="98"/>
      <c r="P101" s="98"/>
      <c r="Q101" s="98"/>
      <c r="R101" s="98" t="s">
        <v>350</v>
      </c>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row>
    <row r="102" ht="16.5" customHeight="1">
      <c r="A102" s="98"/>
      <c r="B102" s="98" t="s">
        <v>398</v>
      </c>
      <c r="C102" s="98" t="s">
        <v>399</v>
      </c>
      <c r="D102" s="107" t="str">
        <f>CONCATENATE("During the same season, did you keep any ", 'Contextualisation form'!D15," for use as seeds?")</f>
        <v>During the same season, did you keep any cocoa for use as seeds?</v>
      </c>
      <c r="E102" s="98"/>
      <c r="F102" s="98"/>
      <c r="G102" s="98"/>
      <c r="H102" s="98"/>
      <c r="I102" s="98"/>
      <c r="J102" s="98"/>
      <c r="K102" s="98"/>
      <c r="L102" s="102" t="b">
        <v>1</v>
      </c>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row>
    <row r="103" ht="16.5" customHeight="1">
      <c r="A103" s="98"/>
      <c r="B103" s="98" t="s">
        <v>307</v>
      </c>
      <c r="C103" s="98" t="s">
        <v>400</v>
      </c>
      <c r="D103" s="107" t="str">
        <f>CONCATENATE("During this period, how much of the ", 'Contextualisation form'!D15," did you keep to use as seeds?")</f>
        <v>During this period, how much of the cocoa did you keep to use as seeds?</v>
      </c>
      <c r="E103" s="102" t="s">
        <v>401</v>
      </c>
      <c r="F103" s="98"/>
      <c r="G103" s="98"/>
      <c r="H103" s="98"/>
      <c r="I103" s="98" t="s">
        <v>324</v>
      </c>
      <c r="J103" s="98" t="s">
        <v>325</v>
      </c>
      <c r="K103" s="98"/>
      <c r="L103" s="102" t="b">
        <v>1</v>
      </c>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row>
    <row r="104" ht="16.5" customHeight="1">
      <c r="A104" s="98"/>
      <c r="B104" s="98" t="s">
        <v>359</v>
      </c>
      <c r="C104" s="98" t="s">
        <v>402</v>
      </c>
      <c r="D104" s="107" t="str">
        <f>CONCATENATE("Using what measurement unit did you measure the the amount of ", 'Contextualisation form'!D15," you kept as seeds during this period?")</f>
        <v>Using what measurement unit did you measure the the amount of cocoa you kept as seeds during this period?</v>
      </c>
      <c r="E104" s="98" t="s">
        <v>365</v>
      </c>
      <c r="F104" s="98"/>
      <c r="G104" s="98"/>
      <c r="H104" s="98"/>
      <c r="I104" s="98"/>
      <c r="J104" s="98"/>
      <c r="K104" s="98"/>
      <c r="L104" s="102" t="b">
        <v>1</v>
      </c>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row>
    <row r="105" ht="16.5" customHeight="1">
      <c r="A105" s="98"/>
      <c r="B105" s="98" t="s">
        <v>224</v>
      </c>
      <c r="C105" s="98" t="s">
        <v>403</v>
      </c>
      <c r="D105" s="98" t="str">
        <f>CONCATENATE("Please specify the other measurement used to measure the amount of ", 'Contextualisation form'!D15," that you kept as seeds:")</f>
        <v>Please specify the other measurement used to measure the amount of cocoa that you kept as seeds:</v>
      </c>
      <c r="E105" s="98"/>
      <c r="F105" s="98"/>
      <c r="G105" s="98"/>
      <c r="H105" s="98"/>
      <c r="I105" s="98"/>
      <c r="J105" s="98"/>
      <c r="K105" s="102" t="s">
        <v>404</v>
      </c>
      <c r="L105" s="102" t="b">
        <v>1</v>
      </c>
      <c r="M105" s="98"/>
      <c r="N105" s="98"/>
      <c r="O105" s="98"/>
      <c r="P105" s="98"/>
      <c r="Q105" s="98"/>
      <c r="R105" s="98" t="s">
        <v>350</v>
      </c>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row>
    <row r="106" ht="16.5" customHeight="1">
      <c r="A106" s="102" t="s">
        <v>405</v>
      </c>
      <c r="B106" s="108" t="s">
        <v>307</v>
      </c>
      <c r="C106" s="170" t="s">
        <v>406</v>
      </c>
      <c r="D106" s="107" t="str">
        <f>CONCATENATE("During this period, how much of the ", 'Contextualisation form'!D15," that you kept did you plant?")</f>
        <v>During this period, how much of the cocoa that you kept did you plant?</v>
      </c>
      <c r="E106" s="98"/>
      <c r="F106" s="143" t="b">
        <f>if(OR('Contextualisation form'!$E$23="Focus Crop Consumption Management (4)",'Contextualisation form'!$E$24= "Focus Crop Consumption Management (4)",'Contextualisation form'!$E$25="Focus Crop Consumption Management (4)"),FALSE,TRUE)</f>
        <v>1</v>
      </c>
      <c r="G106" s="98"/>
      <c r="H106" s="98"/>
      <c r="I106" s="98"/>
      <c r="J106" s="98"/>
      <c r="K106" s="98"/>
      <c r="L106" s="102" t="b">
        <v>1</v>
      </c>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row>
    <row r="107" ht="16.5" customHeight="1">
      <c r="A107" s="102" t="s">
        <v>405</v>
      </c>
      <c r="B107" s="108" t="s">
        <v>307</v>
      </c>
      <c r="C107" s="170" t="s">
        <v>407</v>
      </c>
      <c r="D107" s="107" t="str">
        <f>CONCATENATE("During this period, how much of the ", 'Contextualisation form'!D15," that you kept, did you sell for use of seeds?")</f>
        <v>During this period, how much of the cocoa that you kept, did you sell for use of seeds?</v>
      </c>
      <c r="E107" s="98"/>
      <c r="F107" s="143" t="b">
        <f>if(OR('Contextualisation form'!$E$23="Focus Crop Consumption Management (4)",'Contextualisation form'!$E$24= "Focus Crop Consumption Management (4)",'Contextualisation form'!$E$25="Focus Crop Consumption Management (4)"),FALSE,TRUE)</f>
        <v>1</v>
      </c>
      <c r="G107" s="98"/>
      <c r="H107" s="98"/>
      <c r="I107" s="98"/>
      <c r="J107" s="98"/>
      <c r="K107" s="98"/>
      <c r="L107" s="102" t="b">
        <v>1</v>
      </c>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row>
    <row r="108" ht="16.5" customHeight="1">
      <c r="A108" s="102" t="s">
        <v>405</v>
      </c>
      <c r="B108" s="108" t="s">
        <v>307</v>
      </c>
      <c r="C108" s="170" t="s">
        <v>408</v>
      </c>
      <c r="D108" s="107" t="str">
        <f>CONCATENATE("During this period, what price did you receive for selling a unit of ", 'Contextualisation form'!D15," for use as seeds?")</f>
        <v>During this period, what price did you receive for selling a unit of cocoa for use as seeds?</v>
      </c>
      <c r="E108" s="98"/>
      <c r="F108" s="143" t="b">
        <f>if(OR('Contextualisation form'!$E$23="Focus Crop Consumption Management (4)",'Contextualisation form'!$E$24= "Focus Crop Consumption Management (4)",'Contextualisation form'!$E$25="Focus Crop Consumption Management (4)"),FALSE,TRUE)</f>
        <v>1</v>
      </c>
      <c r="G108" s="98"/>
      <c r="H108" s="98"/>
      <c r="I108" s="98"/>
      <c r="J108" s="98"/>
      <c r="K108" s="98"/>
      <c r="L108" s="102" t="b">
        <v>1</v>
      </c>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row>
    <row r="109" ht="16.5" customHeight="1">
      <c r="A109" s="161"/>
      <c r="B109" s="162" t="s">
        <v>379</v>
      </c>
      <c r="C109" s="161" t="s">
        <v>352</v>
      </c>
      <c r="D109" s="161" t="s">
        <v>353</v>
      </c>
      <c r="E109" s="161"/>
      <c r="F109" s="161"/>
      <c r="G109" s="161"/>
      <c r="H109" s="161"/>
      <c r="I109" s="161"/>
      <c r="J109" s="161"/>
      <c r="K109" s="161"/>
      <c r="L109" s="162" t="b">
        <v>1</v>
      </c>
      <c r="M109" s="161"/>
      <c r="N109" s="161"/>
      <c r="O109" s="161"/>
      <c r="P109" s="161"/>
      <c r="Q109" s="161"/>
      <c r="R109" s="161"/>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row>
    <row r="110" ht="16.5" customHeight="1">
      <c r="A110" s="104"/>
      <c r="B110" s="104" t="s">
        <v>253</v>
      </c>
      <c r="C110" s="104" t="s">
        <v>344</v>
      </c>
      <c r="D110" s="104"/>
      <c r="E110" s="104"/>
      <c r="F110" s="104"/>
      <c r="G110" s="104"/>
      <c r="H110" s="104"/>
      <c r="I110" s="104"/>
      <c r="J110" s="104"/>
      <c r="K110" s="104"/>
      <c r="L110" s="104"/>
      <c r="M110" s="104"/>
      <c r="N110" s="104"/>
      <c r="O110" s="104"/>
      <c r="P110" s="104"/>
      <c r="Q110" s="104"/>
      <c r="R110" s="104" t="s">
        <v>109</v>
      </c>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6"/>
      <c r="AO110" s="106"/>
      <c r="AP110" s="106"/>
      <c r="AQ110" s="106"/>
    </row>
    <row r="111" ht="16.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row>
    <row r="112" ht="16.5" customHeight="1">
      <c r="A112" s="144"/>
      <c r="B112" s="144" t="s">
        <v>209</v>
      </c>
      <c r="C112" s="144" t="s">
        <v>409</v>
      </c>
      <c r="D112" s="171" t="s">
        <v>410</v>
      </c>
      <c r="E112" s="146" t="s">
        <v>411</v>
      </c>
      <c r="F112" s="172" t="b">
        <f>if('Contextualisation form'!$D$15="coffee",FALSE,TRUE)</f>
        <v>1</v>
      </c>
      <c r="G112" s="146"/>
      <c r="H112" s="146" t="s">
        <v>411</v>
      </c>
      <c r="I112" s="146" t="s">
        <v>411</v>
      </c>
      <c r="J112" s="146"/>
      <c r="K112" s="144"/>
      <c r="L112" s="146" t="s">
        <v>411</v>
      </c>
      <c r="M112" s="146"/>
      <c r="N112" s="146"/>
      <c r="O112" s="146"/>
      <c r="P112" s="146"/>
      <c r="Q112" s="146"/>
      <c r="R112" s="144" t="s">
        <v>109</v>
      </c>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7"/>
      <c r="AO112" s="147"/>
      <c r="AP112" s="147"/>
      <c r="AQ112" s="147"/>
    </row>
    <row r="113" ht="16.5" customHeight="1">
      <c r="A113" s="98"/>
      <c r="B113" s="148" t="s">
        <v>384</v>
      </c>
      <c r="C113" s="148" t="s">
        <v>412</v>
      </c>
      <c r="D113" s="148" t="s">
        <v>413</v>
      </c>
      <c r="E113" s="148"/>
      <c r="F113" s="152"/>
      <c r="G113" s="148"/>
      <c r="H113" s="148"/>
      <c r="I113" s="148"/>
      <c r="J113" s="148"/>
      <c r="K113" s="148"/>
      <c r="L113" s="150" t="b">
        <v>1</v>
      </c>
      <c r="M113" s="148"/>
      <c r="N113" s="148"/>
      <c r="O113" s="148"/>
      <c r="P113" s="148"/>
      <c r="Q113" s="148"/>
      <c r="R113" s="148" t="s">
        <v>109</v>
      </c>
      <c r="S113" s="148"/>
      <c r="T113" s="148"/>
      <c r="U113" s="148"/>
      <c r="V113" s="148"/>
      <c r="W113" s="148"/>
      <c r="X113" s="148"/>
      <c r="Y113" s="148"/>
      <c r="Z113" s="148"/>
      <c r="AA113" s="148"/>
      <c r="AB113" s="148"/>
      <c r="AC113" s="148"/>
      <c r="AD113" s="148"/>
      <c r="AE113" s="148"/>
      <c r="AF113" s="148"/>
      <c r="AG113" s="148"/>
      <c r="AH113" s="148"/>
      <c r="AI113" s="148"/>
      <c r="AJ113" s="148"/>
      <c r="AK113" s="148"/>
      <c r="AL113" s="148"/>
      <c r="AM113" s="148"/>
      <c r="AN113" s="151"/>
      <c r="AO113" s="151"/>
      <c r="AP113" s="151"/>
      <c r="AQ113" s="151"/>
    </row>
    <row r="114" ht="16.5" customHeight="1">
      <c r="A114" s="98"/>
      <c r="B114" s="148" t="s">
        <v>346</v>
      </c>
      <c r="C114" s="148" t="s">
        <v>414</v>
      </c>
      <c r="D114" s="148" t="s">
        <v>415</v>
      </c>
      <c r="E114" s="148"/>
      <c r="F114" s="152"/>
      <c r="G114" s="148"/>
      <c r="H114" s="148"/>
      <c r="I114" s="148"/>
      <c r="J114" s="148"/>
      <c r="K114" s="148"/>
      <c r="L114" s="150" t="b">
        <v>1</v>
      </c>
      <c r="M114" s="148"/>
      <c r="N114" s="148"/>
      <c r="O114" s="148"/>
      <c r="P114" s="148"/>
      <c r="Q114" s="148"/>
      <c r="R114" s="148" t="s">
        <v>109</v>
      </c>
      <c r="S114" s="148"/>
      <c r="T114" s="148"/>
      <c r="U114" s="148"/>
      <c r="V114" s="148"/>
      <c r="W114" s="148"/>
      <c r="X114" s="148"/>
      <c r="Y114" s="148"/>
      <c r="Z114" s="148"/>
      <c r="AA114" s="148"/>
      <c r="AB114" s="148"/>
      <c r="AC114" s="148"/>
      <c r="AD114" s="148"/>
      <c r="AE114" s="148"/>
      <c r="AF114" s="148"/>
      <c r="AG114" s="148"/>
      <c r="AH114" s="148"/>
      <c r="AI114" s="148"/>
      <c r="AJ114" s="148"/>
      <c r="AK114" s="148"/>
      <c r="AL114" s="148"/>
      <c r="AM114" s="148"/>
      <c r="AN114" s="151"/>
      <c r="AO114" s="151"/>
      <c r="AP114" s="151"/>
      <c r="AQ114" s="151"/>
    </row>
    <row r="115" ht="16.5" customHeight="1">
      <c r="A115" s="154"/>
      <c r="B115" s="155" t="s">
        <v>177</v>
      </c>
      <c r="C115" s="155" t="s">
        <v>416</v>
      </c>
      <c r="D115" s="173" t="s">
        <v>417</v>
      </c>
      <c r="E115" s="174"/>
      <c r="F115" s="155"/>
      <c r="G115" s="174"/>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7"/>
      <c r="AO115" s="157"/>
      <c r="AP115" s="157"/>
      <c r="AQ115" s="157"/>
    </row>
    <row r="116" ht="16.5" customHeight="1">
      <c r="A116" s="175"/>
      <c r="B116" s="176" t="s">
        <v>351</v>
      </c>
      <c r="C116" s="176" t="s">
        <v>418</v>
      </c>
      <c r="D116" s="176" t="s">
        <v>353</v>
      </c>
      <c r="E116" s="176"/>
      <c r="F116" s="176"/>
      <c r="G116" s="176"/>
      <c r="H116" s="176"/>
      <c r="I116" s="176"/>
      <c r="J116" s="176"/>
      <c r="K116" s="176"/>
      <c r="L116" s="176"/>
      <c r="M116" s="176"/>
      <c r="N116" s="176" t="s">
        <v>419</v>
      </c>
      <c r="O116" s="176"/>
      <c r="P116" s="176"/>
      <c r="Q116" s="176"/>
      <c r="R116" s="176" t="s">
        <v>109</v>
      </c>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7"/>
      <c r="AO116" s="177"/>
      <c r="AP116" s="177"/>
      <c r="AQ116" s="177"/>
    </row>
    <row r="117" ht="16.5" customHeight="1">
      <c r="A117" s="166"/>
      <c r="B117" s="111" t="s">
        <v>194</v>
      </c>
      <c r="C117" s="111" t="s">
        <v>420</v>
      </c>
      <c r="D117" s="111" t="s">
        <v>421</v>
      </c>
      <c r="E117" s="111"/>
      <c r="F117" s="111"/>
      <c r="G117" s="111"/>
      <c r="H117" s="111"/>
      <c r="I117" s="111"/>
      <c r="J117" s="111"/>
      <c r="K117" s="111"/>
      <c r="L117" s="111"/>
      <c r="M117" s="178" t="s">
        <v>422</v>
      </c>
      <c r="N117" s="111"/>
      <c r="O117" s="111"/>
      <c r="P117" s="111"/>
      <c r="Q117" s="111"/>
      <c r="R117" s="111" t="s">
        <v>109</v>
      </c>
      <c r="S117" s="111"/>
      <c r="T117" s="111"/>
      <c r="U117" s="111"/>
      <c r="V117" s="111"/>
      <c r="W117" s="111"/>
      <c r="X117" s="111"/>
      <c r="Y117" s="111"/>
      <c r="Z117" s="111"/>
      <c r="AA117" s="111"/>
      <c r="AB117" s="111"/>
      <c r="AC117" s="111"/>
      <c r="AD117" s="111"/>
      <c r="AE117" s="111"/>
      <c r="AF117" s="111"/>
      <c r="AG117" s="111"/>
      <c r="AH117" s="111"/>
      <c r="AI117" s="111"/>
      <c r="AJ117" s="111"/>
      <c r="AK117" s="111"/>
      <c r="AL117" s="111"/>
      <c r="AM117" s="111"/>
      <c r="AN117" s="179"/>
      <c r="AO117" s="179"/>
      <c r="AP117" s="179"/>
      <c r="AQ117" s="179"/>
    </row>
    <row r="118" ht="16.5" customHeight="1">
      <c r="A118" s="98"/>
      <c r="B118" s="98" t="s">
        <v>423</v>
      </c>
      <c r="C118" s="148" t="s">
        <v>424</v>
      </c>
      <c r="D118" s="102" t="s">
        <v>425</v>
      </c>
      <c r="E118" s="98"/>
      <c r="F118" s="98"/>
      <c r="G118" s="98"/>
      <c r="H118" s="98"/>
      <c r="I118" s="98"/>
      <c r="J118" s="98"/>
      <c r="K118" s="98"/>
      <c r="L118" s="102" t="b">
        <v>1</v>
      </c>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row>
    <row r="119" ht="16.5" customHeight="1">
      <c r="A119" s="98"/>
      <c r="B119" s="102" t="s">
        <v>224</v>
      </c>
      <c r="C119" s="148" t="s">
        <v>426</v>
      </c>
      <c r="D119" s="180" t="s">
        <v>427</v>
      </c>
      <c r="E119" s="98"/>
      <c r="F119" s="98"/>
      <c r="G119" s="98"/>
      <c r="H119" s="98"/>
      <c r="I119" s="98"/>
      <c r="J119" s="98"/>
      <c r="K119" s="98"/>
      <c r="L119" s="102" t="b">
        <v>1</v>
      </c>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row>
    <row r="120" ht="16.5" customHeight="1">
      <c r="A120" s="98"/>
      <c r="B120" s="148" t="s">
        <v>359</v>
      </c>
      <c r="C120" s="148" t="s">
        <v>428</v>
      </c>
      <c r="D120" s="148" t="s">
        <v>429</v>
      </c>
      <c r="E120" s="148" t="s">
        <v>365</v>
      </c>
      <c r="F120" s="152"/>
      <c r="G120" s="148"/>
      <c r="H120" s="148"/>
      <c r="I120" s="148"/>
      <c r="J120" s="148"/>
      <c r="K120" s="148"/>
      <c r="L120" s="150" t="b">
        <v>1</v>
      </c>
      <c r="M120" s="148"/>
      <c r="N120" s="148"/>
      <c r="O120" s="148"/>
      <c r="P120" s="148"/>
      <c r="Q120" s="148"/>
      <c r="R120" s="148" t="s">
        <v>109</v>
      </c>
      <c r="S120" s="148"/>
      <c r="T120" s="148"/>
      <c r="U120" s="148"/>
      <c r="V120" s="148"/>
      <c r="W120" s="148"/>
      <c r="X120" s="148"/>
      <c r="Y120" s="148"/>
      <c r="Z120" s="148"/>
      <c r="AA120" s="148"/>
      <c r="AB120" s="148"/>
      <c r="AC120" s="148"/>
      <c r="AD120" s="148"/>
      <c r="AE120" s="148"/>
      <c r="AF120" s="148"/>
      <c r="AG120" s="148"/>
      <c r="AH120" s="148"/>
      <c r="AI120" s="148"/>
      <c r="AJ120" s="148"/>
      <c r="AK120" s="148"/>
      <c r="AL120" s="148"/>
      <c r="AM120" s="148"/>
      <c r="AN120" s="151"/>
      <c r="AO120" s="151"/>
      <c r="AP120" s="151"/>
      <c r="AQ120" s="151"/>
    </row>
    <row r="121" ht="16.5" customHeight="1">
      <c r="A121" s="98"/>
      <c r="B121" s="148" t="s">
        <v>224</v>
      </c>
      <c r="C121" s="148" t="s">
        <v>430</v>
      </c>
      <c r="D121" s="148" t="s">
        <v>431</v>
      </c>
      <c r="E121" s="148"/>
      <c r="F121" s="152"/>
      <c r="G121" s="148"/>
      <c r="H121" s="148"/>
      <c r="I121" s="148"/>
      <c r="J121" s="148"/>
      <c r="K121" s="148" t="s">
        <v>432</v>
      </c>
      <c r="L121" s="150" t="b">
        <v>1</v>
      </c>
      <c r="M121" s="148"/>
      <c r="N121" s="148"/>
      <c r="O121" s="148"/>
      <c r="P121" s="148"/>
      <c r="Q121" s="148"/>
      <c r="R121" s="148" t="s">
        <v>109</v>
      </c>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51"/>
      <c r="AO121" s="151"/>
      <c r="AP121" s="151"/>
      <c r="AQ121" s="151"/>
    </row>
    <row r="122" ht="16.5" customHeight="1">
      <c r="A122" s="98"/>
      <c r="B122" s="98" t="s">
        <v>264</v>
      </c>
      <c r="C122" s="169" t="s">
        <v>433</v>
      </c>
      <c r="D122" s="180" t="s">
        <v>434</v>
      </c>
      <c r="E122" s="98"/>
      <c r="F122" s="98"/>
      <c r="G122" s="98"/>
      <c r="H122" s="98"/>
      <c r="I122" s="98"/>
      <c r="J122" s="98"/>
      <c r="K122" s="102" t="s">
        <v>435</v>
      </c>
      <c r="L122" s="102" t="b">
        <v>1</v>
      </c>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row>
    <row r="123" ht="16.5" customHeight="1">
      <c r="A123" s="98"/>
      <c r="B123" s="98" t="s">
        <v>264</v>
      </c>
      <c r="C123" s="169" t="s">
        <v>436</v>
      </c>
      <c r="D123" s="180" t="s">
        <v>437</v>
      </c>
      <c r="E123" s="98"/>
      <c r="F123" s="98"/>
      <c r="G123" s="98"/>
      <c r="H123" s="98"/>
      <c r="I123" s="98"/>
      <c r="J123" s="98"/>
      <c r="K123" s="102" t="s">
        <v>438</v>
      </c>
      <c r="L123" s="102" t="b">
        <v>1</v>
      </c>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row>
    <row r="124" ht="16.5" customHeight="1">
      <c r="A124" s="98"/>
      <c r="B124" s="102" t="s">
        <v>264</v>
      </c>
      <c r="C124" s="169" t="s">
        <v>439</v>
      </c>
      <c r="D124" s="180" t="s">
        <v>440</v>
      </c>
      <c r="E124" s="98"/>
      <c r="F124" s="98"/>
      <c r="G124" s="98"/>
      <c r="H124" s="98"/>
      <c r="I124" s="98"/>
      <c r="J124" s="98"/>
      <c r="K124" s="102" t="s">
        <v>441</v>
      </c>
      <c r="L124" s="102" t="b">
        <v>1</v>
      </c>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row>
    <row r="125" ht="16.5" customHeight="1">
      <c r="A125" s="98"/>
      <c r="B125" s="148" t="s">
        <v>359</v>
      </c>
      <c r="C125" s="148" t="s">
        <v>442</v>
      </c>
      <c r="D125" s="148" t="s">
        <v>443</v>
      </c>
      <c r="E125" s="148" t="s">
        <v>365</v>
      </c>
      <c r="F125" s="152"/>
      <c r="G125" s="148"/>
      <c r="H125" s="148"/>
      <c r="I125" s="148"/>
      <c r="J125" s="148"/>
      <c r="K125" s="148"/>
      <c r="L125" s="150" t="b">
        <v>1</v>
      </c>
      <c r="M125" s="148"/>
      <c r="N125" s="148"/>
      <c r="O125" s="148"/>
      <c r="P125" s="148"/>
      <c r="Q125" s="148"/>
      <c r="R125" s="148" t="s">
        <v>109</v>
      </c>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51"/>
      <c r="AO125" s="151"/>
      <c r="AP125" s="151"/>
      <c r="AQ125" s="151"/>
    </row>
    <row r="126" ht="16.5" customHeight="1">
      <c r="A126" s="98"/>
      <c r="B126" s="148" t="s">
        <v>224</v>
      </c>
      <c r="C126" s="148" t="s">
        <v>444</v>
      </c>
      <c r="D126" s="148" t="s">
        <v>445</v>
      </c>
      <c r="E126" s="148"/>
      <c r="F126" s="152"/>
      <c r="G126" s="148"/>
      <c r="H126" s="148"/>
      <c r="I126" s="148"/>
      <c r="J126" s="148"/>
      <c r="K126" s="148" t="s">
        <v>446</v>
      </c>
      <c r="L126" s="150" t="b">
        <v>1</v>
      </c>
      <c r="M126" s="148"/>
      <c r="N126" s="148"/>
      <c r="O126" s="148"/>
      <c r="P126" s="148"/>
      <c r="Q126" s="148"/>
      <c r="R126" s="148" t="s">
        <v>109</v>
      </c>
      <c r="S126" s="148"/>
      <c r="T126" s="148"/>
      <c r="U126" s="148"/>
      <c r="V126" s="148"/>
      <c r="W126" s="148"/>
      <c r="X126" s="148"/>
      <c r="Y126" s="148"/>
      <c r="Z126" s="148"/>
      <c r="AA126" s="148"/>
      <c r="AB126" s="148"/>
      <c r="AC126" s="148"/>
      <c r="AD126" s="148"/>
      <c r="AE126" s="148"/>
      <c r="AF126" s="148"/>
      <c r="AG126" s="148"/>
      <c r="AH126" s="148"/>
      <c r="AI126" s="148"/>
      <c r="AJ126" s="148"/>
      <c r="AK126" s="148"/>
      <c r="AL126" s="148"/>
      <c r="AM126" s="148"/>
      <c r="AN126" s="151"/>
      <c r="AO126" s="151"/>
      <c r="AP126" s="151"/>
      <c r="AQ126" s="151"/>
    </row>
    <row r="127" ht="16.5" customHeight="1">
      <c r="A127" s="98"/>
      <c r="B127" s="98" t="s">
        <v>264</v>
      </c>
      <c r="C127" s="181" t="s">
        <v>447</v>
      </c>
      <c r="D127" s="180" t="s">
        <v>448</v>
      </c>
      <c r="E127" s="98"/>
      <c r="F127" s="98"/>
      <c r="G127" s="98"/>
      <c r="H127" s="98"/>
      <c r="I127" s="98"/>
      <c r="J127" s="98"/>
      <c r="K127" s="102" t="s">
        <v>435</v>
      </c>
      <c r="L127" s="102" t="b">
        <v>1</v>
      </c>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row>
    <row r="128" ht="16.5" customHeight="1">
      <c r="A128" s="98"/>
      <c r="B128" s="98" t="s">
        <v>449</v>
      </c>
      <c r="C128" s="182" t="s">
        <v>450</v>
      </c>
      <c r="D128" s="180" t="s">
        <v>451</v>
      </c>
      <c r="E128" s="98"/>
      <c r="F128" s="98"/>
      <c r="G128" s="98"/>
      <c r="H128" s="98"/>
      <c r="I128" s="98"/>
      <c r="J128" s="98"/>
      <c r="K128" s="102" t="s">
        <v>435</v>
      </c>
      <c r="L128" s="102" t="b">
        <v>1</v>
      </c>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row>
    <row r="129" ht="16.5" customHeight="1">
      <c r="A129" s="98"/>
      <c r="B129" s="98" t="s">
        <v>264</v>
      </c>
      <c r="C129" s="181" t="s">
        <v>452</v>
      </c>
      <c r="D129" s="180" t="s">
        <v>453</v>
      </c>
      <c r="E129" s="148" t="s">
        <v>381</v>
      </c>
      <c r="F129" s="98"/>
      <c r="G129" s="98"/>
      <c r="H129" s="98"/>
      <c r="I129" s="102" t="s">
        <v>382</v>
      </c>
      <c r="J129" s="102" t="s">
        <v>383</v>
      </c>
      <c r="K129" s="102" t="s">
        <v>435</v>
      </c>
      <c r="L129" s="102" t="b">
        <v>1</v>
      </c>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row>
    <row r="130" ht="16.5" customHeight="1">
      <c r="A130" s="98"/>
      <c r="B130" s="98" t="s">
        <v>264</v>
      </c>
      <c r="C130" s="181" t="s">
        <v>454</v>
      </c>
      <c r="D130" s="180" t="s">
        <v>455</v>
      </c>
      <c r="E130" s="98"/>
      <c r="F130" s="98"/>
      <c r="G130" s="98"/>
      <c r="H130" s="98"/>
      <c r="I130" s="98"/>
      <c r="J130" s="98"/>
      <c r="K130" s="102" t="s">
        <v>438</v>
      </c>
      <c r="L130" s="102" t="b">
        <v>1</v>
      </c>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row>
    <row r="131" ht="16.5" customHeight="1">
      <c r="A131" s="98"/>
      <c r="B131" s="98" t="s">
        <v>449</v>
      </c>
      <c r="C131" s="182" t="s">
        <v>456</v>
      </c>
      <c r="D131" s="180" t="s">
        <v>457</v>
      </c>
      <c r="E131" s="98"/>
      <c r="F131" s="98"/>
      <c r="G131" s="98"/>
      <c r="H131" s="98"/>
      <c r="I131" s="98"/>
      <c r="J131" s="98"/>
      <c r="K131" s="102" t="s">
        <v>438</v>
      </c>
      <c r="L131" s="102" t="b">
        <v>1</v>
      </c>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row>
    <row r="132" ht="16.5" customHeight="1">
      <c r="A132" s="98"/>
      <c r="B132" s="98" t="s">
        <v>264</v>
      </c>
      <c r="C132" s="181" t="s">
        <v>458</v>
      </c>
      <c r="D132" s="180" t="s">
        <v>459</v>
      </c>
      <c r="E132" s="148" t="s">
        <v>381</v>
      </c>
      <c r="F132" s="98"/>
      <c r="G132" s="98"/>
      <c r="H132" s="98"/>
      <c r="I132" s="102" t="s">
        <v>382</v>
      </c>
      <c r="J132" s="102" t="s">
        <v>383</v>
      </c>
      <c r="K132" s="102" t="s">
        <v>438</v>
      </c>
      <c r="L132" s="102" t="b">
        <v>1</v>
      </c>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row>
    <row r="133" ht="16.5" customHeight="1">
      <c r="A133" s="98"/>
      <c r="B133" s="98" t="s">
        <v>264</v>
      </c>
      <c r="C133" s="181" t="s">
        <v>460</v>
      </c>
      <c r="D133" s="180" t="s">
        <v>461</v>
      </c>
      <c r="E133" s="98"/>
      <c r="F133" s="98"/>
      <c r="G133" s="98"/>
      <c r="H133" s="98"/>
      <c r="I133" s="98"/>
      <c r="J133" s="98"/>
      <c r="K133" s="102" t="s">
        <v>441</v>
      </c>
      <c r="L133" s="102" t="b">
        <v>1</v>
      </c>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row>
    <row r="134" ht="16.5" customHeight="1">
      <c r="A134" s="98"/>
      <c r="B134" s="98" t="s">
        <v>449</v>
      </c>
      <c r="C134" s="182" t="s">
        <v>462</v>
      </c>
      <c r="D134" s="180" t="s">
        <v>463</v>
      </c>
      <c r="E134" s="98"/>
      <c r="F134" s="98"/>
      <c r="G134" s="98"/>
      <c r="H134" s="98"/>
      <c r="I134" s="98"/>
      <c r="J134" s="98"/>
      <c r="K134" s="102" t="s">
        <v>441</v>
      </c>
      <c r="L134" s="102" t="b">
        <v>1</v>
      </c>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row>
    <row r="135" ht="16.5" customHeight="1">
      <c r="A135" s="98"/>
      <c r="B135" s="98" t="s">
        <v>264</v>
      </c>
      <c r="C135" s="181" t="s">
        <v>464</v>
      </c>
      <c r="D135" s="180" t="s">
        <v>465</v>
      </c>
      <c r="E135" s="148" t="s">
        <v>381</v>
      </c>
      <c r="F135" s="98"/>
      <c r="G135" s="98"/>
      <c r="H135" s="98"/>
      <c r="I135" s="102" t="s">
        <v>382</v>
      </c>
      <c r="J135" s="102" t="s">
        <v>383</v>
      </c>
      <c r="K135" s="102" t="s">
        <v>441</v>
      </c>
      <c r="L135" s="102" t="b">
        <v>1</v>
      </c>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row>
    <row r="136" ht="16.5" customHeight="1">
      <c r="A136" s="98"/>
      <c r="B136" s="158" t="s">
        <v>466</v>
      </c>
      <c r="C136" s="148" t="s">
        <v>467</v>
      </c>
      <c r="D136" s="148" t="s">
        <v>468</v>
      </c>
      <c r="E136" s="148"/>
      <c r="F136" s="152"/>
      <c r="G136" s="148"/>
      <c r="H136" s="148"/>
      <c r="I136" s="148"/>
      <c r="J136" s="148"/>
      <c r="K136" s="148"/>
      <c r="L136" s="150" t="b">
        <v>1</v>
      </c>
      <c r="M136" s="148"/>
      <c r="N136" s="148"/>
      <c r="O136" s="148"/>
      <c r="P136" s="148"/>
      <c r="Q136" s="148"/>
      <c r="R136" s="148" t="s">
        <v>109</v>
      </c>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51"/>
      <c r="AO136" s="151"/>
      <c r="AP136" s="151"/>
      <c r="AQ136" s="151"/>
    </row>
    <row r="137" ht="16.5" customHeight="1">
      <c r="A137" s="98"/>
      <c r="B137" s="148" t="s">
        <v>224</v>
      </c>
      <c r="C137" s="148" t="s">
        <v>469</v>
      </c>
      <c r="D137" s="158" t="s">
        <v>470</v>
      </c>
      <c r="E137" s="148"/>
      <c r="F137" s="152"/>
      <c r="G137" s="148"/>
      <c r="H137" s="148"/>
      <c r="I137" s="148"/>
      <c r="J137" s="148"/>
      <c r="K137" s="148" t="s">
        <v>471</v>
      </c>
      <c r="L137" s="150" t="b">
        <v>1</v>
      </c>
      <c r="M137" s="148"/>
      <c r="N137" s="148"/>
      <c r="O137" s="148"/>
      <c r="P137" s="148"/>
      <c r="Q137" s="148"/>
      <c r="R137" s="148" t="s">
        <v>109</v>
      </c>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51"/>
      <c r="AO137" s="151"/>
      <c r="AP137" s="151"/>
      <c r="AQ137" s="151"/>
    </row>
    <row r="138" ht="16.5" customHeight="1">
      <c r="A138" s="98"/>
      <c r="B138" s="148" t="s">
        <v>391</v>
      </c>
      <c r="C138" s="148" t="s">
        <v>472</v>
      </c>
      <c r="D138" s="158" t="s">
        <v>473</v>
      </c>
      <c r="E138" s="148"/>
      <c r="F138" s="152"/>
      <c r="G138" s="148"/>
      <c r="H138" s="148"/>
      <c r="I138" s="148"/>
      <c r="J138" s="148"/>
      <c r="K138" s="148"/>
      <c r="L138" s="150" t="b">
        <v>1</v>
      </c>
      <c r="M138" s="148"/>
      <c r="N138" s="148"/>
      <c r="O138" s="148"/>
      <c r="P138" s="148"/>
      <c r="Q138" s="148"/>
      <c r="R138" s="148" t="s">
        <v>109</v>
      </c>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51"/>
      <c r="AO138" s="151"/>
      <c r="AP138" s="151"/>
      <c r="AQ138" s="151"/>
    </row>
    <row r="139" ht="16.5" customHeight="1">
      <c r="A139" s="98"/>
      <c r="B139" s="148" t="s">
        <v>359</v>
      </c>
      <c r="C139" s="148" t="s">
        <v>474</v>
      </c>
      <c r="D139" s="148" t="s">
        <v>475</v>
      </c>
      <c r="E139" s="148" t="s">
        <v>365</v>
      </c>
      <c r="F139" s="152"/>
      <c r="G139" s="148"/>
      <c r="H139" s="148"/>
      <c r="I139" s="148"/>
      <c r="J139" s="148"/>
      <c r="K139" s="148" t="s">
        <v>476</v>
      </c>
      <c r="L139" s="150" t="b">
        <v>1</v>
      </c>
      <c r="M139" s="148"/>
      <c r="N139" s="148"/>
      <c r="O139" s="148"/>
      <c r="P139" s="148"/>
      <c r="Q139" s="148"/>
      <c r="R139" s="148" t="s">
        <v>109</v>
      </c>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51"/>
      <c r="AO139" s="151"/>
      <c r="AP139" s="151"/>
      <c r="AQ139" s="151"/>
    </row>
    <row r="140" ht="16.5" customHeight="1">
      <c r="A140" s="98"/>
      <c r="B140" s="148" t="s">
        <v>224</v>
      </c>
      <c r="C140" s="148" t="s">
        <v>477</v>
      </c>
      <c r="D140" s="148" t="s">
        <v>478</v>
      </c>
      <c r="E140" s="148"/>
      <c r="F140" s="152"/>
      <c r="G140" s="148"/>
      <c r="H140" s="148"/>
      <c r="I140" s="148"/>
      <c r="J140" s="148"/>
      <c r="K140" s="148" t="s">
        <v>479</v>
      </c>
      <c r="L140" s="150" t="b">
        <v>1</v>
      </c>
      <c r="M140" s="148"/>
      <c r="N140" s="148"/>
      <c r="O140" s="148"/>
      <c r="P140" s="148"/>
      <c r="Q140" s="148"/>
      <c r="R140" s="148" t="s">
        <v>109</v>
      </c>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51"/>
      <c r="AO140" s="151"/>
      <c r="AP140" s="151"/>
      <c r="AQ140" s="151"/>
    </row>
    <row r="141" ht="16.5" customHeight="1">
      <c r="A141" s="98"/>
      <c r="B141" s="98" t="s">
        <v>264</v>
      </c>
      <c r="C141" s="159" t="s">
        <v>480</v>
      </c>
      <c r="D141" s="180" t="s">
        <v>481</v>
      </c>
      <c r="E141" s="98"/>
      <c r="F141" s="98"/>
      <c r="G141" s="98"/>
      <c r="H141" s="98"/>
      <c r="I141" s="98"/>
      <c r="J141" s="98"/>
      <c r="K141" s="102" t="s">
        <v>482</v>
      </c>
      <c r="L141" s="102" t="b">
        <v>1</v>
      </c>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row>
    <row r="142" ht="16.5" customHeight="1">
      <c r="A142" s="98"/>
      <c r="B142" s="98" t="s">
        <v>264</v>
      </c>
      <c r="C142" s="159" t="s">
        <v>483</v>
      </c>
      <c r="D142" s="180" t="s">
        <v>484</v>
      </c>
      <c r="E142" s="98"/>
      <c r="F142" s="98"/>
      <c r="G142" s="98"/>
      <c r="H142" s="98"/>
      <c r="I142" s="98"/>
      <c r="J142" s="98"/>
      <c r="K142" s="102" t="s">
        <v>485</v>
      </c>
      <c r="L142" s="102" t="b">
        <v>1</v>
      </c>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row>
    <row r="143" ht="16.5" customHeight="1">
      <c r="A143" s="98"/>
      <c r="B143" s="98" t="s">
        <v>264</v>
      </c>
      <c r="C143" s="159" t="s">
        <v>486</v>
      </c>
      <c r="D143" s="180" t="s">
        <v>487</v>
      </c>
      <c r="E143" s="98"/>
      <c r="F143" s="98"/>
      <c r="G143" s="98"/>
      <c r="H143" s="98"/>
      <c r="I143" s="98"/>
      <c r="J143" s="98"/>
      <c r="K143" s="102" t="s">
        <v>488</v>
      </c>
      <c r="L143" s="102" t="b">
        <v>1</v>
      </c>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row>
    <row r="144" ht="16.5" customHeight="1">
      <c r="A144" s="175"/>
      <c r="B144" s="176" t="s">
        <v>379</v>
      </c>
      <c r="C144" s="176" t="s">
        <v>418</v>
      </c>
      <c r="D144" s="176" t="s">
        <v>353</v>
      </c>
      <c r="E144" s="176"/>
      <c r="F144" s="176"/>
      <c r="G144" s="176"/>
      <c r="H144" s="176"/>
      <c r="I144" s="176"/>
      <c r="J144" s="176"/>
      <c r="K144" s="176"/>
      <c r="L144" s="176"/>
      <c r="M144" s="176"/>
      <c r="N144" s="176"/>
      <c r="O144" s="176"/>
      <c r="P144" s="176"/>
      <c r="Q144" s="176"/>
      <c r="R144" s="176" t="s">
        <v>109</v>
      </c>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7"/>
      <c r="AO144" s="177"/>
      <c r="AP144" s="177"/>
      <c r="AQ144" s="177"/>
    </row>
    <row r="145" ht="16.5" customHeight="1">
      <c r="A145" s="144"/>
      <c r="B145" s="144" t="s">
        <v>253</v>
      </c>
      <c r="C145" s="144" t="s">
        <v>409</v>
      </c>
      <c r="D145" s="146" t="s">
        <v>411</v>
      </c>
      <c r="E145" s="146" t="s">
        <v>411</v>
      </c>
      <c r="F145" s="172" t="b">
        <f>if('Contextualisation form'!$D$15="coffee",FALSE,TRUE)</f>
        <v>1</v>
      </c>
      <c r="G145" s="146"/>
      <c r="H145" s="146" t="s">
        <v>411</v>
      </c>
      <c r="I145" s="146" t="s">
        <v>411</v>
      </c>
      <c r="J145" s="146"/>
      <c r="K145" s="146" t="s">
        <v>411</v>
      </c>
      <c r="L145" s="146" t="s">
        <v>411</v>
      </c>
      <c r="M145" s="146"/>
      <c r="N145" s="146"/>
      <c r="O145" s="146"/>
      <c r="P145" s="146"/>
      <c r="Q145" s="146"/>
      <c r="R145" s="144" t="s">
        <v>109</v>
      </c>
      <c r="S145" s="146"/>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7"/>
      <c r="AO145" s="147"/>
      <c r="AP145" s="147"/>
      <c r="AQ145" s="147"/>
    </row>
    <row r="146" ht="16.5" customHeight="1">
      <c r="A146" s="98"/>
      <c r="B146" s="152"/>
      <c r="C146" s="152"/>
      <c r="D146" s="149"/>
      <c r="E146" s="149"/>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1"/>
      <c r="AO146" s="151"/>
      <c r="AP146" s="151"/>
      <c r="AQ146" s="151"/>
    </row>
    <row r="147" ht="16.5" customHeight="1">
      <c r="A147" s="98"/>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2"/>
      <c r="AL147" s="152"/>
      <c r="AM147" s="152"/>
      <c r="AN147" s="151"/>
      <c r="AO147" s="151"/>
      <c r="AP147" s="151"/>
      <c r="AQ147" s="151"/>
    </row>
    <row r="148" ht="16.5" customHeight="1">
      <c r="A148" s="144"/>
      <c r="B148" s="144" t="s">
        <v>209</v>
      </c>
      <c r="C148" s="144" t="s">
        <v>489</v>
      </c>
      <c r="D148" s="171" t="s">
        <v>490</v>
      </c>
      <c r="E148" s="146" t="s">
        <v>411</v>
      </c>
      <c r="F148" s="172" t="b">
        <f>if('Contextualisation form'!$D$15="cocoa",FALSE,TRUE)</f>
        <v>0</v>
      </c>
      <c r="G148" s="146"/>
      <c r="H148" s="146" t="s">
        <v>411</v>
      </c>
      <c r="I148" s="146" t="s">
        <v>411</v>
      </c>
      <c r="J148" s="146"/>
      <c r="K148" s="144"/>
      <c r="L148" s="146" t="s">
        <v>411</v>
      </c>
      <c r="M148" s="146"/>
      <c r="N148" s="146"/>
      <c r="O148" s="146"/>
      <c r="P148" s="146"/>
      <c r="Q148" s="146"/>
      <c r="R148" s="144" t="s">
        <v>105</v>
      </c>
      <c r="S148" s="146"/>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7"/>
      <c r="AO148" s="147"/>
      <c r="AP148" s="147"/>
      <c r="AQ148" s="147"/>
    </row>
    <row r="149" ht="16.5" customHeight="1">
      <c r="A149" s="98"/>
      <c r="B149" s="148" t="s">
        <v>384</v>
      </c>
      <c r="C149" s="148" t="s">
        <v>491</v>
      </c>
      <c r="D149" s="148" t="s">
        <v>492</v>
      </c>
      <c r="E149" s="148"/>
      <c r="F149" s="152"/>
      <c r="G149" s="148"/>
      <c r="H149" s="148"/>
      <c r="I149" s="148"/>
      <c r="J149" s="148"/>
      <c r="K149" s="148"/>
      <c r="L149" s="150" t="b">
        <v>1</v>
      </c>
      <c r="M149" s="148"/>
      <c r="N149" s="148"/>
      <c r="O149" s="148"/>
      <c r="P149" s="148"/>
      <c r="Q149" s="148"/>
      <c r="R149" s="148" t="s">
        <v>105</v>
      </c>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51"/>
      <c r="AO149" s="151"/>
      <c r="AP149" s="151"/>
      <c r="AQ149" s="151"/>
    </row>
    <row r="150" ht="16.5" customHeight="1">
      <c r="A150" s="98"/>
      <c r="B150" s="148" t="s">
        <v>346</v>
      </c>
      <c r="C150" s="148" t="s">
        <v>493</v>
      </c>
      <c r="D150" s="148" t="s">
        <v>494</v>
      </c>
      <c r="E150" s="148"/>
      <c r="F150" s="152"/>
      <c r="G150" s="148"/>
      <c r="H150" s="148"/>
      <c r="I150" s="148"/>
      <c r="J150" s="148"/>
      <c r="K150" s="148"/>
      <c r="L150" s="150" t="b">
        <v>1</v>
      </c>
      <c r="M150" s="148"/>
      <c r="N150" s="148"/>
      <c r="O150" s="148"/>
      <c r="P150" s="148"/>
      <c r="Q150" s="148"/>
      <c r="R150" s="148" t="s">
        <v>105</v>
      </c>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51"/>
      <c r="AO150" s="151"/>
      <c r="AP150" s="151"/>
      <c r="AQ150" s="151"/>
    </row>
    <row r="151" ht="16.5" customHeight="1">
      <c r="A151" s="154"/>
      <c r="B151" s="155" t="s">
        <v>177</v>
      </c>
      <c r="C151" s="155" t="s">
        <v>495</v>
      </c>
      <c r="D151" s="173" t="s">
        <v>417</v>
      </c>
      <c r="E151" s="174"/>
      <c r="F151" s="155"/>
      <c r="G151" s="174"/>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7"/>
      <c r="AO151" s="157"/>
      <c r="AP151" s="157"/>
      <c r="AQ151" s="157"/>
    </row>
    <row r="152" ht="16.5" customHeight="1">
      <c r="A152" s="175"/>
      <c r="B152" s="176" t="s">
        <v>351</v>
      </c>
      <c r="C152" s="176" t="s">
        <v>496</v>
      </c>
      <c r="D152" s="176" t="s">
        <v>353</v>
      </c>
      <c r="E152" s="176"/>
      <c r="F152" s="176"/>
      <c r="G152" s="176"/>
      <c r="H152" s="176"/>
      <c r="I152" s="176"/>
      <c r="J152" s="176"/>
      <c r="K152" s="176"/>
      <c r="L152" s="176"/>
      <c r="M152" s="176"/>
      <c r="N152" s="176" t="s">
        <v>497</v>
      </c>
      <c r="O152" s="176"/>
      <c r="P152" s="176"/>
      <c r="Q152" s="176"/>
      <c r="R152" s="176" t="s">
        <v>105</v>
      </c>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7"/>
      <c r="AO152" s="177"/>
      <c r="AP152" s="177"/>
      <c r="AQ152" s="177"/>
    </row>
    <row r="153" ht="16.5" customHeight="1">
      <c r="A153" s="166"/>
      <c r="B153" s="111" t="s">
        <v>194</v>
      </c>
      <c r="C153" s="111" t="s">
        <v>498</v>
      </c>
      <c r="D153" s="111" t="s">
        <v>499</v>
      </c>
      <c r="E153" s="111"/>
      <c r="F153" s="111"/>
      <c r="G153" s="111"/>
      <c r="H153" s="111"/>
      <c r="I153" s="111"/>
      <c r="J153" s="111"/>
      <c r="K153" s="111"/>
      <c r="L153" s="111"/>
      <c r="M153" s="178" t="s">
        <v>500</v>
      </c>
      <c r="N153" s="111"/>
      <c r="O153" s="111"/>
      <c r="P153" s="111"/>
      <c r="Q153" s="111"/>
      <c r="R153" s="111" t="s">
        <v>105</v>
      </c>
      <c r="S153" s="111"/>
      <c r="T153" s="111"/>
      <c r="U153" s="111"/>
      <c r="V153" s="111"/>
      <c r="W153" s="111"/>
      <c r="X153" s="111"/>
      <c r="Y153" s="111"/>
      <c r="Z153" s="111"/>
      <c r="AA153" s="111"/>
      <c r="AB153" s="111"/>
      <c r="AC153" s="111"/>
      <c r="AD153" s="111"/>
      <c r="AE153" s="111"/>
      <c r="AF153" s="111"/>
      <c r="AG153" s="111"/>
      <c r="AH153" s="111"/>
      <c r="AI153" s="111"/>
      <c r="AJ153" s="111"/>
      <c r="AK153" s="111"/>
      <c r="AL153" s="111"/>
      <c r="AM153" s="111"/>
      <c r="AN153" s="179"/>
      <c r="AO153" s="179"/>
      <c r="AP153" s="179"/>
      <c r="AQ153" s="179"/>
    </row>
    <row r="154" ht="16.5" customHeight="1">
      <c r="A154" s="98"/>
      <c r="B154" s="148" t="s">
        <v>264</v>
      </c>
      <c r="C154" s="148" t="s">
        <v>501</v>
      </c>
      <c r="D154" s="148" t="s">
        <v>502</v>
      </c>
      <c r="E154" s="148"/>
      <c r="F154" s="152"/>
      <c r="G154" s="148"/>
      <c r="H154" s="148"/>
      <c r="I154" s="148" t="s">
        <v>324</v>
      </c>
      <c r="J154" s="148" t="s">
        <v>325</v>
      </c>
      <c r="K154" s="148"/>
      <c r="L154" s="150" t="b">
        <v>1</v>
      </c>
      <c r="M154" s="148"/>
      <c r="N154" s="148"/>
      <c r="O154" s="148"/>
      <c r="P154" s="148"/>
      <c r="Q154" s="148"/>
      <c r="R154" s="148" t="s">
        <v>105</v>
      </c>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51"/>
      <c r="AO154" s="151"/>
      <c r="AP154" s="151"/>
      <c r="AQ154" s="151"/>
    </row>
    <row r="155" ht="16.5" customHeight="1">
      <c r="A155" s="98"/>
      <c r="B155" s="148" t="s">
        <v>359</v>
      </c>
      <c r="C155" s="148" t="s">
        <v>503</v>
      </c>
      <c r="D155" s="148" t="s">
        <v>504</v>
      </c>
      <c r="E155" s="148" t="s">
        <v>365</v>
      </c>
      <c r="F155" s="152"/>
      <c r="G155" s="148"/>
      <c r="H155" s="148"/>
      <c r="I155" s="148"/>
      <c r="J155" s="148"/>
      <c r="K155" s="148"/>
      <c r="L155" s="150" t="b">
        <v>1</v>
      </c>
      <c r="M155" s="148"/>
      <c r="N155" s="148"/>
      <c r="O155" s="148"/>
      <c r="P155" s="148"/>
      <c r="Q155" s="148"/>
      <c r="R155" s="148" t="s">
        <v>105</v>
      </c>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51"/>
      <c r="AO155" s="151"/>
      <c r="AP155" s="151"/>
      <c r="AQ155" s="151"/>
    </row>
    <row r="156" ht="16.5" customHeight="1">
      <c r="A156" s="98"/>
      <c r="B156" s="148" t="s">
        <v>224</v>
      </c>
      <c r="C156" s="148" t="s">
        <v>505</v>
      </c>
      <c r="D156" s="148" t="s">
        <v>506</v>
      </c>
      <c r="E156" s="148"/>
      <c r="F156" s="152"/>
      <c r="G156" s="148"/>
      <c r="H156" s="148"/>
      <c r="I156" s="148"/>
      <c r="J156" s="148"/>
      <c r="K156" s="148" t="s">
        <v>507</v>
      </c>
      <c r="L156" s="150" t="b">
        <v>1</v>
      </c>
      <c r="M156" s="148"/>
      <c r="N156" s="148"/>
      <c r="O156" s="148"/>
      <c r="P156" s="148"/>
      <c r="Q156" s="148"/>
      <c r="R156" s="148" t="s">
        <v>105</v>
      </c>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51"/>
      <c r="AO156" s="151"/>
      <c r="AP156" s="151"/>
      <c r="AQ156" s="151"/>
    </row>
    <row r="157" ht="16.5" customHeight="1">
      <c r="A157" s="98"/>
      <c r="B157" s="148" t="s">
        <v>264</v>
      </c>
      <c r="C157" s="148" t="s">
        <v>508</v>
      </c>
      <c r="D157" s="148" t="s">
        <v>509</v>
      </c>
      <c r="E157" s="148"/>
      <c r="F157" s="152"/>
      <c r="G157" s="148"/>
      <c r="H157" s="148"/>
      <c r="I157" s="148" t="s">
        <v>324</v>
      </c>
      <c r="J157" s="148" t="s">
        <v>325</v>
      </c>
      <c r="K157" s="148"/>
      <c r="L157" s="150" t="b">
        <v>1</v>
      </c>
      <c r="M157" s="148"/>
      <c r="N157" s="148"/>
      <c r="O157" s="148"/>
      <c r="P157" s="148"/>
      <c r="Q157" s="148"/>
      <c r="R157" s="148" t="s">
        <v>105</v>
      </c>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51"/>
      <c r="AO157" s="151"/>
      <c r="AP157" s="151"/>
      <c r="AQ157" s="151"/>
    </row>
    <row r="158" ht="16.5" customHeight="1">
      <c r="A158" s="98"/>
      <c r="B158" s="148" t="s">
        <v>359</v>
      </c>
      <c r="C158" s="148" t="s">
        <v>510</v>
      </c>
      <c r="D158" s="148" t="s">
        <v>511</v>
      </c>
      <c r="E158" s="148" t="s">
        <v>365</v>
      </c>
      <c r="F158" s="152"/>
      <c r="G158" s="148"/>
      <c r="H158" s="148"/>
      <c r="I158" s="148"/>
      <c r="J158" s="148"/>
      <c r="K158" s="148"/>
      <c r="L158" s="150" t="b">
        <v>1</v>
      </c>
      <c r="M158" s="148"/>
      <c r="N158" s="148"/>
      <c r="O158" s="148"/>
      <c r="P158" s="148"/>
      <c r="Q158" s="148"/>
      <c r="R158" s="148" t="s">
        <v>105</v>
      </c>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51"/>
      <c r="AO158" s="151"/>
      <c r="AP158" s="151"/>
      <c r="AQ158" s="151"/>
    </row>
    <row r="159" ht="16.5" customHeight="1">
      <c r="A159" s="98"/>
      <c r="B159" s="148" t="s">
        <v>224</v>
      </c>
      <c r="C159" s="148" t="s">
        <v>512</v>
      </c>
      <c r="D159" s="148" t="s">
        <v>513</v>
      </c>
      <c r="E159" s="148"/>
      <c r="F159" s="152"/>
      <c r="G159" s="148"/>
      <c r="H159" s="148"/>
      <c r="I159" s="148"/>
      <c r="J159" s="148"/>
      <c r="K159" s="148" t="s">
        <v>514</v>
      </c>
      <c r="L159" s="150" t="b">
        <v>1</v>
      </c>
      <c r="M159" s="148"/>
      <c r="N159" s="148"/>
      <c r="O159" s="148"/>
      <c r="P159" s="148"/>
      <c r="Q159" s="148"/>
      <c r="R159" s="148" t="s">
        <v>105</v>
      </c>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51"/>
      <c r="AO159" s="151"/>
      <c r="AP159" s="151"/>
      <c r="AQ159" s="151"/>
    </row>
    <row r="160" ht="16.5" customHeight="1">
      <c r="A160" s="98"/>
      <c r="B160" s="148" t="s">
        <v>264</v>
      </c>
      <c r="C160" s="148" t="s">
        <v>515</v>
      </c>
      <c r="D160" s="153" t="s">
        <v>516</v>
      </c>
      <c r="E160" s="148" t="s">
        <v>517</v>
      </c>
      <c r="F160" s="152"/>
      <c r="G160" s="148"/>
      <c r="H160" s="148"/>
      <c r="I160" s="148" t="s">
        <v>324</v>
      </c>
      <c r="J160" s="148" t="s">
        <v>325</v>
      </c>
      <c r="K160" s="148"/>
      <c r="L160" s="150" t="b">
        <v>1</v>
      </c>
      <c r="M160" s="148"/>
      <c r="N160" s="148"/>
      <c r="O160" s="148"/>
      <c r="P160" s="148"/>
      <c r="Q160" s="148"/>
      <c r="R160" s="148" t="s">
        <v>105</v>
      </c>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51"/>
      <c r="AO160" s="151"/>
      <c r="AP160" s="151"/>
      <c r="AQ160" s="151"/>
    </row>
    <row r="161" ht="16.5" customHeight="1">
      <c r="A161" s="98"/>
      <c r="B161" s="148" t="s">
        <v>264</v>
      </c>
      <c r="C161" s="148" t="s">
        <v>518</v>
      </c>
      <c r="D161" s="153" t="s">
        <v>519</v>
      </c>
      <c r="E161" s="148" t="s">
        <v>520</v>
      </c>
      <c r="F161" s="152"/>
      <c r="G161" s="148"/>
      <c r="H161" s="148"/>
      <c r="I161" s="148" t="s">
        <v>324</v>
      </c>
      <c r="J161" s="148" t="s">
        <v>325</v>
      </c>
      <c r="K161" s="148"/>
      <c r="L161" s="150" t="b">
        <v>1</v>
      </c>
      <c r="M161" s="148"/>
      <c r="N161" s="148"/>
      <c r="O161" s="148"/>
      <c r="P161" s="148"/>
      <c r="Q161" s="148"/>
      <c r="R161" s="148" t="s">
        <v>105</v>
      </c>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51"/>
      <c r="AO161" s="151"/>
      <c r="AP161" s="151"/>
      <c r="AQ161" s="151"/>
    </row>
    <row r="162" ht="16.5" customHeight="1">
      <c r="A162" s="98"/>
      <c r="B162" s="148" t="s">
        <v>359</v>
      </c>
      <c r="C162" s="148" t="s">
        <v>521</v>
      </c>
      <c r="D162" s="153" t="s">
        <v>522</v>
      </c>
      <c r="E162" s="148" t="s">
        <v>365</v>
      </c>
      <c r="F162" s="152"/>
      <c r="G162" s="148"/>
      <c r="H162" s="148"/>
      <c r="I162" s="148"/>
      <c r="J162" s="148"/>
      <c r="K162" s="148"/>
      <c r="L162" s="150" t="b">
        <v>1</v>
      </c>
      <c r="M162" s="148"/>
      <c r="N162" s="148"/>
      <c r="O162" s="148"/>
      <c r="P162" s="148"/>
      <c r="Q162" s="148"/>
      <c r="R162" s="148" t="s">
        <v>105</v>
      </c>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51"/>
      <c r="AO162" s="151"/>
      <c r="AP162" s="151"/>
      <c r="AQ162" s="151"/>
    </row>
    <row r="163" ht="16.5" customHeight="1">
      <c r="A163" s="98"/>
      <c r="B163" s="148" t="s">
        <v>224</v>
      </c>
      <c r="C163" s="148" t="s">
        <v>523</v>
      </c>
      <c r="D163" s="153" t="s">
        <v>513</v>
      </c>
      <c r="E163" s="148"/>
      <c r="F163" s="152"/>
      <c r="G163" s="148"/>
      <c r="H163" s="148"/>
      <c r="I163" s="148"/>
      <c r="J163" s="148"/>
      <c r="K163" s="148" t="s">
        <v>524</v>
      </c>
      <c r="L163" s="150" t="b">
        <v>1</v>
      </c>
      <c r="M163" s="148"/>
      <c r="N163" s="148"/>
      <c r="O163" s="148"/>
      <c r="P163" s="148"/>
      <c r="Q163" s="148"/>
      <c r="R163" s="148" t="s">
        <v>105</v>
      </c>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51"/>
      <c r="AO163" s="151"/>
      <c r="AP163" s="151"/>
      <c r="AQ163" s="151"/>
    </row>
    <row r="164" ht="16.5" customHeight="1">
      <c r="A164" s="98"/>
      <c r="B164" s="148" t="s">
        <v>264</v>
      </c>
      <c r="C164" s="148" t="s">
        <v>525</v>
      </c>
      <c r="D164" s="153" t="s">
        <v>526</v>
      </c>
      <c r="E164" s="148" t="s">
        <v>517</v>
      </c>
      <c r="F164" s="152"/>
      <c r="G164" s="148"/>
      <c r="H164" s="148"/>
      <c r="I164" s="148"/>
      <c r="J164" s="148"/>
      <c r="K164" s="148"/>
      <c r="L164" s="150" t="b">
        <v>1</v>
      </c>
      <c r="M164" s="148"/>
      <c r="N164" s="148"/>
      <c r="O164" s="148"/>
      <c r="P164" s="148"/>
      <c r="Q164" s="148"/>
      <c r="R164" s="148" t="s">
        <v>105</v>
      </c>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51"/>
      <c r="AO164" s="151"/>
      <c r="AP164" s="151"/>
      <c r="AQ164" s="151"/>
    </row>
    <row r="165" ht="16.5" customHeight="1">
      <c r="A165" s="98"/>
      <c r="B165" s="148" t="s">
        <v>527</v>
      </c>
      <c r="C165" s="148" t="s">
        <v>528</v>
      </c>
      <c r="D165" s="153" t="s">
        <v>468</v>
      </c>
      <c r="E165" s="148"/>
      <c r="F165" s="152"/>
      <c r="G165" s="148"/>
      <c r="H165" s="148"/>
      <c r="I165" s="148"/>
      <c r="J165" s="148"/>
      <c r="K165" s="148"/>
      <c r="L165" s="150" t="b">
        <v>1</v>
      </c>
      <c r="M165" s="148"/>
      <c r="N165" s="148"/>
      <c r="O165" s="148"/>
      <c r="P165" s="148"/>
      <c r="Q165" s="148"/>
      <c r="R165" s="148" t="s">
        <v>105</v>
      </c>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51"/>
      <c r="AO165" s="151"/>
      <c r="AP165" s="151"/>
      <c r="AQ165" s="151"/>
    </row>
    <row r="166" ht="16.5" customHeight="1">
      <c r="A166" s="98"/>
      <c r="B166" s="148" t="s">
        <v>224</v>
      </c>
      <c r="C166" s="148" t="s">
        <v>529</v>
      </c>
      <c r="D166" s="153" t="s">
        <v>530</v>
      </c>
      <c r="E166" s="148"/>
      <c r="F166" s="152"/>
      <c r="G166" s="148"/>
      <c r="H166" s="148"/>
      <c r="I166" s="148"/>
      <c r="J166" s="148"/>
      <c r="K166" s="148" t="s">
        <v>531</v>
      </c>
      <c r="L166" s="150" t="b">
        <v>1</v>
      </c>
      <c r="M166" s="148"/>
      <c r="N166" s="148"/>
      <c r="O166" s="148"/>
      <c r="P166" s="148"/>
      <c r="Q166" s="148"/>
      <c r="R166" s="148" t="s">
        <v>105</v>
      </c>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51"/>
      <c r="AO166" s="151"/>
      <c r="AP166" s="151"/>
      <c r="AQ166" s="151"/>
    </row>
    <row r="167" ht="16.5" customHeight="1">
      <c r="A167" s="98"/>
      <c r="B167" s="148" t="s">
        <v>391</v>
      </c>
      <c r="C167" s="148" t="s">
        <v>532</v>
      </c>
      <c r="D167" s="153" t="s">
        <v>533</v>
      </c>
      <c r="E167" s="148"/>
      <c r="F167" s="152"/>
      <c r="G167" s="148"/>
      <c r="H167" s="148"/>
      <c r="I167" s="148"/>
      <c r="J167" s="148"/>
      <c r="K167" s="148"/>
      <c r="L167" s="150" t="b">
        <v>1</v>
      </c>
      <c r="M167" s="148"/>
      <c r="N167" s="148"/>
      <c r="O167" s="148"/>
      <c r="P167" s="148"/>
      <c r="Q167" s="148"/>
      <c r="R167" s="148" t="s">
        <v>105</v>
      </c>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51"/>
      <c r="AO167" s="151"/>
      <c r="AP167" s="151"/>
      <c r="AQ167" s="151"/>
    </row>
    <row r="168" ht="16.5" customHeight="1">
      <c r="A168" s="98"/>
      <c r="B168" s="158" t="s">
        <v>235</v>
      </c>
      <c r="C168" s="148" t="s">
        <v>534</v>
      </c>
      <c r="D168" s="153" t="s">
        <v>535</v>
      </c>
      <c r="E168" s="148"/>
      <c r="F168" s="152"/>
      <c r="G168" s="148"/>
      <c r="H168" s="148"/>
      <c r="I168" s="148" t="s">
        <v>324</v>
      </c>
      <c r="J168" s="148" t="s">
        <v>325</v>
      </c>
      <c r="K168" s="148" t="s">
        <v>536</v>
      </c>
      <c r="L168" s="150" t="b">
        <v>1</v>
      </c>
      <c r="M168" s="148"/>
      <c r="N168" s="148"/>
      <c r="O168" s="148"/>
      <c r="P168" s="148"/>
      <c r="Q168" s="148"/>
      <c r="R168" s="148" t="s">
        <v>105</v>
      </c>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51"/>
      <c r="AO168" s="151"/>
      <c r="AP168" s="151"/>
      <c r="AQ168" s="151"/>
    </row>
    <row r="169" ht="16.5" customHeight="1">
      <c r="A169" s="98"/>
      <c r="B169" s="148" t="s">
        <v>359</v>
      </c>
      <c r="C169" s="148" t="s">
        <v>537</v>
      </c>
      <c r="D169" s="153" t="s">
        <v>538</v>
      </c>
      <c r="E169" s="148" t="s">
        <v>365</v>
      </c>
      <c r="F169" s="152"/>
      <c r="G169" s="148"/>
      <c r="H169" s="148"/>
      <c r="I169" s="148"/>
      <c r="J169" s="148"/>
      <c r="K169" s="148" t="s">
        <v>536</v>
      </c>
      <c r="L169" s="150" t="b">
        <v>1</v>
      </c>
      <c r="M169" s="148"/>
      <c r="N169" s="148"/>
      <c r="O169" s="148"/>
      <c r="P169" s="148"/>
      <c r="Q169" s="148"/>
      <c r="R169" s="148" t="s">
        <v>105</v>
      </c>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51"/>
      <c r="AO169" s="151"/>
      <c r="AP169" s="151"/>
      <c r="AQ169" s="151"/>
    </row>
    <row r="170" ht="16.5" customHeight="1">
      <c r="A170" s="98"/>
      <c r="B170" s="148" t="s">
        <v>224</v>
      </c>
      <c r="C170" s="148" t="s">
        <v>539</v>
      </c>
      <c r="D170" s="153" t="s">
        <v>540</v>
      </c>
      <c r="E170" s="148"/>
      <c r="F170" s="152"/>
      <c r="G170" s="148"/>
      <c r="H170" s="148"/>
      <c r="I170" s="148"/>
      <c r="J170" s="148"/>
      <c r="K170" s="148" t="s">
        <v>541</v>
      </c>
      <c r="L170" s="150" t="b">
        <v>1</v>
      </c>
      <c r="M170" s="148"/>
      <c r="N170" s="148"/>
      <c r="O170" s="148"/>
      <c r="P170" s="148"/>
      <c r="Q170" s="148"/>
      <c r="R170" s="148" t="s">
        <v>105</v>
      </c>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51"/>
      <c r="AO170" s="151"/>
      <c r="AP170" s="151"/>
      <c r="AQ170" s="151"/>
    </row>
    <row r="171" ht="16.5" customHeight="1">
      <c r="A171" s="175"/>
      <c r="B171" s="176" t="s">
        <v>379</v>
      </c>
      <c r="C171" s="176" t="s">
        <v>496</v>
      </c>
      <c r="D171" s="183" t="s">
        <v>353</v>
      </c>
      <c r="E171" s="176"/>
      <c r="F171" s="176"/>
      <c r="G171" s="176"/>
      <c r="H171" s="176"/>
      <c r="I171" s="176"/>
      <c r="J171" s="176"/>
      <c r="K171" s="176"/>
      <c r="L171" s="176"/>
      <c r="M171" s="176"/>
      <c r="N171" s="176"/>
      <c r="O171" s="176"/>
      <c r="P171" s="176"/>
      <c r="Q171" s="176"/>
      <c r="R171" s="176" t="s">
        <v>105</v>
      </c>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7"/>
      <c r="AO171" s="177"/>
      <c r="AP171" s="177"/>
      <c r="AQ171" s="177"/>
    </row>
    <row r="172" ht="16.5" customHeight="1">
      <c r="A172" s="144"/>
      <c r="B172" s="144" t="s">
        <v>253</v>
      </c>
      <c r="C172" s="144" t="s">
        <v>489</v>
      </c>
      <c r="D172" s="146" t="s">
        <v>411</v>
      </c>
      <c r="E172" s="146" t="s">
        <v>411</v>
      </c>
      <c r="F172" s="172" t="b">
        <f>if('Contextualisation form'!$D$15="cocoa",FALSE,TRUE)</f>
        <v>0</v>
      </c>
      <c r="G172" s="146"/>
      <c r="H172" s="146" t="s">
        <v>411</v>
      </c>
      <c r="I172" s="146" t="s">
        <v>411</v>
      </c>
      <c r="J172" s="146"/>
      <c r="K172" s="146" t="s">
        <v>411</v>
      </c>
      <c r="L172" s="146" t="s">
        <v>411</v>
      </c>
      <c r="M172" s="146"/>
      <c r="N172" s="146"/>
      <c r="O172" s="146"/>
      <c r="P172" s="146"/>
      <c r="Q172" s="146"/>
      <c r="R172" s="144" t="s">
        <v>105</v>
      </c>
      <c r="S172" s="146"/>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7"/>
      <c r="AO172" s="147"/>
      <c r="AP172" s="147"/>
      <c r="AQ172" s="147"/>
    </row>
    <row r="173" ht="16.5" customHeight="1">
      <c r="A173" s="98"/>
      <c r="B173" s="152"/>
      <c r="C173" s="152"/>
      <c r="D173" s="149"/>
      <c r="E173" s="149"/>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M173" s="152"/>
      <c r="AN173" s="151"/>
      <c r="AO173" s="151"/>
      <c r="AP173" s="151"/>
      <c r="AQ173" s="151"/>
    </row>
    <row r="174" ht="16.5" customHeight="1">
      <c r="A174" s="184"/>
      <c r="B174" s="184" t="s">
        <v>209</v>
      </c>
      <c r="C174" s="105" t="s">
        <v>542</v>
      </c>
      <c r="D174" s="184" t="s">
        <v>543</v>
      </c>
      <c r="E174" s="184"/>
      <c r="F174" s="184"/>
      <c r="G174" s="184"/>
      <c r="H174" s="184"/>
      <c r="I174" s="184"/>
      <c r="J174" s="184"/>
      <c r="K174" s="105" t="b">
        <v>0</v>
      </c>
      <c r="L174" s="184"/>
      <c r="M174" s="184"/>
      <c r="N174" s="184"/>
      <c r="O174" s="184"/>
      <c r="P174" s="184"/>
      <c r="Q174" s="184"/>
      <c r="R174" s="184" t="s">
        <v>109</v>
      </c>
      <c r="S174" s="184"/>
      <c r="T174" s="184"/>
      <c r="U174" s="184"/>
      <c r="V174" s="184"/>
      <c r="W174" s="184"/>
      <c r="X174" s="184"/>
      <c r="Y174" s="184"/>
      <c r="Z174" s="184"/>
      <c r="AA174" s="184"/>
      <c r="AB174" s="184"/>
      <c r="AC174" s="184"/>
      <c r="AD174" s="184"/>
      <c r="AE174" s="184"/>
      <c r="AF174" s="184"/>
      <c r="AG174" s="184"/>
      <c r="AH174" s="184"/>
      <c r="AI174" s="184"/>
      <c r="AJ174" s="184"/>
      <c r="AK174" s="184"/>
      <c r="AL174" s="184"/>
      <c r="AM174" s="184"/>
      <c r="AN174" s="185"/>
      <c r="AO174" s="185"/>
      <c r="AP174" s="185"/>
      <c r="AQ174" s="185"/>
    </row>
    <row r="175" ht="16.5" customHeight="1">
      <c r="A175" s="98"/>
      <c r="B175" s="186" t="s">
        <v>544</v>
      </c>
      <c r="C175" s="169" t="s">
        <v>545</v>
      </c>
      <c r="D175" s="107" t="str">
        <f>CONCATENATE("How would you describe the production level of your ", 'Contextualisation form'!D15," in the past 12 months? I'll read you some statements.")</f>
        <v>How would you describe the production level of your cocoa in the past 12 months? I'll read you some statements.</v>
      </c>
      <c r="E175" s="98"/>
      <c r="F175" s="98"/>
      <c r="G175" s="98"/>
      <c r="H175" s="98"/>
      <c r="I175" s="98"/>
      <c r="J175" s="98"/>
      <c r="K175" s="98"/>
      <c r="L175" s="102" t="b">
        <v>1</v>
      </c>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row>
    <row r="176" ht="16.5" customHeight="1">
      <c r="A176" s="98"/>
      <c r="B176" s="186" t="s">
        <v>546</v>
      </c>
      <c r="C176" s="169" t="s">
        <v>547</v>
      </c>
      <c r="D176" s="141" t="str">
        <f>CONCATENATE("How would you describe your ", 'Contextualisation form'!D15," production level in the previous year? What is a year with high, low, or standard production levels? Please indicate.")</f>
        <v>How would you describe your cocoa production level in the previous year? What is a year with high, low, or standard production levels? Please indicate.</v>
      </c>
      <c r="E176" s="98"/>
      <c r="F176" s="98"/>
      <c r="G176" s="98"/>
      <c r="H176" s="98"/>
      <c r="I176" s="98"/>
      <c r="J176" s="98"/>
      <c r="K176" s="98"/>
      <c r="L176" s="102" t="b">
        <v>1</v>
      </c>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row>
    <row r="177" ht="16.5" customHeight="1">
      <c r="A177" s="98"/>
      <c r="B177" s="98" t="s">
        <v>264</v>
      </c>
      <c r="C177" s="169" t="s">
        <v>548</v>
      </c>
      <c r="D177" s="127" t="str">
        <f>concatenate("How much  ", 'Contextualisation form'!D15," did you produce in the previous year? Approximate in kg")</f>
        <v>How much  cocoa did you produce in the previous year? Approximate in kg</v>
      </c>
      <c r="E177" s="98"/>
      <c r="F177" s="98"/>
      <c r="G177" s="98"/>
      <c r="H177" s="98"/>
      <c r="I177" s="98"/>
      <c r="J177" s="98"/>
      <c r="K177" s="98"/>
      <c r="L177" s="102" t="b">
        <v>1</v>
      </c>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row>
    <row r="178" ht="16.5" customHeight="1">
      <c r="A178" s="98"/>
      <c r="B178" s="186" t="s">
        <v>544</v>
      </c>
      <c r="C178" s="169" t="s">
        <v>549</v>
      </c>
      <c r="D178" s="141" t="str">
        <f>CONCATENATE("How would you describe your ", 'Contextualisation form'!D15," production level two years ago? What is a year with high, low, or standard production levels? Please indicate.")</f>
        <v>How would you describe your cocoa production level two years ago? What is a year with high, low, or standard production levels? Please indicate.</v>
      </c>
      <c r="E178" s="98"/>
      <c r="F178" s="98"/>
      <c r="G178" s="98"/>
      <c r="H178" s="98"/>
      <c r="I178" s="98"/>
      <c r="J178" s="98"/>
      <c r="K178" s="98"/>
      <c r="L178" s="102" t="b">
        <v>1</v>
      </c>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row>
    <row r="179" ht="16.5" customHeight="1">
      <c r="A179" s="98"/>
      <c r="B179" s="98" t="s">
        <v>264</v>
      </c>
      <c r="C179" s="169" t="s">
        <v>550</v>
      </c>
      <c r="D179" s="107" t="str">
        <f>CONCATENATE("How much ", 'Contextualisation form'!D15," did you produce two years ago? Approximate in kg")</f>
        <v>How much cocoa did you produce two years ago? Approximate in kg</v>
      </c>
      <c r="E179" s="98"/>
      <c r="F179" s="98"/>
      <c r="G179" s="98"/>
      <c r="H179" s="98"/>
      <c r="I179" s="98"/>
      <c r="J179" s="98"/>
      <c r="K179" s="98"/>
      <c r="L179" s="102" t="b">
        <v>1</v>
      </c>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row>
    <row r="180" ht="16.5" customHeight="1">
      <c r="A180" s="98"/>
      <c r="B180" s="186" t="s">
        <v>544</v>
      </c>
      <c r="C180" s="169" t="s">
        <v>551</v>
      </c>
      <c r="D180" s="141" t="str">
        <f>CONCATENATE("How would you describe your ", 'Contextualisation form'!D15," production level three years ago? What is a year with high, low, or standard production levels? Please indicate.")</f>
        <v>How would you describe your cocoa production level three years ago? What is a year with high, low, or standard production levels? Please indicate.</v>
      </c>
      <c r="E180" s="98"/>
      <c r="F180" s="98"/>
      <c r="G180" s="98"/>
      <c r="H180" s="98"/>
      <c r="I180" s="98"/>
      <c r="J180" s="98"/>
      <c r="K180" s="98"/>
      <c r="L180" s="102" t="b">
        <v>1</v>
      </c>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row>
    <row r="181" ht="16.5" customHeight="1">
      <c r="A181" s="98"/>
      <c r="B181" s="98" t="s">
        <v>264</v>
      </c>
      <c r="C181" s="169" t="s">
        <v>552</v>
      </c>
      <c r="D181" s="107" t="str">
        <f>CONCATENATE("How much ", 'Contextualisation form'!D15," did you produce three years ago? Approximate in kg")</f>
        <v>How much cocoa did you produce three years ago? Approximate in kg</v>
      </c>
      <c r="E181" s="98"/>
      <c r="F181" s="98"/>
      <c r="G181" s="98"/>
      <c r="H181" s="98"/>
      <c r="I181" s="98"/>
      <c r="J181" s="98"/>
      <c r="K181" s="98"/>
      <c r="L181" s="102" t="b">
        <v>1</v>
      </c>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row>
    <row r="182" ht="16.5" customHeight="1">
      <c r="A182" s="184"/>
      <c r="B182" s="184" t="s">
        <v>253</v>
      </c>
      <c r="C182" s="105" t="s">
        <v>542</v>
      </c>
      <c r="D182" s="184"/>
      <c r="E182" s="184"/>
      <c r="F182" s="184"/>
      <c r="G182" s="184"/>
      <c r="H182" s="184"/>
      <c r="I182" s="184"/>
      <c r="J182" s="184"/>
      <c r="K182" s="184"/>
      <c r="L182" s="184"/>
      <c r="M182" s="184"/>
      <c r="N182" s="184"/>
      <c r="O182" s="184"/>
      <c r="P182" s="184"/>
      <c r="Q182" s="184"/>
      <c r="R182" s="184" t="s">
        <v>109</v>
      </c>
      <c r="S182" s="184"/>
      <c r="T182" s="184"/>
      <c r="U182" s="184"/>
      <c r="V182" s="184"/>
      <c r="W182" s="184"/>
      <c r="X182" s="184"/>
      <c r="Y182" s="184"/>
      <c r="Z182" s="184"/>
      <c r="AA182" s="184"/>
      <c r="AB182" s="184"/>
      <c r="AC182" s="184"/>
      <c r="AD182" s="184"/>
      <c r="AE182" s="184"/>
      <c r="AF182" s="184"/>
      <c r="AG182" s="184"/>
      <c r="AH182" s="184"/>
      <c r="AI182" s="184"/>
      <c r="AJ182" s="184"/>
      <c r="AK182" s="184"/>
      <c r="AL182" s="184"/>
      <c r="AM182" s="184"/>
      <c r="AN182" s="185"/>
      <c r="AO182" s="185"/>
      <c r="AP182" s="185"/>
      <c r="AQ182" s="185"/>
    </row>
    <row r="183" ht="16.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row>
    <row r="184" ht="16.5" customHeight="1">
      <c r="A184" s="104"/>
      <c r="B184" s="104" t="s">
        <v>209</v>
      </c>
      <c r="C184" s="105" t="s">
        <v>553</v>
      </c>
      <c r="D184" s="105" t="s">
        <v>554</v>
      </c>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6"/>
      <c r="AO184" s="106"/>
      <c r="AP184" s="106"/>
      <c r="AQ184" s="106"/>
    </row>
    <row r="185" ht="16.5" customHeight="1">
      <c r="A185" s="98"/>
      <c r="B185" s="98" t="s">
        <v>527</v>
      </c>
      <c r="C185" s="98" t="s">
        <v>555</v>
      </c>
      <c r="D185" s="107" t="str">
        <f>CONCATENATE("Who do you sell your ", 'Contextualisation form'!D15," to?") </f>
        <v>Who do you sell your cocoa to?</v>
      </c>
      <c r="E185" s="98"/>
      <c r="F185" s="98"/>
      <c r="G185" s="98"/>
      <c r="H185" s="98"/>
      <c r="I185" s="98"/>
      <c r="J185" s="98"/>
      <c r="K185" s="98"/>
      <c r="L185" s="102" t="b">
        <v>1</v>
      </c>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row>
    <row r="186" ht="16.5" customHeight="1">
      <c r="A186" s="98"/>
      <c r="B186" s="98" t="s">
        <v>556</v>
      </c>
      <c r="C186" s="98" t="s">
        <v>557</v>
      </c>
      <c r="D186" s="107" t="str">
        <f>CONCATENATE("Do you have a contract to sell the ", 'Contextualisation form'!D15,"?")</f>
        <v>Do you have a contract to sell the cocoa?</v>
      </c>
      <c r="E186" s="98"/>
      <c r="F186" s="98"/>
      <c r="G186" s="98"/>
      <c r="H186" s="98"/>
      <c r="I186" s="98"/>
      <c r="J186" s="98"/>
      <c r="K186" s="98"/>
      <c r="L186" s="102" t="b">
        <v>1</v>
      </c>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row>
    <row r="187" ht="16.5" customHeight="1">
      <c r="A187" s="98"/>
      <c r="B187" s="98" t="s">
        <v>264</v>
      </c>
      <c r="C187" s="107" t="s">
        <v>558</v>
      </c>
      <c r="D187" s="107" t="s">
        <v>559</v>
      </c>
      <c r="E187" s="98"/>
      <c r="F187" s="98"/>
      <c r="G187" s="98"/>
      <c r="H187" s="98"/>
      <c r="I187" s="98"/>
      <c r="J187" s="98"/>
      <c r="K187" s="98"/>
      <c r="L187" s="102" t="b">
        <v>1</v>
      </c>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row>
    <row r="188" ht="16.5" customHeight="1">
      <c r="A188" s="104"/>
      <c r="B188" s="104" t="s">
        <v>253</v>
      </c>
      <c r="C188" s="105" t="s">
        <v>553</v>
      </c>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6"/>
      <c r="AO188" s="106"/>
      <c r="AP188" s="106"/>
      <c r="AQ188" s="106"/>
    </row>
    <row r="189" ht="18.0"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row>
    <row r="190" ht="16.5" customHeight="1">
      <c r="A190" s="187"/>
      <c r="B190" s="188" t="s">
        <v>209</v>
      </c>
      <c r="C190" s="189" t="s">
        <v>560</v>
      </c>
      <c r="D190" s="189" t="s">
        <v>561</v>
      </c>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c r="AA190" s="188"/>
      <c r="AB190" s="188"/>
      <c r="AC190" s="188"/>
      <c r="AD190" s="188"/>
      <c r="AE190" s="188"/>
      <c r="AF190" s="188"/>
      <c r="AG190" s="188"/>
      <c r="AH190" s="188"/>
      <c r="AI190" s="188"/>
      <c r="AJ190" s="188"/>
      <c r="AK190" s="188"/>
      <c r="AL190" s="188"/>
      <c r="AM190" s="188"/>
      <c r="AN190" s="188"/>
      <c r="AO190" s="187"/>
      <c r="AP190" s="187"/>
      <c r="AQ190" s="187"/>
    </row>
    <row r="191" ht="16.5" customHeight="1">
      <c r="A191" s="190"/>
      <c r="B191" s="191" t="s">
        <v>209</v>
      </c>
      <c r="C191" s="192" t="s">
        <v>562</v>
      </c>
      <c r="D191" s="192" t="s">
        <v>563</v>
      </c>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0"/>
      <c r="AP191" s="190"/>
      <c r="AQ191" s="190"/>
    </row>
    <row r="192" ht="18.0" customHeight="1">
      <c r="A192" s="98"/>
      <c r="B192" s="98" t="s">
        <v>564</v>
      </c>
      <c r="C192" s="98" t="s">
        <v>565</v>
      </c>
      <c r="D192" s="142" t="str">
        <f>CONCATENATE("What expenses do you have for producing ", 'Contextualisation form'!D15,"? I'll read you a list")</f>
        <v>What expenses do you have for producing cocoa? I'll read you a list</v>
      </c>
      <c r="E192" s="98"/>
      <c r="F192" s="98"/>
      <c r="G192" s="98"/>
      <c r="H192" s="98"/>
      <c r="I192" s="98"/>
      <c r="J192" s="98"/>
      <c r="K192" s="98"/>
      <c r="L192" s="102" t="b">
        <v>1</v>
      </c>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row>
    <row r="193" ht="18.0" customHeight="1">
      <c r="A193" s="98"/>
      <c r="B193" s="98" t="s">
        <v>566</v>
      </c>
      <c r="C193" s="98" t="s">
        <v>567</v>
      </c>
      <c r="D193" s="107" t="str">
        <f>CONCATENATE("How do you determine the production costs for ", 'Contextualisation form'!D15,"?")</f>
        <v>How do you determine the production costs for cocoa?</v>
      </c>
      <c r="E193" s="98"/>
      <c r="F193" s="98"/>
      <c r="G193" s="98"/>
      <c r="H193" s="98"/>
      <c r="I193" s="98"/>
      <c r="J193" s="98"/>
      <c r="K193" s="98"/>
      <c r="L193" s="102" t="b">
        <v>1</v>
      </c>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row>
    <row r="194" ht="18.0" customHeight="1">
      <c r="A194" s="98"/>
      <c r="B194" s="102" t="s">
        <v>224</v>
      </c>
      <c r="C194" s="102" t="s">
        <v>568</v>
      </c>
      <c r="D194" s="142" t="str">
        <f>CONCATENATE("Please specify the other way to determine production cost for ", 'Contextualisation form'!D15,":")</f>
        <v>Please specify the other way to determine production cost for cocoa:</v>
      </c>
      <c r="E194" s="98"/>
      <c r="F194" s="98"/>
      <c r="G194" s="98"/>
      <c r="H194" s="98"/>
      <c r="I194" s="98"/>
      <c r="J194" s="98"/>
      <c r="K194" s="102" t="s">
        <v>569</v>
      </c>
      <c r="L194" s="102" t="b">
        <v>1</v>
      </c>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row>
    <row r="195" ht="18.0" customHeight="1">
      <c r="A195" s="98"/>
      <c r="B195" s="98" t="s">
        <v>307</v>
      </c>
      <c r="C195" s="98" t="s">
        <v>570</v>
      </c>
      <c r="D195" s="141" t="str">
        <f>CONCATENATE("Approximately, how much did you spend in total during the main season season on these expenses for growing ", 'Contextualisation form'!D15,"?")</f>
        <v>Approximately, how much did you spend in total during the main season season on these expenses for growing cocoa?</v>
      </c>
      <c r="E195" s="98"/>
      <c r="F195" s="98"/>
      <c r="G195" s="98"/>
      <c r="H195" s="98"/>
      <c r="I195" s="98"/>
      <c r="J195" s="98"/>
      <c r="K195" s="98"/>
      <c r="L195" s="102" t="b">
        <v>1</v>
      </c>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row>
    <row r="196" ht="18.0" customHeight="1">
      <c r="A196" s="98"/>
      <c r="B196" s="98" t="s">
        <v>564</v>
      </c>
      <c r="C196" s="98" t="s">
        <v>571</v>
      </c>
      <c r="D196" s="107" t="s">
        <v>572</v>
      </c>
      <c r="E196" s="98"/>
      <c r="F196" s="98"/>
      <c r="G196" s="98"/>
      <c r="H196" s="98"/>
      <c r="I196" s="98"/>
      <c r="J196" s="98"/>
      <c r="K196" s="102" t="s">
        <v>573</v>
      </c>
      <c r="L196" s="102" t="b">
        <v>1</v>
      </c>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row>
    <row r="197" ht="18.0" customHeight="1">
      <c r="A197" s="98"/>
      <c r="B197" s="98" t="s">
        <v>564</v>
      </c>
      <c r="C197" s="98" t="s">
        <v>574</v>
      </c>
      <c r="D197" s="107" t="s">
        <v>575</v>
      </c>
      <c r="E197" s="98"/>
      <c r="F197" s="98"/>
      <c r="G197" s="98"/>
      <c r="H197" s="98"/>
      <c r="I197" s="98"/>
      <c r="J197" s="98"/>
      <c r="K197" s="102" t="s">
        <v>576</v>
      </c>
      <c r="L197" s="102" t="b">
        <v>1</v>
      </c>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row>
    <row r="198" ht="16.5" customHeight="1">
      <c r="A198" s="191"/>
      <c r="B198" s="191" t="s">
        <v>253</v>
      </c>
      <c r="C198" s="192" t="s">
        <v>562</v>
      </c>
      <c r="D198" s="191"/>
      <c r="E198" s="191"/>
      <c r="F198" s="191"/>
      <c r="G198" s="191"/>
      <c r="H198" s="191"/>
      <c r="I198" s="191"/>
      <c r="J198" s="191"/>
      <c r="K198" s="191"/>
      <c r="L198" s="191"/>
      <c r="M198" s="191"/>
      <c r="N198" s="191"/>
      <c r="O198" s="191"/>
      <c r="P198" s="191"/>
      <c r="Q198" s="191"/>
      <c r="R198" s="191" t="s">
        <v>109</v>
      </c>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0"/>
      <c r="AO198" s="190"/>
      <c r="AP198" s="190"/>
      <c r="AQ198" s="190"/>
    </row>
    <row r="199" ht="18.0"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row>
    <row r="200" ht="18.0" customHeight="1">
      <c r="A200" s="193"/>
      <c r="B200" s="193" t="s">
        <v>209</v>
      </c>
      <c r="C200" s="192" t="s">
        <v>577</v>
      </c>
      <c r="D200" s="192" t="s">
        <v>578</v>
      </c>
      <c r="E200" s="193"/>
      <c r="F200" s="193"/>
      <c r="G200" s="193"/>
      <c r="H200" s="193"/>
      <c r="I200" s="193"/>
      <c r="J200" s="193"/>
      <c r="K200" s="193"/>
      <c r="L200" s="193"/>
      <c r="M200" s="193"/>
      <c r="N200" s="193"/>
      <c r="O200" s="193"/>
      <c r="P200" s="193"/>
      <c r="Q200" s="193"/>
      <c r="R200" s="193" t="s">
        <v>109</v>
      </c>
      <c r="S200" s="193"/>
      <c r="T200" s="193"/>
      <c r="U200" s="193"/>
      <c r="V200" s="193"/>
      <c r="W200" s="193"/>
      <c r="X200" s="193"/>
      <c r="Y200" s="193"/>
      <c r="Z200" s="193"/>
      <c r="AA200" s="193"/>
      <c r="AB200" s="193"/>
      <c r="AC200" s="193"/>
      <c r="AD200" s="193"/>
      <c r="AE200" s="193"/>
      <c r="AF200" s="193"/>
      <c r="AG200" s="193"/>
      <c r="AH200" s="193"/>
      <c r="AI200" s="193"/>
      <c r="AJ200" s="193"/>
      <c r="AK200" s="193"/>
      <c r="AL200" s="193"/>
      <c r="AM200" s="193"/>
      <c r="AN200" s="163"/>
      <c r="AO200" s="163"/>
      <c r="AP200" s="163"/>
      <c r="AQ200" s="163"/>
    </row>
    <row r="201" ht="18.0" customHeight="1">
      <c r="A201" s="108"/>
      <c r="B201" s="194" t="s">
        <v>346</v>
      </c>
      <c r="C201" s="180" t="s">
        <v>579</v>
      </c>
      <c r="D201" s="141" t="str">
        <f>CONCATENATE("We will now ask you a couple of questions about the input use of the ", 'Contextualisation form'!D15,". Please indicate for which seasons you want to report the input use and costs")</f>
        <v>We will now ask you a couple of questions about the input use of the cocoa. Please indicate for which seasons you want to report the input use and costs</v>
      </c>
      <c r="E201" s="108"/>
      <c r="F201" s="108"/>
      <c r="G201" s="108"/>
      <c r="H201" s="108"/>
      <c r="I201" s="108"/>
      <c r="J201" s="108"/>
      <c r="K201" s="108"/>
      <c r="L201" s="180" t="b">
        <v>1</v>
      </c>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c r="AM201" s="108"/>
      <c r="AN201" s="108"/>
      <c r="AO201" s="108"/>
      <c r="AP201" s="108"/>
      <c r="AQ201" s="108"/>
    </row>
    <row r="202" ht="18.0" customHeight="1">
      <c r="A202" s="195"/>
      <c r="B202" s="196" t="s">
        <v>177</v>
      </c>
      <c r="C202" s="196" t="s">
        <v>580</v>
      </c>
      <c r="D202" s="196" t="s">
        <v>349</v>
      </c>
      <c r="E202" s="195"/>
      <c r="F202" s="195"/>
      <c r="G202" s="195"/>
      <c r="H202" s="195"/>
      <c r="I202" s="195"/>
      <c r="J202" s="195"/>
      <c r="K202" s="195"/>
      <c r="L202" s="196"/>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row>
    <row r="203" ht="18.0" customHeight="1">
      <c r="A203" s="195"/>
      <c r="B203" s="196" t="s">
        <v>351</v>
      </c>
      <c r="C203" s="196" t="s">
        <v>581</v>
      </c>
      <c r="D203" s="197"/>
      <c r="E203" s="195"/>
      <c r="F203" s="195"/>
      <c r="G203" s="195"/>
      <c r="H203" s="195"/>
      <c r="I203" s="195"/>
      <c r="J203" s="195"/>
      <c r="K203" s="195"/>
      <c r="L203" s="196"/>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row>
    <row r="204" ht="18.0" customHeight="1">
      <c r="A204" s="108"/>
      <c r="B204" s="180" t="s">
        <v>582</v>
      </c>
      <c r="C204" s="142" t="s">
        <v>583</v>
      </c>
      <c r="D204" s="142" t="str">
        <f>concatenate("In this period, did you use on any of the following farm inputs or supplies to take care of the ",'Contextualisation form'!D15,"? I'll read you a list")</f>
        <v>In this period, did you use on any of the following farm inputs or supplies to take care of the cocoa? I'll read you a list</v>
      </c>
      <c r="E204" s="108"/>
      <c r="F204" s="108"/>
      <c r="G204" s="108"/>
      <c r="H204" s="108"/>
      <c r="I204" s="108"/>
      <c r="J204" s="108"/>
      <c r="K204" s="180"/>
      <c r="L204" s="180"/>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c r="AL204" s="108"/>
      <c r="AM204" s="108"/>
      <c r="AN204" s="108"/>
      <c r="AO204" s="108"/>
      <c r="AP204" s="108"/>
      <c r="AQ204" s="108"/>
    </row>
    <row r="205" ht="18.0" customHeight="1">
      <c r="A205" s="108"/>
      <c r="B205" s="108" t="s">
        <v>264</v>
      </c>
      <c r="C205" s="141" t="s">
        <v>584</v>
      </c>
      <c r="D205" s="142" t="s">
        <v>585</v>
      </c>
      <c r="E205" s="108"/>
      <c r="F205" s="108"/>
      <c r="G205" s="108"/>
      <c r="H205" s="108"/>
      <c r="I205" s="108"/>
      <c r="J205" s="108"/>
      <c r="K205" s="180" t="s">
        <v>586</v>
      </c>
      <c r="L205" s="180" t="b">
        <v>1</v>
      </c>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c r="AN205" s="108"/>
      <c r="AO205" s="108"/>
      <c r="AP205" s="108"/>
      <c r="AQ205" s="108"/>
    </row>
    <row r="206" ht="18.0" customHeight="1">
      <c r="A206" s="108"/>
      <c r="B206" s="108" t="s">
        <v>587</v>
      </c>
      <c r="C206" s="198" t="s">
        <v>588</v>
      </c>
      <c r="D206" s="141" t="str">
        <f>CONCATENATE("What type of seed did you plant for ", 'Contextualisation form'!D15," production this season?")</f>
        <v>What type of seed did you plant for cocoa production this season?</v>
      </c>
      <c r="E206" s="108"/>
      <c r="F206" s="108"/>
      <c r="G206" s="108"/>
      <c r="H206" s="108"/>
      <c r="I206" s="108"/>
      <c r="J206" s="108"/>
      <c r="K206" s="108"/>
      <c r="L206" s="180" t="b">
        <v>1</v>
      </c>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row>
    <row r="207" ht="18.0" customHeight="1">
      <c r="A207" s="108"/>
      <c r="B207" s="108" t="s">
        <v>264</v>
      </c>
      <c r="C207" s="108" t="s">
        <v>589</v>
      </c>
      <c r="D207" s="141" t="s">
        <v>590</v>
      </c>
      <c r="E207" s="108"/>
      <c r="F207" s="108"/>
      <c r="G207" s="108"/>
      <c r="H207" s="108"/>
      <c r="I207" s="108"/>
      <c r="J207" s="108"/>
      <c r="K207" s="180" t="s">
        <v>591</v>
      </c>
      <c r="L207" s="180" t="b">
        <v>1</v>
      </c>
      <c r="M207" s="108"/>
      <c r="N207" s="108"/>
      <c r="O207" s="108"/>
      <c r="P207" s="108"/>
      <c r="Q207" s="108"/>
      <c r="R207" s="108"/>
      <c r="S207" s="108"/>
      <c r="T207" s="108"/>
      <c r="U207" s="108"/>
      <c r="V207" s="108"/>
      <c r="W207" s="108"/>
      <c r="X207" s="108"/>
      <c r="Y207" s="108"/>
      <c r="Z207" s="108"/>
      <c r="AA207" s="108"/>
      <c r="AB207" s="108"/>
      <c r="AC207" s="108"/>
      <c r="AD207" s="108"/>
      <c r="AE207" s="108"/>
      <c r="AF207" s="108"/>
      <c r="AG207" s="108"/>
      <c r="AH207" s="108"/>
      <c r="AI207" s="108"/>
      <c r="AJ207" s="108"/>
      <c r="AK207" s="108"/>
      <c r="AL207" s="108"/>
      <c r="AM207" s="108"/>
      <c r="AN207" s="108"/>
      <c r="AO207" s="108"/>
      <c r="AP207" s="108"/>
      <c r="AQ207" s="108"/>
    </row>
    <row r="208" ht="18.0" customHeight="1">
      <c r="A208" s="108"/>
      <c r="B208" s="108" t="s">
        <v>264</v>
      </c>
      <c r="C208" s="108" t="s">
        <v>592</v>
      </c>
      <c r="D208" s="141" t="s">
        <v>593</v>
      </c>
      <c r="E208" s="108"/>
      <c r="F208" s="108"/>
      <c r="G208" s="108"/>
      <c r="H208" s="108"/>
      <c r="I208" s="108"/>
      <c r="J208" s="108"/>
      <c r="K208" s="180" t="s">
        <v>594</v>
      </c>
      <c r="L208" s="180" t="b">
        <v>1</v>
      </c>
      <c r="M208" s="108"/>
      <c r="N208" s="108"/>
      <c r="O208" s="108"/>
      <c r="P208" s="108"/>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c r="AL208" s="108"/>
      <c r="AM208" s="108"/>
      <c r="AN208" s="108"/>
      <c r="AO208" s="108"/>
      <c r="AP208" s="108"/>
      <c r="AQ208" s="108"/>
    </row>
    <row r="209" ht="16.5" customHeight="1">
      <c r="A209" s="195"/>
      <c r="B209" s="196" t="s">
        <v>379</v>
      </c>
      <c r="C209" s="199" t="s">
        <v>581</v>
      </c>
      <c r="D209" s="195"/>
      <c r="E209" s="195"/>
      <c r="F209" s="195"/>
      <c r="G209" s="195"/>
      <c r="H209" s="195"/>
      <c r="I209" s="195"/>
      <c r="J209" s="195"/>
      <c r="K209" s="195"/>
      <c r="L209" s="195"/>
      <c r="M209" s="195"/>
      <c r="N209" s="195"/>
      <c r="O209" s="195"/>
      <c r="P209" s="195"/>
      <c r="Q209" s="195"/>
      <c r="R209" s="195"/>
      <c r="S209" s="195"/>
      <c r="T209" s="195"/>
      <c r="U209" s="196" t="s">
        <v>350</v>
      </c>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row>
    <row r="210" ht="18.0" customHeight="1">
      <c r="A210" s="108"/>
      <c r="B210" s="108" t="s">
        <v>595</v>
      </c>
      <c r="C210" s="108" t="s">
        <v>584</v>
      </c>
      <c r="D210" s="141" t="s">
        <v>596</v>
      </c>
      <c r="E210" s="108"/>
      <c r="F210" s="108"/>
      <c r="G210" s="108"/>
      <c r="H210" s="108"/>
      <c r="I210" s="108"/>
      <c r="J210" s="108"/>
      <c r="K210" s="108"/>
      <c r="L210" s="180" t="b">
        <v>1</v>
      </c>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row>
    <row r="211" ht="18.0" customHeight="1">
      <c r="A211" s="108"/>
      <c r="B211" s="108" t="s">
        <v>398</v>
      </c>
      <c r="C211" s="108" t="s">
        <v>597</v>
      </c>
      <c r="D211" s="141" t="s">
        <v>598</v>
      </c>
      <c r="E211" s="108"/>
      <c r="F211" s="108"/>
      <c r="G211" s="108"/>
      <c r="H211" s="108"/>
      <c r="I211" s="108"/>
      <c r="J211" s="108"/>
      <c r="K211" s="108"/>
      <c r="L211" s="180" t="b">
        <v>1</v>
      </c>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c r="AL211" s="108"/>
      <c r="AM211" s="108"/>
      <c r="AN211" s="108"/>
      <c r="AO211" s="108"/>
      <c r="AP211" s="108"/>
      <c r="AQ211" s="108"/>
    </row>
    <row r="212" ht="18.0" customHeight="1">
      <c r="A212" s="108"/>
      <c r="B212" s="108" t="s">
        <v>599</v>
      </c>
      <c r="C212" s="108" t="s">
        <v>600</v>
      </c>
      <c r="D212" s="141" t="s">
        <v>601</v>
      </c>
      <c r="E212" s="108"/>
      <c r="F212" s="108"/>
      <c r="G212" s="108"/>
      <c r="H212" s="108"/>
      <c r="I212" s="108"/>
      <c r="J212" s="108"/>
      <c r="K212" s="180" t="s">
        <v>602</v>
      </c>
      <c r="L212" s="180" t="b">
        <v>1</v>
      </c>
      <c r="M212" s="108"/>
      <c r="N212" s="108"/>
      <c r="O212" s="108"/>
      <c r="P212" s="108"/>
      <c r="Q212" s="108"/>
      <c r="R212" s="108"/>
      <c r="S212" s="108"/>
      <c r="T212" s="108"/>
      <c r="U212" s="108"/>
      <c r="V212" s="108"/>
      <c r="W212" s="108"/>
      <c r="X212" s="108"/>
      <c r="Y212" s="108"/>
      <c r="Z212" s="108"/>
      <c r="AA212" s="108"/>
      <c r="AB212" s="108"/>
      <c r="AC212" s="108"/>
      <c r="AD212" s="108"/>
      <c r="AE212" s="108"/>
      <c r="AF212" s="108"/>
      <c r="AG212" s="108"/>
      <c r="AH212" s="108"/>
      <c r="AI212" s="108"/>
      <c r="AJ212" s="108"/>
      <c r="AK212" s="108"/>
      <c r="AL212" s="108"/>
      <c r="AM212" s="108"/>
      <c r="AN212" s="108"/>
      <c r="AO212" s="108"/>
      <c r="AP212" s="108"/>
      <c r="AQ212" s="108"/>
    </row>
    <row r="213" ht="16.5" customHeight="1">
      <c r="A213" s="200"/>
      <c r="B213" s="193" t="s">
        <v>253</v>
      </c>
      <c r="C213" s="192" t="s">
        <v>577</v>
      </c>
      <c r="D213" s="200"/>
      <c r="E213" s="200"/>
      <c r="F213" s="200"/>
      <c r="G213" s="200"/>
      <c r="H213" s="200"/>
      <c r="I213" s="200"/>
      <c r="J213" s="200"/>
      <c r="K213" s="200"/>
      <c r="L213" s="200"/>
      <c r="M213" s="200"/>
      <c r="N213" s="200"/>
      <c r="O213" s="200"/>
      <c r="P213" s="200"/>
      <c r="Q213" s="200"/>
      <c r="R213" s="200" t="s">
        <v>109</v>
      </c>
      <c r="S213" s="200"/>
      <c r="T213" s="200"/>
      <c r="U213" s="200"/>
      <c r="V213" s="200"/>
      <c r="W213" s="200"/>
      <c r="X213" s="200"/>
      <c r="Y213" s="200"/>
      <c r="Z213" s="200"/>
      <c r="AA213" s="200"/>
      <c r="AB213" s="200"/>
      <c r="AC213" s="200"/>
      <c r="AD213" s="200"/>
      <c r="AE213" s="200"/>
      <c r="AF213" s="200"/>
      <c r="AG213" s="200"/>
      <c r="AH213" s="200"/>
      <c r="AI213" s="200"/>
      <c r="AJ213" s="200"/>
      <c r="AK213" s="200"/>
      <c r="AL213" s="200"/>
      <c r="AM213" s="200"/>
      <c r="AN213" s="201"/>
      <c r="AO213" s="201"/>
      <c r="AP213" s="201"/>
      <c r="AQ213" s="201"/>
    </row>
    <row r="214" ht="18.0"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row>
    <row r="215" ht="18.0" customHeight="1">
      <c r="A215" s="193"/>
      <c r="B215" s="193" t="s">
        <v>209</v>
      </c>
      <c r="C215" s="192" t="s">
        <v>603</v>
      </c>
      <c r="D215" s="192" t="s">
        <v>604</v>
      </c>
      <c r="E215" s="193"/>
      <c r="F215" s="193"/>
      <c r="G215" s="193"/>
      <c r="H215" s="193"/>
      <c r="I215" s="193"/>
      <c r="J215" s="193"/>
      <c r="K215" s="193"/>
      <c r="L215" s="193"/>
      <c r="M215" s="193"/>
      <c r="N215" s="193"/>
      <c r="O215" s="193"/>
      <c r="P215" s="193"/>
      <c r="Q215" s="193"/>
      <c r="R215" s="193" t="s">
        <v>109</v>
      </c>
      <c r="S215" s="193"/>
      <c r="T215" s="193"/>
      <c r="U215" s="193"/>
      <c r="V215" s="193"/>
      <c r="W215" s="193"/>
      <c r="X215" s="193"/>
      <c r="Y215" s="193"/>
      <c r="Z215" s="193"/>
      <c r="AA215" s="193"/>
      <c r="AB215" s="193"/>
      <c r="AC215" s="193"/>
      <c r="AD215" s="193"/>
      <c r="AE215" s="193"/>
      <c r="AF215" s="193"/>
      <c r="AG215" s="193"/>
      <c r="AH215" s="193"/>
      <c r="AI215" s="193"/>
      <c r="AJ215" s="193"/>
      <c r="AK215" s="193"/>
      <c r="AL215" s="193"/>
      <c r="AM215" s="193"/>
      <c r="AN215" s="163"/>
      <c r="AO215" s="163"/>
      <c r="AP215" s="163"/>
      <c r="AQ215" s="163"/>
    </row>
    <row r="216" ht="16.5" customHeight="1">
      <c r="A216" s="102" t="s">
        <v>605</v>
      </c>
      <c r="B216" s="202" t="s">
        <v>606</v>
      </c>
      <c r="C216" s="170" t="s">
        <v>607</v>
      </c>
      <c r="D216" s="107" t="s">
        <v>608</v>
      </c>
      <c r="E216" s="98"/>
      <c r="F216" s="143" t="b">
        <f>if(OR('Contextualisation form'!$E$23="Deep dive labour cost (6)",'Contextualisation form'!$E$24= "Deep dive labour cost (6)",'Contextualisation form'!$E$25="Deep dive labour cost (6)"),FALSE,TRUE)</f>
        <v>1</v>
      </c>
      <c r="G216" s="98"/>
      <c r="H216" s="98"/>
      <c r="I216" s="98"/>
      <c r="J216" s="98"/>
      <c r="K216" s="98"/>
      <c r="L216" s="102" t="b">
        <v>1</v>
      </c>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row>
    <row r="217" ht="16.5" customHeight="1">
      <c r="A217" s="102" t="s">
        <v>605</v>
      </c>
      <c r="B217" s="108" t="s">
        <v>609</v>
      </c>
      <c r="C217" s="170" t="s">
        <v>610</v>
      </c>
      <c r="D217" s="107" t="s">
        <v>611</v>
      </c>
      <c r="E217" s="98"/>
      <c r="F217" s="143" t="b">
        <f>if(OR('Contextualisation form'!$E$23="Deep dive labour cost (6)",'Contextualisation form'!$E$24= "Deep dive labour cost (6)",'Contextualisation form'!$E$25="Deep dive labour cost (6)"),FALSE,TRUE)</f>
        <v>1</v>
      </c>
      <c r="G217" s="98"/>
      <c r="H217" s="98"/>
      <c r="I217" s="98"/>
      <c r="J217" s="98"/>
      <c r="K217" s="98"/>
      <c r="L217" s="102" t="b">
        <v>1</v>
      </c>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row>
    <row r="218" ht="16.5" customHeight="1">
      <c r="A218" s="102" t="s">
        <v>605</v>
      </c>
      <c r="B218" s="180" t="s">
        <v>224</v>
      </c>
      <c r="C218" s="170" t="s">
        <v>612</v>
      </c>
      <c r="D218" s="127" t="s">
        <v>613</v>
      </c>
      <c r="E218" s="98"/>
      <c r="F218" s="143" t="b">
        <f>if(OR('Contextualisation form'!$E$23="Deep dive labour cost (6)",'Contextualisation form'!$E$24= "Deep dive labour cost (6)",'Contextualisation form'!$E$25="Deep dive labour cost (6)"),FALSE,TRUE)</f>
        <v>1</v>
      </c>
      <c r="G218" s="98"/>
      <c r="H218" s="98"/>
      <c r="I218" s="98"/>
      <c r="J218" s="98"/>
      <c r="K218" s="98"/>
      <c r="L218" s="102"/>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row>
    <row r="219" ht="16.5" customHeight="1">
      <c r="A219" s="102" t="s">
        <v>605</v>
      </c>
      <c r="B219" s="108" t="s">
        <v>614</v>
      </c>
      <c r="C219" s="170" t="s">
        <v>615</v>
      </c>
      <c r="D219" s="107" t="str">
        <f>CONCATENATE("In which months do you HIRE people to help you with producing ", 'Contextualisation form'!D15,"?")</f>
        <v>In which months do you HIRE people to help you with producing cocoa?</v>
      </c>
      <c r="E219" s="98"/>
      <c r="F219" s="143" t="b">
        <f>if(OR('Contextualisation form'!$E$23="Deep dive labour cost (6)",'Contextualisation form'!$E$24= "Deep dive labour cost (6)",'Contextualisation form'!$E$25="Deep dive labour cost (6)"),FALSE,TRUE)</f>
        <v>1</v>
      </c>
      <c r="G219" s="98"/>
      <c r="H219" s="98"/>
      <c r="I219" s="98"/>
      <c r="J219" s="98"/>
      <c r="K219" s="98"/>
      <c r="L219" s="102" t="b">
        <v>1</v>
      </c>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row>
    <row r="220" ht="16.5" customHeight="1">
      <c r="A220" s="102" t="s">
        <v>605</v>
      </c>
      <c r="B220" s="202" t="s">
        <v>616</v>
      </c>
      <c r="C220" s="170" t="s">
        <v>617</v>
      </c>
      <c r="D220" s="107" t="s">
        <v>618</v>
      </c>
      <c r="E220" s="98"/>
      <c r="F220" s="143" t="b">
        <f>if(OR('Contextualisation form'!$E$23="Deep dive labour cost (6)",'Contextualisation form'!$E$24= "Deep dive labour cost (6)",'Contextualisation form'!$E$25="Deep dive labour cost (6)"),FALSE,TRUE)</f>
        <v>1</v>
      </c>
      <c r="G220" s="98"/>
      <c r="H220" s="98"/>
      <c r="I220" s="98"/>
      <c r="J220" s="98"/>
      <c r="K220" s="98"/>
      <c r="L220" s="102" t="b">
        <v>1</v>
      </c>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row>
    <row r="221" ht="16.5" customHeight="1">
      <c r="A221" s="102" t="s">
        <v>605</v>
      </c>
      <c r="B221" s="108" t="s">
        <v>619</v>
      </c>
      <c r="C221" s="170" t="s">
        <v>620</v>
      </c>
      <c r="D221" s="107" t="s">
        <v>621</v>
      </c>
      <c r="E221" s="98"/>
      <c r="F221" s="143" t="b">
        <f>if(OR('Contextualisation form'!$E$23="Deep dive labour cost (6)",'Contextualisation form'!$E$24= "Deep dive labour cost (6)",'Contextualisation form'!$E$25="Deep dive labour cost (6)"),FALSE,TRUE)</f>
        <v>1</v>
      </c>
      <c r="G221" s="98"/>
      <c r="H221" s="98"/>
      <c r="I221" s="98"/>
      <c r="J221" s="98"/>
      <c r="K221" s="98"/>
      <c r="L221" s="102" t="b">
        <v>1</v>
      </c>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row>
    <row r="222" ht="18.0" customHeight="1">
      <c r="A222" s="152"/>
      <c r="B222" s="194" t="s">
        <v>622</v>
      </c>
      <c r="C222" s="194" t="s">
        <v>623</v>
      </c>
      <c r="D222" s="203" t="str">
        <f>CONCATENATE("We will now ask you a couple of questions about the labour costs of the ", 'Contextualisation form'!D15,". Please indicate for which seasons you want to report the labour costs")</f>
        <v>We will now ask you a couple of questions about the labour costs of the cocoa. Please indicate for which seasons you want to report the labour costs</v>
      </c>
      <c r="E222" s="152"/>
      <c r="F222" s="98"/>
      <c r="G222" s="152"/>
      <c r="H222" s="152"/>
      <c r="I222" s="152"/>
      <c r="J222" s="152"/>
      <c r="K222" s="152"/>
      <c r="L222" s="204" t="b">
        <v>1</v>
      </c>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2"/>
      <c r="AN222" s="152"/>
      <c r="AO222" s="152"/>
      <c r="AP222" s="152"/>
      <c r="AQ222" s="152"/>
    </row>
    <row r="223" ht="18.0" customHeight="1">
      <c r="A223" s="195"/>
      <c r="B223" s="196" t="s">
        <v>177</v>
      </c>
      <c r="C223" s="196" t="s">
        <v>624</v>
      </c>
      <c r="D223" s="196" t="s">
        <v>349</v>
      </c>
      <c r="E223" s="195"/>
      <c r="F223" s="195"/>
      <c r="G223" s="195"/>
      <c r="H223" s="195"/>
      <c r="I223" s="195"/>
      <c r="J223" s="195"/>
      <c r="K223" s="195"/>
      <c r="L223" s="196"/>
      <c r="M223" s="195"/>
      <c r="N223" s="195"/>
      <c r="O223" s="195"/>
      <c r="P223" s="195"/>
      <c r="Q223" s="195"/>
      <c r="R223" s="195"/>
      <c r="S223" s="195"/>
      <c r="T223" s="195"/>
      <c r="U223" s="195"/>
      <c r="V223" s="195"/>
      <c r="W223" s="195"/>
      <c r="X223" s="195"/>
      <c r="Y223" s="195"/>
      <c r="Z223" s="195"/>
      <c r="AA223" s="195"/>
      <c r="AB223" s="195"/>
      <c r="AC223" s="195"/>
      <c r="AD223" s="195"/>
      <c r="AE223" s="195"/>
      <c r="AF223" s="195"/>
      <c r="AG223" s="195"/>
      <c r="AH223" s="195"/>
      <c r="AI223" s="195"/>
      <c r="AJ223" s="195"/>
      <c r="AK223" s="195"/>
      <c r="AL223" s="195"/>
      <c r="AM223" s="195"/>
      <c r="AN223" s="195"/>
      <c r="AO223" s="195"/>
      <c r="AP223" s="195"/>
      <c r="AQ223" s="195"/>
    </row>
    <row r="224" ht="18.0" customHeight="1">
      <c r="A224" s="195"/>
      <c r="B224" s="196" t="s">
        <v>351</v>
      </c>
      <c r="C224" s="196" t="s">
        <v>625</v>
      </c>
      <c r="D224" s="197"/>
      <c r="E224" s="195"/>
      <c r="F224" s="195"/>
      <c r="G224" s="195"/>
      <c r="H224" s="195"/>
      <c r="I224" s="195"/>
      <c r="J224" s="195"/>
      <c r="K224" s="195"/>
      <c r="L224" s="196"/>
      <c r="M224" s="195"/>
      <c r="N224" s="195"/>
      <c r="O224" s="195"/>
      <c r="P224" s="195"/>
      <c r="Q224" s="195"/>
      <c r="R224" s="195"/>
      <c r="S224" s="195"/>
      <c r="T224" s="195"/>
      <c r="U224" s="195"/>
      <c r="V224" s="195"/>
      <c r="W224" s="195"/>
      <c r="X224" s="195"/>
      <c r="Y224" s="195"/>
      <c r="Z224" s="195"/>
      <c r="AA224" s="195"/>
      <c r="AB224" s="195"/>
      <c r="AC224" s="195"/>
      <c r="AD224" s="195"/>
      <c r="AE224" s="195"/>
      <c r="AF224" s="195"/>
      <c r="AG224" s="195"/>
      <c r="AH224" s="195"/>
      <c r="AI224" s="195"/>
      <c r="AJ224" s="195"/>
      <c r="AK224" s="195"/>
      <c r="AL224" s="195"/>
      <c r="AM224" s="195"/>
      <c r="AN224" s="195"/>
      <c r="AO224" s="195"/>
      <c r="AP224" s="195"/>
      <c r="AQ224" s="195"/>
    </row>
    <row r="225" ht="18.0" customHeight="1">
      <c r="A225" s="108"/>
      <c r="B225" s="180" t="s">
        <v>626</v>
      </c>
      <c r="C225" s="180" t="s">
        <v>627</v>
      </c>
      <c r="D225" s="141" t="str">
        <f>CONCATENATE("In this period, did you you carry out any of the following activities in order to take care of ", 'Contextualisation form'!D15,"?")
</f>
        <v>In this period, did you you carry out any of the following activities in order to take care of cocoa?</v>
      </c>
      <c r="E225" s="108"/>
      <c r="F225" s="98"/>
      <c r="G225" s="108"/>
      <c r="H225" s="108"/>
      <c r="I225" s="108"/>
      <c r="J225" s="108"/>
      <c r="K225" s="108"/>
      <c r="L225" s="180" t="b">
        <v>1</v>
      </c>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c r="AM225" s="108"/>
      <c r="AN225" s="108"/>
      <c r="AO225" s="108"/>
      <c r="AP225" s="108"/>
      <c r="AQ225" s="108"/>
    </row>
    <row r="226" ht="18.0" customHeight="1">
      <c r="A226" s="108"/>
      <c r="B226" s="180" t="s">
        <v>224</v>
      </c>
      <c r="C226" s="180" t="s">
        <v>628</v>
      </c>
      <c r="D226" s="127" t="s">
        <v>629</v>
      </c>
      <c r="E226" s="108"/>
      <c r="F226" s="98"/>
      <c r="G226" s="108"/>
      <c r="H226" s="108"/>
      <c r="I226" s="108"/>
      <c r="J226" s="108"/>
      <c r="K226" s="108"/>
      <c r="L226" s="180"/>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c r="AL226" s="108"/>
      <c r="AM226" s="108"/>
      <c r="AN226" s="108"/>
      <c r="AO226" s="108"/>
      <c r="AP226" s="108"/>
      <c r="AQ226" s="108"/>
    </row>
    <row r="227" ht="18.0" customHeight="1">
      <c r="A227" s="108"/>
      <c r="B227" s="180" t="s">
        <v>626</v>
      </c>
      <c r="C227" s="180" t="s">
        <v>630</v>
      </c>
      <c r="D227" s="142" t="s">
        <v>631</v>
      </c>
      <c r="E227" s="141" t="s">
        <v>632</v>
      </c>
      <c r="F227" s="98"/>
      <c r="G227" s="108"/>
      <c r="H227" s="108"/>
      <c r="I227" s="108"/>
      <c r="J227" s="108"/>
      <c r="K227" s="108"/>
      <c r="L227" s="180" t="b">
        <v>1</v>
      </c>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c r="AH227" s="108"/>
      <c r="AI227" s="108"/>
      <c r="AJ227" s="108"/>
      <c r="AK227" s="108"/>
      <c r="AL227" s="108"/>
      <c r="AM227" s="108"/>
      <c r="AN227" s="108"/>
      <c r="AO227" s="108"/>
      <c r="AP227" s="108"/>
      <c r="AQ227" s="108"/>
    </row>
    <row r="228" ht="18.0" customHeight="1">
      <c r="A228" s="108"/>
      <c r="B228" s="108" t="s">
        <v>633</v>
      </c>
      <c r="C228" s="205" t="s">
        <v>634</v>
      </c>
      <c r="D228" s="141" t="str">
        <f>CONCATENATE("How do you typically pay for labour costs for ", 'Contextualisation form'!D15," in this season? I'll read you a selection.") </f>
        <v>How do you typically pay for labour costs for cocoa in this season? I'll read you a selection.</v>
      </c>
      <c r="E228" s="108"/>
      <c r="F228" s="108"/>
      <c r="G228" s="108"/>
      <c r="H228" s="108"/>
      <c r="I228" s="108"/>
      <c r="J228" s="108"/>
      <c r="K228" s="108"/>
      <c r="L228" s="180" t="b">
        <v>1</v>
      </c>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c r="AL228" s="108"/>
      <c r="AM228" s="108"/>
      <c r="AN228" s="108"/>
      <c r="AO228" s="108"/>
      <c r="AP228" s="108"/>
      <c r="AQ228" s="108"/>
    </row>
    <row r="229" ht="18.0" customHeight="1">
      <c r="A229" s="152"/>
      <c r="B229" s="152" t="s">
        <v>307</v>
      </c>
      <c r="C229" s="205" t="s">
        <v>635</v>
      </c>
      <c r="D229" s="203" t="str">
        <f>CONCATENATE("What is the average daily wage for a female labourer for the ", 'Contextualisation form'!D15,"?")</f>
        <v>What is the average daily wage for a female labourer for the cocoa?</v>
      </c>
      <c r="E229" s="152"/>
      <c r="F229" s="152"/>
      <c r="G229" s="152"/>
      <c r="H229" s="152"/>
      <c r="I229" s="152"/>
      <c r="J229" s="152"/>
      <c r="K229" s="152"/>
      <c r="L229" s="204" t="b">
        <v>1</v>
      </c>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c r="AK229" s="152"/>
      <c r="AL229" s="152"/>
      <c r="AM229" s="152"/>
      <c r="AN229" s="152"/>
      <c r="AO229" s="152"/>
      <c r="AP229" s="152"/>
      <c r="AQ229" s="152"/>
    </row>
    <row r="230" ht="18.0" customHeight="1">
      <c r="A230" s="152"/>
      <c r="B230" s="152" t="s">
        <v>307</v>
      </c>
      <c r="C230" s="205" t="s">
        <v>636</v>
      </c>
      <c r="D230" s="203" t="str">
        <f>CONCATENATE("What is the average daily wage for a male labourer for the ", 'Contextualisation form'!D15,"?")</f>
        <v>What is the average daily wage for a male labourer for the cocoa?</v>
      </c>
      <c r="E230" s="152"/>
      <c r="F230" s="152"/>
      <c r="G230" s="152"/>
      <c r="H230" s="152"/>
      <c r="I230" s="152"/>
      <c r="J230" s="152"/>
      <c r="K230" s="152"/>
      <c r="L230" s="204" t="b">
        <v>1</v>
      </c>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row>
    <row r="231" ht="18.0" customHeight="1">
      <c r="A231" s="108"/>
      <c r="B231" s="108" t="s">
        <v>307</v>
      </c>
      <c r="C231" s="108" t="s">
        <v>637</v>
      </c>
      <c r="D231" s="141" t="str">
        <f>CONCATENATE("On average, how much did you spend on labour costs ", 'Contextualisation form'!D15," in this season?")</f>
        <v>On average, how much did you spend on labour costs cocoa in this season?</v>
      </c>
      <c r="E231" s="108"/>
      <c r="F231" s="108"/>
      <c r="G231" s="108"/>
      <c r="H231" s="108"/>
      <c r="I231" s="108"/>
      <c r="J231" s="108"/>
      <c r="K231" s="108"/>
      <c r="L231" s="180" t="b">
        <v>1</v>
      </c>
      <c r="M231" s="108"/>
      <c r="N231" s="108"/>
      <c r="O231" s="108"/>
      <c r="P231" s="108"/>
      <c r="Q231" s="108"/>
      <c r="R231" s="108"/>
      <c r="S231" s="108"/>
      <c r="T231" s="108"/>
      <c r="U231" s="108"/>
      <c r="V231" s="108"/>
      <c r="W231" s="108"/>
      <c r="X231" s="108"/>
      <c r="Y231" s="108"/>
      <c r="Z231" s="108"/>
      <c r="AA231" s="108"/>
      <c r="AB231" s="108"/>
      <c r="AC231" s="108"/>
      <c r="AD231" s="108"/>
      <c r="AE231" s="108"/>
      <c r="AF231" s="108"/>
      <c r="AG231" s="108"/>
      <c r="AH231" s="108"/>
      <c r="AI231" s="108"/>
      <c r="AJ231" s="108"/>
      <c r="AK231" s="108"/>
      <c r="AL231" s="108"/>
      <c r="AM231" s="108"/>
      <c r="AN231" s="108"/>
      <c r="AO231" s="108"/>
      <c r="AP231" s="108"/>
      <c r="AQ231" s="108"/>
    </row>
    <row r="232" ht="18.0" customHeight="1">
      <c r="A232" s="195"/>
      <c r="B232" s="196" t="s">
        <v>379</v>
      </c>
      <c r="C232" s="196" t="s">
        <v>625</v>
      </c>
      <c r="D232" s="197"/>
      <c r="E232" s="195"/>
      <c r="F232" s="195"/>
      <c r="G232" s="195"/>
      <c r="H232" s="195"/>
      <c r="I232" s="195"/>
      <c r="J232" s="195"/>
      <c r="K232" s="195"/>
      <c r="L232" s="196"/>
      <c r="M232" s="195"/>
      <c r="N232" s="195"/>
      <c r="O232" s="195"/>
      <c r="P232" s="195"/>
      <c r="Q232" s="195"/>
      <c r="R232" s="195"/>
      <c r="S232" s="195"/>
      <c r="T232" s="195"/>
      <c r="U232" s="195"/>
      <c r="V232" s="195"/>
      <c r="W232" s="195"/>
      <c r="X232" s="195"/>
      <c r="Y232" s="195"/>
      <c r="Z232" s="195"/>
      <c r="AA232" s="195"/>
      <c r="AB232" s="195"/>
      <c r="AC232" s="195"/>
      <c r="AD232" s="195"/>
      <c r="AE232" s="195"/>
      <c r="AF232" s="195"/>
      <c r="AG232" s="195"/>
      <c r="AH232" s="195"/>
      <c r="AI232" s="195"/>
      <c r="AJ232" s="195"/>
      <c r="AK232" s="195"/>
      <c r="AL232" s="195"/>
      <c r="AM232" s="195"/>
      <c r="AN232" s="195"/>
      <c r="AO232" s="195"/>
      <c r="AP232" s="195"/>
      <c r="AQ232" s="195"/>
    </row>
    <row r="233" ht="16.5" customHeight="1">
      <c r="A233" s="191"/>
      <c r="B233" s="191" t="s">
        <v>253</v>
      </c>
      <c r="C233" s="192" t="s">
        <v>603</v>
      </c>
      <c r="D233" s="191"/>
      <c r="E233" s="191"/>
      <c r="F233" s="191"/>
      <c r="G233" s="191"/>
      <c r="H233" s="191"/>
      <c r="I233" s="191"/>
      <c r="J233" s="191"/>
      <c r="K233" s="191"/>
      <c r="L233" s="191"/>
      <c r="M233" s="191"/>
      <c r="N233" s="191"/>
      <c r="O233" s="191"/>
      <c r="P233" s="191"/>
      <c r="Q233" s="191"/>
      <c r="R233" s="191" t="s">
        <v>109</v>
      </c>
      <c r="S233" s="191"/>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0"/>
      <c r="AO233" s="190"/>
      <c r="AP233" s="190"/>
      <c r="AQ233" s="190"/>
    </row>
    <row r="234" ht="18.0" customHeight="1">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2"/>
      <c r="AN234" s="152"/>
      <c r="AO234" s="152"/>
      <c r="AP234" s="152"/>
      <c r="AQ234" s="152"/>
    </row>
    <row r="235" ht="18.0" customHeight="1">
      <c r="A235" s="193"/>
      <c r="B235" s="193" t="s">
        <v>209</v>
      </c>
      <c r="C235" s="192" t="s">
        <v>638</v>
      </c>
      <c r="D235" s="192" t="s">
        <v>639</v>
      </c>
      <c r="E235" s="193"/>
      <c r="F235" s="193"/>
      <c r="G235" s="193"/>
      <c r="H235" s="193"/>
      <c r="I235" s="193"/>
      <c r="J235" s="193"/>
      <c r="K235" s="193"/>
      <c r="L235" s="193"/>
      <c r="M235" s="193"/>
      <c r="N235" s="193"/>
      <c r="O235" s="193"/>
      <c r="P235" s="193"/>
      <c r="Q235" s="193"/>
      <c r="R235" s="193" t="s">
        <v>109</v>
      </c>
      <c r="S235" s="193"/>
      <c r="T235" s="193"/>
      <c r="U235" s="193"/>
      <c r="V235" s="193"/>
      <c r="W235" s="193"/>
      <c r="X235" s="193"/>
      <c r="Y235" s="193"/>
      <c r="Z235" s="193"/>
      <c r="AA235" s="193"/>
      <c r="AB235" s="193"/>
      <c r="AC235" s="193"/>
      <c r="AD235" s="193"/>
      <c r="AE235" s="193"/>
      <c r="AF235" s="193"/>
      <c r="AG235" s="193"/>
      <c r="AH235" s="193"/>
      <c r="AI235" s="193"/>
      <c r="AJ235" s="193"/>
      <c r="AK235" s="193"/>
      <c r="AL235" s="193"/>
      <c r="AM235" s="193"/>
      <c r="AN235" s="163"/>
      <c r="AO235" s="163"/>
      <c r="AP235" s="163"/>
      <c r="AQ235" s="163"/>
    </row>
    <row r="236" ht="18.0" customHeight="1">
      <c r="A236" s="98"/>
      <c r="B236" s="98" t="s">
        <v>264</v>
      </c>
      <c r="C236" s="98" t="s">
        <v>640</v>
      </c>
      <c r="D236" s="141" t="str">
        <f>concatenate("In the last 12 months, estimate the total costs for irrigation water, additional farm inputs, marketing, storage, energy, and other related to ", 'Contextualisation form'!D15, " production costs")</f>
        <v>In the last 12 months, estimate the total costs for irrigation water, additional farm inputs, marketing, storage, energy, and other related to cocoa production costs</v>
      </c>
      <c r="E236" s="98"/>
      <c r="F236" s="98"/>
      <c r="G236" s="98"/>
      <c r="H236" s="98"/>
      <c r="I236" s="98"/>
      <c r="J236" s="98"/>
      <c r="K236" s="98"/>
      <c r="L236" s="102" t="b">
        <v>1</v>
      </c>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row>
    <row r="237" ht="16.5" customHeight="1">
      <c r="A237" s="191"/>
      <c r="B237" s="192" t="s">
        <v>253</v>
      </c>
      <c r="C237" s="192" t="s">
        <v>638</v>
      </c>
      <c r="D237" s="191"/>
      <c r="E237" s="191"/>
      <c r="F237" s="191"/>
      <c r="G237" s="191"/>
      <c r="H237" s="191"/>
      <c r="I237" s="191"/>
      <c r="J237" s="191"/>
      <c r="K237" s="191"/>
      <c r="L237" s="191"/>
      <c r="M237" s="191"/>
      <c r="N237" s="191"/>
      <c r="O237" s="191"/>
      <c r="P237" s="191"/>
      <c r="Q237" s="191"/>
      <c r="R237" s="191" t="s">
        <v>109</v>
      </c>
      <c r="S237" s="191"/>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0"/>
      <c r="AO237" s="190"/>
      <c r="AP237" s="190"/>
      <c r="AQ237" s="190"/>
    </row>
    <row r="238" ht="16.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row>
    <row r="239" ht="18.0" customHeight="1">
      <c r="A239" s="184"/>
      <c r="B239" s="184" t="s">
        <v>209</v>
      </c>
      <c r="C239" s="105" t="s">
        <v>641</v>
      </c>
      <c r="D239" s="105" t="s">
        <v>642</v>
      </c>
      <c r="E239" s="184"/>
      <c r="F239" s="184"/>
      <c r="G239" s="184"/>
      <c r="H239" s="184"/>
      <c r="I239" s="184"/>
      <c r="J239" s="184"/>
      <c r="K239" s="184"/>
      <c r="L239" s="184"/>
      <c r="M239" s="184"/>
      <c r="N239" s="184"/>
      <c r="O239" s="184"/>
      <c r="P239" s="184"/>
      <c r="Q239" s="184"/>
      <c r="R239" s="184" t="s">
        <v>109</v>
      </c>
      <c r="S239" s="184"/>
      <c r="T239" s="184"/>
      <c r="U239" s="184"/>
      <c r="V239" s="184"/>
      <c r="W239" s="184"/>
      <c r="X239" s="184"/>
      <c r="Y239" s="184"/>
      <c r="Z239" s="184"/>
      <c r="AA239" s="184"/>
      <c r="AB239" s="184"/>
      <c r="AC239" s="184"/>
      <c r="AD239" s="184"/>
      <c r="AE239" s="184"/>
      <c r="AF239" s="184"/>
      <c r="AG239" s="184"/>
      <c r="AH239" s="184"/>
      <c r="AI239" s="184"/>
      <c r="AJ239" s="184"/>
      <c r="AK239" s="184"/>
      <c r="AL239" s="184"/>
      <c r="AM239" s="184"/>
      <c r="AN239" s="185"/>
      <c r="AO239" s="185"/>
      <c r="AP239" s="185"/>
      <c r="AQ239" s="185"/>
    </row>
    <row r="240" ht="16.5" customHeight="1">
      <c r="A240" s="102" t="s">
        <v>284</v>
      </c>
      <c r="B240" s="98" t="s">
        <v>398</v>
      </c>
      <c r="C240" s="206" t="s">
        <v>643</v>
      </c>
      <c r="D240" s="107" t="s">
        <v>644</v>
      </c>
      <c r="E240" s="98"/>
      <c r="F240" s="98" t="b">
        <f>if('Contextualisation form'!$H$17=TRUE,FALSE,TRUE)</f>
        <v>1</v>
      </c>
      <c r="G240" s="98"/>
      <c r="H240" s="98"/>
      <c r="I240" s="98"/>
      <c r="J240" s="98"/>
      <c r="K240" s="98"/>
      <c r="L240" s="102" t="b">
        <v>1</v>
      </c>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row>
    <row r="241" ht="16.5" customHeight="1">
      <c r="A241" s="102" t="s">
        <v>284</v>
      </c>
      <c r="B241" s="102" t="s">
        <v>645</v>
      </c>
      <c r="C241" s="207" t="s">
        <v>646</v>
      </c>
      <c r="D241" s="142" t="s">
        <v>647</v>
      </c>
      <c r="E241" s="98"/>
      <c r="F241" s="98" t="b">
        <f>if('Contextualisation form'!$H$17=TRUE,FALSE,TRUE)</f>
        <v>1</v>
      </c>
      <c r="G241" s="98"/>
      <c r="H241" s="98"/>
      <c r="I241" s="98"/>
      <c r="J241" s="98"/>
      <c r="K241" s="102" t="s">
        <v>648</v>
      </c>
      <c r="L241" s="102" t="b">
        <v>1</v>
      </c>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row>
    <row r="242" ht="18.0" customHeight="1">
      <c r="A242" s="102" t="s">
        <v>284</v>
      </c>
      <c r="B242" s="180" t="s">
        <v>649</v>
      </c>
      <c r="C242" s="102" t="s">
        <v>650</v>
      </c>
      <c r="D242" s="142" t="s">
        <v>651</v>
      </c>
      <c r="E242" s="98"/>
      <c r="F242" s="98" t="b">
        <f>if('Contextualisation form'!$H$17=TRUE,FALSE,TRUE)</f>
        <v>1</v>
      </c>
      <c r="G242" s="98"/>
      <c r="H242" s="98"/>
      <c r="I242" s="98"/>
      <c r="J242" s="98"/>
      <c r="K242" s="102" t="s">
        <v>648</v>
      </c>
      <c r="L242" s="102" t="b">
        <v>1</v>
      </c>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row>
    <row r="243" ht="16.5" customHeight="1">
      <c r="A243" s="102" t="s">
        <v>284</v>
      </c>
      <c r="B243" s="180" t="s">
        <v>652</v>
      </c>
      <c r="C243" s="181" t="s">
        <v>653</v>
      </c>
      <c r="D243" s="142" t="s">
        <v>654</v>
      </c>
      <c r="E243" s="98"/>
      <c r="F243" s="98" t="b">
        <f>if('Contextualisation form'!$H$17=TRUE,FALSE,TRUE)</f>
        <v>1</v>
      </c>
      <c r="G243" s="98"/>
      <c r="H243" s="98"/>
      <c r="I243" s="98"/>
      <c r="J243" s="98"/>
      <c r="K243" s="102" t="s">
        <v>648</v>
      </c>
      <c r="L243" s="102" t="b">
        <v>1</v>
      </c>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row>
    <row r="244" ht="16.5" customHeight="1">
      <c r="A244" s="102" t="s">
        <v>655</v>
      </c>
      <c r="B244" s="208" t="s">
        <v>656</v>
      </c>
      <c r="C244" s="170" t="s">
        <v>657</v>
      </c>
      <c r="D244" s="107" t="s">
        <v>658</v>
      </c>
      <c r="E244" s="98"/>
      <c r="F244" s="143" t="b">
        <f>if(OR('Contextualisation form'!$E$23="Deep dive asset costs (2)",'Contextualisation form'!$E$24= "Deep dive asset costs (2)",'Contextualisation form'!$E$25="Deep dive asset costs (2)"),FALSE,TRUE)</f>
        <v>1</v>
      </c>
      <c r="G244" s="98"/>
      <c r="H244" s="98"/>
      <c r="I244" s="98"/>
      <c r="J244" s="98"/>
      <c r="K244" s="98"/>
      <c r="L244" s="102" t="b">
        <v>1</v>
      </c>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row>
    <row r="245" ht="16.5" customHeight="1">
      <c r="A245" s="102" t="s">
        <v>655</v>
      </c>
      <c r="B245" s="98" t="s">
        <v>264</v>
      </c>
      <c r="C245" s="170" t="s">
        <v>659</v>
      </c>
      <c r="D245" s="127" t="s">
        <v>660</v>
      </c>
      <c r="E245" s="98"/>
      <c r="F245" s="143" t="b">
        <f>if(OR('Contextualisation form'!$E$23="Deep dive asset costs (2)",'Contextualisation form'!$E$24= "Deep dive asset costs (2)",'Contextualisation form'!$E$25="Deep dive asset costs (2)"),FALSE,TRUE)</f>
        <v>1</v>
      </c>
      <c r="G245" s="98"/>
      <c r="H245" s="98"/>
      <c r="I245" s="98"/>
      <c r="J245" s="98"/>
      <c r="K245" s="98"/>
      <c r="L245" s="102" t="b">
        <v>1</v>
      </c>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row>
    <row r="246" ht="16.5" customHeight="1">
      <c r="A246" s="104"/>
      <c r="B246" s="104" t="s">
        <v>253</v>
      </c>
      <c r="C246" s="105" t="s">
        <v>641</v>
      </c>
      <c r="D246" s="104"/>
      <c r="E246" s="104"/>
      <c r="F246" s="104"/>
      <c r="G246" s="104"/>
      <c r="H246" s="104"/>
      <c r="I246" s="104"/>
      <c r="J246" s="104"/>
      <c r="K246" s="104"/>
      <c r="L246" s="104"/>
      <c r="M246" s="104"/>
      <c r="N246" s="104"/>
      <c r="O246" s="104"/>
      <c r="P246" s="104"/>
      <c r="Q246" s="104"/>
      <c r="R246" s="104" t="s">
        <v>109</v>
      </c>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6"/>
      <c r="AO246" s="106"/>
      <c r="AP246" s="106"/>
      <c r="AQ246" s="106"/>
    </row>
    <row r="247" ht="16.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row>
    <row r="248" ht="18.0" customHeight="1">
      <c r="A248" s="184"/>
      <c r="B248" s="184" t="s">
        <v>209</v>
      </c>
      <c r="C248" s="105" t="s">
        <v>661</v>
      </c>
      <c r="D248" s="184" t="s">
        <v>662</v>
      </c>
      <c r="E248" s="184"/>
      <c r="F248" s="184"/>
      <c r="G248" s="184"/>
      <c r="H248" s="184"/>
      <c r="I248" s="184"/>
      <c r="J248" s="184"/>
      <c r="K248" s="184"/>
      <c r="L248" s="184"/>
      <c r="M248" s="184"/>
      <c r="N248" s="184"/>
      <c r="O248" s="184"/>
      <c r="P248" s="184"/>
      <c r="Q248" s="184"/>
      <c r="R248" s="184" t="s">
        <v>109</v>
      </c>
      <c r="S248" s="184"/>
      <c r="T248" s="184"/>
      <c r="U248" s="184"/>
      <c r="V248" s="184"/>
      <c r="W248" s="184"/>
      <c r="X248" s="184"/>
      <c r="Y248" s="184"/>
      <c r="Z248" s="184"/>
      <c r="AA248" s="184"/>
      <c r="AB248" s="184"/>
      <c r="AC248" s="184"/>
      <c r="AD248" s="184"/>
      <c r="AE248" s="184"/>
      <c r="AF248" s="184"/>
      <c r="AG248" s="184"/>
      <c r="AH248" s="184"/>
      <c r="AI248" s="184"/>
      <c r="AJ248" s="184"/>
      <c r="AK248" s="184"/>
      <c r="AL248" s="184"/>
      <c r="AM248" s="184"/>
      <c r="AN248" s="185"/>
      <c r="AO248" s="185"/>
      <c r="AP248" s="185"/>
      <c r="AQ248" s="185"/>
    </row>
    <row r="249" ht="18.0" customHeight="1">
      <c r="A249" s="98" t="s">
        <v>284</v>
      </c>
      <c r="B249" s="98" t="s">
        <v>264</v>
      </c>
      <c r="C249" s="98" t="s">
        <v>663</v>
      </c>
      <c r="D249" s="142" t="s">
        <v>664</v>
      </c>
      <c r="E249" s="102" t="s">
        <v>665</v>
      </c>
      <c r="F249" s="98" t="b">
        <f>if('Contextualisation form'!$H$17=TRUE,FALSE,TRUE)</f>
        <v>1</v>
      </c>
      <c r="G249" s="98"/>
      <c r="H249" s="98"/>
      <c r="I249" s="98"/>
      <c r="J249" s="98"/>
      <c r="K249" s="209" t="s">
        <v>666</v>
      </c>
      <c r="L249" s="102" t="b">
        <v>1</v>
      </c>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row>
    <row r="250" ht="18.0" customHeight="1">
      <c r="A250" s="98" t="s">
        <v>284</v>
      </c>
      <c r="B250" s="98" t="s">
        <v>359</v>
      </c>
      <c r="C250" s="98" t="s">
        <v>667</v>
      </c>
      <c r="D250" s="127" t="s">
        <v>668</v>
      </c>
      <c r="E250" s="98"/>
      <c r="F250" s="98" t="b">
        <f>if('Contextualisation form'!$H$17=TRUE,FALSE,TRUE)</f>
        <v>1</v>
      </c>
      <c r="G250" s="98"/>
      <c r="H250" s="98"/>
      <c r="I250" s="98"/>
      <c r="J250" s="98"/>
      <c r="K250" s="209" t="s">
        <v>666</v>
      </c>
      <c r="L250" s="102" t="b">
        <v>1</v>
      </c>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row>
    <row r="251" ht="18.0" customHeight="1">
      <c r="A251" s="98" t="s">
        <v>284</v>
      </c>
      <c r="B251" s="98" t="s">
        <v>264</v>
      </c>
      <c r="C251" s="98" t="s">
        <v>669</v>
      </c>
      <c r="D251" s="127" t="s">
        <v>670</v>
      </c>
      <c r="E251" s="98"/>
      <c r="F251" s="98" t="b">
        <f>if('Contextualisation form'!$H$17=TRUE,FALSE,TRUE)</f>
        <v>1</v>
      </c>
      <c r="G251" s="98"/>
      <c r="H251" s="98"/>
      <c r="I251" s="98"/>
      <c r="J251" s="98"/>
      <c r="K251" s="209" t="s">
        <v>666</v>
      </c>
      <c r="L251" s="102" t="b">
        <v>1</v>
      </c>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row>
    <row r="252" ht="18.0" customHeight="1">
      <c r="A252" s="98" t="s">
        <v>284</v>
      </c>
      <c r="B252" s="98" t="s">
        <v>359</v>
      </c>
      <c r="C252" s="98" t="s">
        <v>671</v>
      </c>
      <c r="D252" s="127" t="s">
        <v>672</v>
      </c>
      <c r="E252" s="98"/>
      <c r="F252" s="98" t="b">
        <f>if('Contextualisation form'!$H$17=TRUE,FALSE,TRUE)</f>
        <v>1</v>
      </c>
      <c r="G252" s="98"/>
      <c r="H252" s="98"/>
      <c r="I252" s="98"/>
      <c r="J252" s="98"/>
      <c r="K252" s="209" t="s">
        <v>673</v>
      </c>
      <c r="L252" s="102" t="b">
        <v>1</v>
      </c>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row>
    <row r="253" ht="16.5" customHeight="1">
      <c r="A253" s="98"/>
      <c r="B253" s="108" t="s">
        <v>384</v>
      </c>
      <c r="C253" s="98" t="s">
        <v>674</v>
      </c>
      <c r="D253" s="127" t="s">
        <v>675</v>
      </c>
      <c r="E253" s="98"/>
      <c r="F253" s="98"/>
      <c r="G253" s="98"/>
      <c r="H253" s="98"/>
      <c r="I253" s="98"/>
      <c r="J253" s="98"/>
      <c r="K253" s="209" t="s">
        <v>673</v>
      </c>
      <c r="L253" s="102" t="b">
        <v>1</v>
      </c>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row>
    <row r="254" ht="16.5" customHeight="1">
      <c r="A254" s="98"/>
      <c r="B254" s="98" t="s">
        <v>264</v>
      </c>
      <c r="C254" s="98" t="s">
        <v>676</v>
      </c>
      <c r="D254" s="142" t="s">
        <v>677</v>
      </c>
      <c r="E254" s="98"/>
      <c r="F254" s="98"/>
      <c r="G254" s="98"/>
      <c r="H254" s="98"/>
      <c r="I254" s="98"/>
      <c r="J254" s="98"/>
      <c r="K254" s="209" t="s">
        <v>673</v>
      </c>
      <c r="L254" s="102" t="b">
        <v>1</v>
      </c>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row>
    <row r="255" ht="16.5" customHeight="1">
      <c r="A255" s="98"/>
      <c r="B255" s="98" t="s">
        <v>264</v>
      </c>
      <c r="C255" s="169" t="s">
        <v>678</v>
      </c>
      <c r="D255" s="142" t="s">
        <v>679</v>
      </c>
      <c r="E255" s="98"/>
      <c r="F255" s="98"/>
      <c r="G255" s="98"/>
      <c r="H255" s="98"/>
      <c r="I255" s="98"/>
      <c r="J255" s="98"/>
      <c r="K255" s="209" t="s">
        <v>666</v>
      </c>
      <c r="L255" s="102" t="b">
        <v>1</v>
      </c>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row>
    <row r="256" ht="16.5" customHeight="1">
      <c r="A256" s="98"/>
      <c r="B256" s="108" t="s">
        <v>384</v>
      </c>
      <c r="C256" s="98" t="s">
        <v>680</v>
      </c>
      <c r="D256" s="127" t="s">
        <v>681</v>
      </c>
      <c r="E256" s="98"/>
      <c r="F256" s="98"/>
      <c r="G256" s="98"/>
      <c r="H256" s="98"/>
      <c r="I256" s="98"/>
      <c r="J256" s="98"/>
      <c r="K256" s="209" t="s">
        <v>682</v>
      </c>
      <c r="L256" s="102" t="b">
        <v>1</v>
      </c>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row>
    <row r="257" ht="16.5" customHeight="1">
      <c r="A257" s="98"/>
      <c r="B257" s="98" t="s">
        <v>264</v>
      </c>
      <c r="C257" s="102" t="s">
        <v>683</v>
      </c>
      <c r="D257" s="142" t="s">
        <v>684</v>
      </c>
      <c r="E257" s="98"/>
      <c r="F257" s="98"/>
      <c r="G257" s="98"/>
      <c r="H257" s="98"/>
      <c r="I257" s="98"/>
      <c r="J257" s="98"/>
      <c r="K257" s="209" t="s">
        <v>682</v>
      </c>
      <c r="L257" s="102" t="b">
        <v>1</v>
      </c>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row>
    <row r="258" ht="16.5" customHeight="1">
      <c r="A258" s="98"/>
      <c r="B258" s="98" t="s">
        <v>264</v>
      </c>
      <c r="C258" s="169" t="s">
        <v>685</v>
      </c>
      <c r="D258" s="142" t="s">
        <v>686</v>
      </c>
      <c r="E258" s="98"/>
      <c r="F258" s="98"/>
      <c r="G258" s="98"/>
      <c r="H258" s="98"/>
      <c r="I258" s="98"/>
      <c r="J258" s="98"/>
      <c r="K258" s="209" t="s">
        <v>682</v>
      </c>
      <c r="L258" s="102" t="b">
        <v>1</v>
      </c>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row>
    <row r="259" ht="16.5" customHeight="1">
      <c r="A259" s="102" t="s">
        <v>687</v>
      </c>
      <c r="B259" s="108" t="s">
        <v>264</v>
      </c>
      <c r="C259" s="170" t="s">
        <v>688</v>
      </c>
      <c r="D259" s="141" t="str">
        <f>CONCATENATE("In the past 12 months, how much profit did you have from other crops? Only consider profit from crops OTHER THAN ", 'Contextualisation form'!D15," ,${othermaincrop_1_name}, and ${othermaincrop_2_name} (Please report in local currency)")</f>
        <v>In the past 12 months, how much profit did you have from other crops? Only consider profit from crops OTHER THAN cocoa ,${othermaincrop_1_name}, and ${othermaincrop_2_name} (Please report in local currency)</v>
      </c>
      <c r="E259" s="98"/>
      <c r="F259" s="143" t="b">
        <f>if(OR('Contextualisation form'!$E$23="Deep dive other crops (2)",'Contextualisation form'!$E$24= "Deep dive other crops (2)",'Contextualisation form'!$E$25="Deep dive other crops (2)"),FALSE,TRUE)</f>
        <v>1</v>
      </c>
      <c r="G259" s="98"/>
      <c r="H259" s="98"/>
      <c r="I259" s="98"/>
      <c r="J259" s="98"/>
      <c r="K259" s="98"/>
      <c r="L259" s="102" t="b">
        <v>1</v>
      </c>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row>
    <row r="260" ht="16.5" customHeight="1">
      <c r="A260" s="102" t="s">
        <v>687</v>
      </c>
      <c r="B260" s="108" t="s">
        <v>384</v>
      </c>
      <c r="C260" s="170" t="s">
        <v>689</v>
      </c>
      <c r="D260" s="141" t="str">
        <f>CONCATENATE("What share of the total household income is coming from other crops? Only consider profit from crops OTHER THAN ", 'Contextualisation form'!D15," ,${othermaincrop_1_name}, and ${othermaincrop_2_name}")</f>
        <v>What share of the total household income is coming from other crops? Only consider profit from crops OTHER THAN cocoa ,${othermaincrop_1_name}, and ${othermaincrop_2_name}</v>
      </c>
      <c r="E260" s="98"/>
      <c r="F260" s="143" t="b">
        <f>if(OR('Contextualisation form'!$E$23="Deep dive other crops (2)",'Contextualisation form'!$E$24= "Deep dive other crops (2)",'Contextualisation form'!$E$25="Deep dive other crops (2)"),FALSE,TRUE)</f>
        <v>1</v>
      </c>
      <c r="G260" s="98"/>
      <c r="H260" s="98"/>
      <c r="I260" s="98"/>
      <c r="J260" s="98"/>
      <c r="K260" s="98"/>
      <c r="L260" s="102" t="b">
        <v>1</v>
      </c>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row>
    <row r="261" ht="16.5" customHeight="1">
      <c r="A261" s="104"/>
      <c r="B261" s="104" t="s">
        <v>253</v>
      </c>
      <c r="C261" s="105" t="s">
        <v>661</v>
      </c>
      <c r="D261" s="104"/>
      <c r="E261" s="104"/>
      <c r="F261" s="104"/>
      <c r="G261" s="104"/>
      <c r="H261" s="104"/>
      <c r="I261" s="104"/>
      <c r="J261" s="104"/>
      <c r="K261" s="104"/>
      <c r="L261" s="104"/>
      <c r="M261" s="104"/>
      <c r="N261" s="104"/>
      <c r="O261" s="104"/>
      <c r="P261" s="104"/>
      <c r="Q261" s="104"/>
      <c r="R261" s="104" t="s">
        <v>109</v>
      </c>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6"/>
      <c r="AO261" s="106"/>
      <c r="AP261" s="106"/>
      <c r="AQ261" s="106"/>
    </row>
    <row r="262" ht="16.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row>
    <row r="263" ht="18.0" customHeight="1">
      <c r="A263" s="184"/>
      <c r="B263" s="184" t="s">
        <v>209</v>
      </c>
      <c r="C263" s="105" t="s">
        <v>690</v>
      </c>
      <c r="D263" s="184" t="s">
        <v>691</v>
      </c>
      <c r="E263" s="184"/>
      <c r="F263" s="184"/>
      <c r="G263" s="184"/>
      <c r="H263" s="184"/>
      <c r="I263" s="184"/>
      <c r="J263" s="184"/>
      <c r="K263" s="184"/>
      <c r="L263" s="184"/>
      <c r="M263" s="184"/>
      <c r="N263" s="184"/>
      <c r="O263" s="184"/>
      <c r="P263" s="184"/>
      <c r="Q263" s="184"/>
      <c r="R263" s="184" t="s">
        <v>109</v>
      </c>
      <c r="S263" s="184"/>
      <c r="T263" s="184"/>
      <c r="U263" s="184"/>
      <c r="V263" s="184"/>
      <c r="W263" s="184"/>
      <c r="X263" s="184"/>
      <c r="Y263" s="184"/>
      <c r="Z263" s="184"/>
      <c r="AA263" s="184"/>
      <c r="AB263" s="184"/>
      <c r="AC263" s="184"/>
      <c r="AD263" s="184"/>
      <c r="AE263" s="184"/>
      <c r="AF263" s="184"/>
      <c r="AG263" s="184"/>
      <c r="AH263" s="184"/>
      <c r="AI263" s="184"/>
      <c r="AJ263" s="184"/>
      <c r="AK263" s="184"/>
      <c r="AL263" s="184"/>
      <c r="AM263" s="184"/>
      <c r="AN263" s="185"/>
      <c r="AO263" s="185"/>
      <c r="AP263" s="185"/>
      <c r="AQ263" s="185"/>
    </row>
    <row r="264" ht="18.0" customHeight="1">
      <c r="A264" s="98"/>
      <c r="B264" s="180" t="s">
        <v>692</v>
      </c>
      <c r="C264" s="98" t="s">
        <v>693</v>
      </c>
      <c r="D264" s="98" t="s">
        <v>694</v>
      </c>
      <c r="E264" s="210"/>
      <c r="F264" s="98"/>
      <c r="G264" s="210"/>
      <c r="H264" s="210"/>
      <c r="I264" s="210"/>
      <c r="J264" s="210"/>
      <c r="K264" s="102"/>
      <c r="L264" s="180" t="b">
        <v>1</v>
      </c>
      <c r="M264" s="210"/>
      <c r="N264" s="210"/>
      <c r="O264" s="210"/>
      <c r="P264" s="210"/>
      <c r="Q264" s="210"/>
      <c r="R264" s="210"/>
      <c r="S264" s="210"/>
      <c r="T264" s="210"/>
      <c r="U264" s="210"/>
      <c r="V264" s="210"/>
      <c r="W264" s="210"/>
      <c r="X264" s="210"/>
      <c r="Y264" s="210"/>
      <c r="Z264" s="210"/>
      <c r="AA264" s="210"/>
      <c r="AB264" s="210"/>
      <c r="AC264" s="210"/>
      <c r="AD264" s="210"/>
      <c r="AE264" s="210"/>
      <c r="AF264" s="210"/>
      <c r="AG264" s="210"/>
      <c r="AH264" s="210"/>
      <c r="AI264" s="210"/>
      <c r="AJ264" s="210"/>
      <c r="AK264" s="210"/>
      <c r="AL264" s="210"/>
      <c r="AM264" s="210"/>
      <c r="AN264" s="210"/>
      <c r="AO264" s="210"/>
      <c r="AP264" s="210"/>
      <c r="AQ264" s="210"/>
    </row>
    <row r="265" ht="16.5" customHeight="1">
      <c r="A265" s="98"/>
      <c r="B265" s="98" t="s">
        <v>384</v>
      </c>
      <c r="C265" s="98" t="s">
        <v>695</v>
      </c>
      <c r="D265" s="107" t="s">
        <v>696</v>
      </c>
      <c r="E265" s="98"/>
      <c r="F265" s="98"/>
      <c r="G265" s="98"/>
      <c r="H265" s="98"/>
      <c r="I265" s="98"/>
      <c r="J265" s="98"/>
      <c r="K265" s="102" t="s">
        <v>697</v>
      </c>
      <c r="L265" s="180" t="b">
        <v>1</v>
      </c>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row>
    <row r="266" ht="16.5" customHeight="1">
      <c r="A266" s="98"/>
      <c r="B266" s="98" t="s">
        <v>264</v>
      </c>
      <c r="C266" s="98" t="s">
        <v>698</v>
      </c>
      <c r="D266" s="141" t="s">
        <v>699</v>
      </c>
      <c r="E266" s="98"/>
      <c r="F266" s="98"/>
      <c r="G266" s="98"/>
      <c r="H266" s="98"/>
      <c r="I266" s="98"/>
      <c r="J266" s="98"/>
      <c r="K266" s="102" t="s">
        <v>697</v>
      </c>
      <c r="L266" s="180" t="b">
        <v>1</v>
      </c>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row>
    <row r="267" ht="16.5" customHeight="1">
      <c r="A267" s="98"/>
      <c r="B267" s="98" t="s">
        <v>264</v>
      </c>
      <c r="C267" s="98" t="s">
        <v>700</v>
      </c>
      <c r="D267" s="142" t="s">
        <v>701</v>
      </c>
      <c r="E267" s="98"/>
      <c r="F267" s="98"/>
      <c r="G267" s="98"/>
      <c r="H267" s="98"/>
      <c r="I267" s="98"/>
      <c r="J267" s="98"/>
      <c r="K267" s="102" t="s">
        <v>697</v>
      </c>
      <c r="L267" s="180" t="b">
        <v>1</v>
      </c>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row>
    <row r="268" ht="16.5" customHeight="1">
      <c r="A268" s="102" t="s">
        <v>702</v>
      </c>
      <c r="B268" s="108" t="s">
        <v>264</v>
      </c>
      <c r="C268" s="170" t="s">
        <v>703</v>
      </c>
      <c r="D268" s="141" t="s">
        <v>704</v>
      </c>
      <c r="E268" s="98"/>
      <c r="F268" s="143" t="b">
        <f>if(OR('Contextualisation form'!$E$23="Deep dive livestock (6)",'Contextualisation form'!$E$24= "Deep dive livestock (6)",'Contextualisation form'!$E$25="Deep dive livestock (6)"),FALSE,TRUE)</f>
        <v>1</v>
      </c>
      <c r="G268" s="98"/>
      <c r="H268" s="98"/>
      <c r="I268" s="98"/>
      <c r="J268" s="98"/>
      <c r="K268" s="98"/>
      <c r="L268" s="102" t="b">
        <v>1</v>
      </c>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row>
    <row r="269" ht="16.5" customHeight="1">
      <c r="A269" s="102" t="s">
        <v>702</v>
      </c>
      <c r="B269" s="108" t="s">
        <v>264</v>
      </c>
      <c r="C269" s="170" t="s">
        <v>705</v>
      </c>
      <c r="D269" s="141" t="s">
        <v>706</v>
      </c>
      <c r="E269" s="98"/>
      <c r="F269" s="143" t="b">
        <f>if(OR('Contextualisation form'!$E$23="Deep dive livestock (6)",'Contextualisation form'!$E$24= "Deep dive livestock (6)",'Contextualisation form'!$E$25="Deep dive livestock (6)"),FALSE,TRUE)</f>
        <v>1</v>
      </c>
      <c r="G269" s="98"/>
      <c r="H269" s="98"/>
      <c r="I269" s="98"/>
      <c r="J269" s="98"/>
      <c r="K269" s="98"/>
      <c r="L269" s="102" t="b">
        <v>1</v>
      </c>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row>
    <row r="270" ht="16.5" customHeight="1">
      <c r="A270" s="102" t="s">
        <v>702</v>
      </c>
      <c r="B270" s="108" t="s">
        <v>264</v>
      </c>
      <c r="C270" s="170" t="s">
        <v>707</v>
      </c>
      <c r="D270" s="141" t="s">
        <v>708</v>
      </c>
      <c r="E270" s="98"/>
      <c r="F270" s="143" t="b">
        <f>if(OR('Contextualisation form'!$E$23="Deep dive livestock (6)",'Contextualisation form'!$E$24= "Deep dive livestock (6)",'Contextualisation form'!$E$25="Deep dive livestock (6)"),FALSE,TRUE)</f>
        <v>1</v>
      </c>
      <c r="G270" s="98"/>
      <c r="H270" s="98"/>
      <c r="I270" s="98"/>
      <c r="J270" s="98"/>
      <c r="K270" s="98"/>
      <c r="L270" s="102" t="b">
        <v>1</v>
      </c>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row>
    <row r="271" ht="16.5" customHeight="1">
      <c r="A271" s="102" t="s">
        <v>702</v>
      </c>
      <c r="B271" s="108" t="s">
        <v>264</v>
      </c>
      <c r="C271" s="170" t="s">
        <v>709</v>
      </c>
      <c r="D271" s="141" t="s">
        <v>710</v>
      </c>
      <c r="E271" s="98"/>
      <c r="F271" s="143" t="b">
        <f>if(OR('Contextualisation form'!$E$23="Deep dive livestock (6)",'Contextualisation form'!$E$24= "Deep dive livestock (6)",'Contextualisation form'!$E$25="Deep dive livestock (6)"),FALSE,TRUE)</f>
        <v>1</v>
      </c>
      <c r="G271" s="98"/>
      <c r="H271" s="98"/>
      <c r="I271" s="98"/>
      <c r="J271" s="98"/>
      <c r="K271" s="98"/>
      <c r="L271" s="102" t="b">
        <v>1</v>
      </c>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row>
    <row r="272" ht="16.5" customHeight="1">
      <c r="A272" s="102" t="s">
        <v>702</v>
      </c>
      <c r="B272" s="108" t="s">
        <v>264</v>
      </c>
      <c r="C272" s="170" t="s">
        <v>711</v>
      </c>
      <c r="D272" s="141" t="s">
        <v>712</v>
      </c>
      <c r="E272" s="98"/>
      <c r="F272" s="143" t="b">
        <f>if(OR('Contextualisation form'!$E$23="Deep dive livestock (6)",'Contextualisation form'!$E$24= "Deep dive livestock (6)",'Contextualisation form'!$E$25="Deep dive livestock (6)"),FALSE,TRUE)</f>
        <v>1</v>
      </c>
      <c r="G272" s="98"/>
      <c r="H272" s="98"/>
      <c r="I272" s="98"/>
      <c r="J272" s="98"/>
      <c r="K272" s="98"/>
      <c r="L272" s="102" t="b">
        <v>1</v>
      </c>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row>
    <row r="273" ht="16.5" customHeight="1">
      <c r="A273" s="104"/>
      <c r="B273" s="104" t="s">
        <v>253</v>
      </c>
      <c r="C273" s="105" t="s">
        <v>690</v>
      </c>
      <c r="D273" s="104"/>
      <c r="E273" s="104"/>
      <c r="F273" s="104"/>
      <c r="G273" s="104"/>
      <c r="H273" s="104"/>
      <c r="I273" s="104"/>
      <c r="J273" s="104"/>
      <c r="K273" s="104"/>
      <c r="L273" s="104"/>
      <c r="M273" s="104"/>
      <c r="N273" s="104"/>
      <c r="O273" s="104"/>
      <c r="P273" s="104"/>
      <c r="Q273" s="104"/>
      <c r="R273" s="104" t="s">
        <v>109</v>
      </c>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6"/>
      <c r="AO273" s="106"/>
      <c r="AP273" s="106"/>
      <c r="AQ273" s="106"/>
    </row>
    <row r="274" ht="16.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row>
    <row r="275" ht="16.5" customHeight="1">
      <c r="A275" s="184"/>
      <c r="B275" s="184" t="s">
        <v>209</v>
      </c>
      <c r="C275" s="105" t="s">
        <v>713</v>
      </c>
      <c r="D275" s="184" t="s">
        <v>714</v>
      </c>
      <c r="E275" s="184"/>
      <c r="F275" s="188" t="b">
        <f>if(OR('Contextualisation form'!$E$23="General Farm Practices (5)",'Contextualisation form'!$E$24= "General Farm Practices (5))",'Contextualisation form'!$E$25="General Farm Practices (5)"),FALSE,TRUE)</f>
        <v>1</v>
      </c>
      <c r="G275" s="184"/>
      <c r="H275" s="184"/>
      <c r="I275" s="184"/>
      <c r="J275" s="184"/>
      <c r="K275" s="105" t="b">
        <v>0</v>
      </c>
      <c r="L275" s="184"/>
      <c r="M275" s="184"/>
      <c r="N275" s="184"/>
      <c r="O275" s="184"/>
      <c r="P275" s="184"/>
      <c r="Q275" s="184"/>
      <c r="R275" s="184" t="s">
        <v>109</v>
      </c>
      <c r="S275" s="184"/>
      <c r="T275" s="184"/>
      <c r="U275" s="184"/>
      <c r="V275" s="184"/>
      <c r="W275" s="184"/>
      <c r="X275" s="184"/>
      <c r="Y275" s="184"/>
      <c r="Z275" s="184"/>
      <c r="AA275" s="184"/>
      <c r="AB275" s="184"/>
      <c r="AC275" s="184"/>
      <c r="AD275" s="184"/>
      <c r="AE275" s="184"/>
      <c r="AF275" s="184"/>
      <c r="AG275" s="184"/>
      <c r="AH275" s="184"/>
      <c r="AI275" s="184"/>
      <c r="AJ275" s="184"/>
      <c r="AK275" s="184"/>
      <c r="AL275" s="184"/>
      <c r="AM275" s="184"/>
      <c r="AN275" s="185"/>
      <c r="AO275" s="185"/>
      <c r="AP275" s="185"/>
      <c r="AQ275" s="185"/>
    </row>
    <row r="276" ht="16.5" customHeight="1">
      <c r="A276" s="102" t="s">
        <v>715</v>
      </c>
      <c r="B276" s="98" t="s">
        <v>716</v>
      </c>
      <c r="C276" s="140" t="s">
        <v>717</v>
      </c>
      <c r="D276" s="141" t="s">
        <v>718</v>
      </c>
      <c r="E276" s="98"/>
      <c r="F276" s="143" t="b">
        <f>if(OR('Contextualisation form'!$E$23="General Farm Practices (5)",'Contextualisation form'!$E$24= "General Farm Practices (5))",'Contextualisation form'!$E$25="General Farm Practices (5)"),FALSE,TRUE)</f>
        <v>1</v>
      </c>
      <c r="G276" s="98"/>
      <c r="H276" s="98"/>
      <c r="I276" s="98"/>
      <c r="J276" s="98"/>
      <c r="K276" s="98"/>
      <c r="L276" s="102" t="b">
        <v>1</v>
      </c>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row>
    <row r="277" ht="16.5" customHeight="1">
      <c r="A277" s="102" t="s">
        <v>715</v>
      </c>
      <c r="B277" s="108" t="s">
        <v>719</v>
      </c>
      <c r="C277" s="170" t="s">
        <v>720</v>
      </c>
      <c r="D277" s="107" t="str">
        <f>CONCATENATE("How far do you have to travel to sell your ", 'Contextualisation form'!D15,"?")</f>
        <v>How far do you have to travel to sell your cocoa?</v>
      </c>
      <c r="E277" s="98"/>
      <c r="F277" s="143" t="b">
        <f>if(OR('Contextualisation form'!$E$23="General Farm Practices (5)",'Contextualisation form'!$E$24= "General Farm Practices (5))",'Contextualisation form'!$E$25="General Farm Practices (5)"),FALSE,TRUE)</f>
        <v>1</v>
      </c>
      <c r="G277" s="98"/>
      <c r="H277" s="98"/>
      <c r="I277" s="98"/>
      <c r="J277" s="98"/>
      <c r="K277" s="98"/>
      <c r="L277" s="102" t="b">
        <v>1</v>
      </c>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row>
    <row r="278" ht="16.5" customHeight="1">
      <c r="A278" s="102" t="s">
        <v>715</v>
      </c>
      <c r="B278" s="108" t="s">
        <v>719</v>
      </c>
      <c r="C278" s="170" t="s">
        <v>721</v>
      </c>
      <c r="D278" s="127" t="s">
        <v>722</v>
      </c>
      <c r="E278" s="98"/>
      <c r="F278" s="143" t="b">
        <f>if(OR('Contextualisation form'!$E$23="General Farm Practices (5)",'Contextualisation form'!$E$24= "General Farm Practices (5))",'Contextualisation form'!$E$25="General Farm Practices (5)"),FALSE,TRUE)</f>
        <v>1</v>
      </c>
      <c r="G278" s="98"/>
      <c r="H278" s="98"/>
      <c r="I278" s="98"/>
      <c r="J278" s="98"/>
      <c r="K278" s="98"/>
      <c r="L278" s="102" t="b">
        <v>1</v>
      </c>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row>
    <row r="279" ht="16.5" customHeight="1">
      <c r="A279" s="102" t="s">
        <v>715</v>
      </c>
      <c r="B279" s="108" t="s">
        <v>719</v>
      </c>
      <c r="C279" s="170" t="s">
        <v>723</v>
      </c>
      <c r="D279" s="127" t="s">
        <v>724</v>
      </c>
      <c r="E279" s="98"/>
      <c r="F279" s="143" t="b">
        <f>if(OR('Contextualisation form'!$E$23="General Farm Practices (5)",'Contextualisation form'!$E$24= "General Farm Practices (5))",'Contextualisation form'!$E$25="General Farm Practices (5)"),FALSE,TRUE)</f>
        <v>1</v>
      </c>
      <c r="G279" s="98"/>
      <c r="H279" s="98"/>
      <c r="I279" s="98"/>
      <c r="J279" s="98"/>
      <c r="K279" s="98"/>
      <c r="L279" s="102" t="b">
        <v>1</v>
      </c>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row>
    <row r="280" ht="16.5" customHeight="1">
      <c r="A280" s="102" t="s">
        <v>715</v>
      </c>
      <c r="B280" s="108" t="s">
        <v>725</v>
      </c>
      <c r="C280" s="170" t="s">
        <v>726</v>
      </c>
      <c r="D280" s="127" t="s">
        <v>727</v>
      </c>
      <c r="E280" s="98"/>
      <c r="F280" s="143" t="b">
        <f>if(OR('Contextualisation form'!$E$23="General Farm Practices (5)",'Contextualisation form'!$E$24= "General Farm Practices (5))",'Contextualisation form'!$E$25="General Farm Practices (5)"),FALSE,TRUE)</f>
        <v>1</v>
      </c>
      <c r="G280" s="98"/>
      <c r="H280" s="98"/>
      <c r="I280" s="98"/>
      <c r="J280" s="98"/>
      <c r="K280" s="98"/>
      <c r="L280" s="102" t="b">
        <v>1</v>
      </c>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row>
    <row r="281" ht="16.5" customHeight="1">
      <c r="A281" s="184"/>
      <c r="B281" s="184" t="s">
        <v>253</v>
      </c>
      <c r="C281" s="105" t="s">
        <v>713</v>
      </c>
      <c r="D281" s="184"/>
      <c r="E281" s="184"/>
      <c r="F281" s="184"/>
      <c r="G281" s="184"/>
      <c r="H281" s="184"/>
      <c r="I281" s="184"/>
      <c r="J281" s="184"/>
      <c r="K281" s="184"/>
      <c r="L281" s="184"/>
      <c r="M281" s="184"/>
      <c r="N281" s="184"/>
      <c r="O281" s="184"/>
      <c r="P281" s="184"/>
      <c r="Q281" s="184"/>
      <c r="R281" s="184" t="s">
        <v>109</v>
      </c>
      <c r="S281" s="184"/>
      <c r="T281" s="184"/>
      <c r="U281" s="184"/>
      <c r="V281" s="184"/>
      <c r="W281" s="184"/>
      <c r="X281" s="184"/>
      <c r="Y281" s="184"/>
      <c r="Z281" s="184"/>
      <c r="AA281" s="184"/>
      <c r="AB281" s="184"/>
      <c r="AC281" s="184"/>
      <c r="AD281" s="184"/>
      <c r="AE281" s="184"/>
      <c r="AF281" s="184"/>
      <c r="AG281" s="184"/>
      <c r="AH281" s="184"/>
      <c r="AI281" s="184"/>
      <c r="AJ281" s="184"/>
      <c r="AK281" s="184"/>
      <c r="AL281" s="184"/>
      <c r="AM281" s="184"/>
      <c r="AN281" s="185"/>
      <c r="AO281" s="185"/>
      <c r="AP281" s="185"/>
      <c r="AQ281" s="185"/>
    </row>
    <row r="282" ht="16.5" customHeight="1">
      <c r="A282" s="211"/>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c r="AA282" s="211"/>
      <c r="AB282" s="211"/>
      <c r="AC282" s="211"/>
      <c r="AD282" s="211"/>
      <c r="AE282" s="211"/>
      <c r="AF282" s="211"/>
      <c r="AG282" s="211"/>
      <c r="AH282" s="211"/>
      <c r="AI282" s="211"/>
      <c r="AJ282" s="211"/>
      <c r="AK282" s="211"/>
      <c r="AL282" s="211"/>
      <c r="AM282" s="211"/>
      <c r="AN282" s="210"/>
      <c r="AO282" s="210"/>
      <c r="AP282" s="210"/>
      <c r="AQ282" s="210"/>
    </row>
    <row r="283" ht="16.5" customHeight="1">
      <c r="A283" s="184"/>
      <c r="B283" s="184" t="s">
        <v>209</v>
      </c>
      <c r="C283" s="105" t="s">
        <v>728</v>
      </c>
      <c r="D283" s="105" t="s">
        <v>729</v>
      </c>
      <c r="E283" s="184"/>
      <c r="F283" s="184"/>
      <c r="G283" s="184"/>
      <c r="H283" s="184"/>
      <c r="I283" s="184"/>
      <c r="J283" s="184"/>
      <c r="K283" s="184"/>
      <c r="L283" s="184"/>
      <c r="M283" s="184"/>
      <c r="N283" s="184"/>
      <c r="O283" s="184"/>
      <c r="P283" s="184"/>
      <c r="Q283" s="184"/>
      <c r="R283" s="184" t="s">
        <v>109</v>
      </c>
      <c r="S283" s="184"/>
      <c r="T283" s="184"/>
      <c r="U283" s="184"/>
      <c r="V283" s="184"/>
      <c r="W283" s="184"/>
      <c r="X283" s="184"/>
      <c r="Y283" s="184"/>
      <c r="Z283" s="184"/>
      <c r="AA283" s="184"/>
      <c r="AB283" s="184"/>
      <c r="AC283" s="184"/>
      <c r="AD283" s="184"/>
      <c r="AE283" s="184"/>
      <c r="AF283" s="184"/>
      <c r="AG283" s="184"/>
      <c r="AH283" s="184"/>
      <c r="AI283" s="184"/>
      <c r="AJ283" s="184"/>
      <c r="AK283" s="184"/>
      <c r="AL283" s="184"/>
      <c r="AM283" s="184"/>
      <c r="AN283" s="185"/>
      <c r="AO283" s="185"/>
      <c r="AP283" s="185"/>
      <c r="AQ283" s="185"/>
    </row>
    <row r="284" ht="16.5" customHeight="1">
      <c r="A284" s="98"/>
      <c r="B284" s="180" t="s">
        <v>730</v>
      </c>
      <c r="C284" s="98" t="s">
        <v>731</v>
      </c>
      <c r="D284" s="127" t="s">
        <v>732</v>
      </c>
      <c r="E284" s="98"/>
      <c r="F284" s="98"/>
      <c r="G284" s="98"/>
      <c r="H284" s="98"/>
      <c r="I284" s="98"/>
      <c r="J284" s="98"/>
      <c r="K284" s="98"/>
      <c r="L284" s="102" t="b">
        <v>1</v>
      </c>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row>
    <row r="285" ht="16.5" customHeight="1">
      <c r="A285" s="98"/>
      <c r="B285" s="180" t="s">
        <v>224</v>
      </c>
      <c r="C285" s="102" t="s">
        <v>733</v>
      </c>
      <c r="D285" s="127" t="s">
        <v>734</v>
      </c>
      <c r="E285" s="98"/>
      <c r="F285" s="98"/>
      <c r="G285" s="98"/>
      <c r="H285" s="98"/>
      <c r="I285" s="98"/>
      <c r="J285" s="98"/>
      <c r="K285" s="98"/>
      <c r="L285" s="102" t="b">
        <v>1</v>
      </c>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row>
    <row r="286" ht="16.5" customHeight="1">
      <c r="A286" s="98"/>
      <c r="B286" s="108" t="s">
        <v>384</v>
      </c>
      <c r="C286" s="169" t="s">
        <v>735</v>
      </c>
      <c r="D286" s="141" t="s">
        <v>736</v>
      </c>
      <c r="E286" s="98"/>
      <c r="F286" s="98"/>
      <c r="G286" s="98"/>
      <c r="H286" s="98"/>
      <c r="I286" s="98"/>
      <c r="J286" s="98"/>
      <c r="K286" s="98"/>
      <c r="L286" s="102" t="b">
        <v>1</v>
      </c>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row>
    <row r="287" ht="16.5" customHeight="1">
      <c r="A287" s="98"/>
      <c r="B287" s="98" t="s">
        <v>307</v>
      </c>
      <c r="C287" s="169" t="s">
        <v>737</v>
      </c>
      <c r="D287" s="142" t="s">
        <v>738</v>
      </c>
      <c r="E287" s="98"/>
      <c r="F287" s="98"/>
      <c r="G287" s="98"/>
      <c r="H287" s="98"/>
      <c r="I287" s="98"/>
      <c r="J287" s="98"/>
      <c r="K287" s="98"/>
      <c r="L287" s="102" t="b">
        <v>1</v>
      </c>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row>
    <row r="288" ht="16.5" customHeight="1">
      <c r="A288" s="104"/>
      <c r="B288" s="104" t="s">
        <v>253</v>
      </c>
      <c r="C288" s="105" t="s">
        <v>728</v>
      </c>
      <c r="D288" s="104"/>
      <c r="E288" s="104"/>
      <c r="F288" s="104"/>
      <c r="G288" s="104"/>
      <c r="H288" s="104"/>
      <c r="I288" s="104"/>
      <c r="J288" s="104"/>
      <c r="K288" s="104"/>
      <c r="L288" s="104"/>
      <c r="M288" s="104"/>
      <c r="N288" s="104"/>
      <c r="O288" s="104"/>
      <c r="P288" s="104"/>
      <c r="Q288" s="104"/>
      <c r="R288" s="104" t="s">
        <v>109</v>
      </c>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6"/>
      <c r="AO288" s="106"/>
      <c r="AP288" s="106"/>
      <c r="AQ288" s="106"/>
    </row>
    <row r="289" ht="16.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c r="AP289" s="98"/>
      <c r="AQ289" s="98"/>
    </row>
    <row r="290" ht="16.5" customHeight="1">
      <c r="A290" s="184"/>
      <c r="B290" s="184" t="s">
        <v>209</v>
      </c>
      <c r="C290" s="105" t="s">
        <v>739</v>
      </c>
      <c r="D290" s="105" t="s">
        <v>740</v>
      </c>
      <c r="E290" s="184"/>
      <c r="F290" s="184"/>
      <c r="G290" s="184"/>
      <c r="H290" s="184"/>
      <c r="I290" s="184"/>
      <c r="J290" s="184"/>
      <c r="K290" s="184"/>
      <c r="L290" s="184"/>
      <c r="M290" s="184"/>
      <c r="N290" s="184"/>
      <c r="O290" s="184"/>
      <c r="P290" s="184"/>
      <c r="Q290" s="184"/>
      <c r="R290" s="184" t="s">
        <v>109</v>
      </c>
      <c r="S290" s="184"/>
      <c r="T290" s="184"/>
      <c r="U290" s="184"/>
      <c r="V290" s="184"/>
      <c r="W290" s="184"/>
      <c r="X290" s="184"/>
      <c r="Y290" s="184"/>
      <c r="Z290" s="184"/>
      <c r="AA290" s="184"/>
      <c r="AB290" s="184"/>
      <c r="AC290" s="184"/>
      <c r="AD290" s="184"/>
      <c r="AE290" s="184"/>
      <c r="AF290" s="184"/>
      <c r="AG290" s="184"/>
      <c r="AH290" s="184"/>
      <c r="AI290" s="184"/>
      <c r="AJ290" s="184"/>
      <c r="AK290" s="184"/>
      <c r="AL290" s="184"/>
      <c r="AM290" s="184"/>
      <c r="AN290" s="185"/>
      <c r="AO290" s="185"/>
      <c r="AP290" s="185"/>
      <c r="AQ290" s="185"/>
    </row>
    <row r="291" ht="16.5" customHeight="1">
      <c r="A291" s="98"/>
      <c r="B291" s="108" t="s">
        <v>398</v>
      </c>
      <c r="C291" s="98" t="s">
        <v>741</v>
      </c>
      <c r="D291" s="107" t="s">
        <v>742</v>
      </c>
      <c r="E291" s="98"/>
      <c r="F291" s="98"/>
      <c r="G291" s="98"/>
      <c r="H291" s="98"/>
      <c r="I291" s="98"/>
      <c r="J291" s="98"/>
      <c r="K291" s="98"/>
      <c r="L291" s="102" t="b">
        <v>1</v>
      </c>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c r="AK291" s="98"/>
      <c r="AL291" s="98"/>
      <c r="AM291" s="98"/>
      <c r="AN291" s="98"/>
      <c r="AO291" s="98"/>
      <c r="AP291" s="98"/>
      <c r="AQ291" s="98"/>
    </row>
    <row r="292" ht="16.5" customHeight="1">
      <c r="A292" s="98"/>
      <c r="B292" s="108" t="s">
        <v>743</v>
      </c>
      <c r="C292" s="98" t="s">
        <v>744</v>
      </c>
      <c r="D292" s="107" t="s">
        <v>745</v>
      </c>
      <c r="E292" s="98"/>
      <c r="F292" s="98"/>
      <c r="G292" s="98"/>
      <c r="H292" s="98"/>
      <c r="I292" s="98"/>
      <c r="J292" s="98"/>
      <c r="K292" s="102" t="s">
        <v>746</v>
      </c>
      <c r="L292" s="102" t="b">
        <v>1</v>
      </c>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row>
    <row r="293" ht="16.5" customHeight="1">
      <c r="A293" s="212"/>
      <c r="B293" s="144" t="s">
        <v>351</v>
      </c>
      <c r="C293" s="213" t="s">
        <v>368</v>
      </c>
      <c r="D293" s="214" t="s">
        <v>369</v>
      </c>
      <c r="E293" s="212"/>
      <c r="F293" s="212"/>
      <c r="G293" s="212"/>
      <c r="H293" s="212"/>
      <c r="I293" s="212"/>
      <c r="J293" s="212"/>
      <c r="K293" s="215"/>
      <c r="L293" s="212"/>
      <c r="M293" s="212"/>
      <c r="N293" s="144" t="s">
        <v>370</v>
      </c>
      <c r="O293" s="212"/>
      <c r="P293" s="212"/>
      <c r="Q293" s="212"/>
      <c r="R293" s="212"/>
      <c r="S293" s="212"/>
      <c r="T293" s="212"/>
      <c r="U293" s="212"/>
      <c r="V293" s="212"/>
      <c r="W293" s="212"/>
      <c r="X293" s="212"/>
      <c r="Y293" s="212"/>
      <c r="Z293" s="212"/>
      <c r="AA293" s="212"/>
      <c r="AB293" s="212"/>
      <c r="AC293" s="212"/>
      <c r="AD293" s="212"/>
      <c r="AE293" s="212"/>
      <c r="AF293" s="212"/>
      <c r="AG293" s="212"/>
      <c r="AH293" s="212"/>
      <c r="AI293" s="212"/>
      <c r="AJ293" s="212"/>
      <c r="AK293" s="212"/>
      <c r="AL293" s="212"/>
      <c r="AM293" s="212"/>
      <c r="AN293" s="212"/>
      <c r="AO293" s="212"/>
      <c r="AP293" s="212"/>
      <c r="AQ293" s="212"/>
    </row>
    <row r="294" ht="16.5" customHeight="1">
      <c r="A294" s="128"/>
      <c r="B294" s="111" t="s">
        <v>194</v>
      </c>
      <c r="C294" s="216" t="s">
        <v>371</v>
      </c>
      <c r="D294" s="217"/>
      <c r="E294" s="128"/>
      <c r="F294" s="128"/>
      <c r="G294" s="128"/>
      <c r="H294" s="128"/>
      <c r="I294" s="128"/>
      <c r="J294" s="128"/>
      <c r="K294" s="218"/>
      <c r="L294" s="128"/>
      <c r="M294" s="111" t="s">
        <v>372</v>
      </c>
      <c r="N294" s="128"/>
      <c r="O294" s="128"/>
      <c r="P294" s="128"/>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row>
    <row r="295" ht="16.5" customHeight="1">
      <c r="A295" s="128"/>
      <c r="B295" s="111" t="s">
        <v>194</v>
      </c>
      <c r="C295" s="216" t="s">
        <v>373</v>
      </c>
      <c r="D295" s="217"/>
      <c r="E295" s="128"/>
      <c r="F295" s="128"/>
      <c r="G295" s="128"/>
      <c r="H295" s="128"/>
      <c r="I295" s="128"/>
      <c r="J295" s="128"/>
      <c r="K295" s="218"/>
      <c r="L295" s="128"/>
      <c r="M295" s="111" t="s">
        <v>374</v>
      </c>
      <c r="N295" s="128"/>
      <c r="O295" s="128"/>
      <c r="P295" s="12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row>
    <row r="296" ht="16.5" customHeight="1">
      <c r="A296" s="128"/>
      <c r="B296" s="111" t="s">
        <v>194</v>
      </c>
      <c r="C296" s="216" t="s">
        <v>375</v>
      </c>
      <c r="D296" s="217"/>
      <c r="E296" s="128"/>
      <c r="F296" s="128"/>
      <c r="G296" s="128"/>
      <c r="H296" s="128"/>
      <c r="I296" s="128"/>
      <c r="J296" s="128"/>
      <c r="K296" s="218"/>
      <c r="L296" s="128"/>
      <c r="M296" s="111" t="s">
        <v>376</v>
      </c>
      <c r="N296" s="128"/>
      <c r="O296" s="128"/>
      <c r="P296" s="128"/>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row>
    <row r="297" ht="16.5" customHeight="1">
      <c r="A297" s="98"/>
      <c r="B297" s="108" t="s">
        <v>398</v>
      </c>
      <c r="C297" s="98" t="s">
        <v>747</v>
      </c>
      <c r="D297" s="127" t="s">
        <v>748</v>
      </c>
      <c r="E297" s="98"/>
      <c r="F297" s="98"/>
      <c r="G297" s="98"/>
      <c r="H297" s="98"/>
      <c r="I297" s="98"/>
      <c r="J297" s="98"/>
      <c r="K297" s="98"/>
      <c r="L297" s="102" t="b">
        <v>1</v>
      </c>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c r="AK297" s="98"/>
      <c r="AL297" s="98"/>
      <c r="AM297" s="98"/>
      <c r="AN297" s="98"/>
      <c r="AO297" s="98"/>
      <c r="AP297" s="98"/>
      <c r="AQ297" s="98"/>
    </row>
    <row r="298" ht="16.5" customHeight="1">
      <c r="A298" s="98"/>
      <c r="B298" s="180" t="s">
        <v>749</v>
      </c>
      <c r="C298" s="98" t="s">
        <v>750</v>
      </c>
      <c r="D298" s="127" t="s">
        <v>751</v>
      </c>
      <c r="E298" s="98"/>
      <c r="F298" s="98"/>
      <c r="G298" s="98"/>
      <c r="H298" s="98"/>
      <c r="I298" s="98"/>
      <c r="J298" s="98"/>
      <c r="K298" s="102" t="s">
        <v>752</v>
      </c>
      <c r="L298" s="102" t="b">
        <v>1</v>
      </c>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c r="AK298" s="98"/>
      <c r="AL298" s="98"/>
      <c r="AM298" s="98"/>
      <c r="AN298" s="98"/>
      <c r="AO298" s="98"/>
      <c r="AP298" s="98"/>
      <c r="AQ298" s="98"/>
    </row>
    <row r="299" ht="16.5" customHeight="1">
      <c r="A299" s="98"/>
      <c r="B299" s="180" t="s">
        <v>224</v>
      </c>
      <c r="C299" s="102" t="s">
        <v>753</v>
      </c>
      <c r="D299" s="142" t="s">
        <v>754</v>
      </c>
      <c r="E299" s="98"/>
      <c r="F299" s="98"/>
      <c r="G299" s="98"/>
      <c r="H299" s="98"/>
      <c r="I299" s="98"/>
      <c r="J299" s="98"/>
      <c r="K299" s="102" t="s">
        <v>755</v>
      </c>
      <c r="L299" s="102" t="b">
        <v>1</v>
      </c>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c r="AK299" s="98"/>
      <c r="AL299" s="98"/>
      <c r="AM299" s="98"/>
      <c r="AN299" s="98"/>
      <c r="AO299" s="98"/>
      <c r="AP299" s="98"/>
      <c r="AQ299" s="98"/>
    </row>
    <row r="300" ht="16.5" customHeight="1">
      <c r="A300" s="98"/>
      <c r="B300" s="180" t="s">
        <v>749</v>
      </c>
      <c r="C300" s="98" t="s">
        <v>756</v>
      </c>
      <c r="D300" s="142" t="s">
        <v>757</v>
      </c>
      <c r="E300" s="98"/>
      <c r="F300" s="98"/>
      <c r="G300" s="98"/>
      <c r="H300" s="98"/>
      <c r="I300" s="98"/>
      <c r="J300" s="98"/>
      <c r="K300" s="102" t="s">
        <v>752</v>
      </c>
      <c r="L300" s="102" t="b">
        <v>1</v>
      </c>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c r="AK300" s="98"/>
      <c r="AL300" s="98"/>
      <c r="AM300" s="98"/>
      <c r="AN300" s="98"/>
      <c r="AO300" s="98"/>
      <c r="AP300" s="98"/>
      <c r="AQ300" s="98"/>
    </row>
    <row r="301" ht="16.5" customHeight="1">
      <c r="A301" s="98"/>
      <c r="B301" s="98" t="s">
        <v>224</v>
      </c>
      <c r="C301" s="98" t="s">
        <v>758</v>
      </c>
      <c r="D301" s="142" t="s">
        <v>759</v>
      </c>
      <c r="E301" s="98"/>
      <c r="F301" s="98"/>
      <c r="G301" s="98"/>
      <c r="H301" s="98"/>
      <c r="I301" s="98"/>
      <c r="J301" s="98"/>
      <c r="K301" s="102" t="s">
        <v>760</v>
      </c>
      <c r="L301" s="102" t="b">
        <v>1</v>
      </c>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c r="AK301" s="98"/>
      <c r="AL301" s="98"/>
      <c r="AM301" s="98"/>
      <c r="AN301" s="98"/>
      <c r="AO301" s="98"/>
      <c r="AP301" s="98"/>
      <c r="AQ301" s="98"/>
    </row>
    <row r="302" ht="16.5" customHeight="1">
      <c r="A302" s="98"/>
      <c r="B302" s="108" t="s">
        <v>264</v>
      </c>
      <c r="C302" s="98" t="s">
        <v>761</v>
      </c>
      <c r="D302" s="127" t="s">
        <v>762</v>
      </c>
      <c r="E302" s="98"/>
      <c r="F302" s="98"/>
      <c r="G302" s="98"/>
      <c r="H302" s="98"/>
      <c r="I302" s="98"/>
      <c r="J302" s="98"/>
      <c r="K302" s="102" t="s">
        <v>752</v>
      </c>
      <c r="L302" s="102" t="b">
        <v>1</v>
      </c>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c r="AK302" s="98"/>
      <c r="AL302" s="98"/>
      <c r="AM302" s="98"/>
      <c r="AN302" s="98"/>
      <c r="AO302" s="98"/>
      <c r="AP302" s="98"/>
      <c r="AQ302" s="98"/>
    </row>
    <row r="303" ht="16.5" customHeight="1">
      <c r="A303" s="98"/>
      <c r="B303" s="108" t="s">
        <v>264</v>
      </c>
      <c r="C303" s="98" t="s">
        <v>763</v>
      </c>
      <c r="D303" s="127" t="s">
        <v>764</v>
      </c>
      <c r="E303" s="98"/>
      <c r="F303" s="98"/>
      <c r="G303" s="98"/>
      <c r="H303" s="98"/>
      <c r="I303" s="98"/>
      <c r="J303" s="98"/>
      <c r="K303" s="102" t="s">
        <v>752</v>
      </c>
      <c r="L303" s="102" t="b">
        <v>1</v>
      </c>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98"/>
      <c r="AM303" s="98"/>
      <c r="AN303" s="98"/>
      <c r="AO303" s="98"/>
      <c r="AP303" s="98"/>
      <c r="AQ303" s="98"/>
    </row>
    <row r="304" ht="16.5" customHeight="1">
      <c r="A304" s="98"/>
      <c r="B304" s="108" t="s">
        <v>398</v>
      </c>
      <c r="C304" s="98" t="s">
        <v>765</v>
      </c>
      <c r="D304" s="127" t="s">
        <v>766</v>
      </c>
      <c r="E304" s="98"/>
      <c r="F304" s="98"/>
      <c r="G304" s="98"/>
      <c r="H304" s="98"/>
      <c r="I304" s="98"/>
      <c r="J304" s="98"/>
      <c r="K304" s="102" t="s">
        <v>752</v>
      </c>
      <c r="L304" s="102" t="b">
        <v>1</v>
      </c>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row>
    <row r="305" ht="16.5" customHeight="1">
      <c r="A305" s="98"/>
      <c r="B305" s="108" t="s">
        <v>264</v>
      </c>
      <c r="C305" s="98" t="s">
        <v>767</v>
      </c>
      <c r="D305" s="127" t="s">
        <v>768</v>
      </c>
      <c r="E305" s="98"/>
      <c r="F305" s="98"/>
      <c r="G305" s="98"/>
      <c r="H305" s="98"/>
      <c r="I305" s="98"/>
      <c r="J305" s="98"/>
      <c r="K305" s="102" t="s">
        <v>752</v>
      </c>
      <c r="L305" s="102" t="b">
        <v>1</v>
      </c>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98"/>
      <c r="AM305" s="98"/>
      <c r="AN305" s="98"/>
      <c r="AO305" s="98"/>
      <c r="AP305" s="98"/>
      <c r="AQ305" s="98"/>
    </row>
    <row r="306" ht="16.5" customHeight="1">
      <c r="A306" s="98"/>
      <c r="B306" s="108" t="s">
        <v>769</v>
      </c>
      <c r="C306" s="98" t="s">
        <v>770</v>
      </c>
      <c r="D306" s="127" t="s">
        <v>771</v>
      </c>
      <c r="E306" s="98"/>
      <c r="F306" s="98"/>
      <c r="G306" s="98"/>
      <c r="H306" s="98"/>
      <c r="I306" s="98"/>
      <c r="J306" s="98"/>
      <c r="K306" s="102" t="s">
        <v>752</v>
      </c>
      <c r="L306" s="102" t="b">
        <v>1</v>
      </c>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98"/>
      <c r="AM306" s="98"/>
      <c r="AN306" s="98"/>
      <c r="AO306" s="98"/>
      <c r="AP306" s="98"/>
      <c r="AQ306" s="98"/>
    </row>
    <row r="307" ht="16.5" customHeight="1">
      <c r="A307" s="98"/>
      <c r="B307" s="180" t="s">
        <v>772</v>
      </c>
      <c r="C307" s="98" t="s">
        <v>773</v>
      </c>
      <c r="D307" s="127" t="s">
        <v>774</v>
      </c>
      <c r="E307" s="98"/>
      <c r="F307" s="98"/>
      <c r="G307" s="98"/>
      <c r="H307" s="98"/>
      <c r="I307" s="98"/>
      <c r="J307" s="98"/>
      <c r="K307" s="102" t="s">
        <v>752</v>
      </c>
      <c r="L307" s="102" t="b">
        <v>1</v>
      </c>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row>
    <row r="308" ht="15.75" customHeight="1">
      <c r="A308" s="98"/>
      <c r="B308" s="180" t="s">
        <v>775</v>
      </c>
      <c r="C308" s="98" t="s">
        <v>776</v>
      </c>
      <c r="D308" s="127" t="s">
        <v>777</v>
      </c>
      <c r="E308" s="98"/>
      <c r="F308" s="98"/>
      <c r="G308" s="98"/>
      <c r="H308" s="98"/>
      <c r="I308" s="98"/>
      <c r="J308" s="98"/>
      <c r="K308" s="102" t="s">
        <v>752</v>
      </c>
      <c r="L308" s="102" t="b">
        <v>1</v>
      </c>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98"/>
      <c r="AM308" s="98"/>
      <c r="AN308" s="98"/>
      <c r="AO308" s="98"/>
      <c r="AP308" s="98"/>
      <c r="AQ308" s="98"/>
    </row>
    <row r="309" ht="16.5" customHeight="1">
      <c r="A309" s="98"/>
      <c r="B309" s="98" t="s">
        <v>778</v>
      </c>
      <c r="C309" s="98" t="s">
        <v>779</v>
      </c>
      <c r="D309" s="107" t="s">
        <v>780</v>
      </c>
      <c r="E309" s="98"/>
      <c r="F309" s="98"/>
      <c r="G309" s="98"/>
      <c r="H309" s="98"/>
      <c r="I309" s="98"/>
      <c r="J309" s="98"/>
      <c r="K309" s="102" t="s">
        <v>781</v>
      </c>
      <c r="L309" s="102" t="b">
        <v>1</v>
      </c>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98"/>
      <c r="AM309" s="98"/>
      <c r="AN309" s="98"/>
      <c r="AO309" s="98"/>
      <c r="AP309" s="98"/>
      <c r="AQ309" s="98"/>
    </row>
    <row r="310" ht="16.5" customHeight="1">
      <c r="A310" s="98"/>
      <c r="B310" s="98" t="s">
        <v>778</v>
      </c>
      <c r="C310" s="98" t="s">
        <v>782</v>
      </c>
      <c r="D310" s="107" t="s">
        <v>783</v>
      </c>
      <c r="E310" s="98"/>
      <c r="F310" s="98"/>
      <c r="G310" s="98"/>
      <c r="H310" s="98"/>
      <c r="I310" s="98"/>
      <c r="J310" s="98"/>
      <c r="K310" s="102" t="s">
        <v>781</v>
      </c>
      <c r="L310" s="102" t="b">
        <v>1</v>
      </c>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row>
    <row r="311" ht="16.5" customHeight="1">
      <c r="A311" s="212"/>
      <c r="B311" s="144" t="s">
        <v>379</v>
      </c>
      <c r="C311" s="213" t="s">
        <v>368</v>
      </c>
      <c r="D311" s="219"/>
      <c r="E311" s="212"/>
      <c r="F311" s="212"/>
      <c r="G311" s="212"/>
      <c r="H311" s="212"/>
      <c r="I311" s="212"/>
      <c r="J311" s="212"/>
      <c r="K311" s="215"/>
      <c r="L311" s="212"/>
      <c r="M311" s="212"/>
      <c r="N311" s="144" t="s">
        <v>370</v>
      </c>
      <c r="O311" s="212"/>
      <c r="P311" s="212"/>
      <c r="Q311" s="212"/>
      <c r="R311" s="212"/>
      <c r="S311" s="212"/>
      <c r="T311" s="212"/>
      <c r="U311" s="212"/>
      <c r="V311" s="212"/>
      <c r="W311" s="212"/>
      <c r="X311" s="212"/>
      <c r="Y311" s="212"/>
      <c r="Z311" s="212"/>
      <c r="AA311" s="212"/>
      <c r="AB311" s="212"/>
      <c r="AC311" s="212"/>
      <c r="AD311" s="212"/>
      <c r="AE311" s="212"/>
      <c r="AF311" s="212"/>
      <c r="AG311" s="212"/>
      <c r="AH311" s="212"/>
      <c r="AI311" s="212"/>
      <c r="AJ311" s="212"/>
      <c r="AK311" s="212"/>
      <c r="AL311" s="212"/>
      <c r="AM311" s="212"/>
      <c r="AN311" s="212"/>
      <c r="AO311" s="212"/>
      <c r="AP311" s="212"/>
      <c r="AQ311" s="212"/>
    </row>
    <row r="312" ht="16.5" customHeight="1">
      <c r="A312" s="104"/>
      <c r="B312" s="104" t="s">
        <v>253</v>
      </c>
      <c r="C312" s="105" t="s">
        <v>739</v>
      </c>
      <c r="D312" s="104"/>
      <c r="E312" s="104"/>
      <c r="F312" s="104"/>
      <c r="G312" s="104"/>
      <c r="H312" s="104"/>
      <c r="I312" s="104"/>
      <c r="J312" s="104"/>
      <c r="K312" s="104"/>
      <c r="L312" s="104"/>
      <c r="M312" s="104"/>
      <c r="N312" s="104"/>
      <c r="O312" s="104"/>
      <c r="P312" s="104"/>
      <c r="Q312" s="104"/>
      <c r="R312" s="104" t="s">
        <v>109</v>
      </c>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6"/>
      <c r="AO312" s="106"/>
      <c r="AP312" s="106"/>
      <c r="AQ312" s="106"/>
    </row>
    <row r="313" ht="16.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98"/>
      <c r="AM313" s="98"/>
      <c r="AN313" s="98"/>
      <c r="AO313" s="98"/>
      <c r="AP313" s="98"/>
      <c r="AQ313" s="98"/>
    </row>
    <row r="314" ht="16.5" customHeight="1">
      <c r="A314" s="184"/>
      <c r="B314" s="184" t="s">
        <v>209</v>
      </c>
      <c r="C314" s="105" t="s">
        <v>784</v>
      </c>
      <c r="D314" s="184" t="s">
        <v>785</v>
      </c>
      <c r="E314" s="184"/>
      <c r="F314" s="184"/>
      <c r="G314" s="184"/>
      <c r="H314" s="184"/>
      <c r="I314" s="184"/>
      <c r="J314" s="184"/>
      <c r="K314" s="184"/>
      <c r="L314" s="184"/>
      <c r="M314" s="184"/>
      <c r="N314" s="184"/>
      <c r="O314" s="184"/>
      <c r="P314" s="184"/>
      <c r="Q314" s="184"/>
      <c r="R314" s="184" t="s">
        <v>109</v>
      </c>
      <c r="S314" s="184"/>
      <c r="T314" s="184"/>
      <c r="U314" s="184"/>
      <c r="V314" s="184"/>
      <c r="W314" s="184"/>
      <c r="X314" s="184"/>
      <c r="Y314" s="184"/>
      <c r="Z314" s="184"/>
      <c r="AA314" s="184"/>
      <c r="AB314" s="184"/>
      <c r="AC314" s="184"/>
      <c r="AD314" s="184"/>
      <c r="AE314" s="184"/>
      <c r="AF314" s="184"/>
      <c r="AG314" s="184"/>
      <c r="AH314" s="184"/>
      <c r="AI314" s="184"/>
      <c r="AJ314" s="184"/>
      <c r="AK314" s="184"/>
      <c r="AL314" s="184"/>
      <c r="AM314" s="184"/>
      <c r="AN314" s="185"/>
      <c r="AO314" s="185"/>
      <c r="AP314" s="185"/>
      <c r="AQ314" s="185"/>
    </row>
    <row r="315" ht="16.5" customHeight="1">
      <c r="A315" s="98"/>
      <c r="B315" s="108" t="s">
        <v>398</v>
      </c>
      <c r="C315" s="98" t="s">
        <v>786</v>
      </c>
      <c r="D315" s="107" t="s">
        <v>787</v>
      </c>
      <c r="E315" s="98"/>
      <c r="F315" s="98"/>
      <c r="G315" s="98"/>
      <c r="H315" s="98"/>
      <c r="I315" s="98"/>
      <c r="J315" s="98"/>
      <c r="K315" s="98"/>
      <c r="L315" s="102" t="b">
        <v>1</v>
      </c>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row>
    <row r="316" ht="16.5" customHeight="1">
      <c r="A316" s="98"/>
      <c r="B316" s="108" t="s">
        <v>398</v>
      </c>
      <c r="C316" s="98" t="s">
        <v>788</v>
      </c>
      <c r="D316" s="107" t="s">
        <v>789</v>
      </c>
      <c r="E316" s="98"/>
      <c r="F316" s="98"/>
      <c r="G316" s="98"/>
      <c r="H316" s="98"/>
      <c r="I316" s="98"/>
      <c r="J316" s="98"/>
      <c r="K316" s="98"/>
      <c r="L316" s="102" t="b">
        <v>1</v>
      </c>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98"/>
    </row>
    <row r="317" ht="16.5" customHeight="1">
      <c r="A317" s="98"/>
      <c r="B317" s="108" t="s">
        <v>790</v>
      </c>
      <c r="C317" s="98" t="s">
        <v>791</v>
      </c>
      <c r="D317" s="107" t="s">
        <v>792</v>
      </c>
      <c r="E317" s="98"/>
      <c r="F317" s="98"/>
      <c r="G317" s="98"/>
      <c r="H317" s="98"/>
      <c r="I317" s="98"/>
      <c r="J317" s="98"/>
      <c r="K317" s="102"/>
      <c r="L317" s="102" t="b">
        <v>1</v>
      </c>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row>
    <row r="318" ht="16.5" customHeight="1">
      <c r="A318" s="98"/>
      <c r="B318" s="108" t="s">
        <v>793</v>
      </c>
      <c r="C318" s="98" t="s">
        <v>794</v>
      </c>
      <c r="D318" s="127" t="s">
        <v>795</v>
      </c>
      <c r="E318" s="98"/>
      <c r="F318" s="98"/>
      <c r="G318" s="98"/>
      <c r="H318" s="98"/>
      <c r="I318" s="98"/>
      <c r="J318" s="98"/>
      <c r="K318" s="102" t="s">
        <v>796</v>
      </c>
      <c r="L318" s="102" t="b">
        <v>1</v>
      </c>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98"/>
      <c r="AM318" s="98"/>
      <c r="AN318" s="98"/>
      <c r="AO318" s="98"/>
      <c r="AP318" s="98"/>
      <c r="AQ318" s="98"/>
    </row>
    <row r="319" ht="16.5" customHeight="1">
      <c r="A319" s="98"/>
      <c r="B319" s="98" t="s">
        <v>398</v>
      </c>
      <c r="C319" s="169" t="s">
        <v>797</v>
      </c>
      <c r="D319" s="220" t="s">
        <v>798</v>
      </c>
      <c r="E319" s="98"/>
      <c r="F319" s="98"/>
      <c r="G319" s="98"/>
      <c r="H319" s="98"/>
      <c r="I319" s="98"/>
      <c r="J319" s="98"/>
      <c r="K319" s="102" t="s">
        <v>796</v>
      </c>
      <c r="L319" s="102" t="b">
        <v>1</v>
      </c>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98"/>
      <c r="AM319" s="98"/>
      <c r="AN319" s="98"/>
      <c r="AO319" s="98"/>
      <c r="AP319" s="98"/>
      <c r="AQ319" s="98"/>
    </row>
    <row r="320" ht="16.5" customHeight="1">
      <c r="A320" s="220"/>
      <c r="B320" s="220" t="s">
        <v>799</v>
      </c>
      <c r="C320" s="221" t="s">
        <v>800</v>
      </c>
      <c r="D320" s="220" t="s">
        <v>801</v>
      </c>
      <c r="E320" s="220"/>
      <c r="F320" s="220"/>
      <c r="G320" s="220"/>
      <c r="H320" s="220"/>
      <c r="I320" s="220"/>
      <c r="J320" s="220"/>
      <c r="K320" s="222" t="s">
        <v>802</v>
      </c>
      <c r="L320" s="222" t="b">
        <v>1</v>
      </c>
      <c r="M320" s="220"/>
      <c r="N320" s="220"/>
      <c r="O320" s="220"/>
      <c r="P320" s="220"/>
      <c r="Q320" s="220"/>
      <c r="R320" s="220"/>
      <c r="S320" s="220"/>
      <c r="T320" s="220"/>
      <c r="U320" s="220"/>
      <c r="V320" s="220"/>
      <c r="W320" s="220"/>
      <c r="X320" s="220"/>
      <c r="Y320" s="220"/>
      <c r="Z320" s="220"/>
      <c r="AA320" s="220"/>
      <c r="AB320" s="220"/>
      <c r="AC320" s="220"/>
      <c r="AD320" s="220"/>
      <c r="AE320" s="220"/>
      <c r="AF320" s="220"/>
      <c r="AG320" s="220"/>
      <c r="AH320" s="220"/>
      <c r="AI320" s="220"/>
      <c r="AJ320" s="220"/>
      <c r="AK320" s="220"/>
      <c r="AL320" s="220"/>
      <c r="AM320" s="220"/>
      <c r="AN320" s="220"/>
      <c r="AO320" s="220"/>
      <c r="AP320" s="220"/>
      <c r="AQ320" s="220"/>
    </row>
    <row r="321" ht="16.5" customHeight="1">
      <c r="A321" s="98"/>
      <c r="B321" s="98" t="s">
        <v>803</v>
      </c>
      <c r="C321" s="205" t="s">
        <v>804</v>
      </c>
      <c r="D321" s="220" t="s">
        <v>805</v>
      </c>
      <c r="E321" s="98"/>
      <c r="F321" s="98"/>
      <c r="G321" s="98"/>
      <c r="H321" s="98"/>
      <c r="I321" s="98"/>
      <c r="J321" s="98"/>
      <c r="K321" s="102" t="s">
        <v>802</v>
      </c>
      <c r="L321" s="102" t="b">
        <v>1</v>
      </c>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row>
    <row r="322" ht="16.5" customHeight="1">
      <c r="A322" s="98"/>
      <c r="B322" s="98" t="s">
        <v>264</v>
      </c>
      <c r="C322" s="205" t="s">
        <v>806</v>
      </c>
      <c r="D322" s="220" t="s">
        <v>807</v>
      </c>
      <c r="E322" s="98"/>
      <c r="F322" s="98"/>
      <c r="G322" s="98"/>
      <c r="H322" s="98"/>
      <c r="I322" s="98"/>
      <c r="J322" s="98"/>
      <c r="K322" s="102" t="s">
        <v>802</v>
      </c>
      <c r="L322" s="102" t="b">
        <v>1</v>
      </c>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c r="AK322" s="98"/>
      <c r="AL322" s="98"/>
      <c r="AM322" s="98"/>
      <c r="AN322" s="98"/>
      <c r="AO322" s="98"/>
      <c r="AP322" s="98"/>
      <c r="AQ322" s="98"/>
    </row>
    <row r="323" ht="16.5" customHeight="1">
      <c r="A323" s="98"/>
      <c r="B323" s="98" t="s">
        <v>307</v>
      </c>
      <c r="C323" s="223" t="s">
        <v>808</v>
      </c>
      <c r="D323" s="208" t="s">
        <v>809</v>
      </c>
      <c r="E323" s="98"/>
      <c r="F323" s="98"/>
      <c r="G323" s="98"/>
      <c r="H323" s="98"/>
      <c r="I323" s="98"/>
      <c r="J323" s="98"/>
      <c r="K323" s="102" t="s">
        <v>802</v>
      </c>
      <c r="L323" s="102" t="b">
        <v>1</v>
      </c>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c r="AK323" s="98"/>
      <c r="AL323" s="98"/>
      <c r="AM323" s="98"/>
      <c r="AN323" s="98"/>
      <c r="AO323" s="98"/>
      <c r="AP323" s="98"/>
      <c r="AQ323" s="98"/>
    </row>
    <row r="324" ht="18.75" customHeight="1">
      <c r="A324" s="98"/>
      <c r="B324" s="98" t="s">
        <v>264</v>
      </c>
      <c r="C324" s="169" t="s">
        <v>810</v>
      </c>
      <c r="D324" s="220" t="s">
        <v>811</v>
      </c>
      <c r="E324" s="98"/>
      <c r="F324" s="98"/>
      <c r="G324" s="98"/>
      <c r="H324" s="98"/>
      <c r="I324" s="98"/>
      <c r="J324" s="98"/>
      <c r="K324" s="102" t="s">
        <v>802</v>
      </c>
      <c r="L324" s="102" t="b">
        <v>1</v>
      </c>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c r="AK324" s="98"/>
      <c r="AL324" s="98"/>
      <c r="AM324" s="98"/>
      <c r="AN324" s="98"/>
      <c r="AO324" s="98"/>
      <c r="AP324" s="98"/>
      <c r="AQ324" s="98"/>
    </row>
    <row r="325" ht="16.5" customHeight="1">
      <c r="A325" s="98"/>
      <c r="B325" s="98" t="s">
        <v>264</v>
      </c>
      <c r="C325" s="169" t="s">
        <v>812</v>
      </c>
      <c r="D325" s="220" t="s">
        <v>813</v>
      </c>
      <c r="E325" s="98"/>
      <c r="F325" s="98"/>
      <c r="G325" s="98"/>
      <c r="H325" s="98"/>
      <c r="I325" s="98"/>
      <c r="J325" s="98"/>
      <c r="K325" s="102" t="s">
        <v>802</v>
      </c>
      <c r="L325" s="102" t="b">
        <v>1</v>
      </c>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c r="AK325" s="98"/>
      <c r="AL325" s="98"/>
      <c r="AM325" s="98"/>
      <c r="AN325" s="98"/>
      <c r="AO325" s="98"/>
      <c r="AP325" s="98"/>
      <c r="AQ325" s="98"/>
    </row>
    <row r="326" ht="13.5" customHeight="1">
      <c r="A326" s="98"/>
      <c r="B326" s="102" t="s">
        <v>264</v>
      </c>
      <c r="C326" s="223" t="s">
        <v>814</v>
      </c>
      <c r="D326" s="220" t="s">
        <v>815</v>
      </c>
      <c r="E326" s="98"/>
      <c r="F326" s="98"/>
      <c r="G326" s="98"/>
      <c r="H326" s="98"/>
      <c r="I326" s="98"/>
      <c r="J326" s="98"/>
      <c r="K326" s="102" t="s">
        <v>816</v>
      </c>
      <c r="L326" s="102" t="b">
        <v>1</v>
      </c>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row>
    <row r="327" ht="16.5" customHeight="1">
      <c r="A327" s="98"/>
      <c r="B327" s="98" t="s">
        <v>398</v>
      </c>
      <c r="C327" s="169" t="s">
        <v>817</v>
      </c>
      <c r="D327" s="222" t="s">
        <v>818</v>
      </c>
      <c r="E327" s="98"/>
      <c r="F327" s="98"/>
      <c r="G327" s="98"/>
      <c r="H327" s="98"/>
      <c r="I327" s="98"/>
      <c r="J327" s="98"/>
      <c r="K327" s="102"/>
      <c r="L327" s="102" t="b">
        <v>1</v>
      </c>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c r="AP327" s="98"/>
      <c r="AQ327" s="98"/>
    </row>
    <row r="328" ht="16.5" customHeight="1">
      <c r="A328" s="98"/>
      <c r="B328" s="98" t="s">
        <v>819</v>
      </c>
      <c r="C328" s="169" t="s">
        <v>820</v>
      </c>
      <c r="D328" s="107" t="s">
        <v>821</v>
      </c>
      <c r="E328" s="98"/>
      <c r="F328" s="98"/>
      <c r="G328" s="98"/>
      <c r="H328" s="98"/>
      <c r="I328" s="98"/>
      <c r="J328" s="98"/>
      <c r="K328" s="102"/>
      <c r="L328" s="102" t="b">
        <v>1</v>
      </c>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c r="AK328" s="98"/>
      <c r="AL328" s="98"/>
      <c r="AM328" s="98"/>
      <c r="AN328" s="98"/>
      <c r="AO328" s="98"/>
      <c r="AP328" s="98"/>
      <c r="AQ328" s="98"/>
    </row>
    <row r="329" ht="16.5" customHeight="1">
      <c r="A329" s="98"/>
      <c r="B329" s="98" t="s">
        <v>803</v>
      </c>
      <c r="C329" s="169" t="s">
        <v>822</v>
      </c>
      <c r="D329" s="107" t="s">
        <v>823</v>
      </c>
      <c r="E329" s="98"/>
      <c r="F329" s="98"/>
      <c r="G329" s="98"/>
      <c r="H329" s="98"/>
      <c r="I329" s="98"/>
      <c r="J329" s="98"/>
      <c r="K329" s="98"/>
      <c r="L329" s="102" t="b">
        <v>1</v>
      </c>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c r="AK329" s="98"/>
      <c r="AL329" s="98"/>
      <c r="AM329" s="98"/>
      <c r="AN329" s="98"/>
      <c r="AO329" s="98"/>
      <c r="AP329" s="98"/>
      <c r="AQ329" s="98"/>
    </row>
    <row r="330" ht="16.5" customHeight="1">
      <c r="A330" s="98"/>
      <c r="B330" s="102" t="s">
        <v>224</v>
      </c>
      <c r="C330" s="169" t="s">
        <v>824</v>
      </c>
      <c r="D330" s="107" t="s">
        <v>825</v>
      </c>
      <c r="E330" s="98"/>
      <c r="F330" s="98"/>
      <c r="G330" s="98"/>
      <c r="H330" s="98"/>
      <c r="I330" s="98"/>
      <c r="J330" s="98"/>
      <c r="K330" s="102" t="s">
        <v>826</v>
      </c>
      <c r="L330" s="102" t="b">
        <v>1</v>
      </c>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c r="AP330" s="98"/>
      <c r="AQ330" s="98"/>
    </row>
    <row r="331" ht="16.5" customHeight="1">
      <c r="A331" s="98"/>
      <c r="B331" s="108" t="s">
        <v>398</v>
      </c>
      <c r="C331" s="98" t="s">
        <v>827</v>
      </c>
      <c r="D331" s="107" t="s">
        <v>828</v>
      </c>
      <c r="E331" s="98"/>
      <c r="F331" s="98"/>
      <c r="G331" s="98"/>
      <c r="H331" s="98"/>
      <c r="I331" s="98"/>
      <c r="J331" s="98"/>
      <c r="K331" s="98"/>
      <c r="L331" s="102" t="b">
        <v>1</v>
      </c>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c r="AK331" s="98"/>
      <c r="AL331" s="98"/>
      <c r="AM331" s="98"/>
      <c r="AN331" s="98"/>
      <c r="AO331" s="98"/>
      <c r="AP331" s="98"/>
      <c r="AQ331" s="98"/>
    </row>
    <row r="332" ht="16.5" customHeight="1">
      <c r="A332" s="98"/>
      <c r="B332" s="108" t="s">
        <v>829</v>
      </c>
      <c r="C332" s="98" t="s">
        <v>830</v>
      </c>
      <c r="D332" s="107" t="s">
        <v>831</v>
      </c>
      <c r="E332" s="98"/>
      <c r="F332" s="98"/>
      <c r="G332" s="98"/>
      <c r="H332" s="98"/>
      <c r="I332" s="98"/>
      <c r="J332" s="98"/>
      <c r="K332" s="98"/>
      <c r="L332" s="102" t="b">
        <v>1</v>
      </c>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c r="AK332" s="98"/>
      <c r="AL332" s="98"/>
      <c r="AM332" s="98"/>
      <c r="AN332" s="98"/>
      <c r="AO332" s="98"/>
      <c r="AP332" s="98"/>
      <c r="AQ332" s="98"/>
    </row>
    <row r="333" ht="16.5" customHeight="1">
      <c r="A333" s="98"/>
      <c r="B333" s="108" t="s">
        <v>398</v>
      </c>
      <c r="C333" s="98" t="s">
        <v>832</v>
      </c>
      <c r="D333" s="107" t="s">
        <v>833</v>
      </c>
      <c r="E333" s="98"/>
      <c r="F333" s="98"/>
      <c r="G333" s="98"/>
      <c r="H333" s="98"/>
      <c r="I333" s="98"/>
      <c r="J333" s="98"/>
      <c r="K333" s="98"/>
      <c r="L333" s="102" t="b">
        <v>1</v>
      </c>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row>
    <row r="334" ht="16.5" customHeight="1">
      <c r="A334" s="98"/>
      <c r="B334" s="108" t="s">
        <v>834</v>
      </c>
      <c r="C334" s="98" t="s">
        <v>835</v>
      </c>
      <c r="D334" s="142" t="s">
        <v>836</v>
      </c>
      <c r="E334" s="98"/>
      <c r="F334" s="98"/>
      <c r="G334" s="98"/>
      <c r="H334" s="98"/>
      <c r="I334" s="98"/>
      <c r="J334" s="98"/>
      <c r="K334" s="102" t="s">
        <v>837</v>
      </c>
      <c r="L334" s="102" t="b">
        <v>1</v>
      </c>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c r="AK334" s="98"/>
      <c r="AL334" s="98"/>
      <c r="AM334" s="98"/>
      <c r="AN334" s="98"/>
      <c r="AO334" s="98"/>
      <c r="AP334" s="98"/>
      <c r="AQ334" s="98"/>
    </row>
    <row r="335" ht="16.5" customHeight="1">
      <c r="A335" s="98"/>
      <c r="B335" s="108" t="s">
        <v>838</v>
      </c>
      <c r="C335" s="98" t="s">
        <v>839</v>
      </c>
      <c r="D335" s="107" t="s">
        <v>840</v>
      </c>
      <c r="E335" s="98"/>
      <c r="F335" s="98"/>
      <c r="G335" s="98"/>
      <c r="H335" s="98"/>
      <c r="I335" s="98"/>
      <c r="J335" s="98"/>
      <c r="K335" s="98"/>
      <c r="L335" s="102" t="b">
        <v>1</v>
      </c>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98"/>
      <c r="AM335" s="98"/>
      <c r="AN335" s="98"/>
      <c r="AO335" s="98"/>
      <c r="AP335" s="98"/>
      <c r="AQ335" s="98"/>
    </row>
    <row r="336" ht="16.5" customHeight="1">
      <c r="A336" s="102" t="s">
        <v>841</v>
      </c>
      <c r="B336" s="224" t="s">
        <v>398</v>
      </c>
      <c r="C336" s="102" t="s">
        <v>842</v>
      </c>
      <c r="D336" s="142" t="s">
        <v>843</v>
      </c>
      <c r="E336" s="98"/>
      <c r="F336" s="143" t="b">
        <f>if(OR('Contextualisation form'!$E$23="Deep dive access to Finance (10)",'Contextualisation form'!$E$24= "Deep dive access to Finance (10)",'Contextualisation form'!$E$25="Deep dive access to Finance (10)"),FALSE,TRUE)</f>
        <v>1</v>
      </c>
      <c r="G336" s="98"/>
      <c r="H336" s="98"/>
      <c r="I336" s="98"/>
      <c r="J336" s="98"/>
      <c r="K336" s="98"/>
      <c r="L336" s="102" t="s">
        <v>844</v>
      </c>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98"/>
      <c r="AM336" s="98"/>
      <c r="AN336" s="98"/>
      <c r="AO336" s="98"/>
      <c r="AP336" s="98"/>
      <c r="AQ336" s="98"/>
    </row>
    <row r="337" ht="16.5" customHeight="1">
      <c r="A337" s="102" t="s">
        <v>841</v>
      </c>
      <c r="B337" s="225" t="s">
        <v>845</v>
      </c>
      <c r="C337" s="170" t="s">
        <v>846</v>
      </c>
      <c r="D337" s="141" t="s">
        <v>847</v>
      </c>
      <c r="E337" s="98"/>
      <c r="F337" s="143" t="b">
        <f>if(OR('Contextualisation form'!$E$23="Deep dive access to Finance (10)",'Contextualisation form'!$E$24= "Deep dive access to Finance (10)",'Contextualisation form'!$E$25="Deep dive access to Finance (10)"),FALSE,TRUE)</f>
        <v>1</v>
      </c>
      <c r="G337" s="98"/>
      <c r="H337" s="98"/>
      <c r="I337" s="98"/>
      <c r="J337" s="98"/>
      <c r="K337" s="102" t="s">
        <v>848</v>
      </c>
      <c r="L337" s="102" t="b">
        <v>1</v>
      </c>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98"/>
      <c r="AM337" s="98"/>
      <c r="AN337" s="98"/>
      <c r="AO337" s="98"/>
      <c r="AP337" s="98"/>
      <c r="AQ337" s="98"/>
    </row>
    <row r="338" ht="16.5" customHeight="1">
      <c r="A338" s="102" t="s">
        <v>841</v>
      </c>
      <c r="B338" s="98" t="s">
        <v>849</v>
      </c>
      <c r="C338" s="170" t="s">
        <v>850</v>
      </c>
      <c r="D338" s="107" t="s">
        <v>851</v>
      </c>
      <c r="E338" s="98"/>
      <c r="F338" s="143" t="b">
        <f>if(OR('Contextualisation form'!$E$23="Deep dive access to Finance (10)",'Contextualisation form'!$E$24= "Deep dive access to Finance (10)",'Contextualisation form'!$E$25="Deep dive access to Finance (10)"),FALSE,TRUE)</f>
        <v>1</v>
      </c>
      <c r="G338" s="98"/>
      <c r="H338" s="98"/>
      <c r="I338" s="98"/>
      <c r="J338" s="98"/>
      <c r="K338" s="98"/>
      <c r="L338" s="102" t="b">
        <v>1</v>
      </c>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row>
    <row r="339" ht="16.5" customHeight="1">
      <c r="A339" s="102" t="s">
        <v>841</v>
      </c>
      <c r="B339" s="98" t="s">
        <v>852</v>
      </c>
      <c r="C339" s="170" t="s">
        <v>853</v>
      </c>
      <c r="D339" s="127" t="s">
        <v>854</v>
      </c>
      <c r="E339" s="98"/>
      <c r="F339" s="143" t="b">
        <f>if(OR('Contextualisation form'!$E$23="Deep dive access to Finance (10)",'Contextualisation form'!$E$24= "Deep dive access to Finance (10)",'Contextualisation form'!$E$25="Deep dive access to Finance (10)"),FALSE,TRUE)</f>
        <v>1</v>
      </c>
      <c r="G339" s="98"/>
      <c r="H339" s="98"/>
      <c r="I339" s="98"/>
      <c r="J339" s="98"/>
      <c r="K339" s="98"/>
      <c r="L339" s="102" t="b">
        <v>1</v>
      </c>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98"/>
      <c r="AM339" s="98"/>
      <c r="AN339" s="98"/>
      <c r="AO339" s="98"/>
      <c r="AP339" s="98"/>
      <c r="AQ339" s="98"/>
    </row>
    <row r="340" ht="16.5" customHeight="1">
      <c r="A340" s="102" t="s">
        <v>841</v>
      </c>
      <c r="B340" s="102" t="s">
        <v>224</v>
      </c>
      <c r="C340" s="170" t="s">
        <v>855</v>
      </c>
      <c r="D340" s="127" t="s">
        <v>856</v>
      </c>
      <c r="E340" s="98"/>
      <c r="F340" s="143" t="b">
        <f>if(OR('Contextualisation form'!$E$23="Deep dive access to Finance (10)",'Contextualisation form'!$E$24= "Deep dive access to Finance (10)",'Contextualisation form'!$E$25="Deep dive access to Finance (10)"),FALSE,TRUE)</f>
        <v>1</v>
      </c>
      <c r="G340" s="98"/>
      <c r="H340" s="98"/>
      <c r="I340" s="98"/>
      <c r="J340" s="98"/>
      <c r="K340" s="98"/>
      <c r="L340" s="102"/>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98"/>
      <c r="AM340" s="98"/>
      <c r="AN340" s="98"/>
      <c r="AO340" s="98"/>
      <c r="AP340" s="98"/>
      <c r="AQ340" s="98"/>
    </row>
    <row r="341" ht="16.5" customHeight="1">
      <c r="A341" s="102" t="s">
        <v>841</v>
      </c>
      <c r="B341" s="98" t="s">
        <v>857</v>
      </c>
      <c r="C341" s="170" t="s">
        <v>839</v>
      </c>
      <c r="D341" s="107" t="s">
        <v>840</v>
      </c>
      <c r="E341" s="98"/>
      <c r="F341" s="143" t="b">
        <f>if(OR('Contextualisation form'!$E$23="Deep dive access to Finance (10)",'Contextualisation form'!$E$24= "Deep dive access to Finance (10)",'Contextualisation form'!$E$25="Deep dive access to Finance (10)"),FALSE,TRUE)</f>
        <v>1</v>
      </c>
      <c r="G341" s="98"/>
      <c r="H341" s="98"/>
      <c r="I341" s="98"/>
      <c r="J341" s="98"/>
      <c r="K341" s="98"/>
      <c r="L341" s="102" t="b">
        <v>1</v>
      </c>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98"/>
      <c r="AM341" s="98"/>
      <c r="AN341" s="98"/>
      <c r="AO341" s="98"/>
      <c r="AP341" s="98"/>
      <c r="AQ341" s="98"/>
    </row>
    <row r="342" ht="16.5" customHeight="1">
      <c r="A342" s="102" t="s">
        <v>841</v>
      </c>
      <c r="B342" s="108" t="s">
        <v>858</v>
      </c>
      <c r="C342" s="170" t="s">
        <v>859</v>
      </c>
      <c r="D342" s="107" t="s">
        <v>860</v>
      </c>
      <c r="E342" s="98"/>
      <c r="F342" s="143" t="b">
        <f>if(OR('Contextualisation form'!$E$23="Deep dive access to Finance (10)",'Contextualisation form'!$E$24= "Deep dive access to Finance (10)",'Contextualisation form'!$E$25="Deep dive access to Finance (10)"),FALSE,TRUE)</f>
        <v>1</v>
      </c>
      <c r="G342" s="98"/>
      <c r="H342" s="98"/>
      <c r="I342" s="98"/>
      <c r="J342" s="98"/>
      <c r="K342" s="98"/>
      <c r="L342" s="102" t="b">
        <v>1</v>
      </c>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98"/>
      <c r="AM342" s="98"/>
      <c r="AN342" s="98"/>
      <c r="AO342" s="98"/>
      <c r="AP342" s="98"/>
      <c r="AQ342" s="98"/>
    </row>
    <row r="343" ht="16.5" customHeight="1">
      <c r="A343" s="102" t="s">
        <v>841</v>
      </c>
      <c r="B343" s="98" t="s">
        <v>861</v>
      </c>
      <c r="C343" s="170" t="s">
        <v>862</v>
      </c>
      <c r="D343" s="107" t="s">
        <v>863</v>
      </c>
      <c r="E343" s="98"/>
      <c r="F343" s="143" t="b">
        <f>if(OR('Contextualisation form'!$E$23="Deep dive access to Finance (10)",'Contextualisation form'!$E$24= "Deep dive access to Finance (10)",'Contextualisation form'!$E$25="Deep dive access to Finance (10)"),FALSE,TRUE)</f>
        <v>1</v>
      </c>
      <c r="G343" s="98"/>
      <c r="H343" s="98"/>
      <c r="I343" s="98"/>
      <c r="J343" s="98"/>
      <c r="K343" s="98"/>
      <c r="L343" s="102" t="b">
        <v>1</v>
      </c>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98"/>
      <c r="AM343" s="98"/>
      <c r="AN343" s="98"/>
      <c r="AO343" s="98"/>
      <c r="AP343" s="98"/>
      <c r="AQ343" s="98"/>
    </row>
    <row r="344" ht="16.5" customHeight="1">
      <c r="A344" s="184"/>
      <c r="B344" s="184" t="s">
        <v>253</v>
      </c>
      <c r="C344" s="105" t="s">
        <v>784</v>
      </c>
      <c r="D344" s="184"/>
      <c r="E344" s="184"/>
      <c r="F344" s="184"/>
      <c r="G344" s="184"/>
      <c r="H344" s="184"/>
      <c r="I344" s="184"/>
      <c r="J344" s="184"/>
      <c r="K344" s="184"/>
      <c r="L344" s="184"/>
      <c r="M344" s="184"/>
      <c r="N344" s="184"/>
      <c r="O344" s="184"/>
      <c r="P344" s="184"/>
      <c r="Q344" s="184"/>
      <c r="R344" s="184" t="s">
        <v>109</v>
      </c>
      <c r="S344" s="184"/>
      <c r="T344" s="184"/>
      <c r="U344" s="184"/>
      <c r="V344" s="184"/>
      <c r="W344" s="184"/>
      <c r="X344" s="184"/>
      <c r="Y344" s="184"/>
      <c r="Z344" s="184"/>
      <c r="AA344" s="184"/>
      <c r="AB344" s="184"/>
      <c r="AC344" s="184"/>
      <c r="AD344" s="184"/>
      <c r="AE344" s="184"/>
      <c r="AF344" s="184"/>
      <c r="AG344" s="184"/>
      <c r="AH344" s="184"/>
      <c r="AI344" s="184"/>
      <c r="AJ344" s="184"/>
      <c r="AK344" s="184"/>
      <c r="AL344" s="184"/>
      <c r="AM344" s="184"/>
      <c r="AN344" s="185"/>
      <c r="AO344" s="185"/>
      <c r="AP344" s="185"/>
      <c r="AQ344" s="185"/>
    </row>
    <row r="345" ht="16.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98"/>
      <c r="AM345" s="98"/>
      <c r="AN345" s="98"/>
      <c r="AO345" s="98"/>
      <c r="AP345" s="98"/>
      <c r="AQ345" s="98"/>
    </row>
    <row r="346" ht="16.5" customHeight="1">
      <c r="A346" s="184"/>
      <c r="B346" s="184" t="s">
        <v>209</v>
      </c>
      <c r="C346" s="105" t="s">
        <v>864</v>
      </c>
      <c r="D346" s="184" t="s">
        <v>865</v>
      </c>
      <c r="E346" s="184"/>
      <c r="F346" s="184"/>
      <c r="G346" s="184"/>
      <c r="H346" s="184"/>
      <c r="I346" s="184"/>
      <c r="J346" s="184"/>
      <c r="K346" s="184"/>
      <c r="L346" s="184"/>
      <c r="M346" s="184"/>
      <c r="N346" s="184"/>
      <c r="O346" s="184"/>
      <c r="P346" s="184"/>
      <c r="Q346" s="184"/>
      <c r="R346" s="184" t="s">
        <v>109</v>
      </c>
      <c r="S346" s="184"/>
      <c r="T346" s="184"/>
      <c r="U346" s="184"/>
      <c r="V346" s="184"/>
      <c r="W346" s="184"/>
      <c r="X346" s="184"/>
      <c r="Y346" s="184"/>
      <c r="Z346" s="184"/>
      <c r="AA346" s="184"/>
      <c r="AB346" s="184"/>
      <c r="AC346" s="184"/>
      <c r="AD346" s="184"/>
      <c r="AE346" s="184"/>
      <c r="AF346" s="184"/>
      <c r="AG346" s="184"/>
      <c r="AH346" s="184"/>
      <c r="AI346" s="184"/>
      <c r="AJ346" s="184"/>
      <c r="AK346" s="184"/>
      <c r="AL346" s="184"/>
      <c r="AM346" s="184"/>
      <c r="AN346" s="185"/>
      <c r="AO346" s="185"/>
      <c r="AP346" s="185"/>
      <c r="AQ346" s="185"/>
    </row>
    <row r="347" ht="15.75" customHeight="1">
      <c r="A347" s="98"/>
      <c r="B347" s="108" t="s">
        <v>866</v>
      </c>
      <c r="C347" s="98" t="s">
        <v>867</v>
      </c>
      <c r="D347" s="107" t="s">
        <v>868</v>
      </c>
      <c r="E347" s="98"/>
      <c r="F347" s="98"/>
      <c r="G347" s="98"/>
      <c r="H347" s="98"/>
      <c r="I347" s="98"/>
      <c r="J347" s="98"/>
      <c r="K347" s="98"/>
      <c r="L347" s="102" t="b">
        <v>1</v>
      </c>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98"/>
      <c r="AM347" s="98"/>
      <c r="AN347" s="98"/>
      <c r="AO347" s="98"/>
      <c r="AP347" s="98"/>
      <c r="AQ347" s="98"/>
    </row>
    <row r="348" ht="16.5" customHeight="1">
      <c r="A348" s="98"/>
      <c r="B348" s="98" t="s">
        <v>869</v>
      </c>
      <c r="C348" s="169" t="s">
        <v>870</v>
      </c>
      <c r="D348" s="108" t="s">
        <v>871</v>
      </c>
      <c r="E348" s="98"/>
      <c r="F348" s="98"/>
      <c r="G348" s="98"/>
      <c r="H348" s="98"/>
      <c r="I348" s="98"/>
      <c r="J348" s="98"/>
      <c r="K348" s="98"/>
      <c r="L348" s="102" t="b">
        <v>1</v>
      </c>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row>
    <row r="349" ht="16.5" customHeight="1">
      <c r="A349" s="98"/>
      <c r="B349" s="98" t="s">
        <v>872</v>
      </c>
      <c r="C349" s="169" t="s">
        <v>873</v>
      </c>
      <c r="D349" s="108" t="s">
        <v>874</v>
      </c>
      <c r="E349" s="98"/>
      <c r="F349" s="98"/>
      <c r="G349" s="98"/>
      <c r="H349" s="98"/>
      <c r="I349" s="98"/>
      <c r="J349" s="98"/>
      <c r="K349" s="98"/>
      <c r="L349" s="102" t="b">
        <v>1</v>
      </c>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98"/>
      <c r="AM349" s="98"/>
      <c r="AN349" s="98"/>
      <c r="AO349" s="98"/>
      <c r="AP349" s="98"/>
      <c r="AQ349" s="98"/>
    </row>
    <row r="350" ht="16.5" customHeight="1">
      <c r="A350" s="98"/>
      <c r="B350" s="102" t="s">
        <v>224</v>
      </c>
      <c r="C350" s="169" t="s">
        <v>875</v>
      </c>
      <c r="D350" s="98" t="s">
        <v>876</v>
      </c>
      <c r="E350" s="98"/>
      <c r="F350" s="98"/>
      <c r="G350" s="98"/>
      <c r="H350" s="98"/>
      <c r="I350" s="98"/>
      <c r="J350" s="98"/>
      <c r="K350" s="98"/>
      <c r="L350" s="102" t="b">
        <v>1</v>
      </c>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c r="AP350" s="98"/>
      <c r="AQ350" s="98"/>
    </row>
    <row r="351" ht="16.5" customHeight="1">
      <c r="A351" s="98"/>
      <c r="B351" s="98" t="s">
        <v>877</v>
      </c>
      <c r="C351" s="169" t="s">
        <v>878</v>
      </c>
      <c r="D351" s="102" t="s">
        <v>879</v>
      </c>
      <c r="E351" s="98"/>
      <c r="F351" s="98"/>
      <c r="G351" s="98"/>
      <c r="H351" s="98"/>
      <c r="I351" s="98"/>
      <c r="J351" s="98"/>
      <c r="K351" s="98"/>
      <c r="L351" s="102" t="b">
        <v>1</v>
      </c>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c r="AP351" s="98"/>
      <c r="AQ351" s="98"/>
    </row>
    <row r="352" ht="16.5" customHeight="1">
      <c r="A352" s="98"/>
      <c r="B352" s="108" t="s">
        <v>213</v>
      </c>
      <c r="C352" s="98" t="s">
        <v>880</v>
      </c>
      <c r="D352" s="102" t="s">
        <v>881</v>
      </c>
      <c r="E352" s="98"/>
      <c r="F352" s="98"/>
      <c r="G352" s="98"/>
      <c r="H352" s="98"/>
      <c r="I352" s="98"/>
      <c r="J352" s="98"/>
      <c r="K352" s="98"/>
      <c r="L352" s="102" t="b">
        <v>1</v>
      </c>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98"/>
      <c r="AM352" s="98"/>
      <c r="AN352" s="98"/>
      <c r="AO352" s="98"/>
      <c r="AP352" s="98"/>
      <c r="AQ352" s="98"/>
    </row>
    <row r="353" ht="16.5" customHeight="1">
      <c r="A353" s="98"/>
      <c r="B353" s="98" t="s">
        <v>882</v>
      </c>
      <c r="C353" s="169" t="s">
        <v>883</v>
      </c>
      <c r="D353" s="102" t="s">
        <v>884</v>
      </c>
      <c r="E353" s="98"/>
      <c r="F353" s="98"/>
      <c r="G353" s="98"/>
      <c r="H353" s="98"/>
      <c r="I353" s="98"/>
      <c r="J353" s="98"/>
      <c r="K353" s="102" t="s">
        <v>885</v>
      </c>
      <c r="L353" s="102" t="b">
        <v>1</v>
      </c>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row>
    <row r="354" ht="16.5" customHeight="1">
      <c r="A354" s="98"/>
      <c r="B354" s="98" t="s">
        <v>886</v>
      </c>
      <c r="C354" s="226" t="s">
        <v>887</v>
      </c>
      <c r="D354" s="142" t="s">
        <v>888</v>
      </c>
      <c r="E354" s="98"/>
      <c r="F354" s="98"/>
      <c r="G354" s="98"/>
      <c r="H354" s="98"/>
      <c r="I354" s="98"/>
      <c r="J354" s="98"/>
      <c r="K354" s="102" t="s">
        <v>885</v>
      </c>
      <c r="L354" s="102" t="b">
        <v>1</v>
      </c>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c r="AP354" s="98"/>
      <c r="AQ354" s="98"/>
    </row>
    <row r="355" ht="15.75" customHeight="1">
      <c r="A355" s="98"/>
      <c r="B355" s="180" t="s">
        <v>889</v>
      </c>
      <c r="C355" s="98" t="s">
        <v>890</v>
      </c>
      <c r="D355" s="141" t="s">
        <v>891</v>
      </c>
      <c r="E355" s="98"/>
      <c r="F355" s="98"/>
      <c r="G355" s="98"/>
      <c r="H355" s="98"/>
      <c r="I355" s="98"/>
      <c r="J355" s="98"/>
      <c r="K355" s="102" t="s">
        <v>885</v>
      </c>
      <c r="L355" s="102" t="b">
        <v>1</v>
      </c>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c r="AP355" s="98"/>
      <c r="AQ355" s="98"/>
    </row>
    <row r="356" ht="16.5" customHeight="1">
      <c r="A356" s="98"/>
      <c r="B356" s="98" t="s">
        <v>892</v>
      </c>
      <c r="C356" s="169" t="s">
        <v>893</v>
      </c>
      <c r="D356" s="108" t="s">
        <v>894</v>
      </c>
      <c r="E356" s="98"/>
      <c r="F356" s="98"/>
      <c r="G356" s="98"/>
      <c r="H356" s="98"/>
      <c r="I356" s="98"/>
      <c r="J356" s="98"/>
      <c r="K356" s="98"/>
      <c r="L356" s="102" t="b">
        <v>1</v>
      </c>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c r="AP356" s="98"/>
      <c r="AQ356" s="98"/>
    </row>
    <row r="357" ht="16.5" customHeight="1">
      <c r="A357" s="98"/>
      <c r="B357" s="108" t="s">
        <v>895</v>
      </c>
      <c r="C357" s="98" t="s">
        <v>896</v>
      </c>
      <c r="D357" s="107" t="s">
        <v>897</v>
      </c>
      <c r="E357" s="98"/>
      <c r="F357" s="98"/>
      <c r="G357" s="98"/>
      <c r="H357" s="98"/>
      <c r="I357" s="98"/>
      <c r="J357" s="98"/>
      <c r="K357" s="98"/>
      <c r="L357" s="102" t="b">
        <v>1</v>
      </c>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c r="AP357" s="98"/>
      <c r="AQ357" s="98"/>
    </row>
    <row r="358" ht="16.5" customHeight="1">
      <c r="A358" s="98"/>
      <c r="B358" s="108" t="s">
        <v>898</v>
      </c>
      <c r="C358" s="98" t="s">
        <v>899</v>
      </c>
      <c r="D358" s="107" t="s">
        <v>900</v>
      </c>
      <c r="E358" s="98"/>
      <c r="F358" s="98"/>
      <c r="G358" s="98"/>
      <c r="H358" s="98"/>
      <c r="I358" s="98"/>
      <c r="J358" s="98"/>
      <c r="K358" s="98"/>
      <c r="L358" s="102" t="b">
        <v>1</v>
      </c>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row>
    <row r="359" ht="16.5" customHeight="1">
      <c r="A359" s="98"/>
      <c r="B359" s="102" t="s">
        <v>901</v>
      </c>
      <c r="C359" s="169" t="s">
        <v>902</v>
      </c>
      <c r="D359" s="141" t="s">
        <v>903</v>
      </c>
      <c r="E359" s="98"/>
      <c r="F359" s="98"/>
      <c r="G359" s="98"/>
      <c r="H359" s="98"/>
      <c r="I359" s="98"/>
      <c r="J359" s="98"/>
      <c r="K359" s="98"/>
      <c r="L359" s="102" t="b">
        <v>1</v>
      </c>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c r="AP359" s="98"/>
      <c r="AQ359" s="98"/>
    </row>
    <row r="360" ht="16.5" customHeight="1">
      <c r="A360" s="98"/>
      <c r="B360" s="98" t="s">
        <v>904</v>
      </c>
      <c r="C360" s="169" t="s">
        <v>905</v>
      </c>
      <c r="D360" s="141" t="s">
        <v>906</v>
      </c>
      <c r="E360" s="98"/>
      <c r="F360" s="98"/>
      <c r="G360" s="98"/>
      <c r="H360" s="98"/>
      <c r="I360" s="98"/>
      <c r="J360" s="98"/>
      <c r="K360" s="102" t="s">
        <v>907</v>
      </c>
      <c r="L360" s="102" t="b">
        <v>1</v>
      </c>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c r="AP360" s="98"/>
      <c r="AQ360" s="98"/>
    </row>
    <row r="361" ht="16.5" customHeight="1">
      <c r="A361" s="104"/>
      <c r="B361" s="104" t="s">
        <v>253</v>
      </c>
      <c r="C361" s="105" t="s">
        <v>864</v>
      </c>
      <c r="D361" s="104"/>
      <c r="E361" s="104"/>
      <c r="F361" s="104"/>
      <c r="G361" s="104"/>
      <c r="H361" s="104"/>
      <c r="I361" s="104"/>
      <c r="J361" s="104"/>
      <c r="K361" s="104"/>
      <c r="L361" s="104"/>
      <c r="M361" s="104"/>
      <c r="N361" s="104"/>
      <c r="O361" s="104"/>
      <c r="P361" s="104"/>
      <c r="Q361" s="104"/>
      <c r="R361" s="104" t="s">
        <v>109</v>
      </c>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6"/>
      <c r="AO361" s="106"/>
      <c r="AP361" s="106"/>
      <c r="AQ361" s="106"/>
    </row>
    <row r="362" ht="16.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c r="AP362" s="98"/>
      <c r="AQ362" s="98"/>
    </row>
    <row r="363" ht="16.5" customHeight="1">
      <c r="A363" s="184"/>
      <c r="B363" s="184" t="s">
        <v>209</v>
      </c>
      <c r="C363" s="105" t="s">
        <v>908</v>
      </c>
      <c r="D363" s="184" t="s">
        <v>909</v>
      </c>
      <c r="E363" s="184"/>
      <c r="F363" s="184"/>
      <c r="G363" s="184"/>
      <c r="H363" s="184"/>
      <c r="I363" s="184"/>
      <c r="J363" s="184"/>
      <c r="K363" s="184"/>
      <c r="L363" s="184"/>
      <c r="M363" s="184"/>
      <c r="N363" s="184"/>
      <c r="O363" s="184"/>
      <c r="P363" s="184"/>
      <c r="Q363" s="184"/>
      <c r="R363" s="184" t="s">
        <v>109</v>
      </c>
      <c r="S363" s="184"/>
      <c r="T363" s="184"/>
      <c r="U363" s="184"/>
      <c r="V363" s="184"/>
      <c r="W363" s="184"/>
      <c r="X363" s="184"/>
      <c r="Y363" s="184"/>
      <c r="Z363" s="184"/>
      <c r="AA363" s="184"/>
      <c r="AB363" s="184"/>
      <c r="AC363" s="184"/>
      <c r="AD363" s="184"/>
      <c r="AE363" s="184"/>
      <c r="AF363" s="184"/>
      <c r="AG363" s="184"/>
      <c r="AH363" s="184"/>
      <c r="AI363" s="184"/>
      <c r="AJ363" s="184"/>
      <c r="AK363" s="184"/>
      <c r="AL363" s="184"/>
      <c r="AM363" s="184"/>
      <c r="AN363" s="185"/>
      <c r="AO363" s="185"/>
      <c r="AP363" s="185"/>
      <c r="AQ363" s="185"/>
    </row>
    <row r="364" ht="16.5" customHeight="1">
      <c r="A364" s="98"/>
      <c r="B364" s="108" t="s">
        <v>398</v>
      </c>
      <c r="C364" s="98" t="s">
        <v>910</v>
      </c>
      <c r="D364" s="107" t="s">
        <v>911</v>
      </c>
      <c r="E364" s="107" t="s">
        <v>912</v>
      </c>
      <c r="F364" s="98"/>
      <c r="G364" s="98"/>
      <c r="H364" s="98"/>
      <c r="I364" s="98"/>
      <c r="J364" s="98"/>
      <c r="K364" s="98"/>
      <c r="L364" s="102" t="b">
        <v>1</v>
      </c>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row>
    <row r="365" ht="16.5" customHeight="1">
      <c r="A365" s="98"/>
      <c r="B365" s="108" t="s">
        <v>913</v>
      </c>
      <c r="C365" s="98" t="s">
        <v>914</v>
      </c>
      <c r="D365" s="107" t="s">
        <v>915</v>
      </c>
      <c r="E365" s="98"/>
      <c r="F365" s="98"/>
      <c r="G365" s="98"/>
      <c r="H365" s="98"/>
      <c r="I365" s="98"/>
      <c r="J365" s="98"/>
      <c r="K365" s="98"/>
      <c r="L365" s="102" t="b">
        <v>1</v>
      </c>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c r="AK365" s="98"/>
      <c r="AL365" s="98"/>
      <c r="AM365" s="98"/>
      <c r="AN365" s="98"/>
      <c r="AO365" s="98"/>
      <c r="AP365" s="98"/>
      <c r="AQ365" s="98"/>
    </row>
    <row r="366" ht="16.5" customHeight="1">
      <c r="A366" s="104"/>
      <c r="B366" s="104" t="s">
        <v>253</v>
      </c>
      <c r="C366" s="105" t="s">
        <v>908</v>
      </c>
      <c r="D366" s="104"/>
      <c r="E366" s="104"/>
      <c r="F366" s="104"/>
      <c r="G366" s="104"/>
      <c r="H366" s="104"/>
      <c r="I366" s="104"/>
      <c r="J366" s="104"/>
      <c r="K366" s="104"/>
      <c r="L366" s="104"/>
      <c r="M366" s="104"/>
      <c r="N366" s="104"/>
      <c r="O366" s="104"/>
      <c r="P366" s="104"/>
      <c r="Q366" s="104"/>
      <c r="R366" s="104" t="s">
        <v>109</v>
      </c>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6"/>
      <c r="AO366" s="106"/>
      <c r="AP366" s="106"/>
      <c r="AQ366" s="106"/>
    </row>
    <row r="367" ht="16.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row>
    <row r="368" ht="16.5" customHeight="1">
      <c r="A368" s="184"/>
      <c r="B368" s="184" t="s">
        <v>209</v>
      </c>
      <c r="C368" s="105" t="s">
        <v>916</v>
      </c>
      <c r="D368" s="184" t="s">
        <v>917</v>
      </c>
      <c r="E368" s="184"/>
      <c r="F368" s="184"/>
      <c r="G368" s="184"/>
      <c r="H368" s="184"/>
      <c r="I368" s="184"/>
      <c r="J368" s="184"/>
      <c r="K368" s="184"/>
      <c r="L368" s="184"/>
      <c r="M368" s="184"/>
      <c r="N368" s="184"/>
      <c r="O368" s="184"/>
      <c r="P368" s="184"/>
      <c r="Q368" s="184"/>
      <c r="R368" s="184" t="s">
        <v>109</v>
      </c>
      <c r="S368" s="184"/>
      <c r="T368" s="184"/>
      <c r="U368" s="184"/>
      <c r="V368" s="184"/>
      <c r="W368" s="184"/>
      <c r="X368" s="184"/>
      <c r="Y368" s="184"/>
      <c r="Z368" s="184"/>
      <c r="AA368" s="184"/>
      <c r="AB368" s="184"/>
      <c r="AC368" s="184"/>
      <c r="AD368" s="184"/>
      <c r="AE368" s="184"/>
      <c r="AF368" s="184"/>
      <c r="AG368" s="184"/>
      <c r="AH368" s="184"/>
      <c r="AI368" s="184"/>
      <c r="AJ368" s="184"/>
      <c r="AK368" s="184"/>
      <c r="AL368" s="184"/>
      <c r="AM368" s="184"/>
      <c r="AN368" s="185"/>
      <c r="AO368" s="185"/>
      <c r="AP368" s="185"/>
      <c r="AQ368" s="185"/>
    </row>
    <row r="369" ht="16.5" customHeight="1">
      <c r="A369" s="98"/>
      <c r="B369" s="180" t="s">
        <v>918</v>
      </c>
      <c r="C369" s="98" t="s">
        <v>919</v>
      </c>
      <c r="D369" s="141" t="s">
        <v>920</v>
      </c>
      <c r="E369" s="107" t="s">
        <v>921</v>
      </c>
      <c r="F369" s="98"/>
      <c r="G369" s="210"/>
      <c r="H369" s="210"/>
      <c r="I369" s="210"/>
      <c r="J369" s="210"/>
      <c r="K369" s="210"/>
      <c r="L369" s="180" t="b">
        <v>1</v>
      </c>
      <c r="M369" s="210"/>
      <c r="N369" s="210"/>
      <c r="O369" s="210"/>
      <c r="P369" s="210"/>
      <c r="Q369" s="210"/>
      <c r="R369" s="210"/>
      <c r="S369" s="210"/>
      <c r="T369" s="210"/>
      <c r="U369" s="210"/>
      <c r="V369" s="210"/>
      <c r="W369" s="210"/>
      <c r="X369" s="210"/>
      <c r="Y369" s="210"/>
      <c r="Z369" s="210"/>
      <c r="AA369" s="210"/>
      <c r="AB369" s="210"/>
      <c r="AC369" s="210"/>
      <c r="AD369" s="210"/>
      <c r="AE369" s="210"/>
      <c r="AF369" s="210"/>
      <c r="AG369" s="210"/>
      <c r="AH369" s="210"/>
      <c r="AI369" s="210"/>
      <c r="AJ369" s="210"/>
      <c r="AK369" s="210"/>
      <c r="AL369" s="210"/>
      <c r="AM369" s="210"/>
      <c r="AN369" s="210"/>
      <c r="AO369" s="210"/>
      <c r="AP369" s="210"/>
      <c r="AQ369" s="210"/>
    </row>
    <row r="370" ht="16.5" customHeight="1">
      <c r="A370" s="98"/>
      <c r="B370" s="180" t="s">
        <v>922</v>
      </c>
      <c r="C370" s="98" t="s">
        <v>923</v>
      </c>
      <c r="D370" s="141" t="s">
        <v>924</v>
      </c>
      <c r="E370" s="107" t="s">
        <v>925</v>
      </c>
      <c r="F370" s="98"/>
      <c r="G370" s="210"/>
      <c r="H370" s="210"/>
      <c r="I370" s="210"/>
      <c r="J370" s="210"/>
      <c r="K370" s="210"/>
      <c r="L370" s="180" t="b">
        <v>1</v>
      </c>
      <c r="M370" s="210"/>
      <c r="N370" s="210"/>
      <c r="O370" s="210"/>
      <c r="P370" s="210"/>
      <c r="Q370" s="210"/>
      <c r="R370" s="210"/>
      <c r="S370" s="210"/>
      <c r="T370" s="210"/>
      <c r="U370" s="210"/>
      <c r="V370" s="210"/>
      <c r="W370" s="210"/>
      <c r="X370" s="210"/>
      <c r="Y370" s="210"/>
      <c r="Z370" s="210"/>
      <c r="AA370" s="210"/>
      <c r="AB370" s="210"/>
      <c r="AC370" s="210"/>
      <c r="AD370" s="210"/>
      <c r="AE370" s="210"/>
      <c r="AF370" s="210"/>
      <c r="AG370" s="210"/>
      <c r="AH370" s="210"/>
      <c r="AI370" s="210"/>
      <c r="AJ370" s="210"/>
      <c r="AK370" s="210"/>
      <c r="AL370" s="210"/>
      <c r="AM370" s="210"/>
      <c r="AN370" s="210"/>
      <c r="AO370" s="210"/>
      <c r="AP370" s="210"/>
      <c r="AQ370" s="210"/>
    </row>
    <row r="371" ht="16.5" customHeight="1">
      <c r="A371" s="98"/>
      <c r="B371" s="108" t="s">
        <v>926</v>
      </c>
      <c r="C371" s="98" t="s">
        <v>927</v>
      </c>
      <c r="D371" s="141" t="s">
        <v>928</v>
      </c>
      <c r="E371" s="98"/>
      <c r="F371" s="98"/>
      <c r="G371" s="98"/>
      <c r="H371" s="98"/>
      <c r="I371" s="98"/>
      <c r="J371" s="98"/>
      <c r="K371" s="98"/>
      <c r="L371" s="180" t="b">
        <v>1</v>
      </c>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c r="AP371" s="98"/>
      <c r="AQ371" s="98"/>
    </row>
    <row r="372" ht="16.5" customHeight="1">
      <c r="A372" s="98"/>
      <c r="B372" s="108" t="s">
        <v>929</v>
      </c>
      <c r="C372" s="98" t="s">
        <v>930</v>
      </c>
      <c r="D372" s="141" t="s">
        <v>931</v>
      </c>
      <c r="E372" s="98"/>
      <c r="F372" s="98"/>
      <c r="G372" s="98"/>
      <c r="H372" s="98"/>
      <c r="I372" s="98"/>
      <c r="J372" s="98"/>
      <c r="K372" s="98"/>
      <c r="L372" s="180" t="b">
        <v>1</v>
      </c>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c r="AP372" s="98"/>
      <c r="AQ372" s="98"/>
    </row>
    <row r="373" ht="16.5" customHeight="1">
      <c r="A373" s="98"/>
      <c r="B373" s="108" t="s">
        <v>932</v>
      </c>
      <c r="C373" s="108" t="s">
        <v>933</v>
      </c>
      <c r="D373" s="141" t="s">
        <v>934</v>
      </c>
      <c r="E373" s="102" t="s">
        <v>935</v>
      </c>
      <c r="F373" s="98"/>
      <c r="G373" s="98"/>
      <c r="H373" s="98"/>
      <c r="I373" s="98"/>
      <c r="J373" s="98"/>
      <c r="K373" s="98"/>
      <c r="L373" s="180" t="b">
        <v>1</v>
      </c>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row>
    <row r="374" ht="16.5" customHeight="1">
      <c r="A374" s="98"/>
      <c r="B374" s="108" t="s">
        <v>936</v>
      </c>
      <c r="C374" s="108" t="s">
        <v>937</v>
      </c>
      <c r="D374" s="141" t="s">
        <v>938</v>
      </c>
      <c r="E374" s="98"/>
      <c r="F374" s="98"/>
      <c r="G374" s="98"/>
      <c r="H374" s="98"/>
      <c r="I374" s="98"/>
      <c r="J374" s="98"/>
      <c r="K374" s="98"/>
      <c r="L374" s="180" t="b">
        <v>1</v>
      </c>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c r="AK374" s="98"/>
      <c r="AL374" s="98"/>
      <c r="AM374" s="98"/>
      <c r="AN374" s="98"/>
      <c r="AO374" s="98"/>
      <c r="AP374" s="98"/>
      <c r="AQ374" s="98"/>
    </row>
    <row r="375" ht="16.5" customHeight="1">
      <c r="A375" s="98"/>
      <c r="B375" s="108" t="s">
        <v>929</v>
      </c>
      <c r="C375" s="108" t="s">
        <v>939</v>
      </c>
      <c r="D375" s="141" t="s">
        <v>940</v>
      </c>
      <c r="E375" s="98"/>
      <c r="F375" s="98"/>
      <c r="G375" s="98"/>
      <c r="H375" s="98"/>
      <c r="I375" s="98"/>
      <c r="J375" s="98"/>
      <c r="K375" s="98"/>
      <c r="L375" s="180" t="b">
        <v>1</v>
      </c>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c r="AK375" s="98"/>
      <c r="AL375" s="98"/>
      <c r="AM375" s="98"/>
      <c r="AN375" s="98"/>
      <c r="AO375" s="98"/>
      <c r="AP375" s="98"/>
      <c r="AQ375" s="98"/>
    </row>
    <row r="376" ht="16.5" customHeight="1">
      <c r="A376" s="98"/>
      <c r="B376" s="108" t="s">
        <v>932</v>
      </c>
      <c r="C376" s="108" t="s">
        <v>933</v>
      </c>
      <c r="D376" s="141" t="s">
        <v>941</v>
      </c>
      <c r="E376" s="98"/>
      <c r="F376" s="98"/>
      <c r="G376" s="98"/>
      <c r="H376" s="98"/>
      <c r="I376" s="98"/>
      <c r="J376" s="98"/>
      <c r="K376" s="98"/>
      <c r="L376" s="180" t="b">
        <v>1</v>
      </c>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row>
    <row r="377" ht="16.5" customHeight="1">
      <c r="A377" s="98"/>
      <c r="B377" s="98" t="s">
        <v>942</v>
      </c>
      <c r="C377" s="169" t="s">
        <v>943</v>
      </c>
      <c r="D377" s="141" t="s">
        <v>944</v>
      </c>
      <c r="E377" s="98"/>
      <c r="F377" s="98"/>
      <c r="G377" s="98"/>
      <c r="H377" s="98"/>
      <c r="I377" s="98"/>
      <c r="J377" s="98"/>
      <c r="K377" s="98"/>
      <c r="L377" s="180" t="b">
        <v>1</v>
      </c>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c r="AK377" s="98"/>
      <c r="AL377" s="98"/>
      <c r="AM377" s="98"/>
      <c r="AN377" s="98"/>
      <c r="AO377" s="98"/>
      <c r="AP377" s="98"/>
      <c r="AQ377" s="98"/>
    </row>
    <row r="378" ht="16.5" customHeight="1">
      <c r="A378" s="98"/>
      <c r="B378" s="98" t="s">
        <v>929</v>
      </c>
      <c r="C378" s="169" t="s">
        <v>945</v>
      </c>
      <c r="D378" s="141" t="s">
        <v>946</v>
      </c>
      <c r="E378" s="98"/>
      <c r="F378" s="98"/>
      <c r="G378" s="98"/>
      <c r="H378" s="98"/>
      <c r="I378" s="98"/>
      <c r="J378" s="98"/>
      <c r="K378" s="98"/>
      <c r="L378" s="180" t="b">
        <v>1</v>
      </c>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row>
    <row r="379" ht="16.5" customHeight="1">
      <c r="A379" s="98"/>
      <c r="B379" s="98" t="s">
        <v>932</v>
      </c>
      <c r="C379" s="169" t="s">
        <v>947</v>
      </c>
      <c r="D379" s="141" t="s">
        <v>948</v>
      </c>
      <c r="E379" s="98"/>
      <c r="F379" s="98"/>
      <c r="G379" s="98"/>
      <c r="H379" s="98"/>
      <c r="I379" s="98"/>
      <c r="J379" s="98"/>
      <c r="K379" s="98"/>
      <c r="L379" s="180" t="b">
        <v>1</v>
      </c>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c r="AK379" s="98"/>
      <c r="AL379" s="98"/>
      <c r="AM379" s="98"/>
      <c r="AN379" s="98"/>
      <c r="AO379" s="98"/>
      <c r="AP379" s="98"/>
      <c r="AQ379" s="98"/>
    </row>
    <row r="380" ht="16.5" customHeight="1">
      <c r="A380" s="102" t="s">
        <v>949</v>
      </c>
      <c r="B380" s="102" t="s">
        <v>901</v>
      </c>
      <c r="C380" s="226" t="s">
        <v>950</v>
      </c>
      <c r="D380" s="141" t="s">
        <v>951</v>
      </c>
      <c r="E380" s="98"/>
      <c r="F380" s="98" t="b">
        <f>if('Contextualisation form'!$H$19=TRUE,FALSE,TRUE)</f>
        <v>1</v>
      </c>
      <c r="G380" s="98"/>
      <c r="H380" s="98"/>
      <c r="I380" s="98"/>
      <c r="J380" s="98"/>
      <c r="K380" s="98"/>
      <c r="L380" s="180" t="b">
        <v>1</v>
      </c>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c r="AK380" s="98"/>
      <c r="AL380" s="98"/>
      <c r="AM380" s="98"/>
      <c r="AN380" s="98"/>
      <c r="AO380" s="98"/>
      <c r="AP380" s="98"/>
      <c r="AQ380" s="98"/>
    </row>
    <row r="381" ht="17.25" customHeight="1">
      <c r="A381" s="215"/>
      <c r="B381" s="213" t="s">
        <v>351</v>
      </c>
      <c r="C381" s="213" t="s">
        <v>368</v>
      </c>
      <c r="D381" s="214" t="s">
        <v>369</v>
      </c>
      <c r="E381" s="212"/>
      <c r="F381" s="212"/>
      <c r="G381" s="212"/>
      <c r="H381" s="212"/>
      <c r="I381" s="212"/>
      <c r="J381" s="212"/>
      <c r="K381" s="212"/>
      <c r="L381" s="215"/>
      <c r="M381" s="212"/>
      <c r="N381" s="144" t="s">
        <v>370</v>
      </c>
      <c r="O381" s="212"/>
      <c r="P381" s="212"/>
      <c r="Q381" s="212"/>
      <c r="R381" s="212"/>
      <c r="S381" s="212"/>
      <c r="T381" s="212"/>
      <c r="U381" s="212"/>
      <c r="V381" s="212"/>
      <c r="W381" s="212"/>
      <c r="X381" s="212"/>
      <c r="Y381" s="212"/>
      <c r="Z381" s="212"/>
      <c r="AA381" s="212"/>
      <c r="AB381" s="212"/>
      <c r="AC381" s="212"/>
      <c r="AD381" s="212"/>
      <c r="AE381" s="212"/>
      <c r="AF381" s="212"/>
      <c r="AG381" s="212"/>
      <c r="AH381" s="212"/>
      <c r="AI381" s="212"/>
      <c r="AJ381" s="212"/>
      <c r="AK381" s="212"/>
      <c r="AL381" s="212"/>
      <c r="AM381" s="212"/>
      <c r="AN381" s="212"/>
      <c r="AO381" s="212"/>
      <c r="AP381" s="212"/>
      <c r="AQ381" s="212"/>
    </row>
    <row r="382" ht="17.25" customHeight="1">
      <c r="A382" s="218"/>
      <c r="B382" s="216" t="s">
        <v>194</v>
      </c>
      <c r="C382" s="216" t="s">
        <v>371</v>
      </c>
      <c r="D382" s="217"/>
      <c r="E382" s="128"/>
      <c r="F382" s="128"/>
      <c r="G382" s="128"/>
      <c r="H382" s="128"/>
      <c r="I382" s="128"/>
      <c r="J382" s="128"/>
      <c r="K382" s="128"/>
      <c r="L382" s="218"/>
      <c r="M382" s="111" t="s">
        <v>372</v>
      </c>
      <c r="N382" s="128"/>
      <c r="O382" s="128"/>
      <c r="P382" s="128"/>
      <c r="Q382" s="128"/>
      <c r="R382" s="128"/>
      <c r="S382" s="128"/>
      <c r="T382" s="128"/>
      <c r="U382" s="128"/>
      <c r="V382" s="128"/>
      <c r="W382" s="128"/>
      <c r="X382" s="128"/>
      <c r="Y382" s="128"/>
      <c r="Z382" s="128"/>
      <c r="AA382" s="128"/>
      <c r="AB382" s="128"/>
      <c r="AC382" s="128"/>
      <c r="AD382" s="128"/>
      <c r="AE382" s="128"/>
      <c r="AF382" s="128"/>
      <c r="AG382" s="128"/>
      <c r="AH382" s="128"/>
      <c r="AI382" s="128"/>
      <c r="AJ382" s="128"/>
      <c r="AK382" s="128"/>
      <c r="AL382" s="128"/>
      <c r="AM382" s="128"/>
      <c r="AN382" s="128"/>
      <c r="AO382" s="128"/>
      <c r="AP382" s="128"/>
      <c r="AQ382" s="128"/>
    </row>
    <row r="383" ht="17.25" customHeight="1">
      <c r="A383" s="218"/>
      <c r="B383" s="216" t="s">
        <v>194</v>
      </c>
      <c r="C383" s="216" t="s">
        <v>373</v>
      </c>
      <c r="D383" s="217"/>
      <c r="E383" s="128"/>
      <c r="F383" s="128"/>
      <c r="G383" s="128"/>
      <c r="H383" s="128"/>
      <c r="I383" s="128"/>
      <c r="J383" s="128"/>
      <c r="K383" s="128"/>
      <c r="L383" s="218"/>
      <c r="M383" s="111" t="s">
        <v>374</v>
      </c>
      <c r="N383" s="128"/>
      <c r="O383" s="128"/>
      <c r="P383" s="128"/>
      <c r="Q383" s="128"/>
      <c r="R383" s="128"/>
      <c r="S383" s="128"/>
      <c r="T383" s="128"/>
      <c r="U383" s="128"/>
      <c r="V383" s="128"/>
      <c r="W383" s="128"/>
      <c r="X383" s="128"/>
      <c r="Y383" s="128"/>
      <c r="Z383" s="128"/>
      <c r="AA383" s="128"/>
      <c r="AB383" s="128"/>
      <c r="AC383" s="128"/>
      <c r="AD383" s="128"/>
      <c r="AE383" s="128"/>
      <c r="AF383" s="128"/>
      <c r="AG383" s="128"/>
      <c r="AH383" s="128"/>
      <c r="AI383" s="128"/>
      <c r="AJ383" s="128"/>
      <c r="AK383" s="128"/>
      <c r="AL383" s="128"/>
      <c r="AM383" s="128"/>
      <c r="AN383" s="128"/>
      <c r="AO383" s="128"/>
      <c r="AP383" s="128"/>
      <c r="AQ383" s="128"/>
    </row>
    <row r="384" ht="17.25" customHeight="1">
      <c r="A384" s="218"/>
      <c r="B384" s="216" t="s">
        <v>194</v>
      </c>
      <c r="C384" s="216" t="s">
        <v>375</v>
      </c>
      <c r="D384" s="217"/>
      <c r="E384" s="128"/>
      <c r="F384" s="128"/>
      <c r="G384" s="128"/>
      <c r="H384" s="128"/>
      <c r="I384" s="128"/>
      <c r="J384" s="128"/>
      <c r="K384" s="128"/>
      <c r="L384" s="218"/>
      <c r="M384" s="111" t="s">
        <v>376</v>
      </c>
      <c r="N384" s="128"/>
      <c r="O384" s="128"/>
      <c r="P384" s="128"/>
      <c r="Q384" s="128"/>
      <c r="R384" s="128"/>
      <c r="S384" s="128"/>
      <c r="T384" s="128"/>
      <c r="U384" s="128"/>
      <c r="V384" s="128"/>
      <c r="W384" s="128"/>
      <c r="X384" s="128"/>
      <c r="Y384" s="128"/>
      <c r="Z384" s="128"/>
      <c r="AA384" s="128"/>
      <c r="AB384" s="128"/>
      <c r="AC384" s="128"/>
      <c r="AD384" s="128"/>
      <c r="AE384" s="128"/>
      <c r="AF384" s="128"/>
      <c r="AG384" s="128"/>
      <c r="AH384" s="128"/>
      <c r="AI384" s="128"/>
      <c r="AJ384" s="128"/>
      <c r="AK384" s="128"/>
      <c r="AL384" s="128"/>
      <c r="AM384" s="128"/>
      <c r="AN384" s="128"/>
      <c r="AO384" s="128"/>
      <c r="AP384" s="128"/>
      <c r="AQ384" s="128"/>
    </row>
    <row r="385" ht="17.25" customHeight="1">
      <c r="A385" s="102" t="s">
        <v>949</v>
      </c>
      <c r="B385" s="102" t="s">
        <v>952</v>
      </c>
      <c r="C385" s="226" t="s">
        <v>953</v>
      </c>
      <c r="D385" s="142" t="s">
        <v>954</v>
      </c>
      <c r="E385" s="98"/>
      <c r="F385" s="98" t="b">
        <f>if('Contextualisation form'!$H$19=TRUE,FALSE,TRUE)</f>
        <v>1</v>
      </c>
      <c r="G385" s="98"/>
      <c r="H385" s="98"/>
      <c r="I385" s="98"/>
      <c r="J385" s="98"/>
      <c r="K385" s="98"/>
      <c r="L385" s="180" t="b">
        <v>1</v>
      </c>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row>
    <row r="386" ht="17.25" customHeight="1">
      <c r="A386" s="102" t="s">
        <v>949</v>
      </c>
      <c r="B386" s="102" t="s">
        <v>955</v>
      </c>
      <c r="C386" s="227" t="s">
        <v>956</v>
      </c>
      <c r="D386" s="142" t="s">
        <v>957</v>
      </c>
      <c r="E386" s="98"/>
      <c r="F386" s="98" t="b">
        <f>if('Contextualisation form'!$H$19=TRUE,FALSE,TRUE)</f>
        <v>1</v>
      </c>
      <c r="G386" s="98"/>
      <c r="H386" s="98"/>
      <c r="I386" s="98"/>
      <c r="J386" s="98"/>
      <c r="K386" s="98"/>
      <c r="L386" s="180"/>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c r="AK386" s="98"/>
      <c r="AL386" s="98"/>
      <c r="AM386" s="98"/>
      <c r="AN386" s="98"/>
      <c r="AO386" s="98"/>
      <c r="AP386" s="98"/>
      <c r="AQ386" s="98"/>
    </row>
    <row r="387" ht="17.25" customHeight="1">
      <c r="A387" s="215"/>
      <c r="B387" s="213" t="s">
        <v>379</v>
      </c>
      <c r="C387" s="213" t="s">
        <v>368</v>
      </c>
      <c r="D387" s="219"/>
      <c r="E387" s="212"/>
      <c r="F387" s="212"/>
      <c r="G387" s="212"/>
      <c r="H387" s="212"/>
      <c r="I387" s="212"/>
      <c r="J387" s="212"/>
      <c r="K387" s="212"/>
      <c r="L387" s="215"/>
      <c r="M387" s="212"/>
      <c r="N387" s="144" t="s">
        <v>370</v>
      </c>
      <c r="O387" s="212"/>
      <c r="P387" s="212"/>
      <c r="Q387" s="212"/>
      <c r="R387" s="212"/>
      <c r="S387" s="212"/>
      <c r="T387" s="212"/>
      <c r="U387" s="212"/>
      <c r="V387" s="212"/>
      <c r="W387" s="212"/>
      <c r="X387" s="212"/>
      <c r="Y387" s="212"/>
      <c r="Z387" s="212"/>
      <c r="AA387" s="212"/>
      <c r="AB387" s="212"/>
      <c r="AC387" s="212"/>
      <c r="AD387" s="212"/>
      <c r="AE387" s="212"/>
      <c r="AF387" s="212"/>
      <c r="AG387" s="212"/>
      <c r="AH387" s="212"/>
      <c r="AI387" s="212"/>
      <c r="AJ387" s="212"/>
      <c r="AK387" s="212"/>
      <c r="AL387" s="212"/>
      <c r="AM387" s="212"/>
      <c r="AN387" s="212"/>
      <c r="AO387" s="212"/>
      <c r="AP387" s="212"/>
      <c r="AQ387" s="212"/>
    </row>
    <row r="388" ht="16.5" customHeight="1">
      <c r="A388" s="104"/>
      <c r="B388" s="104" t="s">
        <v>253</v>
      </c>
      <c r="C388" s="105" t="s">
        <v>916</v>
      </c>
      <c r="D388" s="104"/>
      <c r="E388" s="104"/>
      <c r="F388" s="104"/>
      <c r="G388" s="104"/>
      <c r="H388" s="104"/>
      <c r="I388" s="104"/>
      <c r="J388" s="104"/>
      <c r="K388" s="104"/>
      <c r="L388" s="104"/>
      <c r="M388" s="104"/>
      <c r="N388" s="104"/>
      <c r="O388" s="104"/>
      <c r="P388" s="104"/>
      <c r="Q388" s="104"/>
      <c r="R388" s="104" t="s">
        <v>109</v>
      </c>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6"/>
      <c r="AO388" s="106"/>
      <c r="AP388" s="106"/>
      <c r="AQ388" s="106"/>
    </row>
    <row r="389" ht="16.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row>
    <row r="390" ht="16.5" customHeight="1">
      <c r="A390" s="184"/>
      <c r="B390" s="184" t="s">
        <v>209</v>
      </c>
      <c r="C390" s="105" t="s">
        <v>958</v>
      </c>
      <c r="D390" s="184" t="s">
        <v>959</v>
      </c>
      <c r="E390" s="184"/>
      <c r="F390" s="184"/>
      <c r="G390" s="184"/>
      <c r="H390" s="184"/>
      <c r="I390" s="184"/>
      <c r="J390" s="184"/>
      <c r="K390" s="184"/>
      <c r="L390" s="184"/>
      <c r="M390" s="184"/>
      <c r="N390" s="184"/>
      <c r="O390" s="184"/>
      <c r="P390" s="184"/>
      <c r="Q390" s="184"/>
      <c r="R390" s="184" t="s">
        <v>109</v>
      </c>
      <c r="S390" s="184"/>
      <c r="T390" s="184"/>
      <c r="U390" s="184"/>
      <c r="V390" s="184"/>
      <c r="W390" s="184"/>
      <c r="X390" s="184"/>
      <c r="Y390" s="184"/>
      <c r="Z390" s="184"/>
      <c r="AA390" s="184"/>
      <c r="AB390" s="184"/>
      <c r="AC390" s="184"/>
      <c r="AD390" s="184"/>
      <c r="AE390" s="184"/>
      <c r="AF390" s="184"/>
      <c r="AG390" s="184"/>
      <c r="AH390" s="184"/>
      <c r="AI390" s="184"/>
      <c r="AJ390" s="184"/>
      <c r="AK390" s="184"/>
      <c r="AL390" s="184"/>
      <c r="AM390" s="184"/>
      <c r="AN390" s="185"/>
      <c r="AO390" s="185"/>
      <c r="AP390" s="185"/>
      <c r="AQ390" s="185"/>
    </row>
    <row r="391" ht="16.5" customHeight="1">
      <c r="A391" s="98"/>
      <c r="B391" s="108" t="s">
        <v>398</v>
      </c>
      <c r="C391" s="98" t="s">
        <v>960</v>
      </c>
      <c r="D391" s="107" t="s">
        <v>961</v>
      </c>
      <c r="E391" s="98"/>
      <c r="F391" s="98"/>
      <c r="G391" s="98"/>
      <c r="H391" s="98"/>
      <c r="I391" s="98"/>
      <c r="J391" s="98"/>
      <c r="K391" s="98"/>
      <c r="L391" s="102" t="b">
        <v>1</v>
      </c>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c r="AK391" s="98"/>
      <c r="AL391" s="98"/>
      <c r="AM391" s="98"/>
      <c r="AN391" s="98"/>
      <c r="AO391" s="98"/>
      <c r="AP391" s="98"/>
      <c r="AQ391" s="98"/>
    </row>
    <row r="392" ht="16.5" customHeight="1">
      <c r="A392" s="98"/>
      <c r="B392" s="108" t="s">
        <v>398</v>
      </c>
      <c r="C392" s="98" t="s">
        <v>962</v>
      </c>
      <c r="D392" s="127" t="s">
        <v>963</v>
      </c>
      <c r="E392" s="98"/>
      <c r="F392" s="98"/>
      <c r="G392" s="98"/>
      <c r="H392" s="98"/>
      <c r="I392" s="98"/>
      <c r="J392" s="98"/>
      <c r="K392" s="98"/>
      <c r="L392" s="102" t="b">
        <v>1</v>
      </c>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c r="AK392" s="98"/>
      <c r="AL392" s="98"/>
      <c r="AM392" s="98"/>
      <c r="AN392" s="98"/>
      <c r="AO392" s="98"/>
      <c r="AP392" s="98"/>
      <c r="AQ392" s="98"/>
    </row>
    <row r="393" ht="16.5" customHeight="1">
      <c r="A393" s="98"/>
      <c r="B393" s="108" t="s">
        <v>964</v>
      </c>
      <c r="C393" s="98" t="s">
        <v>965</v>
      </c>
      <c r="D393" s="107" t="s">
        <v>966</v>
      </c>
      <c r="E393" s="98"/>
      <c r="F393" s="98"/>
      <c r="G393" s="98"/>
      <c r="H393" s="98"/>
      <c r="I393" s="98"/>
      <c r="J393" s="98"/>
      <c r="K393" s="98"/>
      <c r="L393" s="102" t="b">
        <v>1</v>
      </c>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c r="AK393" s="98"/>
      <c r="AL393" s="98"/>
      <c r="AM393" s="98"/>
      <c r="AN393" s="98"/>
      <c r="AO393" s="98"/>
      <c r="AP393" s="98"/>
      <c r="AQ393" s="98"/>
    </row>
    <row r="394" ht="16.5" customHeight="1">
      <c r="A394" s="104"/>
      <c r="B394" s="104" t="s">
        <v>253</v>
      </c>
      <c r="C394" s="105" t="s">
        <v>958</v>
      </c>
      <c r="D394" s="104"/>
      <c r="E394" s="104"/>
      <c r="F394" s="104"/>
      <c r="G394" s="104"/>
      <c r="H394" s="104"/>
      <c r="I394" s="104"/>
      <c r="J394" s="104"/>
      <c r="K394" s="104"/>
      <c r="L394" s="104"/>
      <c r="M394" s="104"/>
      <c r="N394" s="104"/>
      <c r="O394" s="104"/>
      <c r="P394" s="104"/>
      <c r="Q394" s="104"/>
      <c r="R394" s="104" t="s">
        <v>109</v>
      </c>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6"/>
      <c r="AO394" s="106"/>
      <c r="AP394" s="106"/>
      <c r="AQ394" s="106"/>
    </row>
    <row r="395" ht="16.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c r="AK395" s="98"/>
      <c r="AL395" s="98"/>
      <c r="AM395" s="98"/>
      <c r="AN395" s="98"/>
      <c r="AO395" s="98"/>
      <c r="AP395" s="98"/>
      <c r="AQ395" s="98"/>
    </row>
    <row r="396" ht="16.5" customHeight="1">
      <c r="A396" s="184"/>
      <c r="B396" s="184" t="s">
        <v>209</v>
      </c>
      <c r="C396" s="105" t="s">
        <v>967</v>
      </c>
      <c r="D396" s="184" t="s">
        <v>968</v>
      </c>
      <c r="E396" s="184"/>
      <c r="F396" s="184"/>
      <c r="G396" s="184"/>
      <c r="H396" s="184"/>
      <c r="I396" s="184"/>
      <c r="J396" s="184"/>
      <c r="K396" s="184"/>
      <c r="L396" s="184"/>
      <c r="M396" s="184"/>
      <c r="N396" s="184"/>
      <c r="O396" s="184"/>
      <c r="P396" s="184"/>
      <c r="Q396" s="184"/>
      <c r="R396" s="184" t="s">
        <v>109</v>
      </c>
      <c r="S396" s="184"/>
      <c r="T396" s="184"/>
      <c r="U396" s="184"/>
      <c r="V396" s="184"/>
      <c r="W396" s="184"/>
      <c r="X396" s="184"/>
      <c r="Y396" s="184"/>
      <c r="Z396" s="184"/>
      <c r="AA396" s="184"/>
      <c r="AB396" s="184"/>
      <c r="AC396" s="184"/>
      <c r="AD396" s="184"/>
      <c r="AE396" s="184"/>
      <c r="AF396" s="184"/>
      <c r="AG396" s="184"/>
      <c r="AH396" s="184"/>
      <c r="AI396" s="184"/>
      <c r="AJ396" s="184"/>
      <c r="AK396" s="184"/>
      <c r="AL396" s="184"/>
      <c r="AM396" s="184"/>
      <c r="AN396" s="185"/>
      <c r="AO396" s="185"/>
      <c r="AP396" s="185"/>
      <c r="AQ396" s="185"/>
    </row>
    <row r="397" ht="16.5" customHeight="1">
      <c r="A397" s="98"/>
      <c r="B397" s="98" t="s">
        <v>307</v>
      </c>
      <c r="C397" s="98" t="s">
        <v>969</v>
      </c>
      <c r="D397" s="98" t="s">
        <v>970</v>
      </c>
      <c r="E397" s="98" t="s">
        <v>971</v>
      </c>
      <c r="F397" s="98"/>
      <c r="G397" s="98"/>
      <c r="H397" s="98"/>
      <c r="I397" s="98"/>
      <c r="J397" s="98"/>
      <c r="K397" s="98"/>
      <c r="L397" s="98" t="b">
        <v>1</v>
      </c>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c r="AK397" s="98"/>
      <c r="AL397" s="98"/>
      <c r="AM397" s="98"/>
      <c r="AN397" s="98"/>
      <c r="AO397" s="98"/>
      <c r="AP397" s="98"/>
      <c r="AQ397" s="98"/>
    </row>
    <row r="398" ht="16.5" customHeight="1">
      <c r="A398" s="98"/>
      <c r="B398" s="98" t="s">
        <v>307</v>
      </c>
      <c r="C398" s="98" t="s">
        <v>972</v>
      </c>
      <c r="D398" s="98" t="s">
        <v>973</v>
      </c>
      <c r="E398" s="228" t="s">
        <v>974</v>
      </c>
      <c r="F398" s="98"/>
      <c r="G398" s="98"/>
      <c r="H398" s="98"/>
      <c r="I398" s="98"/>
      <c r="J398" s="98"/>
      <c r="K398" s="98"/>
      <c r="L398" s="98" t="b">
        <v>1</v>
      </c>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c r="AK398" s="98"/>
      <c r="AL398" s="98"/>
      <c r="AM398" s="98"/>
      <c r="AN398" s="98"/>
      <c r="AO398" s="98"/>
      <c r="AP398" s="98"/>
      <c r="AQ398" s="98"/>
    </row>
    <row r="399" ht="16.5" customHeight="1">
      <c r="A399" s="98"/>
      <c r="B399" s="98" t="s">
        <v>975</v>
      </c>
      <c r="C399" s="98" t="s">
        <v>976</v>
      </c>
      <c r="D399" s="98" t="s">
        <v>977</v>
      </c>
      <c r="E399" s="98"/>
      <c r="F399" s="98"/>
      <c r="G399" s="98"/>
      <c r="H399" s="98"/>
      <c r="I399" s="98"/>
      <c r="J399" s="98"/>
      <c r="K399" s="98"/>
      <c r="L399" s="98" t="b">
        <v>1</v>
      </c>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row>
    <row r="400" ht="16.5" customHeight="1">
      <c r="A400" s="98"/>
      <c r="B400" s="102" t="s">
        <v>307</v>
      </c>
      <c r="C400" s="102" t="s">
        <v>978</v>
      </c>
      <c r="D400" s="98" t="s">
        <v>979</v>
      </c>
      <c r="E400" s="102" t="s">
        <v>980</v>
      </c>
      <c r="F400" s="98"/>
      <c r="G400" s="98"/>
      <c r="H400" s="98"/>
      <c r="I400" s="98"/>
      <c r="J400" s="98"/>
      <c r="K400" s="98"/>
      <c r="L400" s="98" t="b">
        <v>1</v>
      </c>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row>
    <row r="401" ht="16.5" customHeight="1">
      <c r="A401" s="98"/>
      <c r="B401" s="98" t="s">
        <v>981</v>
      </c>
      <c r="C401" s="98" t="s">
        <v>982</v>
      </c>
      <c r="D401" s="98" t="s">
        <v>983</v>
      </c>
      <c r="E401" s="98"/>
      <c r="F401" s="98"/>
      <c r="G401" s="98"/>
      <c r="H401" s="98"/>
      <c r="I401" s="98"/>
      <c r="J401" s="98"/>
      <c r="K401" s="98"/>
      <c r="L401" s="98" t="b">
        <v>1</v>
      </c>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row>
    <row r="402" ht="16.5" customHeight="1">
      <c r="A402" s="98"/>
      <c r="B402" s="98" t="s">
        <v>975</v>
      </c>
      <c r="C402" s="98" t="s">
        <v>984</v>
      </c>
      <c r="D402" s="98" t="s">
        <v>985</v>
      </c>
      <c r="E402" s="102" t="s">
        <v>986</v>
      </c>
      <c r="F402" s="98"/>
      <c r="G402" s="98"/>
      <c r="H402" s="98"/>
      <c r="I402" s="98"/>
      <c r="J402" s="98"/>
      <c r="K402" s="98"/>
      <c r="L402" s="98" t="b">
        <v>1</v>
      </c>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row>
    <row r="403" ht="15.75" customHeight="1">
      <c r="A403" s="98"/>
      <c r="B403" s="102" t="s">
        <v>307</v>
      </c>
      <c r="C403" s="98" t="s">
        <v>987</v>
      </c>
      <c r="D403" s="98" t="s">
        <v>988</v>
      </c>
      <c r="E403" s="102" t="s">
        <v>980</v>
      </c>
      <c r="F403" s="98"/>
      <c r="G403" s="98"/>
      <c r="H403" s="98"/>
      <c r="I403" s="98"/>
      <c r="J403" s="98"/>
      <c r="K403" s="98"/>
      <c r="L403" s="98" t="b">
        <v>1</v>
      </c>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row>
    <row r="404" ht="16.5" customHeight="1">
      <c r="A404" s="104"/>
      <c r="B404" s="104" t="s">
        <v>253</v>
      </c>
      <c r="C404" s="105" t="s">
        <v>967</v>
      </c>
      <c r="D404" s="104"/>
      <c r="E404" s="104"/>
      <c r="F404" s="104"/>
      <c r="G404" s="104"/>
      <c r="H404" s="104"/>
      <c r="I404" s="104"/>
      <c r="J404" s="104"/>
      <c r="K404" s="104"/>
      <c r="L404" s="104"/>
      <c r="M404" s="104"/>
      <c r="N404" s="104"/>
      <c r="O404" s="104"/>
      <c r="P404" s="104"/>
      <c r="Q404" s="104"/>
      <c r="R404" s="104" t="s">
        <v>109</v>
      </c>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6"/>
      <c r="AO404" s="106"/>
      <c r="AP404" s="106"/>
      <c r="AQ404" s="106"/>
    </row>
    <row r="405" ht="16.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row>
    <row r="406" ht="16.5" customHeight="1">
      <c r="A406" s="184"/>
      <c r="B406" s="184" t="s">
        <v>209</v>
      </c>
      <c r="C406" s="105" t="s">
        <v>989</v>
      </c>
      <c r="D406" s="184" t="s">
        <v>990</v>
      </c>
      <c r="E406" s="184"/>
      <c r="F406" s="184"/>
      <c r="G406" s="184"/>
      <c r="H406" s="184"/>
      <c r="I406" s="184"/>
      <c r="J406" s="184"/>
      <c r="K406" s="184"/>
      <c r="L406" s="184"/>
      <c r="M406" s="184"/>
      <c r="N406" s="184"/>
      <c r="O406" s="184"/>
      <c r="P406" s="184"/>
      <c r="Q406" s="184"/>
      <c r="R406" s="184" t="s">
        <v>109</v>
      </c>
      <c r="S406" s="184"/>
      <c r="T406" s="184"/>
      <c r="U406" s="184"/>
      <c r="V406" s="184"/>
      <c r="W406" s="184"/>
      <c r="X406" s="184"/>
      <c r="Y406" s="184"/>
      <c r="Z406" s="184"/>
      <c r="AA406" s="184"/>
      <c r="AB406" s="184"/>
      <c r="AC406" s="184"/>
      <c r="AD406" s="184"/>
      <c r="AE406" s="184"/>
      <c r="AF406" s="184"/>
      <c r="AG406" s="184"/>
      <c r="AH406" s="184"/>
      <c r="AI406" s="184"/>
      <c r="AJ406" s="184"/>
      <c r="AK406" s="184"/>
      <c r="AL406" s="184"/>
      <c r="AM406" s="184"/>
      <c r="AN406" s="185"/>
      <c r="AO406" s="185"/>
      <c r="AP406" s="185"/>
      <c r="AQ406" s="185"/>
    </row>
    <row r="407" ht="16.5" customHeight="1">
      <c r="A407" s="98"/>
      <c r="B407" s="108" t="s">
        <v>991</v>
      </c>
      <c r="C407" s="98" t="s">
        <v>992</v>
      </c>
      <c r="D407" s="127" t="s">
        <v>993</v>
      </c>
      <c r="E407" s="98"/>
      <c r="F407" s="98"/>
      <c r="G407" s="98"/>
      <c r="H407" s="98"/>
      <c r="I407" s="98"/>
      <c r="J407" s="98"/>
      <c r="K407" s="98"/>
      <c r="L407" s="102" t="b">
        <v>1</v>
      </c>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c r="AK407" s="98"/>
      <c r="AL407" s="98"/>
      <c r="AM407" s="98"/>
      <c r="AN407" s="98"/>
      <c r="AO407" s="98"/>
      <c r="AP407" s="98"/>
      <c r="AQ407" s="98"/>
    </row>
    <row r="408" ht="16.5" customHeight="1">
      <c r="A408" s="98"/>
      <c r="B408" s="102" t="s">
        <v>224</v>
      </c>
      <c r="C408" s="98" t="s">
        <v>994</v>
      </c>
      <c r="D408" s="107" t="s">
        <v>995</v>
      </c>
      <c r="E408" s="98"/>
      <c r="F408" s="98"/>
      <c r="G408" s="98"/>
      <c r="H408" s="98"/>
      <c r="I408" s="98"/>
      <c r="J408" s="98"/>
      <c r="K408" s="98"/>
      <c r="L408" s="102" t="b">
        <v>1</v>
      </c>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c r="AK408" s="98"/>
      <c r="AL408" s="98"/>
      <c r="AM408" s="98"/>
      <c r="AN408" s="98"/>
      <c r="AO408" s="98"/>
      <c r="AP408" s="98"/>
      <c r="AQ408" s="98"/>
    </row>
    <row r="409" ht="16.5" customHeight="1">
      <c r="A409" s="104"/>
      <c r="B409" s="104" t="s">
        <v>253</v>
      </c>
      <c r="C409" s="105" t="s">
        <v>989</v>
      </c>
      <c r="D409" s="104"/>
      <c r="E409" s="104"/>
      <c r="F409" s="104"/>
      <c r="G409" s="104"/>
      <c r="H409" s="104"/>
      <c r="I409" s="104"/>
      <c r="J409" s="104"/>
      <c r="K409" s="104"/>
      <c r="L409" s="104"/>
      <c r="M409" s="104"/>
      <c r="N409" s="104"/>
      <c r="O409" s="104"/>
      <c r="P409" s="104"/>
      <c r="Q409" s="104"/>
      <c r="R409" s="104" t="s">
        <v>109</v>
      </c>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6"/>
      <c r="AO409" s="106"/>
      <c r="AP409" s="106"/>
      <c r="AQ409" s="106"/>
    </row>
    <row r="410" ht="16.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c r="AK410" s="98"/>
      <c r="AL410" s="98"/>
      <c r="AM410" s="98"/>
      <c r="AN410" s="98"/>
      <c r="AO410" s="98"/>
      <c r="AP410" s="98"/>
      <c r="AQ410" s="98"/>
    </row>
    <row r="411" ht="16.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c r="AK411" s="98"/>
      <c r="AL411" s="98"/>
      <c r="AM411" s="98"/>
      <c r="AN411" s="98"/>
      <c r="AO411" s="98"/>
      <c r="AP411" s="98"/>
      <c r="AQ411" s="98"/>
    </row>
    <row r="412" ht="16.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row>
    <row r="413" ht="16.5" customHeight="1">
      <c r="A413" s="229"/>
      <c r="B413" s="229"/>
      <c r="C413" s="230" t="s">
        <v>996</v>
      </c>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c r="AA413" s="229"/>
      <c r="AB413" s="229"/>
      <c r="AC413" s="229"/>
      <c r="AD413" s="229"/>
      <c r="AE413" s="229"/>
      <c r="AF413" s="229"/>
      <c r="AG413" s="229"/>
      <c r="AH413" s="229"/>
      <c r="AI413" s="229"/>
      <c r="AJ413" s="229"/>
      <c r="AK413" s="229"/>
      <c r="AL413" s="229"/>
      <c r="AM413" s="229"/>
      <c r="AN413" s="231"/>
      <c r="AO413" s="231"/>
      <c r="AP413" s="231"/>
      <c r="AQ413" s="231"/>
    </row>
    <row r="414" ht="16.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c r="AK414" s="98"/>
      <c r="AL414" s="98"/>
      <c r="AM414" s="98"/>
      <c r="AN414" s="98"/>
      <c r="AO414" s="98"/>
      <c r="AP414" s="98"/>
      <c r="AQ414" s="98"/>
    </row>
    <row r="415" ht="16.5" customHeight="1">
      <c r="A415" s="184"/>
      <c r="B415" s="184" t="s">
        <v>209</v>
      </c>
      <c r="C415" s="105" t="s">
        <v>997</v>
      </c>
      <c r="D415" s="184" t="s">
        <v>998</v>
      </c>
      <c r="E415" s="184"/>
      <c r="F415" s="184" t="b">
        <f>if(OR('Contextualisation form'!$E$23="Regenerative Agriculture (9)",'Contextualisation form'!$E$24= "Regenerative Agriculture (9)",'Contextualisation form'!$E$25="Regenerative Agriculture (9)"),FALSE,TRUE)</f>
        <v>1</v>
      </c>
      <c r="G415" s="184"/>
      <c r="H415" s="184"/>
      <c r="I415" s="184"/>
      <c r="J415" s="184"/>
      <c r="K415" s="105"/>
      <c r="L415" s="184"/>
      <c r="M415" s="184"/>
      <c r="N415" s="184"/>
      <c r="O415" s="184"/>
      <c r="P415" s="184"/>
      <c r="Q415" s="184"/>
      <c r="R415" s="184" t="s">
        <v>109</v>
      </c>
      <c r="S415" s="184"/>
      <c r="T415" s="184"/>
      <c r="U415" s="184"/>
      <c r="V415" s="184"/>
      <c r="W415" s="184"/>
      <c r="X415" s="184"/>
      <c r="Y415" s="184"/>
      <c r="Z415" s="184"/>
      <c r="AA415" s="184"/>
      <c r="AB415" s="184"/>
      <c r="AC415" s="184"/>
      <c r="AD415" s="184"/>
      <c r="AE415" s="184"/>
      <c r="AF415" s="184"/>
      <c r="AG415" s="184"/>
      <c r="AH415" s="184"/>
      <c r="AI415" s="184"/>
      <c r="AJ415" s="184"/>
      <c r="AK415" s="184"/>
      <c r="AL415" s="184"/>
      <c r="AM415" s="184"/>
      <c r="AN415" s="185"/>
      <c r="AO415" s="185"/>
      <c r="AP415" s="185"/>
      <c r="AQ415" s="185"/>
    </row>
    <row r="416" ht="16.5" customHeight="1">
      <c r="A416" s="98"/>
      <c r="B416" s="98" t="s">
        <v>999</v>
      </c>
      <c r="C416" s="169" t="s">
        <v>1000</v>
      </c>
      <c r="D416" s="141" t="s">
        <v>1001</v>
      </c>
      <c r="E416" s="98"/>
      <c r="F416" s="143" t="b">
        <f>if(OR('Contextualisation form'!$E$23="Regenerative Agriculture (9)",'Contextualisation form'!$E$24= "Regenerative Agriculture (9)",'Contextualisation form'!$E$25="Regenerative Agriculture (9)"),FALSE,TRUE)</f>
        <v>1</v>
      </c>
      <c r="G416" s="98"/>
      <c r="H416" s="98"/>
      <c r="I416" s="98"/>
      <c r="J416" s="98"/>
      <c r="K416" s="98"/>
      <c r="L416" s="102" t="b">
        <v>1</v>
      </c>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c r="AK416" s="98"/>
      <c r="AL416" s="98"/>
      <c r="AM416" s="98"/>
      <c r="AN416" s="98"/>
      <c r="AO416" s="98"/>
      <c r="AP416" s="98"/>
      <c r="AQ416" s="98"/>
    </row>
    <row r="417" ht="16.5" customHeight="1">
      <c r="A417" s="98"/>
      <c r="B417" s="98" t="s">
        <v>213</v>
      </c>
      <c r="C417" s="169" t="s">
        <v>1002</v>
      </c>
      <c r="D417" s="141" t="s">
        <v>1003</v>
      </c>
      <c r="E417" s="98"/>
      <c r="F417" s="143" t="b">
        <f>if(OR('Contextualisation form'!$E$23="Regenerative Agriculture (9)",'Contextualisation form'!$E$24= "Regenerative Agriculture (9)",'Contextualisation form'!$E$25="Regenerative Agriculture (9)"),FALSE,TRUE)</f>
        <v>1</v>
      </c>
      <c r="G417" s="98"/>
      <c r="H417" s="98"/>
      <c r="I417" s="98"/>
      <c r="J417" s="98"/>
      <c r="K417" s="98"/>
      <c r="L417" s="102" t="b">
        <v>1</v>
      </c>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c r="AK417" s="98"/>
      <c r="AL417" s="98"/>
      <c r="AM417" s="98"/>
      <c r="AN417" s="98"/>
      <c r="AO417" s="98"/>
      <c r="AP417" s="98"/>
      <c r="AQ417" s="98"/>
    </row>
    <row r="418" ht="16.5" customHeight="1">
      <c r="A418" s="98"/>
      <c r="B418" s="98" t="s">
        <v>213</v>
      </c>
      <c r="C418" s="169" t="s">
        <v>1004</v>
      </c>
      <c r="D418" s="108" t="s">
        <v>1005</v>
      </c>
      <c r="E418" s="98"/>
      <c r="F418" s="143" t="b">
        <f>if(OR('Contextualisation form'!$E$23="Regenerative Agriculture (9)",'Contextualisation form'!$E$24= "Regenerative Agriculture (9)",'Contextualisation form'!$E$25="Regenerative Agriculture (9)"),FALSE,TRUE)</f>
        <v>1</v>
      </c>
      <c r="G418" s="98"/>
      <c r="H418" s="98"/>
      <c r="I418" s="98"/>
      <c r="J418" s="98"/>
      <c r="K418" s="98"/>
      <c r="L418" s="102" t="b">
        <v>1</v>
      </c>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c r="AK418" s="98"/>
      <c r="AL418" s="98"/>
      <c r="AM418" s="98"/>
      <c r="AN418" s="98"/>
      <c r="AO418" s="98"/>
      <c r="AP418" s="98"/>
      <c r="AQ418" s="98"/>
    </row>
    <row r="419" ht="16.5" customHeight="1">
      <c r="A419" s="98"/>
      <c r="B419" s="108" t="s">
        <v>307</v>
      </c>
      <c r="C419" s="169" t="s">
        <v>1006</v>
      </c>
      <c r="D419" s="108" t="s">
        <v>1007</v>
      </c>
      <c r="E419" s="98"/>
      <c r="F419" s="143" t="b">
        <f>if(OR('Contextualisation form'!$E$23="Regenerative Agriculture (9)",'Contextualisation form'!$E$24= "Regenerative Agriculture (9)",'Contextualisation form'!$E$25="Regenerative Agriculture (9)"),FALSE,TRUE)</f>
        <v>1</v>
      </c>
      <c r="G419" s="98"/>
      <c r="H419" s="98"/>
      <c r="I419" s="98"/>
      <c r="J419" s="98"/>
      <c r="K419" s="98"/>
      <c r="L419" s="102" t="b">
        <v>1</v>
      </c>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c r="AK419" s="98"/>
      <c r="AL419" s="98"/>
      <c r="AM419" s="98"/>
      <c r="AN419" s="98"/>
      <c r="AO419" s="98"/>
      <c r="AP419" s="98"/>
      <c r="AQ419" s="98"/>
    </row>
    <row r="420" ht="16.5" customHeight="1">
      <c r="A420" s="98"/>
      <c r="B420" s="98" t="s">
        <v>213</v>
      </c>
      <c r="C420" s="169" t="s">
        <v>1008</v>
      </c>
      <c r="D420" s="108" t="s">
        <v>1009</v>
      </c>
      <c r="E420" s="98"/>
      <c r="F420" s="143" t="b">
        <f>if(OR('Contextualisation form'!$E$23="Regenerative Agriculture (9)",'Contextualisation form'!$E$24= "Regenerative Agriculture (9)",'Contextualisation form'!$E$25="Regenerative Agriculture (9)"),FALSE,TRUE)</f>
        <v>1</v>
      </c>
      <c r="G420" s="98"/>
      <c r="H420" s="98"/>
      <c r="I420" s="98"/>
      <c r="J420" s="98"/>
      <c r="K420" s="98"/>
      <c r="L420" s="102" t="b">
        <v>1</v>
      </c>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c r="AK420" s="98"/>
      <c r="AL420" s="98"/>
      <c r="AM420" s="98"/>
      <c r="AN420" s="98"/>
      <c r="AO420" s="98"/>
      <c r="AP420" s="98"/>
      <c r="AQ420" s="98"/>
    </row>
    <row r="421" ht="16.5" customHeight="1">
      <c r="A421" s="98"/>
      <c r="B421" s="108" t="s">
        <v>1010</v>
      </c>
      <c r="C421" s="169" t="s">
        <v>1011</v>
      </c>
      <c r="D421" s="108" t="s">
        <v>1012</v>
      </c>
      <c r="E421" s="98"/>
      <c r="F421" s="143" t="b">
        <f>if(OR('Contextualisation form'!$E$23="Regenerative Agriculture (9)",'Contextualisation form'!$E$24= "Regenerative Agriculture (9)",'Contextualisation form'!$E$25="Regenerative Agriculture (9)"),FALSE,TRUE)</f>
        <v>1</v>
      </c>
      <c r="G421" s="98"/>
      <c r="H421" s="98"/>
      <c r="I421" s="98"/>
      <c r="J421" s="98"/>
      <c r="K421" s="98"/>
      <c r="L421" s="102" t="b">
        <v>1</v>
      </c>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c r="AQ421" s="98"/>
    </row>
    <row r="422" ht="16.5" customHeight="1">
      <c r="A422" s="98"/>
      <c r="B422" s="98" t="s">
        <v>1013</v>
      </c>
      <c r="C422" s="169" t="s">
        <v>1014</v>
      </c>
      <c r="D422" s="108" t="s">
        <v>1015</v>
      </c>
      <c r="E422" s="98"/>
      <c r="F422" s="143" t="b">
        <f>if(OR('Contextualisation form'!$E$23="Regenerative Agriculture (9)",'Contextualisation form'!$E$24= "Regenerative Agriculture (9)",'Contextualisation form'!$E$25="Regenerative Agriculture (9)"),FALSE,TRUE)</f>
        <v>1</v>
      </c>
      <c r="G422" s="98"/>
      <c r="H422" s="98"/>
      <c r="I422" s="98"/>
      <c r="J422" s="98"/>
      <c r="K422" s="98"/>
      <c r="L422" s="102" t="b">
        <v>1</v>
      </c>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c r="AQ422" s="98"/>
    </row>
    <row r="423" ht="16.5" customHeight="1">
      <c r="A423" s="98"/>
      <c r="B423" s="102" t="s">
        <v>224</v>
      </c>
      <c r="C423" s="169" t="s">
        <v>1016</v>
      </c>
      <c r="D423" s="180" t="s">
        <v>1017</v>
      </c>
      <c r="E423" s="98"/>
      <c r="F423" s="143" t="b">
        <f>if(OR('Contextualisation form'!$E$23="Regenerative Agriculture (9)",'Contextualisation form'!$E$24= "Regenerative Agriculture (9)",'Contextualisation form'!$E$25="Regenerative Agriculture (9)"),FALSE,TRUE)</f>
        <v>1</v>
      </c>
      <c r="G423" s="98"/>
      <c r="H423" s="98"/>
      <c r="I423" s="98"/>
      <c r="J423" s="98"/>
      <c r="K423" s="102" t="s">
        <v>1018</v>
      </c>
      <c r="L423" s="102" t="b">
        <v>1</v>
      </c>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c r="AQ423" s="98"/>
    </row>
    <row r="424" ht="16.5" customHeight="1">
      <c r="A424" s="98"/>
      <c r="B424" s="98" t="s">
        <v>1019</v>
      </c>
      <c r="C424" s="169" t="s">
        <v>1020</v>
      </c>
      <c r="D424" s="108" t="s">
        <v>1021</v>
      </c>
      <c r="E424" s="98"/>
      <c r="F424" s="143" t="b">
        <f>if(OR('Contextualisation form'!$E$23="Regenerative Agriculture (9)",'Contextualisation form'!$E$24= "Regenerative Agriculture (9)",'Contextualisation form'!$E$25="Regenerative Agriculture (9)"),FALSE,TRUE)</f>
        <v>1</v>
      </c>
      <c r="G424" s="98"/>
      <c r="H424" s="98"/>
      <c r="I424" s="98"/>
      <c r="J424" s="98"/>
      <c r="K424" s="98"/>
      <c r="L424" s="102" t="b">
        <v>1</v>
      </c>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c r="AQ424" s="98"/>
    </row>
    <row r="425" ht="16.5" customHeight="1">
      <c r="A425" s="98"/>
      <c r="B425" s="102" t="s">
        <v>224</v>
      </c>
      <c r="C425" s="169" t="s">
        <v>1022</v>
      </c>
      <c r="D425" s="180" t="s">
        <v>1023</v>
      </c>
      <c r="E425" s="98"/>
      <c r="F425" s="143" t="b">
        <f>if(OR('Contextualisation form'!$E$23="Regenerative Agriculture (9)",'Contextualisation form'!$E$24= "Regenerative Agriculture (9)",'Contextualisation form'!$E$25="Regenerative Agriculture (9)"),FALSE,TRUE)</f>
        <v>1</v>
      </c>
      <c r="G425" s="98"/>
      <c r="H425" s="98"/>
      <c r="I425" s="98"/>
      <c r="J425" s="98"/>
      <c r="K425" s="102" t="s">
        <v>1024</v>
      </c>
      <c r="L425" s="102" t="b">
        <v>1</v>
      </c>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c r="AQ425" s="98"/>
    </row>
    <row r="426" ht="16.5" customHeight="1">
      <c r="A426" s="98"/>
      <c r="B426" s="98" t="s">
        <v>1025</v>
      </c>
      <c r="C426" s="169" t="s">
        <v>1026</v>
      </c>
      <c r="D426" s="108" t="s">
        <v>1027</v>
      </c>
      <c r="E426" s="98"/>
      <c r="F426" s="143" t="b">
        <f>if(OR('Contextualisation form'!$E$23="Regenerative Agriculture (9)",'Contextualisation form'!$E$24= "Regenerative Agriculture (9)",'Contextualisation form'!$E$25="Regenerative Agriculture (9)"),FALSE,TRUE)</f>
        <v>1</v>
      </c>
      <c r="G426" s="98"/>
      <c r="H426" s="98"/>
      <c r="I426" s="98"/>
      <c r="J426" s="98"/>
      <c r="K426" s="98"/>
      <c r="L426" s="102" t="b">
        <v>1</v>
      </c>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c r="AQ426" s="98"/>
    </row>
    <row r="427" ht="16.5" customHeight="1">
      <c r="A427" s="98"/>
      <c r="B427" s="102" t="s">
        <v>224</v>
      </c>
      <c r="C427" s="169" t="s">
        <v>1028</v>
      </c>
      <c r="D427" s="180" t="s">
        <v>1029</v>
      </c>
      <c r="E427" s="98"/>
      <c r="F427" s="143" t="b">
        <f>if(OR('Contextualisation form'!$E$23="Regenerative Agriculture (9)",'Contextualisation form'!$E$24= "Regenerative Agriculture (9)",'Contextualisation form'!$E$25="Regenerative Agriculture (9)"),FALSE,TRUE)</f>
        <v>1</v>
      </c>
      <c r="G427" s="98"/>
      <c r="H427" s="98"/>
      <c r="I427" s="98"/>
      <c r="J427" s="98"/>
      <c r="K427" s="102" t="s">
        <v>1030</v>
      </c>
      <c r="L427" s="102"/>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c r="AQ427" s="98"/>
    </row>
    <row r="428" ht="16.5" customHeight="1">
      <c r="A428" s="184"/>
      <c r="B428" s="184" t="s">
        <v>253</v>
      </c>
      <c r="C428" s="105" t="s">
        <v>997</v>
      </c>
      <c r="D428" s="184"/>
      <c r="E428" s="184"/>
      <c r="F428" s="184" t="b">
        <f>if(OR('Contextualisation form'!$E$23="Regenerative Agriculture (9)",'Contextualisation form'!$E$24= "Regenerative Agriculture (9)",'Contextualisation form'!$E$25="Regenerative Agriculture (9)"),FALSE,TRUE)</f>
        <v>1</v>
      </c>
      <c r="G428" s="184"/>
      <c r="H428" s="184"/>
      <c r="I428" s="184"/>
      <c r="J428" s="184"/>
      <c r="K428" s="184"/>
      <c r="L428" s="184"/>
      <c r="M428" s="184"/>
      <c r="N428" s="184"/>
      <c r="O428" s="184"/>
      <c r="P428" s="184"/>
      <c r="Q428" s="184"/>
      <c r="R428" s="184" t="s">
        <v>109</v>
      </c>
      <c r="S428" s="184"/>
      <c r="T428" s="184"/>
      <c r="U428" s="184"/>
      <c r="V428" s="184"/>
      <c r="W428" s="184"/>
      <c r="X428" s="184"/>
      <c r="Y428" s="184"/>
      <c r="Z428" s="184"/>
      <c r="AA428" s="184"/>
      <c r="AB428" s="184"/>
      <c r="AC428" s="184"/>
      <c r="AD428" s="184"/>
      <c r="AE428" s="184"/>
      <c r="AF428" s="184"/>
      <c r="AG428" s="184"/>
      <c r="AH428" s="184"/>
      <c r="AI428" s="184"/>
      <c r="AJ428" s="184"/>
      <c r="AK428" s="184"/>
      <c r="AL428" s="184"/>
      <c r="AM428" s="184"/>
      <c r="AN428" s="185"/>
      <c r="AO428" s="185"/>
      <c r="AP428" s="185"/>
      <c r="AQ428" s="185"/>
    </row>
    <row r="429" ht="16.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c r="AQ429" s="98"/>
    </row>
    <row r="430" ht="16.5" customHeight="1">
      <c r="A430" s="184"/>
      <c r="B430" s="184" t="s">
        <v>209</v>
      </c>
      <c r="C430" s="105" t="s">
        <v>739</v>
      </c>
      <c r="D430" s="184" t="s">
        <v>1031</v>
      </c>
      <c r="E430" s="184"/>
      <c r="F430" s="184" t="b">
        <f>if(OR('Contextualisation form'!$E$23="Farmer Organisation (13)",'Contextualisation form'!$E$24= "Farmer Organisation (13)",'Contextualisation form'!$E$25="Farmer Organisation (13)"),FALSE,TRUE)</f>
        <v>1</v>
      </c>
      <c r="G430" s="184"/>
      <c r="H430" s="184"/>
      <c r="I430" s="184"/>
      <c r="J430" s="184"/>
      <c r="K430" s="105" t="b">
        <v>0</v>
      </c>
      <c r="L430" s="184"/>
      <c r="M430" s="184"/>
      <c r="N430" s="184"/>
      <c r="O430" s="184"/>
      <c r="P430" s="184"/>
      <c r="Q430" s="184"/>
      <c r="R430" s="184" t="s">
        <v>109</v>
      </c>
      <c r="S430" s="184"/>
      <c r="T430" s="184"/>
      <c r="U430" s="184"/>
      <c r="V430" s="184"/>
      <c r="W430" s="184"/>
      <c r="X430" s="184"/>
      <c r="Y430" s="184"/>
      <c r="Z430" s="184"/>
      <c r="AA430" s="184"/>
      <c r="AB430" s="184"/>
      <c r="AC430" s="184"/>
      <c r="AD430" s="184"/>
      <c r="AE430" s="184"/>
      <c r="AF430" s="184"/>
      <c r="AG430" s="184"/>
      <c r="AH430" s="184"/>
      <c r="AI430" s="184"/>
      <c r="AJ430" s="184"/>
      <c r="AK430" s="184"/>
      <c r="AL430" s="184"/>
      <c r="AM430" s="184"/>
      <c r="AN430" s="185"/>
      <c r="AO430" s="185"/>
      <c r="AP430" s="185"/>
      <c r="AQ430" s="185"/>
    </row>
    <row r="431" ht="16.5" customHeight="1">
      <c r="A431" s="98"/>
      <c r="B431" s="98" t="s">
        <v>1032</v>
      </c>
      <c r="C431" s="232" t="s">
        <v>1033</v>
      </c>
      <c r="D431" s="141" t="s">
        <v>1034</v>
      </c>
      <c r="E431" s="98"/>
      <c r="F431" s="143" t="b">
        <f>if(OR('Contextualisation form'!$E$23="Farmer Organisation (13)",'Contextualisation form'!$E$24= "Farmer Organisation (13)",'Contextualisation form'!$E$25="Farmer Organisation (13)"),FALSE,TRUE)</f>
        <v>1</v>
      </c>
      <c r="G431" s="98"/>
      <c r="H431" s="98"/>
      <c r="I431" s="98"/>
      <c r="J431" s="98"/>
      <c r="K431" s="98"/>
      <c r="L431" s="102" t="b">
        <v>1</v>
      </c>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c r="AQ431" s="98"/>
    </row>
    <row r="432" ht="16.5" customHeight="1">
      <c r="A432" s="98"/>
      <c r="B432" s="98" t="s">
        <v>1035</v>
      </c>
      <c r="C432" s="232" t="s">
        <v>1036</v>
      </c>
      <c r="D432" s="141" t="s">
        <v>1037</v>
      </c>
      <c r="E432" s="98"/>
      <c r="F432" s="143" t="b">
        <f>if(OR('Contextualisation form'!$E$23="Farmer Organisation (13)",'Contextualisation form'!$E$24= "Farmer Organisation (13)",'Contextualisation form'!$E$25="Farmer Organisation (13)"),FALSE,TRUE)</f>
        <v>1</v>
      </c>
      <c r="G432" s="98"/>
      <c r="H432" s="98"/>
      <c r="I432" s="98"/>
      <c r="J432" s="98"/>
      <c r="K432" s="98"/>
      <c r="L432" s="102" t="b">
        <v>1</v>
      </c>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c r="AQ432" s="98"/>
    </row>
    <row r="433" ht="16.5" customHeight="1">
      <c r="A433" s="98"/>
      <c r="B433" s="108" t="s">
        <v>1038</v>
      </c>
      <c r="C433" s="232" t="s">
        <v>1039</v>
      </c>
      <c r="D433" s="141" t="str">
        <f>CONCATENATE("What part of your ", 'Contextualisation form'!D15," production do you usually sell to the farmer organization?")</f>
        <v>What part of your cocoa production do you usually sell to the farmer organization?</v>
      </c>
      <c r="E433" s="98"/>
      <c r="F433" s="143" t="b">
        <f>if(OR('Contextualisation form'!$E$23="Farmer Organisation (13)",'Contextualisation form'!$E$24= "Farmer Organisation (13)",'Contextualisation form'!$E$25="Farmer Organisation (13)"),FALSE,TRUE)</f>
        <v>1</v>
      </c>
      <c r="G433" s="98"/>
      <c r="H433" s="98"/>
      <c r="I433" s="98"/>
      <c r="J433" s="98"/>
      <c r="K433" s="98"/>
      <c r="L433" s="102" t="b">
        <v>1</v>
      </c>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c r="AK433" s="98"/>
      <c r="AL433" s="98"/>
      <c r="AM433" s="98"/>
      <c r="AN433" s="98"/>
      <c r="AO433" s="98"/>
      <c r="AP433" s="98"/>
      <c r="AQ433" s="98"/>
    </row>
    <row r="434" ht="16.5" customHeight="1">
      <c r="A434" s="98"/>
      <c r="B434" s="98" t="s">
        <v>1040</v>
      </c>
      <c r="C434" s="232" t="s">
        <v>1041</v>
      </c>
      <c r="D434" s="141" t="s">
        <v>1042</v>
      </c>
      <c r="E434" s="98"/>
      <c r="F434" s="143" t="b">
        <f>if(OR('Contextualisation form'!$E$23="Farmer Organisation (13)",'Contextualisation form'!$E$24= "Farmer Organisation (13)",'Contextualisation form'!$E$25="Farmer Organisation (13)"),FALSE,TRUE)</f>
        <v>1</v>
      </c>
      <c r="G434" s="98"/>
      <c r="H434" s="98"/>
      <c r="I434" s="98"/>
      <c r="J434" s="98"/>
      <c r="K434" s="98"/>
      <c r="L434" s="102" t="b">
        <v>1</v>
      </c>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c r="AK434" s="98"/>
      <c r="AL434" s="98"/>
      <c r="AM434" s="98"/>
      <c r="AN434" s="98"/>
      <c r="AO434" s="98"/>
      <c r="AP434" s="98"/>
      <c r="AQ434" s="98"/>
    </row>
    <row r="435" ht="16.5" customHeight="1">
      <c r="A435" s="98"/>
      <c r="B435" s="102" t="s">
        <v>224</v>
      </c>
      <c r="C435" s="232" t="s">
        <v>1043</v>
      </c>
      <c r="D435" s="142" t="s">
        <v>1044</v>
      </c>
      <c r="E435" s="98"/>
      <c r="F435" s="143" t="b">
        <f>if(OR('Contextualisation form'!$E$23="Farmer Organisation (13)",'Contextualisation form'!$E$24= "Farmer Organisation (13)",'Contextualisation form'!$E$25="Farmer Organisation (13)"),FALSE,TRUE)</f>
        <v>1</v>
      </c>
      <c r="G435" s="98"/>
      <c r="H435" s="98"/>
      <c r="I435" s="98"/>
      <c r="J435" s="98"/>
      <c r="K435" s="102" t="s">
        <v>1045</v>
      </c>
      <c r="L435" s="102"/>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c r="AK435" s="98"/>
      <c r="AL435" s="98"/>
      <c r="AM435" s="98"/>
      <c r="AN435" s="98"/>
      <c r="AO435" s="98"/>
      <c r="AP435" s="98"/>
      <c r="AQ435" s="98"/>
    </row>
    <row r="436" ht="16.5" customHeight="1">
      <c r="A436" s="98"/>
      <c r="B436" s="102" t="s">
        <v>1046</v>
      </c>
      <c r="C436" s="232" t="s">
        <v>1047</v>
      </c>
      <c r="D436" s="141" t="s">
        <v>1048</v>
      </c>
      <c r="E436" s="98"/>
      <c r="F436" s="143" t="b">
        <f>if(OR('Contextualisation form'!$E$23="Farmer Organisation (13)",'Contextualisation form'!$E$24= "Farmer Organisation (13)",'Contextualisation form'!$E$25="Farmer Organisation (13)"),FALSE,TRUE)</f>
        <v>1</v>
      </c>
      <c r="G436" s="98"/>
      <c r="H436" s="98"/>
      <c r="I436" s="98"/>
      <c r="J436" s="98"/>
      <c r="K436" s="98"/>
      <c r="L436" s="102" t="b">
        <v>1</v>
      </c>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c r="AK436" s="98"/>
      <c r="AL436" s="98"/>
      <c r="AM436" s="98"/>
      <c r="AN436" s="98"/>
      <c r="AO436" s="98"/>
      <c r="AP436" s="98"/>
      <c r="AQ436" s="98"/>
    </row>
    <row r="437" ht="16.5" customHeight="1">
      <c r="A437" s="98"/>
      <c r="B437" s="102" t="s">
        <v>224</v>
      </c>
      <c r="C437" s="232" t="s">
        <v>1049</v>
      </c>
      <c r="D437" s="142" t="s">
        <v>1050</v>
      </c>
      <c r="E437" s="98"/>
      <c r="F437" s="143" t="b">
        <f>if(OR('Contextualisation form'!$E$23="Farmer Organisation (13)",'Contextualisation form'!$E$24= "Farmer Organisation (13)",'Contextualisation form'!$E$25="Farmer Organisation (13)"),FALSE,TRUE)</f>
        <v>1</v>
      </c>
      <c r="G437" s="98"/>
      <c r="H437" s="98"/>
      <c r="I437" s="98"/>
      <c r="J437" s="98"/>
      <c r="K437" s="102" t="s">
        <v>1051</v>
      </c>
      <c r="L437" s="102"/>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row>
    <row r="438" ht="16.5" customHeight="1">
      <c r="A438" s="98"/>
      <c r="B438" s="98" t="s">
        <v>1052</v>
      </c>
      <c r="C438" s="232" t="s">
        <v>1053</v>
      </c>
      <c r="D438" s="141" t="s">
        <v>1054</v>
      </c>
      <c r="E438" s="98"/>
      <c r="F438" s="143" t="b">
        <f>if(OR('Contextualisation form'!$E$23="Farmer Organisation (13)",'Contextualisation form'!$E$24= "Farmer Organisation (13)",'Contextualisation form'!$E$25="Farmer Organisation (13)"),FALSE,TRUE)</f>
        <v>1</v>
      </c>
      <c r="G438" s="98"/>
      <c r="H438" s="98"/>
      <c r="I438" s="98"/>
      <c r="J438" s="98"/>
      <c r="K438" s="98"/>
      <c r="L438" s="102" t="b">
        <v>1</v>
      </c>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row>
    <row r="439" ht="16.5" customHeight="1">
      <c r="A439" s="98"/>
      <c r="B439" s="102" t="s">
        <v>224</v>
      </c>
      <c r="C439" s="232" t="s">
        <v>1055</v>
      </c>
      <c r="D439" s="142" t="s">
        <v>1056</v>
      </c>
      <c r="E439" s="98"/>
      <c r="F439" s="143" t="b">
        <f>if(OR('Contextualisation form'!$E$23="Farmer Organisation (13)",'Contextualisation form'!$E$24= "Farmer Organisation (13)",'Contextualisation form'!$E$25="Farmer Organisation (13)"),FALSE,TRUE)</f>
        <v>1</v>
      </c>
      <c r="G439" s="98"/>
      <c r="H439" s="98"/>
      <c r="I439" s="98"/>
      <c r="J439" s="98"/>
      <c r="K439" s="102" t="s">
        <v>1057</v>
      </c>
      <c r="L439" s="102"/>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c r="AK439" s="98"/>
      <c r="AL439" s="98"/>
      <c r="AM439" s="98"/>
      <c r="AN439" s="98"/>
      <c r="AO439" s="98"/>
      <c r="AP439" s="98"/>
      <c r="AQ439" s="98"/>
    </row>
    <row r="440" ht="16.5" customHeight="1">
      <c r="A440" s="98"/>
      <c r="B440" s="98" t="s">
        <v>1058</v>
      </c>
      <c r="C440" s="232" t="s">
        <v>1059</v>
      </c>
      <c r="D440" s="141" t="s">
        <v>1060</v>
      </c>
      <c r="E440" s="98"/>
      <c r="F440" s="143" t="b">
        <f>if(OR('Contextualisation form'!$E$23="Farmer Organisation (13)",'Contextualisation form'!$E$24= "Farmer Organisation (13)",'Contextualisation form'!$E$25="Farmer Organisation (13)"),FALSE,TRUE)</f>
        <v>1</v>
      </c>
      <c r="G440" s="98"/>
      <c r="H440" s="98"/>
      <c r="I440" s="98"/>
      <c r="J440" s="98"/>
      <c r="K440" s="98"/>
      <c r="L440" s="102" t="b">
        <v>1</v>
      </c>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c r="AK440" s="98"/>
      <c r="AL440" s="98"/>
      <c r="AM440" s="98"/>
      <c r="AN440" s="98"/>
      <c r="AO440" s="98"/>
      <c r="AP440" s="98"/>
      <c r="AQ440" s="98"/>
    </row>
    <row r="441" ht="16.5" customHeight="1">
      <c r="A441" s="98"/>
      <c r="B441" s="98" t="s">
        <v>1061</v>
      </c>
      <c r="C441" s="232" t="s">
        <v>1062</v>
      </c>
      <c r="D441" s="141" t="s">
        <v>1063</v>
      </c>
      <c r="E441" s="98"/>
      <c r="F441" s="143" t="b">
        <f>if(OR('Contextualisation form'!$E$23="Farmer Organisation (13)",'Contextualisation form'!$E$24= "Farmer Organisation (13)",'Contextualisation form'!$E$25="Farmer Organisation (13)"),FALSE,TRUE)</f>
        <v>1</v>
      </c>
      <c r="G441" s="98"/>
      <c r="H441" s="98"/>
      <c r="I441" s="98"/>
      <c r="J441" s="98"/>
      <c r="K441" s="98"/>
      <c r="L441" s="102" t="b">
        <v>1</v>
      </c>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c r="AK441" s="98"/>
      <c r="AL441" s="98"/>
      <c r="AM441" s="98"/>
      <c r="AN441" s="98"/>
      <c r="AO441" s="98"/>
      <c r="AP441" s="98"/>
      <c r="AQ441" s="98"/>
    </row>
    <row r="442" ht="16.5" customHeight="1">
      <c r="A442" s="98"/>
      <c r="B442" s="98" t="s">
        <v>398</v>
      </c>
      <c r="C442" s="233" t="s">
        <v>1064</v>
      </c>
      <c r="D442" s="141" t="s">
        <v>1065</v>
      </c>
      <c r="E442" s="98"/>
      <c r="F442" s="143" t="b">
        <f>if(OR('Contextualisation form'!$E$23="Farmer Organisation (13)",'Contextualisation form'!$E$24= "Farmer Organisation (13)",'Contextualisation form'!$E$25="Farmer Organisation (13)"),FALSE,TRUE)</f>
        <v>1</v>
      </c>
      <c r="G442" s="98"/>
      <c r="H442" s="98"/>
      <c r="I442" s="98"/>
      <c r="J442" s="98"/>
      <c r="K442" s="98"/>
      <c r="L442" s="102" t="b">
        <v>1</v>
      </c>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c r="AK442" s="98"/>
      <c r="AL442" s="98"/>
      <c r="AM442" s="98"/>
      <c r="AN442" s="98"/>
      <c r="AO442" s="98"/>
      <c r="AP442" s="98"/>
      <c r="AQ442" s="98"/>
    </row>
    <row r="443" ht="16.5" customHeight="1">
      <c r="A443" s="98"/>
      <c r="B443" s="98" t="s">
        <v>307</v>
      </c>
      <c r="C443" s="232" t="s">
        <v>1066</v>
      </c>
      <c r="D443" s="142" t="s">
        <v>1067</v>
      </c>
      <c r="E443" s="98"/>
      <c r="F443" s="143" t="b">
        <f>if(OR('Contextualisation form'!$E$23="Farmer Organisation (13)",'Contextualisation form'!$E$24= "Farmer Organisation (13)",'Contextualisation form'!$E$25="Farmer Organisation (13)"),FALSE,TRUE)</f>
        <v>1</v>
      </c>
      <c r="G443" s="98"/>
      <c r="H443" s="98"/>
      <c r="I443" s="98"/>
      <c r="J443" s="98"/>
      <c r="K443" s="102" t="s">
        <v>1068</v>
      </c>
      <c r="L443" s="102" t="b">
        <v>1</v>
      </c>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c r="AK443" s="98"/>
      <c r="AL443" s="98"/>
      <c r="AM443" s="98"/>
      <c r="AN443" s="98"/>
      <c r="AO443" s="98"/>
      <c r="AP443" s="98"/>
      <c r="AQ443" s="98"/>
    </row>
    <row r="444" ht="16.5" customHeight="1">
      <c r="A444" s="98"/>
      <c r="B444" s="98" t="s">
        <v>1069</v>
      </c>
      <c r="C444" s="232" t="s">
        <v>1070</v>
      </c>
      <c r="D444" s="142" t="s">
        <v>1071</v>
      </c>
      <c r="E444" s="98"/>
      <c r="F444" s="143" t="b">
        <f>if(OR('Contextualisation form'!$E$23="Farmer Organisation (13)",'Contextualisation form'!$E$24= "Farmer Organisation (13)",'Contextualisation form'!$E$25="Farmer Organisation (13)"),FALSE,TRUE)</f>
        <v>1</v>
      </c>
      <c r="G444" s="98"/>
      <c r="H444" s="98"/>
      <c r="I444" s="98"/>
      <c r="J444" s="98"/>
      <c r="K444" s="102" t="s">
        <v>1068</v>
      </c>
      <c r="L444" s="102" t="b">
        <v>1</v>
      </c>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c r="AK444" s="98"/>
      <c r="AL444" s="98"/>
      <c r="AM444" s="98"/>
      <c r="AN444" s="98"/>
      <c r="AO444" s="98"/>
      <c r="AP444" s="98"/>
      <c r="AQ444" s="98"/>
    </row>
    <row r="445" ht="16.5" customHeight="1">
      <c r="A445" s="98"/>
      <c r="B445" s="180" t="s">
        <v>224</v>
      </c>
      <c r="C445" s="232" t="s">
        <v>1072</v>
      </c>
      <c r="D445" s="142" t="s">
        <v>1073</v>
      </c>
      <c r="E445" s="98"/>
      <c r="F445" s="143" t="b">
        <f>if(OR('Contextualisation form'!$E$23="Farmer Organisation (13)",'Contextualisation form'!$E$24= "Farmer Organisation (13)",'Contextualisation form'!$E$25="Farmer Organisation (13)"),FALSE,TRUE)</f>
        <v>1</v>
      </c>
      <c r="G445" s="98"/>
      <c r="H445" s="98"/>
      <c r="I445" s="98"/>
      <c r="J445" s="98"/>
      <c r="K445" s="102" t="s">
        <v>1074</v>
      </c>
      <c r="L445" s="102"/>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c r="AK445" s="98"/>
      <c r="AL445" s="98"/>
      <c r="AM445" s="98"/>
      <c r="AN445" s="98"/>
      <c r="AO445" s="98"/>
      <c r="AP445" s="98"/>
      <c r="AQ445" s="98"/>
    </row>
    <row r="446" ht="16.5" customHeight="1">
      <c r="A446" s="98"/>
      <c r="B446" s="108" t="s">
        <v>398</v>
      </c>
      <c r="C446" s="232" t="s">
        <v>1075</v>
      </c>
      <c r="D446" s="141" t="s">
        <v>1076</v>
      </c>
      <c r="E446" s="98"/>
      <c r="F446" s="143" t="b">
        <f>if(OR('Contextualisation form'!$E$23="Farmer Organisation (13)",'Contextualisation form'!$E$24= "Farmer Organisation (13)",'Contextualisation form'!$E$25="Farmer Organisation (13)"),FALSE,TRUE)</f>
        <v>1</v>
      </c>
      <c r="G446" s="98"/>
      <c r="H446" s="98"/>
      <c r="I446" s="98"/>
      <c r="J446" s="98"/>
      <c r="K446" s="98"/>
      <c r="L446" s="102" t="b">
        <v>1</v>
      </c>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c r="AK446" s="98"/>
      <c r="AL446" s="98"/>
      <c r="AM446" s="98"/>
      <c r="AN446" s="98"/>
      <c r="AO446" s="98"/>
      <c r="AP446" s="98"/>
      <c r="AQ446" s="98"/>
    </row>
    <row r="447" ht="16.5" customHeight="1">
      <c r="A447" s="98"/>
      <c r="B447" s="108" t="s">
        <v>224</v>
      </c>
      <c r="C447" s="232" t="s">
        <v>1077</v>
      </c>
      <c r="D447" s="141" t="s">
        <v>1078</v>
      </c>
      <c r="E447" s="98"/>
      <c r="F447" s="143" t="b">
        <f>if(OR('Contextualisation form'!$E$23="Farmer Organisation (13)",'Contextualisation form'!$E$24= "Farmer Organisation (13)",'Contextualisation form'!$E$25="Farmer Organisation (13)"),FALSE,TRUE)</f>
        <v>1</v>
      </c>
      <c r="G447" s="98"/>
      <c r="H447" s="98"/>
      <c r="I447" s="98"/>
      <c r="J447" s="98"/>
      <c r="K447" s="98"/>
      <c r="L447" s="102" t="b">
        <v>1</v>
      </c>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c r="AK447" s="98"/>
      <c r="AL447" s="98"/>
      <c r="AM447" s="98"/>
      <c r="AN447" s="98"/>
      <c r="AO447" s="98"/>
      <c r="AP447" s="98"/>
      <c r="AQ447" s="98"/>
    </row>
    <row r="448" ht="16.5" customHeight="1">
      <c r="A448" s="184"/>
      <c r="B448" s="184" t="s">
        <v>253</v>
      </c>
      <c r="C448" s="105" t="s">
        <v>739</v>
      </c>
      <c r="D448" s="184"/>
      <c r="E448" s="184"/>
      <c r="F448" s="184" t="b">
        <f>if(OR('Contextualisation form'!$E$23="Farmer Organisation (13)",'Contextualisation form'!$E$24= "Farmer Organisation (13)",'Contextualisation form'!$E$25="Farmer Organisation (13)"),FALSE,TRUE)</f>
        <v>1</v>
      </c>
      <c r="G448" s="184"/>
      <c r="H448" s="184"/>
      <c r="I448" s="184"/>
      <c r="J448" s="184"/>
      <c r="K448" s="184"/>
      <c r="L448" s="184"/>
      <c r="M448" s="184"/>
      <c r="N448" s="184"/>
      <c r="O448" s="184"/>
      <c r="P448" s="184"/>
      <c r="Q448" s="184"/>
      <c r="R448" s="184" t="s">
        <v>109</v>
      </c>
      <c r="S448" s="184"/>
      <c r="T448" s="184"/>
      <c r="U448" s="184"/>
      <c r="V448" s="184"/>
      <c r="W448" s="184"/>
      <c r="X448" s="184"/>
      <c r="Y448" s="184"/>
      <c r="Z448" s="184"/>
      <c r="AA448" s="184"/>
      <c r="AB448" s="184"/>
      <c r="AC448" s="184"/>
      <c r="AD448" s="184"/>
      <c r="AE448" s="184"/>
      <c r="AF448" s="184"/>
      <c r="AG448" s="184"/>
      <c r="AH448" s="184"/>
      <c r="AI448" s="184"/>
      <c r="AJ448" s="184"/>
      <c r="AK448" s="184"/>
      <c r="AL448" s="184"/>
      <c r="AM448" s="184"/>
      <c r="AN448" s="185"/>
      <c r="AO448" s="185"/>
      <c r="AP448" s="185"/>
      <c r="AQ448" s="185"/>
    </row>
    <row r="449" ht="16.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c r="AK449" s="98"/>
      <c r="AL449" s="98"/>
      <c r="AM449" s="98"/>
      <c r="AN449" s="98"/>
      <c r="AO449" s="98"/>
      <c r="AP449" s="98"/>
      <c r="AQ449" s="98"/>
    </row>
    <row r="450" ht="16.5" customHeight="1">
      <c r="A450" s="184"/>
      <c r="B450" s="184" t="s">
        <v>209</v>
      </c>
      <c r="C450" s="105" t="s">
        <v>1079</v>
      </c>
      <c r="D450" s="184" t="s">
        <v>1080</v>
      </c>
      <c r="E450" s="184"/>
      <c r="F450" s="188" t="b">
        <f>if(OR('Contextualisation form'!$E$23="Youth &amp; Future Outlook (9)",'Contextualisation form'!$E$24= "Youth &amp; Future Outlook (9)",'Contextualisation form'!$E$25="Youth &amp; Future Outlook (9)"),FALSE,TRUE)</f>
        <v>1</v>
      </c>
      <c r="G450" s="184"/>
      <c r="H450" s="184"/>
      <c r="I450" s="184"/>
      <c r="J450" s="184"/>
      <c r="K450" s="105" t="b">
        <v>0</v>
      </c>
      <c r="L450" s="184"/>
      <c r="M450" s="184"/>
      <c r="N450" s="184"/>
      <c r="O450" s="184"/>
      <c r="P450" s="184"/>
      <c r="Q450" s="184"/>
      <c r="R450" s="184" t="s">
        <v>109</v>
      </c>
      <c r="S450" s="184"/>
      <c r="T450" s="184"/>
      <c r="U450" s="184"/>
      <c r="V450" s="184"/>
      <c r="W450" s="184"/>
      <c r="X450" s="184"/>
      <c r="Y450" s="184"/>
      <c r="Z450" s="184"/>
      <c r="AA450" s="184"/>
      <c r="AB450" s="184"/>
      <c r="AC450" s="184"/>
      <c r="AD450" s="184"/>
      <c r="AE450" s="184"/>
      <c r="AF450" s="184"/>
      <c r="AG450" s="184"/>
      <c r="AH450" s="184"/>
      <c r="AI450" s="184"/>
      <c r="AJ450" s="184"/>
      <c r="AK450" s="184"/>
      <c r="AL450" s="184"/>
      <c r="AM450" s="184"/>
      <c r="AN450" s="185"/>
      <c r="AO450" s="185"/>
      <c r="AP450" s="185"/>
      <c r="AQ450" s="185"/>
    </row>
    <row r="451" ht="16.5" customHeight="1">
      <c r="A451" s="98"/>
      <c r="B451" s="108" t="s">
        <v>1081</v>
      </c>
      <c r="C451" s="170" t="s">
        <v>1082</v>
      </c>
      <c r="D451" s="107" t="s">
        <v>1083</v>
      </c>
      <c r="E451" s="98"/>
      <c r="F451" s="143" t="b">
        <f>if(OR('Contextualisation form'!$E$23="Youth &amp; Future Outlook (9)",'Contextualisation form'!$E$24= "Youth &amp; Future Outlook (9)",'Contextualisation form'!$E$25="Youth &amp; Future Outlook (9)"),FALSE,TRUE)</f>
        <v>1</v>
      </c>
      <c r="G451" s="98"/>
      <c r="H451" s="98"/>
      <c r="I451" s="98"/>
      <c r="J451" s="98"/>
      <c r="K451" s="98"/>
      <c r="L451" s="102" t="b">
        <v>1</v>
      </c>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c r="AK451" s="98"/>
      <c r="AL451" s="98"/>
      <c r="AM451" s="98"/>
      <c r="AN451" s="98"/>
      <c r="AO451" s="98"/>
      <c r="AP451" s="98"/>
      <c r="AQ451" s="98"/>
    </row>
    <row r="452" ht="16.5" customHeight="1">
      <c r="A452" s="98"/>
      <c r="B452" s="108" t="s">
        <v>398</v>
      </c>
      <c r="C452" s="170" t="s">
        <v>1084</v>
      </c>
      <c r="D452" s="107" t="s">
        <v>1085</v>
      </c>
      <c r="E452" s="98"/>
      <c r="F452" s="143" t="b">
        <f>if(OR('Contextualisation form'!$E$23="Youth &amp; Future Outlook (9)",'Contextualisation form'!$E$24= "Youth &amp; Future Outlook (9)",'Contextualisation form'!$E$25="Youth &amp; Future Outlook (9)"),FALSE,TRUE)</f>
        <v>1</v>
      </c>
      <c r="G452" s="98"/>
      <c r="H452" s="98"/>
      <c r="I452" s="98"/>
      <c r="J452" s="98"/>
      <c r="K452" s="98"/>
      <c r="L452" s="102" t="b">
        <v>1</v>
      </c>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c r="AK452" s="98"/>
      <c r="AL452" s="98"/>
      <c r="AM452" s="98"/>
      <c r="AN452" s="98"/>
      <c r="AO452" s="98"/>
      <c r="AP452" s="98"/>
      <c r="AQ452" s="98"/>
    </row>
    <row r="453" ht="16.5" customHeight="1">
      <c r="A453" s="98"/>
      <c r="B453" s="108" t="s">
        <v>398</v>
      </c>
      <c r="C453" s="170" t="s">
        <v>1086</v>
      </c>
      <c r="D453" s="107" t="s">
        <v>1087</v>
      </c>
      <c r="E453" s="98"/>
      <c r="F453" s="143" t="b">
        <f>if(OR('Contextualisation form'!$E$23="Youth &amp; Future Outlook (9)",'Contextualisation form'!$E$24= "Youth &amp; Future Outlook (9)",'Contextualisation form'!$E$25="Youth &amp; Future Outlook (9)"),FALSE,TRUE)</f>
        <v>1</v>
      </c>
      <c r="G453" s="98"/>
      <c r="H453" s="98"/>
      <c r="I453" s="98"/>
      <c r="J453" s="98"/>
      <c r="K453" s="98"/>
      <c r="L453" s="102" t="b">
        <v>1</v>
      </c>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c r="AK453" s="98"/>
      <c r="AL453" s="98"/>
      <c r="AM453" s="98"/>
      <c r="AN453" s="98"/>
      <c r="AO453" s="98"/>
      <c r="AP453" s="98"/>
      <c r="AQ453" s="98"/>
    </row>
    <row r="454" ht="16.5" customHeight="1">
      <c r="A454" s="98"/>
      <c r="B454" s="108" t="s">
        <v>1088</v>
      </c>
      <c r="C454" s="170" t="s">
        <v>1089</v>
      </c>
      <c r="D454" s="107" t="s">
        <v>1090</v>
      </c>
      <c r="E454" s="98"/>
      <c r="F454" s="143" t="b">
        <f>if(OR('Contextualisation form'!$E$23="Youth &amp; Future Outlook (9)",'Contextualisation form'!$E$24= "Youth &amp; Future Outlook (9)",'Contextualisation form'!$E$25="Youth &amp; Future Outlook (9)"),FALSE,TRUE)</f>
        <v>1</v>
      </c>
      <c r="G454" s="98"/>
      <c r="H454" s="98"/>
      <c r="I454" s="98"/>
      <c r="J454" s="98"/>
      <c r="K454" s="98"/>
      <c r="L454" s="102" t="b">
        <v>1</v>
      </c>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c r="AK454" s="98"/>
      <c r="AL454" s="98"/>
      <c r="AM454" s="98"/>
      <c r="AN454" s="98"/>
      <c r="AO454" s="98"/>
      <c r="AP454" s="98"/>
      <c r="AQ454" s="98"/>
    </row>
    <row r="455" ht="16.5" customHeight="1">
      <c r="A455" s="98"/>
      <c r="B455" s="108" t="s">
        <v>1091</v>
      </c>
      <c r="C455" s="170" t="s">
        <v>1092</v>
      </c>
      <c r="D455" s="142" t="s">
        <v>1093</v>
      </c>
      <c r="E455" s="98"/>
      <c r="F455" s="143" t="b">
        <f>if(OR('Contextualisation form'!$E$23="Youth &amp; Future Outlook (9)",'Contextualisation form'!$E$24= "Youth &amp; Future Outlook (9)",'Contextualisation form'!$E$25="Youth &amp; Future Outlook (9)"),FALSE,TRUE)</f>
        <v>1</v>
      </c>
      <c r="G455" s="98"/>
      <c r="H455" s="98"/>
      <c r="I455" s="98"/>
      <c r="J455" s="98"/>
      <c r="K455" s="102" t="s">
        <v>1094</v>
      </c>
      <c r="L455" s="102" t="b">
        <v>1</v>
      </c>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c r="AK455" s="98"/>
      <c r="AL455" s="98"/>
      <c r="AM455" s="98"/>
      <c r="AN455" s="98"/>
      <c r="AO455" s="98"/>
      <c r="AP455" s="98"/>
      <c r="AQ455" s="98"/>
    </row>
    <row r="456" ht="16.5" customHeight="1">
      <c r="A456" s="98"/>
      <c r="B456" s="180" t="s">
        <v>224</v>
      </c>
      <c r="C456" s="170" t="s">
        <v>1095</v>
      </c>
      <c r="D456" s="127" t="s">
        <v>1096</v>
      </c>
      <c r="E456" s="98"/>
      <c r="F456" s="143" t="b">
        <f>if(OR('Contextualisation form'!$E$23="Youth &amp; Future Outlook (9)",'Contextualisation form'!$E$24= "Youth &amp; Future Outlook (9)",'Contextualisation form'!$E$25="Youth &amp; Future Outlook (9)"),FALSE,TRUE)</f>
        <v>1</v>
      </c>
      <c r="G456" s="98"/>
      <c r="H456" s="98"/>
      <c r="I456" s="98"/>
      <c r="J456" s="98"/>
      <c r="K456" s="98"/>
      <c r="L456" s="102"/>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c r="AK456" s="98"/>
      <c r="AL456" s="98"/>
      <c r="AM456" s="98"/>
      <c r="AN456" s="98"/>
      <c r="AO456" s="98"/>
      <c r="AP456" s="98"/>
      <c r="AQ456" s="98"/>
    </row>
    <row r="457" ht="16.5" customHeight="1">
      <c r="A457" s="98"/>
      <c r="B457" s="108" t="s">
        <v>398</v>
      </c>
      <c r="C457" s="170" t="s">
        <v>1097</v>
      </c>
      <c r="D457" s="107" t="s">
        <v>1098</v>
      </c>
      <c r="E457" s="98"/>
      <c r="F457" s="143" t="b">
        <f>if(OR('Contextualisation form'!$E$23="Youth &amp; Future Outlook (9)",'Contextualisation form'!$E$24= "Youth &amp; Future Outlook (9)",'Contextualisation form'!$E$25="Youth &amp; Future Outlook (9)"),FALSE,TRUE)</f>
        <v>1</v>
      </c>
      <c r="G457" s="98"/>
      <c r="H457" s="98"/>
      <c r="I457" s="98"/>
      <c r="J457" s="98"/>
      <c r="K457" s="98"/>
      <c r="L457" s="102" t="b">
        <v>1</v>
      </c>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c r="AK457" s="98"/>
      <c r="AL457" s="98"/>
      <c r="AM457" s="98"/>
      <c r="AN457" s="98"/>
      <c r="AO457" s="98"/>
      <c r="AP457" s="98"/>
      <c r="AQ457" s="98"/>
    </row>
    <row r="458" ht="16.5" customHeight="1">
      <c r="A458" s="98"/>
      <c r="B458" s="108" t="s">
        <v>398</v>
      </c>
      <c r="C458" s="170" t="s">
        <v>1099</v>
      </c>
      <c r="D458" s="107" t="s">
        <v>1100</v>
      </c>
      <c r="E458" s="98"/>
      <c r="F458" s="143" t="b">
        <f>if(OR('Contextualisation form'!$E$23="Youth &amp; Future Outlook (9)",'Contextualisation form'!$E$24= "Youth &amp; Future Outlook (9)",'Contextualisation form'!$E$25="Youth &amp; Future Outlook (9)"),FALSE,TRUE)</f>
        <v>1</v>
      </c>
      <c r="G458" s="98"/>
      <c r="H458" s="98"/>
      <c r="I458" s="98"/>
      <c r="J458" s="98"/>
      <c r="K458" s="98"/>
      <c r="L458" s="102" t="b">
        <v>1</v>
      </c>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c r="AK458" s="98"/>
      <c r="AL458" s="98"/>
      <c r="AM458" s="98"/>
      <c r="AN458" s="98"/>
      <c r="AO458" s="98"/>
      <c r="AP458" s="98"/>
      <c r="AQ458" s="98"/>
    </row>
    <row r="459" ht="16.5" customHeight="1">
      <c r="A459" s="98"/>
      <c r="B459" s="108" t="s">
        <v>398</v>
      </c>
      <c r="C459" s="170" t="s">
        <v>1101</v>
      </c>
      <c r="D459" s="107" t="s">
        <v>1102</v>
      </c>
      <c r="E459" s="98"/>
      <c r="F459" s="143" t="b">
        <f>if(OR('Contextualisation form'!$E$23="Youth &amp; Future Outlook (9)",'Contextualisation form'!$E$24= "Youth &amp; Future Outlook (9)",'Contextualisation form'!$E$25="Youth &amp; Future Outlook (9)"),FALSE,TRUE)</f>
        <v>1</v>
      </c>
      <c r="G459" s="98"/>
      <c r="H459" s="98"/>
      <c r="I459" s="98"/>
      <c r="J459" s="98"/>
      <c r="K459" s="98"/>
      <c r="L459" s="102" t="b">
        <v>1</v>
      </c>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c r="AK459" s="98"/>
      <c r="AL459" s="98"/>
      <c r="AM459" s="98"/>
      <c r="AN459" s="98"/>
      <c r="AO459" s="98"/>
      <c r="AP459" s="98"/>
      <c r="AQ459" s="98"/>
    </row>
    <row r="460" ht="16.5" customHeight="1">
      <c r="A460" s="98"/>
      <c r="B460" s="108" t="s">
        <v>398</v>
      </c>
      <c r="C460" s="170" t="s">
        <v>1103</v>
      </c>
      <c r="D460" s="107" t="s">
        <v>1104</v>
      </c>
      <c r="E460" s="98"/>
      <c r="F460" s="143" t="b">
        <f>if(OR('Contextualisation form'!$E$23="Youth &amp; Future Outlook (9)",'Contextualisation form'!$E$24= "Youth &amp; Future Outlook (9)",'Contextualisation form'!$E$25="Youth &amp; Future Outlook (9)"),FALSE,TRUE)</f>
        <v>1</v>
      </c>
      <c r="G460" s="98"/>
      <c r="H460" s="98"/>
      <c r="I460" s="98"/>
      <c r="J460" s="98"/>
      <c r="K460" s="98"/>
      <c r="L460" s="102" t="b">
        <v>1</v>
      </c>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c r="AK460" s="98"/>
      <c r="AL460" s="98"/>
      <c r="AM460" s="98"/>
      <c r="AN460" s="98"/>
      <c r="AO460" s="98"/>
      <c r="AP460" s="98"/>
      <c r="AQ460" s="98"/>
    </row>
    <row r="461" ht="16.5" customHeight="1">
      <c r="A461" s="184"/>
      <c r="B461" s="184" t="s">
        <v>253</v>
      </c>
      <c r="C461" s="105" t="s">
        <v>1079</v>
      </c>
      <c r="D461" s="184"/>
      <c r="E461" s="184"/>
      <c r="F461" s="188" t="b">
        <f>if(OR('Contextualisation form'!$E$23="Youth &amp; Future Outlook (9)",'Contextualisation form'!$E$24= "Youth &amp; Future Outlook (9)",'Contextualisation form'!$E$25="Youth &amp; Future Outlook (9)"),FALSE,TRUE)</f>
        <v>1</v>
      </c>
      <c r="G461" s="184"/>
      <c r="H461" s="184"/>
      <c r="I461" s="184"/>
      <c r="J461" s="184"/>
      <c r="K461" s="184"/>
      <c r="L461" s="184"/>
      <c r="M461" s="184"/>
      <c r="N461" s="184"/>
      <c r="O461" s="184"/>
      <c r="P461" s="184"/>
      <c r="Q461" s="184"/>
      <c r="R461" s="184" t="s">
        <v>109</v>
      </c>
      <c r="S461" s="184"/>
      <c r="T461" s="184"/>
      <c r="U461" s="184"/>
      <c r="V461" s="184"/>
      <c r="W461" s="184"/>
      <c r="X461" s="184"/>
      <c r="Y461" s="184"/>
      <c r="Z461" s="184"/>
      <c r="AA461" s="184"/>
      <c r="AB461" s="184"/>
      <c r="AC461" s="184"/>
      <c r="AD461" s="184"/>
      <c r="AE461" s="184"/>
      <c r="AF461" s="184"/>
      <c r="AG461" s="184"/>
      <c r="AH461" s="184"/>
      <c r="AI461" s="184"/>
      <c r="AJ461" s="184"/>
      <c r="AK461" s="184"/>
      <c r="AL461" s="184"/>
      <c r="AM461" s="184"/>
      <c r="AN461" s="185"/>
      <c r="AO461" s="185"/>
      <c r="AP461" s="185"/>
      <c r="AQ461" s="185"/>
    </row>
    <row r="462" ht="16.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c r="AK462" s="98"/>
      <c r="AL462" s="98"/>
      <c r="AM462" s="98"/>
      <c r="AN462" s="98"/>
      <c r="AO462" s="98"/>
      <c r="AP462" s="98"/>
      <c r="AQ462" s="98"/>
    </row>
    <row r="463" ht="16.5" customHeight="1">
      <c r="A463" s="184"/>
      <c r="B463" s="184" t="s">
        <v>209</v>
      </c>
      <c r="C463" s="105" t="s">
        <v>1105</v>
      </c>
      <c r="D463" s="105" t="s">
        <v>1106</v>
      </c>
      <c r="E463" s="184"/>
      <c r="F463" s="188" t="b">
        <f>if(OR('Contextualisation form'!$E$23="Agent Model Farmers (16)",'Contextualisation form'!$E$24= "Agent Model Farmers (16)",'Contextualisation form'!$E$25="Agent Model Farmers (16)"),FALSE,TRUE)</f>
        <v>1</v>
      </c>
      <c r="G463" s="184"/>
      <c r="H463" s="184"/>
      <c r="I463" s="184"/>
      <c r="J463" s="184"/>
      <c r="K463" s="105" t="b">
        <v>0</v>
      </c>
      <c r="L463" s="184"/>
      <c r="M463" s="184"/>
      <c r="N463" s="184"/>
      <c r="O463" s="184"/>
      <c r="P463" s="184"/>
      <c r="Q463" s="184"/>
      <c r="R463" s="184" t="s">
        <v>109</v>
      </c>
      <c r="S463" s="184"/>
      <c r="T463" s="184"/>
      <c r="U463" s="184"/>
      <c r="V463" s="184"/>
      <c r="W463" s="184"/>
      <c r="X463" s="184"/>
      <c r="Y463" s="184"/>
      <c r="Z463" s="184"/>
      <c r="AA463" s="184"/>
      <c r="AB463" s="184"/>
      <c r="AC463" s="184"/>
      <c r="AD463" s="184"/>
      <c r="AE463" s="184"/>
      <c r="AF463" s="184"/>
      <c r="AG463" s="184"/>
      <c r="AH463" s="184"/>
      <c r="AI463" s="184"/>
      <c r="AJ463" s="184"/>
      <c r="AK463" s="184"/>
      <c r="AL463" s="184"/>
      <c r="AM463" s="184"/>
      <c r="AN463" s="185"/>
      <c r="AO463" s="185"/>
      <c r="AP463" s="185"/>
      <c r="AQ463" s="185"/>
    </row>
    <row r="464" ht="16.5" customHeight="1">
      <c r="A464" s="98"/>
      <c r="B464" s="108" t="s">
        <v>398</v>
      </c>
      <c r="C464" s="170" t="s">
        <v>1107</v>
      </c>
      <c r="D464" s="107" t="s">
        <v>1108</v>
      </c>
      <c r="E464" s="98"/>
      <c r="F464" s="143" t="b">
        <f>if(OR('Contextualisation form'!$E$23="Agent Model Farmers (16)",'Contextualisation form'!$E$24= "Agent Model Farmers (16)",'Contextualisation form'!$E$25="Agent Model Farmers (16)"),FALSE,TRUE)</f>
        <v>1</v>
      </c>
      <c r="G464" s="98"/>
      <c r="H464" s="98"/>
      <c r="I464" s="98"/>
      <c r="J464" s="98"/>
      <c r="K464" s="98"/>
      <c r="L464" s="102" t="b">
        <v>1</v>
      </c>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c r="AK464" s="98"/>
      <c r="AL464" s="98"/>
      <c r="AM464" s="98"/>
      <c r="AN464" s="98"/>
      <c r="AO464" s="98"/>
      <c r="AP464" s="98"/>
      <c r="AQ464" s="98"/>
    </row>
    <row r="465" ht="16.5" customHeight="1">
      <c r="A465" s="215"/>
      <c r="B465" s="144" t="s">
        <v>351</v>
      </c>
      <c r="C465" s="213" t="s">
        <v>368</v>
      </c>
      <c r="D465" s="214" t="s">
        <v>369</v>
      </c>
      <c r="E465" s="212"/>
      <c r="F465" s="212"/>
      <c r="G465" s="212"/>
      <c r="H465" s="212"/>
      <c r="I465" s="212"/>
      <c r="J465" s="212"/>
      <c r="K465" s="212"/>
      <c r="L465" s="215"/>
      <c r="M465" s="212"/>
      <c r="N465" s="144" t="s">
        <v>370</v>
      </c>
      <c r="O465" s="212"/>
      <c r="P465" s="212"/>
      <c r="Q465" s="212"/>
      <c r="R465" s="212"/>
      <c r="S465" s="212"/>
      <c r="T465" s="212"/>
      <c r="U465" s="212"/>
      <c r="V465" s="212"/>
      <c r="W465" s="212"/>
      <c r="X465" s="212"/>
      <c r="Y465" s="212"/>
      <c r="Z465" s="212"/>
      <c r="AA465" s="212"/>
      <c r="AB465" s="212"/>
      <c r="AC465" s="212"/>
      <c r="AD465" s="212"/>
      <c r="AE465" s="212"/>
      <c r="AF465" s="212"/>
      <c r="AG465" s="212"/>
      <c r="AH465" s="212"/>
      <c r="AI465" s="212"/>
      <c r="AJ465" s="212"/>
      <c r="AK465" s="212"/>
      <c r="AL465" s="212"/>
      <c r="AM465" s="212"/>
      <c r="AN465" s="212"/>
      <c r="AO465" s="212"/>
      <c r="AP465" s="212"/>
      <c r="AQ465" s="212"/>
    </row>
    <row r="466" ht="16.5" customHeight="1">
      <c r="A466" s="128"/>
      <c r="B466" s="111" t="s">
        <v>194</v>
      </c>
      <c r="C466" s="216" t="s">
        <v>371</v>
      </c>
      <c r="D466" s="217"/>
      <c r="E466" s="128"/>
      <c r="F466" s="128"/>
      <c r="G466" s="128"/>
      <c r="H466" s="128"/>
      <c r="I466" s="128"/>
      <c r="J466" s="128"/>
      <c r="K466" s="128"/>
      <c r="L466" s="218"/>
      <c r="M466" s="111" t="s">
        <v>372</v>
      </c>
      <c r="N466" s="128"/>
      <c r="O466" s="128"/>
      <c r="P466" s="128"/>
      <c r="Q466" s="128"/>
      <c r="R466" s="128"/>
      <c r="S466" s="128"/>
      <c r="T466" s="128"/>
      <c r="U466" s="128"/>
      <c r="V466" s="128"/>
      <c r="W466" s="128"/>
      <c r="X466" s="128"/>
      <c r="Y466" s="128"/>
      <c r="Z466" s="128"/>
      <c r="AA466" s="128"/>
      <c r="AB466" s="128"/>
      <c r="AC466" s="128"/>
      <c r="AD466" s="128"/>
      <c r="AE466" s="128"/>
      <c r="AF466" s="128"/>
      <c r="AG466" s="128"/>
      <c r="AH466" s="128"/>
      <c r="AI466" s="128"/>
      <c r="AJ466" s="128"/>
      <c r="AK466" s="128"/>
      <c r="AL466" s="128"/>
      <c r="AM466" s="128"/>
      <c r="AN466" s="128"/>
      <c r="AO466" s="128"/>
      <c r="AP466" s="128"/>
      <c r="AQ466" s="128"/>
    </row>
    <row r="467" ht="16.5" customHeight="1">
      <c r="A467" s="128"/>
      <c r="B467" s="111" t="s">
        <v>194</v>
      </c>
      <c r="C467" s="216" t="s">
        <v>373</v>
      </c>
      <c r="D467" s="217"/>
      <c r="E467" s="128"/>
      <c r="F467" s="128"/>
      <c r="G467" s="128"/>
      <c r="H467" s="128"/>
      <c r="I467" s="128"/>
      <c r="J467" s="128"/>
      <c r="K467" s="128"/>
      <c r="L467" s="218"/>
      <c r="M467" s="111" t="s">
        <v>374</v>
      </c>
      <c r="N467" s="128"/>
      <c r="O467" s="128"/>
      <c r="P467" s="128"/>
      <c r="Q467" s="128"/>
      <c r="R467" s="128"/>
      <c r="S467" s="128"/>
      <c r="T467" s="128"/>
      <c r="U467" s="128"/>
      <c r="V467" s="128"/>
      <c r="W467" s="128"/>
      <c r="X467" s="128"/>
      <c r="Y467" s="128"/>
      <c r="Z467" s="128"/>
      <c r="AA467" s="128"/>
      <c r="AB467" s="128"/>
      <c r="AC467" s="128"/>
      <c r="AD467" s="128"/>
      <c r="AE467" s="128"/>
      <c r="AF467" s="128"/>
      <c r="AG467" s="128"/>
      <c r="AH467" s="128"/>
      <c r="AI467" s="128"/>
      <c r="AJ467" s="128"/>
      <c r="AK467" s="128"/>
      <c r="AL467" s="128"/>
      <c r="AM467" s="128"/>
      <c r="AN467" s="128"/>
      <c r="AO467" s="128"/>
      <c r="AP467" s="128"/>
      <c r="AQ467" s="128"/>
    </row>
    <row r="468" ht="16.5" customHeight="1">
      <c r="A468" s="128"/>
      <c r="B468" s="111" t="s">
        <v>194</v>
      </c>
      <c r="C468" s="216" t="s">
        <v>375</v>
      </c>
      <c r="D468" s="217"/>
      <c r="E468" s="128"/>
      <c r="F468" s="128"/>
      <c r="G468" s="128"/>
      <c r="H468" s="128"/>
      <c r="I468" s="128"/>
      <c r="J468" s="128"/>
      <c r="K468" s="128"/>
      <c r="L468" s="218"/>
      <c r="M468" s="111" t="s">
        <v>376</v>
      </c>
      <c r="N468" s="128"/>
      <c r="O468" s="128"/>
      <c r="P468" s="128"/>
      <c r="Q468" s="128"/>
      <c r="R468" s="128"/>
      <c r="S468" s="128"/>
      <c r="T468" s="128"/>
      <c r="U468" s="128"/>
      <c r="V468" s="128"/>
      <c r="W468" s="128"/>
      <c r="X468" s="128"/>
      <c r="Y468" s="128"/>
      <c r="Z468" s="128"/>
      <c r="AA468" s="128"/>
      <c r="AB468" s="128"/>
      <c r="AC468" s="128"/>
      <c r="AD468" s="128"/>
      <c r="AE468" s="128"/>
      <c r="AF468" s="128"/>
      <c r="AG468" s="128"/>
      <c r="AH468" s="128"/>
      <c r="AI468" s="128"/>
      <c r="AJ468" s="128"/>
      <c r="AK468" s="128"/>
      <c r="AL468" s="128"/>
      <c r="AM468" s="128"/>
      <c r="AN468" s="128"/>
      <c r="AO468" s="128"/>
      <c r="AP468" s="128"/>
      <c r="AQ468" s="128"/>
    </row>
    <row r="469" ht="16.5" customHeight="1">
      <c r="A469" s="98"/>
      <c r="B469" s="108" t="s">
        <v>1109</v>
      </c>
      <c r="C469" s="170" t="s">
        <v>1110</v>
      </c>
      <c r="D469" s="127" t="s">
        <v>1111</v>
      </c>
      <c r="E469" s="98"/>
      <c r="F469" s="143" t="b">
        <f>if(OR('Contextualisation form'!$E$23="Agent Model Farmers (16)",'Contextualisation form'!$E$24= "Agent Model Farmers (16)",'Contextualisation form'!$E$25="Agent Model Farmers (16)"),FALSE,TRUE)</f>
        <v>1</v>
      </c>
      <c r="G469" s="98"/>
      <c r="H469" s="98"/>
      <c r="I469" s="98"/>
      <c r="J469" s="98"/>
      <c r="K469" s="98"/>
      <c r="L469" s="102" t="b">
        <v>1</v>
      </c>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c r="AK469" s="98"/>
      <c r="AL469" s="98"/>
      <c r="AM469" s="98"/>
      <c r="AN469" s="98"/>
      <c r="AO469" s="98"/>
      <c r="AP469" s="98"/>
      <c r="AQ469" s="98"/>
    </row>
    <row r="470" ht="16.5" customHeight="1">
      <c r="A470" s="98"/>
      <c r="B470" s="108" t="s">
        <v>398</v>
      </c>
      <c r="C470" s="170" t="s">
        <v>1112</v>
      </c>
      <c r="D470" s="127" t="s">
        <v>1113</v>
      </c>
      <c r="E470" s="98"/>
      <c r="F470" s="143" t="b">
        <f>if(OR('Contextualisation form'!$E$23="Agent Model Farmers (16)",'Contextualisation form'!$E$24= "Agent Model Farmers (16)",'Contextualisation form'!$E$25="Agent Model Farmers (16)"),FALSE,TRUE)</f>
        <v>1</v>
      </c>
      <c r="G470" s="98"/>
      <c r="H470" s="98"/>
      <c r="I470" s="98"/>
      <c r="J470" s="98"/>
      <c r="K470" s="98"/>
      <c r="L470" s="102" t="b">
        <v>1</v>
      </c>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c r="AK470" s="98"/>
      <c r="AL470" s="98"/>
      <c r="AM470" s="98"/>
      <c r="AN470" s="98"/>
      <c r="AO470" s="98"/>
      <c r="AP470" s="98"/>
      <c r="AQ470" s="98"/>
    </row>
    <row r="471" ht="16.5" customHeight="1">
      <c r="A471" s="98"/>
      <c r="B471" s="108" t="s">
        <v>224</v>
      </c>
      <c r="C471" s="170" t="s">
        <v>1114</v>
      </c>
      <c r="D471" s="107" t="s">
        <v>1115</v>
      </c>
      <c r="E471" s="98"/>
      <c r="F471" s="143" t="b">
        <f>if(OR('Contextualisation form'!$E$23="Agent Model Farmers (16)",'Contextualisation form'!$E$24= "Agent Model Farmers (16)",'Contextualisation form'!$E$25="Agent Model Farmers (16)"),FALSE,TRUE)</f>
        <v>1</v>
      </c>
      <c r="G471" s="98"/>
      <c r="H471" s="98"/>
      <c r="I471" s="98"/>
      <c r="J471" s="98"/>
      <c r="K471" s="98"/>
      <c r="L471" s="102" t="b">
        <v>1</v>
      </c>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c r="AK471" s="98"/>
      <c r="AL471" s="98"/>
      <c r="AM471" s="98"/>
      <c r="AN471" s="98"/>
      <c r="AO471" s="98"/>
      <c r="AP471" s="98"/>
      <c r="AQ471" s="98"/>
    </row>
    <row r="472" ht="16.5" customHeight="1">
      <c r="A472" s="98"/>
      <c r="B472" s="108" t="s">
        <v>1116</v>
      </c>
      <c r="C472" s="170" t="s">
        <v>1117</v>
      </c>
      <c r="D472" s="127" t="s">
        <v>1118</v>
      </c>
      <c r="E472" s="98"/>
      <c r="F472" s="143" t="b">
        <f>if(OR('Contextualisation form'!$E$23="Agent Model Farmers (16)",'Contextualisation form'!$E$24= "Agent Model Farmers (16)",'Contextualisation form'!$E$25="Agent Model Farmers (16)"),FALSE,TRUE)</f>
        <v>1</v>
      </c>
      <c r="G472" s="98"/>
      <c r="H472" s="98"/>
      <c r="I472" s="98"/>
      <c r="J472" s="98"/>
      <c r="K472" s="98"/>
      <c r="L472" s="102" t="b">
        <v>1</v>
      </c>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c r="AK472" s="98"/>
      <c r="AL472" s="98"/>
      <c r="AM472" s="98"/>
      <c r="AN472" s="98"/>
      <c r="AO472" s="98"/>
      <c r="AP472" s="98"/>
      <c r="AQ472" s="98"/>
    </row>
    <row r="473" ht="16.5" customHeight="1">
      <c r="A473" s="98"/>
      <c r="B473" s="108" t="s">
        <v>1116</v>
      </c>
      <c r="C473" s="170" t="s">
        <v>1119</v>
      </c>
      <c r="D473" s="107" t="s">
        <v>1120</v>
      </c>
      <c r="E473" s="98"/>
      <c r="F473" s="143" t="b">
        <f>if(OR('Contextualisation form'!$E$23="Agent Model Farmers (16)",'Contextualisation form'!$E$24= "Agent Model Farmers (16)",'Contextualisation form'!$E$25="Agent Model Farmers (16)"),FALSE,TRUE)</f>
        <v>1</v>
      </c>
      <c r="G473" s="98"/>
      <c r="H473" s="98"/>
      <c r="I473" s="98"/>
      <c r="J473" s="98"/>
      <c r="K473" s="98"/>
      <c r="L473" s="102" t="b">
        <v>1</v>
      </c>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c r="AK473" s="98"/>
      <c r="AL473" s="98"/>
      <c r="AM473" s="98"/>
      <c r="AN473" s="98"/>
      <c r="AO473" s="98"/>
      <c r="AP473" s="98"/>
      <c r="AQ473" s="98"/>
    </row>
    <row r="474" ht="16.5" customHeight="1">
      <c r="A474" s="98"/>
      <c r="B474" s="108" t="s">
        <v>1121</v>
      </c>
      <c r="C474" s="170" t="s">
        <v>1122</v>
      </c>
      <c r="D474" s="107" t="s">
        <v>1123</v>
      </c>
      <c r="E474" s="98"/>
      <c r="F474" s="143" t="b">
        <f>if(OR('Contextualisation form'!$E$23="Agent Model Farmers (16)",'Contextualisation form'!$E$24= "Agent Model Farmers (16)",'Contextualisation form'!$E$25="Agent Model Farmers (16)"),FALSE,TRUE)</f>
        <v>1</v>
      </c>
      <c r="G474" s="98"/>
      <c r="H474" s="98"/>
      <c r="I474" s="98"/>
      <c r="J474" s="98"/>
      <c r="K474" s="98"/>
      <c r="L474" s="102" t="b">
        <v>1</v>
      </c>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c r="AK474" s="98"/>
      <c r="AL474" s="98"/>
      <c r="AM474" s="98"/>
      <c r="AN474" s="98"/>
      <c r="AO474" s="98"/>
      <c r="AP474" s="98"/>
      <c r="AQ474" s="98"/>
    </row>
    <row r="475" ht="16.5" customHeight="1">
      <c r="A475" s="98"/>
      <c r="B475" s="108" t="s">
        <v>398</v>
      </c>
      <c r="C475" s="170" t="s">
        <v>1124</v>
      </c>
      <c r="D475" s="107" t="s">
        <v>1125</v>
      </c>
      <c r="E475" s="98"/>
      <c r="F475" s="143" t="b">
        <f>if(OR('Contextualisation form'!$E$23="Agent Model Farmers (16)",'Contextualisation form'!$E$24= "Agent Model Farmers (16)",'Contextualisation form'!$E$25="Agent Model Farmers (16)"),FALSE,TRUE)</f>
        <v>1</v>
      </c>
      <c r="G475" s="98"/>
      <c r="H475" s="98"/>
      <c r="I475" s="98"/>
      <c r="J475" s="98"/>
      <c r="K475" s="98"/>
      <c r="L475" s="102" t="b">
        <v>1</v>
      </c>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c r="AK475" s="98"/>
      <c r="AL475" s="98"/>
      <c r="AM475" s="98"/>
      <c r="AN475" s="98"/>
      <c r="AO475" s="98"/>
      <c r="AP475" s="98"/>
      <c r="AQ475" s="98"/>
    </row>
    <row r="476" ht="16.5" customHeight="1">
      <c r="A476" s="98"/>
      <c r="B476" s="108" t="s">
        <v>1126</v>
      </c>
      <c r="C476" s="170" t="s">
        <v>1127</v>
      </c>
      <c r="D476" s="127" t="s">
        <v>1128</v>
      </c>
      <c r="E476" s="98"/>
      <c r="F476" s="143" t="b">
        <f>if(OR('Contextualisation form'!$E$23="Agent Model Farmers (16)",'Contextualisation form'!$E$24= "Agent Model Farmers (16)",'Contextualisation form'!$E$25="Agent Model Farmers (16)"),FALSE,TRUE)</f>
        <v>1</v>
      </c>
      <c r="G476" s="98"/>
      <c r="H476" s="98"/>
      <c r="I476" s="98"/>
      <c r="J476" s="98"/>
      <c r="K476" s="98"/>
      <c r="L476" s="102" t="b">
        <v>1</v>
      </c>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c r="AK476" s="98"/>
      <c r="AL476" s="98"/>
      <c r="AM476" s="98"/>
      <c r="AN476" s="98"/>
      <c r="AO476" s="98"/>
      <c r="AP476" s="98"/>
      <c r="AQ476" s="98"/>
    </row>
    <row r="477" ht="16.5" customHeight="1">
      <c r="A477" s="98"/>
      <c r="B477" s="234" t="s">
        <v>307</v>
      </c>
      <c r="C477" s="170" t="s">
        <v>1129</v>
      </c>
      <c r="D477" s="127" t="s">
        <v>1130</v>
      </c>
      <c r="E477" s="98"/>
      <c r="F477" s="143" t="b">
        <f>if(OR('Contextualisation form'!$E$23="Agent Model Farmers (16)",'Contextualisation form'!$E$24= "Agent Model Farmers (16)",'Contextualisation form'!$E$25="Agent Model Farmers (16)"),FALSE,TRUE)</f>
        <v>1</v>
      </c>
      <c r="G477" s="98"/>
      <c r="H477" s="98"/>
      <c r="I477" s="98"/>
      <c r="J477" s="98"/>
      <c r="K477" s="98"/>
      <c r="L477" s="102" t="b">
        <v>1</v>
      </c>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c r="AK477" s="98"/>
      <c r="AL477" s="98"/>
      <c r="AM477" s="98"/>
      <c r="AN477" s="98"/>
      <c r="AO477" s="98"/>
      <c r="AP477" s="98"/>
      <c r="AQ477" s="98"/>
    </row>
    <row r="478" ht="16.5" customHeight="1">
      <c r="A478" s="98"/>
      <c r="B478" s="108" t="s">
        <v>1131</v>
      </c>
      <c r="C478" s="170" t="s">
        <v>1132</v>
      </c>
      <c r="D478" s="107" t="s">
        <v>1133</v>
      </c>
      <c r="E478" s="98"/>
      <c r="F478" s="143" t="b">
        <f>if(OR('Contextualisation form'!$E$23="Agent Model Farmers (16)",'Contextualisation form'!$E$24= "Agent Model Farmers (16)",'Contextualisation form'!$E$25="Agent Model Farmers (16)"),FALSE,TRUE)</f>
        <v>1</v>
      </c>
      <c r="G478" s="98"/>
      <c r="H478" s="98"/>
      <c r="I478" s="98"/>
      <c r="J478" s="98"/>
      <c r="K478" s="98"/>
      <c r="L478" s="102" t="b">
        <v>1</v>
      </c>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c r="AK478" s="98"/>
      <c r="AL478" s="98"/>
      <c r="AM478" s="98"/>
      <c r="AN478" s="98"/>
      <c r="AO478" s="98"/>
      <c r="AP478" s="98"/>
      <c r="AQ478" s="98"/>
    </row>
    <row r="479" ht="16.5" customHeight="1">
      <c r="A479" s="98"/>
      <c r="B479" s="108" t="s">
        <v>1121</v>
      </c>
      <c r="C479" s="170" t="s">
        <v>1134</v>
      </c>
      <c r="D479" s="107" t="str">
        <f>CONCATENATE("Do you own sufficient storage for the " ,'Contextualisation form'!D15, " you produce?")</f>
        <v>Do you own sufficient storage for the cocoa you produce?</v>
      </c>
      <c r="E479" s="98"/>
      <c r="F479" s="143" t="b">
        <f>if(OR('Contextualisation form'!$E$23="Agent Model Farmers (16)",'Contextualisation form'!$E$24= "Agent Model Farmers (16)",'Contextualisation form'!$E$25="Agent Model Farmers (16)"),FALSE,TRUE)</f>
        <v>1</v>
      </c>
      <c r="G479" s="98"/>
      <c r="H479" s="98"/>
      <c r="I479" s="98"/>
      <c r="J479" s="98"/>
      <c r="K479" s="98"/>
      <c r="L479" s="102" t="b">
        <v>1</v>
      </c>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c r="AK479" s="98"/>
      <c r="AL479" s="98"/>
      <c r="AM479" s="98"/>
      <c r="AN479" s="98"/>
      <c r="AO479" s="98"/>
      <c r="AP479" s="98"/>
      <c r="AQ479" s="98"/>
    </row>
    <row r="480" ht="16.5" customHeight="1">
      <c r="A480" s="98"/>
      <c r="B480" s="108" t="s">
        <v>1121</v>
      </c>
      <c r="C480" s="170" t="s">
        <v>1135</v>
      </c>
      <c r="D480" s="127" t="str">
        <f>CONCATENATE("Do you have access to sufficient storage for the ", 'Contextualisation form'!D15," you produce?")</f>
        <v>Do you have access to sufficient storage for the cocoa you produce?</v>
      </c>
      <c r="E480" s="98"/>
      <c r="F480" s="143" t="b">
        <f>if(OR('Contextualisation form'!$E$23="Agent Model Farmers (16)",'Contextualisation form'!$E$24= "Agent Model Farmers (16)",'Contextualisation form'!$E$25="Agent Model Farmers (16)"),FALSE,TRUE)</f>
        <v>1</v>
      </c>
      <c r="G480" s="98"/>
      <c r="H480" s="98"/>
      <c r="I480" s="98"/>
      <c r="J480" s="98"/>
      <c r="K480" s="102" t="s">
        <v>1136</v>
      </c>
      <c r="L480" s="102" t="b">
        <v>1</v>
      </c>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c r="AK480" s="98"/>
      <c r="AL480" s="98"/>
      <c r="AM480" s="98"/>
      <c r="AN480" s="98"/>
      <c r="AO480" s="98"/>
      <c r="AP480" s="98"/>
      <c r="AQ480" s="98"/>
    </row>
    <row r="481" ht="16.5" customHeight="1">
      <c r="A481" s="98"/>
      <c r="B481" s="108" t="s">
        <v>1126</v>
      </c>
      <c r="C481" s="170" t="s">
        <v>1137</v>
      </c>
      <c r="D481" s="107" t="s">
        <v>1138</v>
      </c>
      <c r="E481" s="98"/>
      <c r="F481" s="143" t="b">
        <f>if(OR('Contextualisation form'!$E$23="Agent Model Farmers (16)",'Contextualisation form'!$E$24= "Agent Model Farmers (16)",'Contextualisation form'!$E$25="Agent Model Farmers (16)"),FALSE,TRUE)</f>
        <v>1</v>
      </c>
      <c r="G481" s="98"/>
      <c r="H481" s="98"/>
      <c r="I481" s="98"/>
      <c r="J481" s="98"/>
      <c r="K481" s="98"/>
      <c r="L481" s="102" t="b">
        <v>1</v>
      </c>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c r="AK481" s="98"/>
      <c r="AL481" s="98"/>
      <c r="AM481" s="98"/>
      <c r="AN481" s="98"/>
      <c r="AO481" s="98"/>
      <c r="AP481" s="98"/>
      <c r="AQ481" s="98"/>
    </row>
    <row r="482" ht="16.5" customHeight="1">
      <c r="A482" s="98"/>
      <c r="B482" s="108" t="s">
        <v>1139</v>
      </c>
      <c r="C482" s="170" t="s">
        <v>1140</v>
      </c>
      <c r="D482" s="107" t="s">
        <v>1141</v>
      </c>
      <c r="E482" s="98"/>
      <c r="F482" s="143" t="b">
        <f>if(OR('Contextualisation form'!$E$23="Agent Model Farmers (16)",'Contextualisation form'!$E$24= "Agent Model Farmers (16)",'Contextualisation form'!$E$25="Agent Model Farmers (16)"),FALSE,TRUE)</f>
        <v>1</v>
      </c>
      <c r="G482" s="98"/>
      <c r="H482" s="98"/>
      <c r="I482" s="98"/>
      <c r="J482" s="98"/>
      <c r="K482" s="98"/>
      <c r="L482" s="102" t="b">
        <v>1</v>
      </c>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c r="AK482" s="98"/>
      <c r="AL482" s="98"/>
      <c r="AM482" s="98"/>
      <c r="AN482" s="98"/>
      <c r="AO482" s="98"/>
      <c r="AP482" s="98"/>
      <c r="AQ482" s="98"/>
    </row>
    <row r="483" ht="16.5" customHeight="1">
      <c r="A483" s="98"/>
      <c r="B483" s="108" t="s">
        <v>1142</v>
      </c>
      <c r="C483" s="170" t="s">
        <v>1143</v>
      </c>
      <c r="D483" s="107" t="s">
        <v>1144</v>
      </c>
      <c r="E483" s="98"/>
      <c r="F483" s="143" t="b">
        <f>if(OR('Contextualisation form'!$E$23="Agent Model Farmers (16)",'Contextualisation form'!$E$24= "Agent Model Farmers (16)",'Contextualisation form'!$E$25="Agent Model Farmers (16)"),FALSE,TRUE)</f>
        <v>1</v>
      </c>
      <c r="G483" s="98"/>
      <c r="H483" s="98"/>
      <c r="I483" s="98"/>
      <c r="J483" s="98"/>
      <c r="K483" s="98"/>
      <c r="L483" s="102" t="b">
        <v>1</v>
      </c>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c r="AK483" s="98"/>
      <c r="AL483" s="98"/>
      <c r="AM483" s="98"/>
      <c r="AN483" s="98"/>
      <c r="AO483" s="98"/>
      <c r="AP483" s="98"/>
      <c r="AQ483" s="98"/>
    </row>
    <row r="484" ht="16.5" customHeight="1">
      <c r="A484" s="212"/>
      <c r="B484" s="144" t="s">
        <v>379</v>
      </c>
      <c r="C484" s="213" t="s">
        <v>368</v>
      </c>
      <c r="D484" s="219"/>
      <c r="E484" s="212"/>
      <c r="F484" s="212"/>
      <c r="G484" s="212"/>
      <c r="H484" s="212"/>
      <c r="I484" s="212"/>
      <c r="J484" s="212"/>
      <c r="K484" s="212"/>
      <c r="L484" s="215"/>
      <c r="M484" s="212"/>
      <c r="N484" s="144" t="s">
        <v>370</v>
      </c>
      <c r="O484" s="212"/>
      <c r="P484" s="212"/>
      <c r="Q484" s="212"/>
      <c r="R484" s="212"/>
      <c r="S484" s="212"/>
      <c r="T484" s="212"/>
      <c r="U484" s="212"/>
      <c r="V484" s="212"/>
      <c r="W484" s="212"/>
      <c r="X484" s="212"/>
      <c r="Y484" s="212"/>
      <c r="Z484" s="212"/>
      <c r="AA484" s="212"/>
      <c r="AB484" s="212"/>
      <c r="AC484" s="212"/>
      <c r="AD484" s="212"/>
      <c r="AE484" s="212"/>
      <c r="AF484" s="212"/>
      <c r="AG484" s="212"/>
      <c r="AH484" s="212"/>
      <c r="AI484" s="212"/>
      <c r="AJ484" s="212"/>
      <c r="AK484" s="212"/>
      <c r="AL484" s="212"/>
      <c r="AM484" s="212"/>
      <c r="AN484" s="212"/>
      <c r="AO484" s="212"/>
      <c r="AP484" s="212"/>
      <c r="AQ484" s="212"/>
    </row>
    <row r="485" ht="16.5" customHeight="1">
      <c r="A485" s="184"/>
      <c r="B485" s="184" t="s">
        <v>253</v>
      </c>
      <c r="C485" s="105" t="s">
        <v>1105</v>
      </c>
      <c r="D485" s="184"/>
      <c r="E485" s="184"/>
      <c r="F485" s="188" t="b">
        <f>if(OR('Contextualisation form'!$E$23="Agent Model Farmers (16)",'Contextualisation form'!$E$24= "Agent Model Farmers (16)",'Contextualisation form'!$E$25="Agent Model Farmers (16)"),FALSE,TRUE)</f>
        <v>1</v>
      </c>
      <c r="G485" s="184"/>
      <c r="H485" s="184"/>
      <c r="I485" s="184"/>
      <c r="J485" s="184"/>
      <c r="K485" s="184"/>
      <c r="L485" s="184"/>
      <c r="M485" s="184"/>
      <c r="N485" s="184"/>
      <c r="O485" s="184"/>
      <c r="P485" s="184"/>
      <c r="Q485" s="184"/>
      <c r="R485" s="184" t="s">
        <v>109</v>
      </c>
      <c r="S485" s="184"/>
      <c r="T485" s="184"/>
      <c r="U485" s="184"/>
      <c r="V485" s="184"/>
      <c r="W485" s="184"/>
      <c r="X485" s="184"/>
      <c r="Y485" s="184"/>
      <c r="Z485" s="184"/>
      <c r="AA485" s="184"/>
      <c r="AB485" s="184"/>
      <c r="AC485" s="184"/>
      <c r="AD485" s="184"/>
      <c r="AE485" s="184"/>
      <c r="AF485" s="184"/>
      <c r="AG485" s="184"/>
      <c r="AH485" s="184"/>
      <c r="AI485" s="184"/>
      <c r="AJ485" s="184"/>
      <c r="AK485" s="184"/>
      <c r="AL485" s="184"/>
      <c r="AM485" s="184"/>
      <c r="AN485" s="185"/>
      <c r="AO485" s="185"/>
      <c r="AP485" s="185"/>
      <c r="AQ485" s="185"/>
    </row>
    <row r="486" ht="16.5" customHeight="1">
      <c r="A486" s="98"/>
      <c r="B486" s="98"/>
      <c r="C486" s="98"/>
      <c r="D486" s="107"/>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c r="AK486" s="98"/>
      <c r="AL486" s="98"/>
      <c r="AM486" s="98"/>
      <c r="AN486" s="98"/>
      <c r="AO486" s="98"/>
      <c r="AP486" s="98"/>
      <c r="AQ486" s="98"/>
    </row>
    <row r="487" ht="16.5" customHeight="1">
      <c r="A487" s="184"/>
      <c r="B487" s="184" t="s">
        <v>209</v>
      </c>
      <c r="C487" s="105" t="s">
        <v>1145</v>
      </c>
      <c r="D487" s="184" t="s">
        <v>1146</v>
      </c>
      <c r="E487" s="184"/>
      <c r="F487" s="184" t="b">
        <f>if(OR('Contextualisation form'!$E$23="Gender-intentional Transformative (14)",'Contextualisation form'!$E$24= "Gender-intentional Transformative (14)",'Contextualisation form'!$E$25="Gender-intentional Transformative (14)"),FALSE,TRUE)</f>
        <v>0</v>
      </c>
      <c r="G487" s="184"/>
      <c r="H487" s="184"/>
      <c r="I487" s="184"/>
      <c r="J487" s="184"/>
      <c r="K487" s="105" t="b">
        <v>0</v>
      </c>
      <c r="L487" s="184"/>
      <c r="M487" s="184"/>
      <c r="N487" s="184"/>
      <c r="O487" s="184"/>
      <c r="P487" s="184"/>
      <c r="Q487" s="184"/>
      <c r="R487" s="184" t="s">
        <v>109</v>
      </c>
      <c r="S487" s="184"/>
      <c r="T487" s="184"/>
      <c r="U487" s="184"/>
      <c r="V487" s="184"/>
      <c r="W487" s="184"/>
      <c r="X487" s="184"/>
      <c r="Y487" s="184"/>
      <c r="Z487" s="184"/>
      <c r="AA487" s="184"/>
      <c r="AB487" s="184"/>
      <c r="AC487" s="184"/>
      <c r="AD487" s="184"/>
      <c r="AE487" s="184"/>
      <c r="AF487" s="184"/>
      <c r="AG487" s="184"/>
      <c r="AH487" s="184"/>
      <c r="AI487" s="184"/>
      <c r="AJ487" s="184"/>
      <c r="AK487" s="184"/>
      <c r="AL487" s="184"/>
      <c r="AM487" s="184"/>
      <c r="AN487" s="185"/>
      <c r="AO487" s="185"/>
      <c r="AP487" s="185"/>
      <c r="AQ487" s="185"/>
    </row>
    <row r="488" ht="16.5" customHeight="1">
      <c r="A488" s="98"/>
      <c r="B488" s="108" t="s">
        <v>307</v>
      </c>
      <c r="C488" s="169" t="s">
        <v>1147</v>
      </c>
      <c r="D488" s="141" t="s">
        <v>1148</v>
      </c>
      <c r="E488" s="98"/>
      <c r="F488" s="143" t="b">
        <f>if(OR('Contextualisation form'!$E$23="Gender-intentional Transformative (14)",'Contextualisation form'!$E$24= "Gender-intentional Transformative (14)",'Contextualisation form'!$E$25="Gender-intentional Transformative (14)"),FALSE,TRUE)</f>
        <v>0</v>
      </c>
      <c r="G488" s="98"/>
      <c r="H488" s="98"/>
      <c r="I488" s="98"/>
      <c r="J488" s="98"/>
      <c r="K488" s="98"/>
      <c r="L488" s="102" t="b">
        <v>1</v>
      </c>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c r="AK488" s="98"/>
      <c r="AL488" s="98"/>
      <c r="AM488" s="98"/>
      <c r="AN488" s="98"/>
      <c r="AO488" s="98"/>
      <c r="AP488" s="98"/>
      <c r="AQ488" s="98"/>
    </row>
    <row r="489" ht="16.5" customHeight="1">
      <c r="A489" s="98"/>
      <c r="B489" s="108" t="s">
        <v>307</v>
      </c>
      <c r="C489" s="169" t="s">
        <v>1149</v>
      </c>
      <c r="D489" s="107" t="str">
        <f>CONCATENATE("On average, how many hours a day do you spend on ", 'Contextualisation form'!D15," production activities?")</f>
        <v>On average, how many hours a day do you spend on cocoa production activities?</v>
      </c>
      <c r="E489" s="98"/>
      <c r="F489" s="143" t="b">
        <f>if(OR('Contextualisation form'!$E$23="Gender-intentional Transformative (14)",'Contextualisation form'!$E$24= "Gender-intentional Transformative (14)",'Contextualisation form'!$E$25="Gender-intentional Transformative (14)"),FALSE,TRUE)</f>
        <v>0</v>
      </c>
      <c r="G489" s="98"/>
      <c r="H489" s="98"/>
      <c r="I489" s="98"/>
      <c r="J489" s="98"/>
      <c r="K489" s="98"/>
      <c r="L489" s="102" t="b">
        <v>1</v>
      </c>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c r="AK489" s="98"/>
      <c r="AL489" s="98"/>
      <c r="AM489" s="98"/>
      <c r="AN489" s="98"/>
      <c r="AO489" s="98"/>
      <c r="AP489" s="98"/>
      <c r="AQ489" s="98"/>
    </row>
    <row r="490" ht="16.5" customHeight="1">
      <c r="A490" s="98"/>
      <c r="B490" s="108" t="s">
        <v>307</v>
      </c>
      <c r="C490" s="169" t="s">
        <v>1150</v>
      </c>
      <c r="D490" s="107" t="str">
        <f>CONCATENATE("On average, how many hours a day do you spend on other farm activities? This does NOT include work related to producing ", 'Contextualisation form'!D15,". It does include work for producing other crops or keeping livestock.")</f>
        <v>On average, how many hours a day do you spend on other farm activities? This does NOT include work related to producing cocoa. It does include work for producing other crops or keeping livestock.</v>
      </c>
      <c r="E490" s="98"/>
      <c r="F490" s="143" t="b">
        <f>if(OR('Contextualisation form'!$E$23="Gender-intentional Transformative (14)",'Contextualisation form'!$E$24= "Gender-intentional Transformative (14)",'Contextualisation form'!$E$25="Gender-intentional Transformative (14)"),FALSE,TRUE)</f>
        <v>0</v>
      </c>
      <c r="G490" s="98"/>
      <c r="H490" s="98"/>
      <c r="I490" s="98"/>
      <c r="J490" s="98"/>
      <c r="K490" s="98"/>
      <c r="L490" s="102" t="b">
        <v>1</v>
      </c>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c r="AK490" s="98"/>
      <c r="AL490" s="98"/>
      <c r="AM490" s="98"/>
      <c r="AN490" s="98"/>
      <c r="AO490" s="98"/>
      <c r="AP490" s="98"/>
      <c r="AQ490" s="98"/>
    </row>
    <row r="491" ht="16.5" customHeight="1">
      <c r="A491" s="98"/>
      <c r="B491" s="108" t="s">
        <v>307</v>
      </c>
      <c r="C491" s="169" t="s">
        <v>1151</v>
      </c>
      <c r="D491" s="107" t="s">
        <v>1152</v>
      </c>
      <c r="E491" s="98"/>
      <c r="F491" s="143" t="b">
        <f>if(OR('Contextualisation form'!$E$23="Gender-intentional Transformative (14)",'Contextualisation form'!$E$24= "Gender-intentional Transformative (14)",'Contextualisation form'!$E$25="Gender-intentional Transformative (14)"),FALSE,TRUE)</f>
        <v>0</v>
      </c>
      <c r="G491" s="98"/>
      <c r="H491" s="98"/>
      <c r="I491" s="98"/>
      <c r="J491" s="98"/>
      <c r="K491" s="98"/>
      <c r="L491" s="102" t="b">
        <v>1</v>
      </c>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c r="AK491" s="98"/>
      <c r="AL491" s="98"/>
      <c r="AM491" s="98"/>
      <c r="AN491" s="98"/>
      <c r="AO491" s="98"/>
      <c r="AP491" s="98"/>
      <c r="AQ491" s="98"/>
    </row>
    <row r="492" ht="16.5" customHeight="1">
      <c r="A492" s="98"/>
      <c r="B492" s="98" t="s">
        <v>307</v>
      </c>
      <c r="C492" s="170" t="s">
        <v>1153</v>
      </c>
      <c r="D492" s="107" t="s">
        <v>1154</v>
      </c>
      <c r="E492" s="98"/>
      <c r="F492" s="143" t="b">
        <f>if(OR('Contextualisation form'!$E$23="Gender-intentional Transformative (14)",'Contextualisation form'!$E$24= "Gender-intentional Transformative (14)",'Contextualisation form'!$E$25="Gender-intentional Transformative (14)"),FALSE,TRUE)</f>
        <v>0</v>
      </c>
      <c r="G492" s="98"/>
      <c r="H492" s="98"/>
      <c r="I492" s="98"/>
      <c r="J492" s="98"/>
      <c r="K492" s="98"/>
      <c r="L492" s="102" t="b">
        <v>1</v>
      </c>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c r="AK492" s="98"/>
      <c r="AL492" s="98"/>
      <c r="AM492" s="98"/>
      <c r="AN492" s="98"/>
      <c r="AO492" s="98"/>
      <c r="AP492" s="98"/>
      <c r="AQ492" s="98"/>
    </row>
    <row r="493" ht="16.5" customHeight="1">
      <c r="A493" s="98"/>
      <c r="B493" s="98" t="s">
        <v>307</v>
      </c>
      <c r="C493" s="170" t="s">
        <v>1155</v>
      </c>
      <c r="D493" s="107" t="s">
        <v>1156</v>
      </c>
      <c r="E493" s="98"/>
      <c r="F493" s="143" t="b">
        <f>if(OR('Contextualisation form'!$E$23="Gender-intentional Transformative (14)",'Contextualisation form'!$E$24= "Gender-intentional Transformative (14)",'Contextualisation form'!$E$25="Gender-intentional Transformative (14)"),FALSE,TRUE)</f>
        <v>0</v>
      </c>
      <c r="G493" s="98"/>
      <c r="H493" s="98"/>
      <c r="I493" s="98"/>
      <c r="J493" s="98"/>
      <c r="K493" s="98"/>
      <c r="L493" s="102" t="b">
        <v>1</v>
      </c>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c r="AK493" s="98"/>
      <c r="AL493" s="98"/>
      <c r="AM493" s="98"/>
      <c r="AN493" s="98"/>
      <c r="AO493" s="98"/>
      <c r="AP493" s="98"/>
      <c r="AQ493" s="98"/>
    </row>
    <row r="494" ht="16.5" customHeight="1">
      <c r="A494" s="212"/>
      <c r="B494" s="144" t="s">
        <v>351</v>
      </c>
      <c r="C494" s="213" t="s">
        <v>368</v>
      </c>
      <c r="D494" s="214" t="s">
        <v>369</v>
      </c>
      <c r="E494" s="212"/>
      <c r="F494" s="212"/>
      <c r="G494" s="212"/>
      <c r="H494" s="212"/>
      <c r="I494" s="212"/>
      <c r="J494" s="212"/>
      <c r="K494" s="212"/>
      <c r="L494" s="215"/>
      <c r="M494" s="212"/>
      <c r="N494" s="144" t="s">
        <v>370</v>
      </c>
      <c r="O494" s="212"/>
      <c r="P494" s="212"/>
      <c r="Q494" s="212"/>
      <c r="R494" s="212"/>
      <c r="S494" s="212"/>
      <c r="T494" s="212"/>
      <c r="U494" s="212"/>
      <c r="V494" s="212"/>
      <c r="W494" s="212"/>
      <c r="X494" s="212"/>
      <c r="Y494" s="212"/>
      <c r="Z494" s="212"/>
      <c r="AA494" s="212"/>
      <c r="AB494" s="212"/>
      <c r="AC494" s="212"/>
      <c r="AD494" s="212"/>
      <c r="AE494" s="212"/>
      <c r="AF494" s="212"/>
      <c r="AG494" s="212"/>
      <c r="AH494" s="212"/>
      <c r="AI494" s="212"/>
      <c r="AJ494" s="212"/>
      <c r="AK494" s="212"/>
      <c r="AL494" s="212"/>
      <c r="AM494" s="212"/>
      <c r="AN494" s="212"/>
      <c r="AO494" s="212"/>
      <c r="AP494" s="212"/>
      <c r="AQ494" s="212"/>
    </row>
    <row r="495" ht="16.5" customHeight="1">
      <c r="A495" s="128"/>
      <c r="B495" s="111" t="s">
        <v>194</v>
      </c>
      <c r="C495" s="216" t="s">
        <v>371</v>
      </c>
      <c r="D495" s="217"/>
      <c r="E495" s="128"/>
      <c r="F495" s="128"/>
      <c r="G495" s="128"/>
      <c r="H495" s="128"/>
      <c r="I495" s="128"/>
      <c r="J495" s="128"/>
      <c r="K495" s="128"/>
      <c r="L495" s="218"/>
      <c r="M495" s="111" t="s">
        <v>372</v>
      </c>
      <c r="N495" s="128"/>
      <c r="O495" s="128"/>
      <c r="P495" s="128"/>
      <c r="Q495" s="128"/>
      <c r="R495" s="128"/>
      <c r="S495" s="128"/>
      <c r="T495" s="128"/>
      <c r="U495" s="128"/>
      <c r="V495" s="128"/>
      <c r="W495" s="128"/>
      <c r="X495" s="128"/>
      <c r="Y495" s="128"/>
      <c r="Z495" s="128"/>
      <c r="AA495" s="128"/>
      <c r="AB495" s="128"/>
      <c r="AC495" s="128"/>
      <c r="AD495" s="128"/>
      <c r="AE495" s="128"/>
      <c r="AF495" s="128"/>
      <c r="AG495" s="128"/>
      <c r="AH495" s="128"/>
      <c r="AI495" s="128"/>
      <c r="AJ495" s="128"/>
      <c r="AK495" s="128"/>
      <c r="AL495" s="128"/>
      <c r="AM495" s="128"/>
      <c r="AN495" s="128"/>
      <c r="AO495" s="128"/>
      <c r="AP495" s="128"/>
      <c r="AQ495" s="128"/>
    </row>
    <row r="496" ht="16.5" customHeight="1">
      <c r="A496" s="128"/>
      <c r="B496" s="111" t="s">
        <v>194</v>
      </c>
      <c r="C496" s="216" t="s">
        <v>373</v>
      </c>
      <c r="D496" s="217"/>
      <c r="E496" s="128"/>
      <c r="F496" s="128"/>
      <c r="G496" s="128"/>
      <c r="H496" s="128"/>
      <c r="I496" s="128"/>
      <c r="J496" s="128"/>
      <c r="K496" s="128"/>
      <c r="L496" s="218"/>
      <c r="M496" s="111" t="s">
        <v>374</v>
      </c>
      <c r="N496" s="128"/>
      <c r="O496" s="128"/>
      <c r="P496" s="128"/>
      <c r="Q496" s="128"/>
      <c r="R496" s="128"/>
      <c r="S496" s="128"/>
      <c r="T496" s="128"/>
      <c r="U496" s="128"/>
      <c r="V496" s="128"/>
      <c r="W496" s="128"/>
      <c r="X496" s="128"/>
      <c r="Y496" s="128"/>
      <c r="Z496" s="128"/>
      <c r="AA496" s="128"/>
      <c r="AB496" s="128"/>
      <c r="AC496" s="128"/>
      <c r="AD496" s="128"/>
      <c r="AE496" s="128"/>
      <c r="AF496" s="128"/>
      <c r="AG496" s="128"/>
      <c r="AH496" s="128"/>
      <c r="AI496" s="128"/>
      <c r="AJ496" s="128"/>
      <c r="AK496" s="128"/>
      <c r="AL496" s="128"/>
      <c r="AM496" s="128"/>
      <c r="AN496" s="128"/>
      <c r="AO496" s="128"/>
      <c r="AP496" s="128"/>
      <c r="AQ496" s="128"/>
    </row>
    <row r="497" ht="16.5" customHeight="1">
      <c r="A497" s="128"/>
      <c r="B497" s="111" t="s">
        <v>194</v>
      </c>
      <c r="C497" s="216" t="s">
        <v>375</v>
      </c>
      <c r="D497" s="217"/>
      <c r="E497" s="128"/>
      <c r="F497" s="128"/>
      <c r="G497" s="128"/>
      <c r="H497" s="128"/>
      <c r="I497" s="128"/>
      <c r="J497" s="128"/>
      <c r="K497" s="128"/>
      <c r="L497" s="218"/>
      <c r="M497" s="111" t="s">
        <v>376</v>
      </c>
      <c r="N497" s="128"/>
      <c r="O497" s="128"/>
      <c r="P497" s="128"/>
      <c r="Q497" s="128"/>
      <c r="R497" s="128"/>
      <c r="S497" s="128"/>
      <c r="T497" s="128"/>
      <c r="U497" s="128"/>
      <c r="V497" s="128"/>
      <c r="W497" s="128"/>
      <c r="X497" s="128"/>
      <c r="Y497" s="128"/>
      <c r="Z497" s="128"/>
      <c r="AA497" s="128"/>
      <c r="AB497" s="128"/>
      <c r="AC497" s="128"/>
      <c r="AD497" s="128"/>
      <c r="AE497" s="128"/>
      <c r="AF497" s="128"/>
      <c r="AG497" s="128"/>
      <c r="AH497" s="128"/>
      <c r="AI497" s="128"/>
      <c r="AJ497" s="128"/>
      <c r="AK497" s="128"/>
      <c r="AL497" s="128"/>
      <c r="AM497" s="128"/>
      <c r="AN497" s="128"/>
      <c r="AO497" s="128"/>
      <c r="AP497" s="128"/>
      <c r="AQ497" s="128"/>
    </row>
    <row r="498" ht="16.5" customHeight="1">
      <c r="A498" s="98"/>
      <c r="B498" s="98" t="s">
        <v>398</v>
      </c>
      <c r="C498" s="169" t="s">
        <v>1157</v>
      </c>
      <c r="D498" s="127" t="s">
        <v>1158</v>
      </c>
      <c r="E498" s="98"/>
      <c r="F498" s="143" t="b">
        <f>if(OR('Contextualisation form'!$E$23="Gender-intentional Transformative (14)",'Contextualisation form'!$E$24= "Gender-intentional Transformative (14)",'Contextualisation form'!$E$25="Gender-intentional Transformative (14)"),FALSE,TRUE)</f>
        <v>0</v>
      </c>
      <c r="G498" s="98"/>
      <c r="H498" s="98"/>
      <c r="I498" s="98"/>
      <c r="J498" s="98"/>
      <c r="K498" s="98"/>
      <c r="L498" s="102" t="b">
        <v>1</v>
      </c>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c r="AK498" s="98"/>
      <c r="AL498" s="98"/>
      <c r="AM498" s="98"/>
      <c r="AN498" s="98"/>
      <c r="AO498" s="98"/>
      <c r="AP498" s="98"/>
      <c r="AQ498" s="98"/>
    </row>
    <row r="499" ht="16.5" customHeight="1">
      <c r="A499" s="98"/>
      <c r="B499" s="98" t="s">
        <v>1159</v>
      </c>
      <c r="C499" s="169" t="s">
        <v>1160</v>
      </c>
      <c r="D499" s="127" t="s">
        <v>1161</v>
      </c>
      <c r="E499" s="98"/>
      <c r="F499" s="143" t="b">
        <f>if(OR('Contextualisation form'!$E$23="Gender-intentional Transformative (14)",'Contextualisation form'!$E$24= "Gender-intentional Transformative (14)",'Contextualisation form'!$E$25="Gender-intentional Transformative (14)"),FALSE,TRUE)</f>
        <v>0</v>
      </c>
      <c r="G499" s="98"/>
      <c r="H499" s="98"/>
      <c r="I499" s="98"/>
      <c r="J499" s="98"/>
      <c r="K499" s="98"/>
      <c r="L499" s="102" t="b">
        <v>1</v>
      </c>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c r="AK499" s="98"/>
      <c r="AL499" s="98"/>
      <c r="AM499" s="98"/>
      <c r="AN499" s="98"/>
      <c r="AO499" s="98"/>
      <c r="AP499" s="98"/>
      <c r="AQ499" s="98"/>
    </row>
    <row r="500" ht="16.5" customHeight="1">
      <c r="A500" s="98"/>
      <c r="B500" s="98" t="s">
        <v>1162</v>
      </c>
      <c r="C500" s="169" t="s">
        <v>1163</v>
      </c>
      <c r="D500" s="127" t="s">
        <v>1164</v>
      </c>
      <c r="E500" s="98"/>
      <c r="F500" s="143" t="b">
        <f>if(OR('Contextualisation form'!$E$23="Gender-intentional Transformative (14)",'Contextualisation form'!$E$24= "Gender-intentional Transformative (14)",'Contextualisation form'!$E$25="Gender-intentional Transformative (14)"),FALSE,TRUE)</f>
        <v>0</v>
      </c>
      <c r="G500" s="98"/>
      <c r="H500" s="98"/>
      <c r="I500" s="98"/>
      <c r="J500" s="98"/>
      <c r="K500" s="98"/>
      <c r="L500" s="102" t="b">
        <v>1</v>
      </c>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c r="AK500" s="98"/>
      <c r="AL500" s="98"/>
      <c r="AM500" s="98"/>
      <c r="AN500" s="98"/>
      <c r="AO500" s="98"/>
      <c r="AP500" s="98"/>
      <c r="AQ500" s="98"/>
    </row>
    <row r="501" ht="16.5" customHeight="1">
      <c r="A501" s="98"/>
      <c r="B501" s="98" t="s">
        <v>1165</v>
      </c>
      <c r="C501" s="169" t="s">
        <v>1166</v>
      </c>
      <c r="D501" s="127" t="s">
        <v>1167</v>
      </c>
      <c r="E501" s="98"/>
      <c r="F501" s="143" t="b">
        <f>if(OR('Contextualisation form'!$E$23="Gender-intentional Transformative (14)",'Contextualisation form'!$E$24= "Gender-intentional Transformative (14)",'Contextualisation form'!$E$25="Gender-intentional Transformative (14)"),FALSE,TRUE)</f>
        <v>0</v>
      </c>
      <c r="G501" s="98"/>
      <c r="H501" s="98"/>
      <c r="I501" s="98"/>
      <c r="J501" s="98"/>
      <c r="K501" s="98"/>
      <c r="L501" s="102" t="b">
        <v>1</v>
      </c>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c r="AK501" s="98"/>
      <c r="AL501" s="98"/>
      <c r="AM501" s="98"/>
      <c r="AN501" s="98"/>
      <c r="AO501" s="98"/>
      <c r="AP501" s="98"/>
      <c r="AQ501" s="98"/>
    </row>
    <row r="502" ht="16.5" customHeight="1">
      <c r="A502" s="212"/>
      <c r="B502" s="144" t="s">
        <v>379</v>
      </c>
      <c r="C502" s="213" t="s">
        <v>368</v>
      </c>
      <c r="D502" s="219"/>
      <c r="E502" s="212"/>
      <c r="F502" s="212"/>
      <c r="G502" s="212"/>
      <c r="H502" s="212"/>
      <c r="I502" s="212"/>
      <c r="J502" s="212"/>
      <c r="K502" s="212"/>
      <c r="L502" s="215"/>
      <c r="M502" s="212"/>
      <c r="N502" s="144" t="s">
        <v>370</v>
      </c>
      <c r="O502" s="212"/>
      <c r="P502" s="212"/>
      <c r="Q502" s="212"/>
      <c r="R502" s="212"/>
      <c r="S502" s="212"/>
      <c r="T502" s="212"/>
      <c r="U502" s="212"/>
      <c r="V502" s="212"/>
      <c r="W502" s="212"/>
      <c r="X502" s="212"/>
      <c r="Y502" s="212"/>
      <c r="Z502" s="212"/>
      <c r="AA502" s="212"/>
      <c r="AB502" s="212"/>
      <c r="AC502" s="212"/>
      <c r="AD502" s="212"/>
      <c r="AE502" s="212"/>
      <c r="AF502" s="212"/>
      <c r="AG502" s="212"/>
      <c r="AH502" s="212"/>
      <c r="AI502" s="212"/>
      <c r="AJ502" s="212"/>
      <c r="AK502" s="212"/>
      <c r="AL502" s="212"/>
      <c r="AM502" s="212"/>
      <c r="AN502" s="212"/>
      <c r="AO502" s="212"/>
      <c r="AP502" s="212"/>
      <c r="AQ502" s="212"/>
    </row>
    <row r="503" ht="16.5" customHeight="1">
      <c r="A503" s="184"/>
      <c r="B503" s="184" t="s">
        <v>253</v>
      </c>
      <c r="C503" s="105" t="s">
        <v>1145</v>
      </c>
      <c r="D503" s="184"/>
      <c r="E503" s="184"/>
      <c r="F503" s="184" t="b">
        <f>if(OR('Contextualisation form'!$E$23="Gender-intentional Transformative (14)",'Contextualisation form'!$E$24= "Gender-intentional Transformative (14)",'Contextualisation form'!$E$25="Gender-intentional Transformative (14)"),FALSE,TRUE)</f>
        <v>0</v>
      </c>
      <c r="G503" s="184"/>
      <c r="H503" s="184"/>
      <c r="I503" s="184"/>
      <c r="J503" s="184"/>
      <c r="K503" s="184"/>
      <c r="L503" s="184"/>
      <c r="M503" s="184"/>
      <c r="N503" s="184"/>
      <c r="O503" s="184"/>
      <c r="P503" s="184"/>
      <c r="Q503" s="184"/>
      <c r="R503" s="184" t="s">
        <v>109</v>
      </c>
      <c r="S503" s="184"/>
      <c r="T503" s="184"/>
      <c r="U503" s="184"/>
      <c r="V503" s="184"/>
      <c r="W503" s="184"/>
      <c r="X503" s="184"/>
      <c r="Y503" s="184"/>
      <c r="Z503" s="184"/>
      <c r="AA503" s="184"/>
      <c r="AB503" s="184"/>
      <c r="AC503" s="184"/>
      <c r="AD503" s="184"/>
      <c r="AE503" s="184"/>
      <c r="AF503" s="184"/>
      <c r="AG503" s="184"/>
      <c r="AH503" s="184"/>
      <c r="AI503" s="184"/>
      <c r="AJ503" s="184"/>
      <c r="AK503" s="184"/>
      <c r="AL503" s="184"/>
      <c r="AM503" s="184"/>
      <c r="AN503" s="185"/>
      <c r="AO503" s="185"/>
      <c r="AP503" s="185"/>
      <c r="AQ503" s="185"/>
    </row>
    <row r="504" ht="16.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c r="AK504" s="98"/>
      <c r="AL504" s="98"/>
      <c r="AM504" s="98"/>
      <c r="AN504" s="98"/>
      <c r="AO504" s="98"/>
      <c r="AP504" s="98"/>
      <c r="AQ504" s="98"/>
    </row>
    <row r="505" ht="16.5" customHeight="1">
      <c r="A505" s="235"/>
      <c r="B505" s="235"/>
      <c r="C505" s="230" t="s">
        <v>1168</v>
      </c>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c r="AJ505" s="235"/>
      <c r="AK505" s="235"/>
      <c r="AL505" s="235"/>
      <c r="AM505" s="235"/>
      <c r="AN505" s="236"/>
      <c r="AO505" s="236"/>
      <c r="AP505" s="236"/>
      <c r="AQ505" s="236"/>
    </row>
    <row r="506" ht="16.5" customHeight="1">
      <c r="A506" s="184"/>
      <c r="B506" s="184" t="s">
        <v>209</v>
      </c>
      <c r="C506" s="184" t="s">
        <v>1169</v>
      </c>
      <c r="D506" s="184"/>
      <c r="E506" s="184"/>
      <c r="F506" s="184"/>
      <c r="G506" s="184"/>
      <c r="H506" s="184"/>
      <c r="I506" s="184"/>
      <c r="J506" s="184"/>
      <c r="K506" s="105" t="b">
        <v>0</v>
      </c>
      <c r="L506" s="184"/>
      <c r="M506" s="184"/>
      <c r="N506" s="184"/>
      <c r="O506" s="184"/>
      <c r="P506" s="184"/>
      <c r="Q506" s="184"/>
      <c r="R506" s="184" t="s">
        <v>109</v>
      </c>
      <c r="S506" s="184"/>
      <c r="T506" s="184"/>
      <c r="U506" s="184"/>
      <c r="V506" s="184"/>
      <c r="W506" s="184"/>
      <c r="X506" s="184"/>
      <c r="Y506" s="184"/>
      <c r="Z506" s="184"/>
      <c r="AA506" s="184"/>
      <c r="AB506" s="184"/>
      <c r="AC506" s="184"/>
      <c r="AD506" s="184"/>
      <c r="AE506" s="184"/>
      <c r="AF506" s="184"/>
      <c r="AG506" s="184"/>
      <c r="AH506" s="184"/>
      <c r="AI506" s="184"/>
      <c r="AJ506" s="184"/>
      <c r="AK506" s="184"/>
      <c r="AL506" s="184"/>
      <c r="AM506" s="184"/>
      <c r="AN506" s="185"/>
      <c r="AO506" s="185"/>
      <c r="AP506" s="185"/>
      <c r="AQ506" s="185"/>
    </row>
    <row r="507" ht="16.5" customHeight="1">
      <c r="A507" s="98"/>
      <c r="B507" s="98"/>
      <c r="C507" s="100"/>
      <c r="D507" s="108" t="str">
        <f>CONCATENATE("Over the past 3 years, how has your level of ", 'Contextualisation form'!D15," production changed?")</f>
        <v>Over the past 3 years, how has your level of cocoa production changed?</v>
      </c>
      <c r="E507" s="98"/>
      <c r="F507" s="98" t="b">
        <f>if('Contextualisation form'!$H$17=TRUE,FALSE,TRUE)</f>
        <v>1</v>
      </c>
      <c r="G507" s="98"/>
      <c r="H507" s="98"/>
      <c r="I507" s="98"/>
      <c r="J507" s="98"/>
      <c r="K507" s="98"/>
      <c r="L507" s="102" t="b">
        <v>1</v>
      </c>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c r="AK507" s="98"/>
      <c r="AL507" s="98"/>
      <c r="AM507" s="98"/>
      <c r="AN507" s="98"/>
      <c r="AO507" s="98"/>
      <c r="AP507" s="98"/>
      <c r="AQ507" s="98"/>
    </row>
    <row r="508" ht="16.5" customHeight="1">
      <c r="A508" s="98"/>
      <c r="B508" s="98"/>
      <c r="C508" s="100"/>
      <c r="D508" s="108" t="s">
        <v>957</v>
      </c>
      <c r="E508" s="98"/>
      <c r="F508" s="98" t="b">
        <f>if('Contextualisation form'!$H$17=TRUE,FALSE,TRUE)</f>
        <v>1</v>
      </c>
      <c r="G508" s="98"/>
      <c r="H508" s="98"/>
      <c r="I508" s="98"/>
      <c r="J508" s="98"/>
      <c r="K508" s="98"/>
      <c r="L508" s="102" t="b">
        <v>1</v>
      </c>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c r="AK508" s="98"/>
      <c r="AL508" s="98"/>
      <c r="AM508" s="98"/>
      <c r="AN508" s="98"/>
      <c r="AO508" s="98"/>
      <c r="AP508" s="98"/>
      <c r="AQ508" s="98"/>
    </row>
    <row r="509" ht="16.5" customHeight="1">
      <c r="A509" s="98"/>
      <c r="B509" s="98"/>
      <c r="C509" s="100"/>
      <c r="D509" s="108" t="s">
        <v>1170</v>
      </c>
      <c r="E509" s="98"/>
      <c r="F509" s="98" t="b">
        <f>if('Contextualisation form'!$H$17=TRUE,FALSE,TRUE)</f>
        <v>1</v>
      </c>
      <c r="G509" s="98"/>
      <c r="H509" s="98"/>
      <c r="I509" s="98"/>
      <c r="J509" s="98"/>
      <c r="K509" s="98"/>
      <c r="L509" s="102" t="b">
        <v>1</v>
      </c>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c r="AK509" s="98"/>
      <c r="AL509" s="98"/>
      <c r="AM509" s="98"/>
      <c r="AN509" s="98"/>
      <c r="AO509" s="98"/>
      <c r="AP509" s="98"/>
      <c r="AQ509" s="98"/>
    </row>
    <row r="510" ht="16.5" customHeight="1">
      <c r="A510" s="98"/>
      <c r="B510" s="98"/>
      <c r="C510" s="100"/>
      <c r="D510" s="108" t="str">
        <f>CONCATENATE("Over the past 3 years, how has your level of ", 'Contextualisation form'!D15," sales changed?")</f>
        <v>Over the past 3 years, how has your level of cocoa sales changed?</v>
      </c>
      <c r="E510" s="98"/>
      <c r="F510" s="98" t="b">
        <f>if('Contextualisation form'!$H$17=TRUE,FALSE,TRUE)</f>
        <v>1</v>
      </c>
      <c r="G510" s="98"/>
      <c r="H510" s="98"/>
      <c r="I510" s="98"/>
      <c r="J510" s="98"/>
      <c r="K510" s="98"/>
      <c r="L510" s="102" t="b">
        <v>1</v>
      </c>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c r="AK510" s="98"/>
      <c r="AL510" s="98"/>
      <c r="AM510" s="98"/>
      <c r="AN510" s="98"/>
      <c r="AO510" s="98"/>
      <c r="AP510" s="98"/>
      <c r="AQ510" s="98"/>
    </row>
    <row r="511" ht="16.5" customHeight="1">
      <c r="A511" s="98"/>
      <c r="B511" s="98"/>
      <c r="C511" s="100"/>
      <c r="D511" s="108" t="s">
        <v>957</v>
      </c>
      <c r="E511" s="98"/>
      <c r="F511" s="98" t="b">
        <f>if('Contextualisation form'!$H$17=TRUE,FALSE,TRUE)</f>
        <v>1</v>
      </c>
      <c r="G511" s="98"/>
      <c r="H511" s="98"/>
      <c r="I511" s="98"/>
      <c r="J511" s="98"/>
      <c r="K511" s="98"/>
      <c r="L511" s="102" t="b">
        <v>1</v>
      </c>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c r="AK511" s="98"/>
      <c r="AL511" s="98"/>
      <c r="AM511" s="98"/>
      <c r="AN511" s="98"/>
      <c r="AO511" s="98"/>
      <c r="AP511" s="98"/>
      <c r="AQ511" s="98"/>
    </row>
    <row r="512" ht="16.5" customHeight="1">
      <c r="A512" s="98"/>
      <c r="B512" s="98"/>
      <c r="C512" s="100"/>
      <c r="D512" s="108" t="s">
        <v>1170</v>
      </c>
      <c r="E512" s="98"/>
      <c r="F512" s="98" t="b">
        <f>if('Contextualisation form'!$H$17=TRUE,FALSE,TRUE)</f>
        <v>1</v>
      </c>
      <c r="G512" s="98"/>
      <c r="H512" s="98"/>
      <c r="I512" s="98"/>
      <c r="J512" s="98"/>
      <c r="K512" s="98"/>
      <c r="L512" s="102" t="b">
        <v>1</v>
      </c>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c r="AK512" s="98"/>
      <c r="AL512" s="98"/>
      <c r="AM512" s="98"/>
      <c r="AN512" s="98"/>
      <c r="AO512" s="98"/>
      <c r="AP512" s="98"/>
      <c r="AQ512" s="98"/>
    </row>
    <row r="513" ht="16.5" customHeight="1">
      <c r="A513" s="98"/>
      <c r="B513" s="98"/>
      <c r="C513" s="100"/>
      <c r="D513" s="108" t="str">
        <f>CONCATENATE("Over the past 3 years, how has your level of ", 'Contextualisation form'!D15," losses changed?")</f>
        <v>Over the past 3 years, how has your level of cocoa losses changed?</v>
      </c>
      <c r="E513" s="98"/>
      <c r="F513" s="98" t="b">
        <f>if('Contextualisation form'!$H$17=TRUE,FALSE,TRUE)</f>
        <v>1</v>
      </c>
      <c r="G513" s="98"/>
      <c r="H513" s="98"/>
      <c r="I513" s="98"/>
      <c r="J513" s="98"/>
      <c r="K513" s="98"/>
      <c r="L513" s="102" t="b">
        <v>1</v>
      </c>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c r="AK513" s="98"/>
      <c r="AL513" s="98"/>
      <c r="AM513" s="98"/>
      <c r="AN513" s="98"/>
      <c r="AO513" s="98"/>
      <c r="AP513" s="98"/>
      <c r="AQ513" s="98"/>
    </row>
    <row r="514" ht="16.5" customHeight="1">
      <c r="A514" s="98"/>
      <c r="B514" s="98"/>
      <c r="C514" s="100"/>
      <c r="D514" s="108" t="s">
        <v>957</v>
      </c>
      <c r="E514" s="98"/>
      <c r="F514" s="98" t="b">
        <f>if('Contextualisation form'!$H$17=TRUE,FALSE,TRUE)</f>
        <v>1</v>
      </c>
      <c r="G514" s="98"/>
      <c r="H514" s="98"/>
      <c r="I514" s="98"/>
      <c r="J514" s="98"/>
      <c r="K514" s="98"/>
      <c r="L514" s="102" t="b">
        <v>1</v>
      </c>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c r="AK514" s="98"/>
      <c r="AL514" s="98"/>
      <c r="AM514" s="98"/>
      <c r="AN514" s="98"/>
      <c r="AO514" s="98"/>
      <c r="AP514" s="98"/>
      <c r="AQ514" s="98"/>
    </row>
    <row r="515" ht="16.5" customHeight="1">
      <c r="A515" s="98"/>
      <c r="B515" s="98"/>
      <c r="C515" s="100"/>
      <c r="D515" s="108" t="s">
        <v>1170</v>
      </c>
      <c r="E515" s="98"/>
      <c r="F515" s="98" t="b">
        <f>if('Contextualisation form'!$H$17=TRUE,FALSE,TRUE)</f>
        <v>1</v>
      </c>
      <c r="G515" s="98"/>
      <c r="H515" s="98"/>
      <c r="I515" s="98"/>
      <c r="J515" s="98"/>
      <c r="K515" s="98"/>
      <c r="L515" s="102" t="b">
        <v>1</v>
      </c>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c r="AK515" s="98"/>
      <c r="AL515" s="98"/>
      <c r="AM515" s="98"/>
      <c r="AN515" s="98"/>
      <c r="AO515" s="98"/>
      <c r="AP515" s="98"/>
      <c r="AQ515" s="98"/>
    </row>
    <row r="516" ht="16.5" customHeight="1">
      <c r="A516" s="98"/>
      <c r="B516" s="98"/>
      <c r="C516" s="100"/>
      <c r="D516" s="108" t="str">
        <f>CONCATENATE("Over the past 3 years, how has your level of ", 'Contextualisation form'!D15," net-income changed?")</f>
        <v>Over the past 3 years, how has your level of cocoa net-income changed?</v>
      </c>
      <c r="E516" s="98"/>
      <c r="F516" s="98" t="b">
        <f>if('Contextualisation form'!$H$17=TRUE,FALSE,TRUE)</f>
        <v>1</v>
      </c>
      <c r="G516" s="98"/>
      <c r="H516" s="98"/>
      <c r="I516" s="98"/>
      <c r="J516" s="98"/>
      <c r="K516" s="98"/>
      <c r="L516" s="102" t="b">
        <v>1</v>
      </c>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c r="AK516" s="98"/>
      <c r="AL516" s="98"/>
      <c r="AM516" s="98"/>
      <c r="AN516" s="98"/>
      <c r="AO516" s="98"/>
      <c r="AP516" s="98"/>
      <c r="AQ516" s="98"/>
    </row>
    <row r="517" ht="16.5" customHeight="1">
      <c r="A517" s="98"/>
      <c r="B517" s="98"/>
      <c r="C517" s="100"/>
      <c r="D517" s="108" t="s">
        <v>957</v>
      </c>
      <c r="E517" s="98"/>
      <c r="F517" s="98" t="b">
        <f>if('Contextualisation form'!$H$17=TRUE,FALSE,TRUE)</f>
        <v>1</v>
      </c>
      <c r="G517" s="98"/>
      <c r="H517" s="98"/>
      <c r="I517" s="98"/>
      <c r="J517" s="98"/>
      <c r="K517" s="98"/>
      <c r="L517" s="102" t="b">
        <v>1</v>
      </c>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c r="AK517" s="98"/>
      <c r="AL517" s="98"/>
      <c r="AM517" s="98"/>
      <c r="AN517" s="98"/>
      <c r="AO517" s="98"/>
      <c r="AP517" s="98"/>
      <c r="AQ517" s="98"/>
    </row>
    <row r="518" ht="16.5" customHeight="1">
      <c r="A518" s="98"/>
      <c r="B518" s="98"/>
      <c r="C518" s="100"/>
      <c r="D518" s="108" t="s">
        <v>1170</v>
      </c>
      <c r="E518" s="98"/>
      <c r="F518" s="98" t="b">
        <f>if('Contextualisation form'!$H$17=TRUE,FALSE,TRUE)</f>
        <v>1</v>
      </c>
      <c r="G518" s="98"/>
      <c r="H518" s="98"/>
      <c r="I518" s="98"/>
      <c r="J518" s="98"/>
      <c r="K518" s="98"/>
      <c r="L518" s="102" t="b">
        <v>1</v>
      </c>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c r="AK518" s="98"/>
      <c r="AL518" s="98"/>
      <c r="AM518" s="98"/>
      <c r="AN518" s="98"/>
      <c r="AO518" s="98"/>
      <c r="AP518" s="98"/>
      <c r="AQ518" s="98"/>
    </row>
    <row r="519" ht="16.5" customHeight="1">
      <c r="A519" s="98"/>
      <c r="B519" s="98"/>
      <c r="C519" s="100"/>
      <c r="D519" s="108" t="str">
        <f>CONCATENATE("Over the past 3 years, how has your level of ", 'Contextualisation form'!D15," production costs changed?")</f>
        <v>Over the past 3 years, how has your level of cocoa production costs changed?</v>
      </c>
      <c r="E519" s="98"/>
      <c r="F519" s="98" t="b">
        <f>if('Contextualisation form'!$H$17=TRUE,FALSE,TRUE)</f>
        <v>1</v>
      </c>
      <c r="G519" s="98"/>
      <c r="H519" s="98"/>
      <c r="I519" s="98"/>
      <c r="J519" s="98"/>
      <c r="K519" s="98"/>
      <c r="L519" s="102" t="b">
        <v>1</v>
      </c>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c r="AK519" s="98"/>
      <c r="AL519" s="98"/>
      <c r="AM519" s="98"/>
      <c r="AN519" s="98"/>
      <c r="AO519" s="98"/>
      <c r="AP519" s="98"/>
      <c r="AQ519" s="98"/>
    </row>
    <row r="520" ht="16.5" customHeight="1">
      <c r="A520" s="98"/>
      <c r="B520" s="98"/>
      <c r="C520" s="100"/>
      <c r="D520" s="108" t="s">
        <v>1170</v>
      </c>
      <c r="E520" s="98"/>
      <c r="F520" s="98" t="b">
        <f>if('Contextualisation form'!$H$17=TRUE,FALSE,TRUE)</f>
        <v>1</v>
      </c>
      <c r="G520" s="98"/>
      <c r="H520" s="98"/>
      <c r="I520" s="98"/>
      <c r="J520" s="98"/>
      <c r="K520" s="98"/>
      <c r="L520" s="102" t="b">
        <v>1</v>
      </c>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c r="AK520" s="98"/>
      <c r="AL520" s="98"/>
      <c r="AM520" s="98"/>
      <c r="AN520" s="98"/>
      <c r="AO520" s="98"/>
      <c r="AP520" s="98"/>
      <c r="AQ520" s="98"/>
    </row>
    <row r="521" ht="16.5" customHeight="1">
      <c r="A521" s="98"/>
      <c r="B521" s="98"/>
      <c r="C521" s="100"/>
      <c r="D521" s="108" t="s">
        <v>1171</v>
      </c>
      <c r="E521" s="98"/>
      <c r="F521" s="98" t="b">
        <f>if('Contextualisation form'!$H$17=TRUE,FALSE,TRUE)</f>
        <v>1</v>
      </c>
      <c r="G521" s="98"/>
      <c r="H521" s="98"/>
      <c r="I521" s="98"/>
      <c r="J521" s="98"/>
      <c r="K521" s="98"/>
      <c r="L521" s="102" t="b">
        <v>1</v>
      </c>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c r="AK521" s="98"/>
      <c r="AL521" s="98"/>
      <c r="AM521" s="98"/>
      <c r="AN521" s="98"/>
      <c r="AO521" s="98"/>
      <c r="AP521" s="98"/>
      <c r="AQ521" s="98"/>
    </row>
    <row r="522" ht="16.5" customHeight="1">
      <c r="A522" s="98"/>
      <c r="B522" s="98"/>
      <c r="C522" s="100"/>
      <c r="D522" s="108" t="s">
        <v>1172</v>
      </c>
      <c r="E522" s="98"/>
      <c r="F522" s="98" t="b">
        <f>if('Contextualisation form'!$H$17=TRUE,FALSE,TRUE)</f>
        <v>1</v>
      </c>
      <c r="G522" s="98"/>
      <c r="H522" s="98"/>
      <c r="I522" s="98"/>
      <c r="J522" s="98"/>
      <c r="K522" s="98"/>
      <c r="L522" s="102" t="b">
        <v>1</v>
      </c>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c r="AK522" s="98"/>
      <c r="AL522" s="98"/>
      <c r="AM522" s="98"/>
      <c r="AN522" s="98"/>
      <c r="AO522" s="98"/>
      <c r="AP522" s="98"/>
      <c r="AQ522" s="98"/>
    </row>
    <row r="523" ht="16.5" customHeight="1">
      <c r="A523" s="98"/>
      <c r="B523" s="98"/>
      <c r="C523" s="100"/>
      <c r="D523" s="108" t="s">
        <v>1173</v>
      </c>
      <c r="E523" s="98"/>
      <c r="F523" s="98" t="b">
        <f>if('Contextualisation form'!$H$17=TRUE,FALSE,TRUE)</f>
        <v>1</v>
      </c>
      <c r="G523" s="98"/>
      <c r="H523" s="98"/>
      <c r="I523" s="98"/>
      <c r="J523" s="98"/>
      <c r="K523" s="98"/>
      <c r="L523" s="102" t="b">
        <v>1</v>
      </c>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c r="AK523" s="98"/>
      <c r="AL523" s="98"/>
      <c r="AM523" s="98"/>
      <c r="AN523" s="98"/>
      <c r="AO523" s="98"/>
      <c r="AP523" s="98"/>
      <c r="AQ523" s="98"/>
    </row>
    <row r="524" ht="16.5" customHeight="1">
      <c r="A524" s="98"/>
      <c r="B524" s="98"/>
      <c r="C524" s="100"/>
      <c r="D524" s="108" t="s">
        <v>1174</v>
      </c>
      <c r="E524" s="98"/>
      <c r="F524" s="98" t="b">
        <f>if('Contextualisation form'!$H$17=TRUE,FALSE,TRUE)</f>
        <v>1</v>
      </c>
      <c r="G524" s="98"/>
      <c r="H524" s="98"/>
      <c r="I524" s="98"/>
      <c r="J524" s="98"/>
      <c r="K524" s="98"/>
      <c r="L524" s="102" t="b">
        <v>1</v>
      </c>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c r="AK524" s="98"/>
      <c r="AL524" s="98"/>
      <c r="AM524" s="98"/>
      <c r="AN524" s="98"/>
      <c r="AO524" s="98"/>
      <c r="AP524" s="98"/>
      <c r="AQ524" s="98"/>
    </row>
    <row r="525" ht="16.5" customHeight="1">
      <c r="A525" s="98"/>
      <c r="B525" s="98"/>
      <c r="C525" s="100"/>
      <c r="D525" s="108" t="s">
        <v>906</v>
      </c>
      <c r="E525" s="98"/>
      <c r="F525" s="98" t="b">
        <f>if('Contextualisation form'!$H$17=TRUE,FALSE,TRUE)</f>
        <v>1</v>
      </c>
      <c r="G525" s="98"/>
      <c r="H525" s="98"/>
      <c r="I525" s="98"/>
      <c r="J525" s="98"/>
      <c r="K525" s="98"/>
      <c r="L525" s="102" t="b">
        <v>1</v>
      </c>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c r="AK525" s="98"/>
      <c r="AL525" s="98"/>
      <c r="AM525" s="98"/>
      <c r="AN525" s="98"/>
      <c r="AO525" s="98"/>
      <c r="AP525" s="98"/>
      <c r="AQ525" s="98"/>
    </row>
    <row r="526" ht="16.5" customHeight="1">
      <c r="A526" s="98"/>
      <c r="B526" s="98"/>
      <c r="C526" s="100"/>
      <c r="D526" s="108" t="s">
        <v>1175</v>
      </c>
      <c r="E526" s="98"/>
      <c r="F526" s="98" t="b">
        <f>if('Contextualisation form'!$H$17=TRUE,FALSE,TRUE)</f>
        <v>1</v>
      </c>
      <c r="G526" s="98"/>
      <c r="H526" s="98"/>
      <c r="I526" s="98"/>
      <c r="J526" s="98"/>
      <c r="K526" s="98"/>
      <c r="L526" s="102" t="b">
        <v>1</v>
      </c>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c r="AK526" s="98"/>
      <c r="AL526" s="98"/>
      <c r="AM526" s="98"/>
      <c r="AN526" s="98"/>
      <c r="AO526" s="98"/>
      <c r="AP526" s="98"/>
      <c r="AQ526" s="98"/>
    </row>
    <row r="527" ht="16.5" customHeight="1">
      <c r="A527" s="184"/>
      <c r="B527" s="184" t="s">
        <v>253</v>
      </c>
      <c r="C527" s="184" t="s">
        <v>1169</v>
      </c>
      <c r="D527" s="184"/>
      <c r="E527" s="184"/>
      <c r="F527" s="184"/>
      <c r="G527" s="184"/>
      <c r="H527" s="184"/>
      <c r="I527" s="184"/>
      <c r="J527" s="184"/>
      <c r="K527" s="184"/>
      <c r="L527" s="184"/>
      <c r="M527" s="184"/>
      <c r="N527" s="184"/>
      <c r="O527" s="184"/>
      <c r="P527" s="184"/>
      <c r="Q527" s="184"/>
      <c r="R527" s="184" t="s">
        <v>109</v>
      </c>
      <c r="S527" s="184"/>
      <c r="T527" s="184"/>
      <c r="U527" s="184"/>
      <c r="V527" s="184"/>
      <c r="W527" s="184"/>
      <c r="X527" s="184"/>
      <c r="Y527" s="184"/>
      <c r="Z527" s="184"/>
      <c r="AA527" s="184"/>
      <c r="AB527" s="184"/>
      <c r="AC527" s="184"/>
      <c r="AD527" s="184"/>
      <c r="AE527" s="184"/>
      <c r="AF527" s="184"/>
      <c r="AG527" s="184"/>
      <c r="AH527" s="184"/>
      <c r="AI527" s="184"/>
      <c r="AJ527" s="184"/>
      <c r="AK527" s="184"/>
      <c r="AL527" s="184"/>
      <c r="AM527" s="184"/>
      <c r="AN527" s="185"/>
      <c r="AO527" s="185"/>
      <c r="AP527" s="185"/>
      <c r="AQ527" s="185"/>
    </row>
    <row r="528" ht="16.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c r="AK528" s="98"/>
      <c r="AL528" s="98"/>
      <c r="AM528" s="98"/>
      <c r="AN528" s="98"/>
      <c r="AO528" s="98"/>
      <c r="AP528" s="98"/>
      <c r="AQ528" s="98"/>
    </row>
    <row r="529" ht="16.5" customHeight="1">
      <c r="A529" s="184"/>
      <c r="B529" s="184" t="s">
        <v>209</v>
      </c>
      <c r="C529" s="184" t="s">
        <v>1176</v>
      </c>
      <c r="D529" s="184"/>
      <c r="E529" s="184"/>
      <c r="F529" s="184"/>
      <c r="G529" s="184"/>
      <c r="H529" s="184"/>
      <c r="I529" s="184"/>
      <c r="J529" s="184"/>
      <c r="K529" s="105" t="b">
        <v>0</v>
      </c>
      <c r="L529" s="184"/>
      <c r="M529" s="184"/>
      <c r="N529" s="184"/>
      <c r="O529" s="184"/>
      <c r="P529" s="184"/>
      <c r="Q529" s="184"/>
      <c r="R529" s="184" t="s">
        <v>109</v>
      </c>
      <c r="S529" s="184"/>
      <c r="T529" s="184"/>
      <c r="U529" s="184"/>
      <c r="V529" s="184"/>
      <c r="W529" s="184"/>
      <c r="X529" s="184"/>
      <c r="Y529" s="184"/>
      <c r="Z529" s="184"/>
      <c r="AA529" s="184"/>
      <c r="AB529" s="184"/>
      <c r="AC529" s="184"/>
      <c r="AD529" s="184"/>
      <c r="AE529" s="184"/>
      <c r="AF529" s="184"/>
      <c r="AG529" s="184"/>
      <c r="AH529" s="184"/>
      <c r="AI529" s="184"/>
      <c r="AJ529" s="184"/>
      <c r="AK529" s="184"/>
      <c r="AL529" s="184"/>
      <c r="AM529" s="184"/>
      <c r="AN529" s="185"/>
      <c r="AO529" s="185"/>
      <c r="AP529" s="185"/>
      <c r="AQ529" s="185"/>
    </row>
    <row r="530" ht="16.5" customHeight="1">
      <c r="A530" s="98"/>
      <c r="B530" s="98"/>
      <c r="C530" s="100"/>
      <c r="D530" s="108" t="s">
        <v>1177</v>
      </c>
      <c r="E530" s="98"/>
      <c r="F530" s="98" t="b">
        <f>if('Contextualisation form'!$H$17=TRUE,FALSE,TRUE)</f>
        <v>1</v>
      </c>
      <c r="G530" s="98"/>
      <c r="H530" s="98"/>
      <c r="I530" s="98"/>
      <c r="J530" s="98"/>
      <c r="K530" s="98"/>
      <c r="L530" s="102" t="b">
        <v>1</v>
      </c>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c r="AK530" s="98"/>
      <c r="AL530" s="98"/>
      <c r="AM530" s="98"/>
      <c r="AN530" s="98"/>
      <c r="AO530" s="98"/>
      <c r="AP530" s="98"/>
      <c r="AQ530" s="98"/>
    </row>
    <row r="531" ht="16.5" customHeight="1">
      <c r="A531" s="98"/>
      <c r="B531" s="98"/>
      <c r="C531" s="100"/>
      <c r="D531" s="108" t="s">
        <v>1178</v>
      </c>
      <c r="E531" s="98"/>
      <c r="F531" s="98" t="b">
        <f>if('Contextualisation form'!$H$17=TRUE,FALSE,TRUE)</f>
        <v>1</v>
      </c>
      <c r="G531" s="98"/>
      <c r="H531" s="98"/>
      <c r="I531" s="98"/>
      <c r="J531" s="98"/>
      <c r="K531" s="98"/>
      <c r="L531" s="102" t="b">
        <v>1</v>
      </c>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c r="AK531" s="98"/>
      <c r="AL531" s="98"/>
      <c r="AM531" s="98"/>
      <c r="AN531" s="98"/>
      <c r="AO531" s="98"/>
      <c r="AP531" s="98"/>
      <c r="AQ531" s="98"/>
    </row>
    <row r="532" ht="16.5" customHeight="1">
      <c r="A532" s="98"/>
      <c r="B532" s="98"/>
      <c r="C532" s="100"/>
      <c r="D532" s="108" t="s">
        <v>1179</v>
      </c>
      <c r="E532" s="98"/>
      <c r="F532" s="98" t="b">
        <f>if('Contextualisation form'!$H$17=TRUE,FALSE,TRUE)</f>
        <v>1</v>
      </c>
      <c r="G532" s="98"/>
      <c r="H532" s="98"/>
      <c r="I532" s="98"/>
      <c r="J532" s="98"/>
      <c r="K532" s="98"/>
      <c r="L532" s="102" t="b">
        <v>1</v>
      </c>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c r="AK532" s="98"/>
      <c r="AL532" s="98"/>
      <c r="AM532" s="98"/>
      <c r="AN532" s="98"/>
      <c r="AO532" s="98"/>
      <c r="AP532" s="98"/>
      <c r="AQ532" s="98"/>
    </row>
    <row r="533" ht="16.5" customHeight="1">
      <c r="A533" s="98"/>
      <c r="B533" s="98"/>
      <c r="C533" s="100"/>
      <c r="D533" s="108" t="s">
        <v>1180</v>
      </c>
      <c r="E533" s="98"/>
      <c r="F533" s="98" t="b">
        <f>if('Contextualisation form'!$H$17=TRUE,FALSE,TRUE)</f>
        <v>1</v>
      </c>
      <c r="G533" s="98"/>
      <c r="H533" s="98"/>
      <c r="I533" s="98"/>
      <c r="J533" s="98"/>
      <c r="K533" s="98"/>
      <c r="L533" s="102" t="b">
        <v>1</v>
      </c>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c r="AK533" s="98"/>
      <c r="AL533" s="98"/>
      <c r="AM533" s="98"/>
      <c r="AN533" s="98"/>
      <c r="AO533" s="98"/>
      <c r="AP533" s="98"/>
      <c r="AQ533" s="98"/>
    </row>
    <row r="534" ht="16.5" customHeight="1">
      <c r="A534" s="98"/>
      <c r="B534" s="98"/>
      <c r="C534" s="100"/>
      <c r="D534" s="108" t="s">
        <v>1181</v>
      </c>
      <c r="E534" s="98"/>
      <c r="F534" s="98" t="b">
        <f>if('Contextualisation form'!$H$17=TRUE,FALSE,TRUE)</f>
        <v>1</v>
      </c>
      <c r="G534" s="98"/>
      <c r="H534" s="98"/>
      <c r="I534" s="98"/>
      <c r="J534" s="98"/>
      <c r="K534" s="98"/>
      <c r="L534" s="102" t="b">
        <v>1</v>
      </c>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c r="AK534" s="98"/>
      <c r="AL534" s="98"/>
      <c r="AM534" s="98"/>
      <c r="AN534" s="98"/>
      <c r="AO534" s="98"/>
      <c r="AP534" s="98"/>
      <c r="AQ534" s="98"/>
    </row>
    <row r="535" ht="16.5" customHeight="1">
      <c r="A535" s="98"/>
      <c r="B535" s="98"/>
      <c r="C535" s="100"/>
      <c r="D535" s="108" t="s">
        <v>1182</v>
      </c>
      <c r="E535" s="98"/>
      <c r="F535" s="98" t="b">
        <f>if('Contextualisation form'!$H$17=TRUE,FALSE,TRUE)</f>
        <v>1</v>
      </c>
      <c r="G535" s="98"/>
      <c r="H535" s="98"/>
      <c r="I535" s="98"/>
      <c r="J535" s="98"/>
      <c r="K535" s="98"/>
      <c r="L535" s="102" t="b">
        <v>1</v>
      </c>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c r="AK535" s="98"/>
      <c r="AL535" s="98"/>
      <c r="AM535" s="98"/>
      <c r="AN535" s="98"/>
      <c r="AO535" s="98"/>
      <c r="AP535" s="98"/>
      <c r="AQ535" s="98"/>
    </row>
    <row r="536" ht="16.5" customHeight="1">
      <c r="A536" s="98"/>
      <c r="B536" s="98"/>
      <c r="C536" s="100"/>
      <c r="D536" s="108" t="s">
        <v>1183</v>
      </c>
      <c r="E536" s="98"/>
      <c r="F536" s="98" t="b">
        <f>if('Contextualisation form'!$H$17=TRUE,FALSE,TRUE)</f>
        <v>1</v>
      </c>
      <c r="G536" s="98"/>
      <c r="H536" s="98"/>
      <c r="I536" s="98"/>
      <c r="J536" s="98"/>
      <c r="K536" s="98"/>
      <c r="L536" s="102" t="b">
        <v>1</v>
      </c>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c r="AK536" s="98"/>
      <c r="AL536" s="98"/>
      <c r="AM536" s="98"/>
      <c r="AN536" s="98"/>
      <c r="AO536" s="98"/>
      <c r="AP536" s="98"/>
      <c r="AQ536" s="98"/>
    </row>
    <row r="537" ht="16.5" customHeight="1">
      <c r="A537" s="98"/>
      <c r="B537" s="98"/>
      <c r="C537" s="100"/>
      <c r="D537" s="108" t="s">
        <v>1184</v>
      </c>
      <c r="E537" s="98"/>
      <c r="F537" s="98" t="b">
        <f>if('Contextualisation form'!$H$17=TRUE,FALSE,TRUE)</f>
        <v>1</v>
      </c>
      <c r="G537" s="98"/>
      <c r="H537" s="98"/>
      <c r="I537" s="98"/>
      <c r="J537" s="98"/>
      <c r="K537" s="98"/>
      <c r="L537" s="102" t="b">
        <v>1</v>
      </c>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c r="AK537" s="98"/>
      <c r="AL537" s="98"/>
      <c r="AM537" s="98"/>
      <c r="AN537" s="98"/>
      <c r="AO537" s="98"/>
      <c r="AP537" s="98"/>
      <c r="AQ537" s="98"/>
    </row>
    <row r="538" ht="16.5" customHeight="1">
      <c r="A538" s="98"/>
      <c r="B538" s="98"/>
      <c r="C538" s="100"/>
      <c r="D538" s="108" t="s">
        <v>1185</v>
      </c>
      <c r="E538" s="98"/>
      <c r="F538" s="98" t="b">
        <f>if('Contextualisation form'!$H$17=TRUE,FALSE,TRUE)</f>
        <v>1</v>
      </c>
      <c r="G538" s="98"/>
      <c r="H538" s="98"/>
      <c r="I538" s="98"/>
      <c r="J538" s="98"/>
      <c r="K538" s="98"/>
      <c r="L538" s="102" t="b">
        <v>1</v>
      </c>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c r="AK538" s="98"/>
      <c r="AL538" s="98"/>
      <c r="AM538" s="98"/>
      <c r="AN538" s="98"/>
      <c r="AO538" s="98"/>
      <c r="AP538" s="98"/>
      <c r="AQ538" s="98"/>
    </row>
    <row r="539" ht="16.5" customHeight="1">
      <c r="A539" s="98"/>
      <c r="B539" s="98"/>
      <c r="C539" s="100"/>
      <c r="D539" s="108" t="s">
        <v>1186</v>
      </c>
      <c r="E539" s="98"/>
      <c r="F539" s="98" t="b">
        <f>if('Contextualisation form'!$H$17=TRUE,FALSE,TRUE)</f>
        <v>1</v>
      </c>
      <c r="G539" s="98"/>
      <c r="H539" s="98"/>
      <c r="I539" s="98"/>
      <c r="J539" s="98"/>
      <c r="K539" s="98"/>
      <c r="L539" s="102" t="b">
        <v>1</v>
      </c>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c r="AK539" s="98"/>
      <c r="AL539" s="98"/>
      <c r="AM539" s="98"/>
      <c r="AN539" s="98"/>
      <c r="AO539" s="98"/>
      <c r="AP539" s="98"/>
      <c r="AQ539" s="98"/>
    </row>
    <row r="540" ht="16.5" customHeight="1">
      <c r="A540" s="98"/>
      <c r="B540" s="98"/>
      <c r="C540" s="100"/>
      <c r="D540" s="108" t="s">
        <v>1187</v>
      </c>
      <c r="E540" s="98"/>
      <c r="F540" s="98" t="b">
        <f>if('Contextualisation form'!$H$17=TRUE,FALSE,TRUE)</f>
        <v>1</v>
      </c>
      <c r="G540" s="98"/>
      <c r="H540" s="98"/>
      <c r="I540" s="98"/>
      <c r="J540" s="98"/>
      <c r="K540" s="98"/>
      <c r="L540" s="102" t="b">
        <v>1</v>
      </c>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c r="AK540" s="98"/>
      <c r="AL540" s="98"/>
      <c r="AM540" s="98"/>
      <c r="AN540" s="98"/>
      <c r="AO540" s="98"/>
      <c r="AP540" s="98"/>
      <c r="AQ540" s="98"/>
    </row>
    <row r="541" ht="16.5" customHeight="1">
      <c r="A541" s="98"/>
      <c r="B541" s="98"/>
      <c r="C541" s="100"/>
      <c r="D541" s="108" t="s">
        <v>1188</v>
      </c>
      <c r="E541" s="98"/>
      <c r="F541" s="98" t="b">
        <f>if('Contextualisation form'!$H$17=TRUE,FALSE,TRUE)</f>
        <v>1</v>
      </c>
      <c r="G541" s="98"/>
      <c r="H541" s="98"/>
      <c r="I541" s="98"/>
      <c r="J541" s="98"/>
      <c r="K541" s="98"/>
      <c r="L541" s="102" t="b">
        <v>1</v>
      </c>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c r="AK541" s="98"/>
      <c r="AL541" s="98"/>
      <c r="AM541" s="98"/>
      <c r="AN541" s="98"/>
      <c r="AO541" s="98"/>
      <c r="AP541" s="98"/>
      <c r="AQ541" s="98"/>
    </row>
    <row r="542" ht="16.5" customHeight="1">
      <c r="A542" s="98"/>
      <c r="B542" s="98"/>
      <c r="C542" s="100"/>
      <c r="D542" s="108" t="s">
        <v>1189</v>
      </c>
      <c r="E542" s="98"/>
      <c r="F542" s="98" t="b">
        <f>if('Contextualisation form'!$H$17=TRUE,FALSE,TRUE)</f>
        <v>1</v>
      </c>
      <c r="G542" s="98"/>
      <c r="H542" s="98"/>
      <c r="I542" s="98"/>
      <c r="J542" s="98"/>
      <c r="K542" s="98"/>
      <c r="L542" s="102" t="b">
        <v>1</v>
      </c>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c r="AK542" s="98"/>
      <c r="AL542" s="98"/>
      <c r="AM542" s="98"/>
      <c r="AN542" s="98"/>
      <c r="AO542" s="98"/>
      <c r="AP542" s="98"/>
      <c r="AQ542" s="98"/>
    </row>
    <row r="543" ht="16.5" customHeight="1">
      <c r="A543" s="98"/>
      <c r="B543" s="98"/>
      <c r="C543" s="100"/>
      <c r="D543" s="108" t="s">
        <v>1190</v>
      </c>
      <c r="E543" s="98"/>
      <c r="F543" s="98" t="b">
        <f>if('Contextualisation form'!$H$17=TRUE,FALSE,TRUE)</f>
        <v>1</v>
      </c>
      <c r="G543" s="98"/>
      <c r="H543" s="98"/>
      <c r="I543" s="98"/>
      <c r="J543" s="98"/>
      <c r="K543" s="98"/>
      <c r="L543" s="102" t="b">
        <v>1</v>
      </c>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c r="AK543" s="98"/>
      <c r="AL543" s="98"/>
      <c r="AM543" s="98"/>
      <c r="AN543" s="98"/>
      <c r="AO543" s="98"/>
      <c r="AP543" s="98"/>
      <c r="AQ543" s="98"/>
    </row>
    <row r="544" ht="16.5" customHeight="1">
      <c r="A544" s="98"/>
      <c r="B544" s="98"/>
      <c r="C544" s="100"/>
      <c r="D544" s="108" t="s">
        <v>1191</v>
      </c>
      <c r="E544" s="98"/>
      <c r="F544" s="98" t="b">
        <f>if('Contextualisation form'!$H$17=TRUE,FALSE,TRUE)</f>
        <v>1</v>
      </c>
      <c r="G544" s="98"/>
      <c r="H544" s="98"/>
      <c r="I544" s="98"/>
      <c r="J544" s="98"/>
      <c r="K544" s="98"/>
      <c r="L544" s="102" t="b">
        <v>1</v>
      </c>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c r="AK544" s="98"/>
      <c r="AL544" s="98"/>
      <c r="AM544" s="98"/>
      <c r="AN544" s="98"/>
      <c r="AO544" s="98"/>
      <c r="AP544" s="98"/>
      <c r="AQ544" s="98"/>
    </row>
    <row r="545" ht="16.5" customHeight="1">
      <c r="A545" s="98"/>
      <c r="B545" s="98"/>
      <c r="C545" s="100"/>
      <c r="D545" s="108" t="s">
        <v>1192</v>
      </c>
      <c r="E545" s="98"/>
      <c r="F545" s="98" t="b">
        <f>if('Contextualisation form'!$H$17=TRUE,FALSE,TRUE)</f>
        <v>1</v>
      </c>
      <c r="G545" s="98"/>
      <c r="H545" s="98"/>
      <c r="I545" s="98"/>
      <c r="J545" s="98"/>
      <c r="K545" s="98"/>
      <c r="L545" s="102" t="b">
        <v>1</v>
      </c>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c r="AK545" s="98"/>
      <c r="AL545" s="98"/>
      <c r="AM545" s="98"/>
      <c r="AN545" s="98"/>
      <c r="AO545" s="98"/>
      <c r="AP545" s="98"/>
      <c r="AQ545" s="98"/>
    </row>
    <row r="546" ht="16.5" customHeight="1">
      <c r="A546" s="98"/>
      <c r="B546" s="98"/>
      <c r="C546" s="100"/>
      <c r="D546" s="108" t="s">
        <v>1193</v>
      </c>
      <c r="E546" s="98"/>
      <c r="F546" s="98" t="b">
        <f>if('Contextualisation form'!$H$17=TRUE,FALSE,TRUE)</f>
        <v>1</v>
      </c>
      <c r="G546" s="98"/>
      <c r="H546" s="98"/>
      <c r="I546" s="98"/>
      <c r="J546" s="98"/>
      <c r="K546" s="98"/>
      <c r="L546" s="102" t="b">
        <v>1</v>
      </c>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c r="AK546" s="98"/>
      <c r="AL546" s="98"/>
      <c r="AM546" s="98"/>
      <c r="AN546" s="98"/>
      <c r="AO546" s="98"/>
      <c r="AP546" s="98"/>
      <c r="AQ546" s="98"/>
    </row>
    <row r="547" ht="16.5" customHeight="1">
      <c r="A547" s="184"/>
      <c r="B547" s="184" t="s">
        <v>253</v>
      </c>
      <c r="C547" s="184" t="s">
        <v>1176</v>
      </c>
      <c r="D547" s="184"/>
      <c r="E547" s="184"/>
      <c r="F547" s="184"/>
      <c r="G547" s="184"/>
      <c r="H547" s="184"/>
      <c r="I547" s="184"/>
      <c r="J547" s="184"/>
      <c r="K547" s="184"/>
      <c r="L547" s="184"/>
      <c r="M547" s="184"/>
      <c r="N547" s="184"/>
      <c r="O547" s="184"/>
      <c r="P547" s="184"/>
      <c r="Q547" s="184"/>
      <c r="R547" s="184" t="s">
        <v>109</v>
      </c>
      <c r="S547" s="184"/>
      <c r="T547" s="184"/>
      <c r="U547" s="184"/>
      <c r="V547" s="184"/>
      <c r="W547" s="184"/>
      <c r="X547" s="184"/>
      <c r="Y547" s="184"/>
      <c r="Z547" s="184"/>
      <c r="AA547" s="184"/>
      <c r="AB547" s="184"/>
      <c r="AC547" s="184"/>
      <c r="AD547" s="184"/>
      <c r="AE547" s="184"/>
      <c r="AF547" s="184"/>
      <c r="AG547" s="184"/>
      <c r="AH547" s="184"/>
      <c r="AI547" s="184"/>
      <c r="AJ547" s="184"/>
      <c r="AK547" s="184"/>
      <c r="AL547" s="184"/>
      <c r="AM547" s="184"/>
      <c r="AN547" s="185"/>
      <c r="AO547" s="185"/>
      <c r="AP547" s="185"/>
      <c r="AQ547" s="185"/>
    </row>
    <row r="548" ht="16.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c r="AK548" s="98"/>
      <c r="AL548" s="98"/>
      <c r="AM548" s="98"/>
      <c r="AN548" s="98"/>
      <c r="AO548" s="98"/>
      <c r="AP548" s="98"/>
      <c r="AQ548" s="98"/>
    </row>
    <row r="549" ht="16.5" customHeight="1">
      <c r="A549" s="184"/>
      <c r="B549" s="184" t="s">
        <v>209</v>
      </c>
      <c r="C549" s="184" t="s">
        <v>1194</v>
      </c>
      <c r="D549" s="184"/>
      <c r="E549" s="184"/>
      <c r="F549" s="184"/>
      <c r="G549" s="184"/>
      <c r="H549" s="184"/>
      <c r="I549" s="184"/>
      <c r="J549" s="184"/>
      <c r="K549" s="105" t="b">
        <v>0</v>
      </c>
      <c r="L549" s="184"/>
      <c r="M549" s="184"/>
      <c r="N549" s="184"/>
      <c r="O549" s="184"/>
      <c r="P549" s="184"/>
      <c r="Q549" s="184"/>
      <c r="R549" s="184" t="s">
        <v>109</v>
      </c>
      <c r="S549" s="184"/>
      <c r="T549" s="184"/>
      <c r="U549" s="184"/>
      <c r="V549" s="184"/>
      <c r="W549" s="184"/>
      <c r="X549" s="184"/>
      <c r="Y549" s="184"/>
      <c r="Z549" s="184"/>
      <c r="AA549" s="184"/>
      <c r="AB549" s="184"/>
      <c r="AC549" s="184"/>
      <c r="AD549" s="184"/>
      <c r="AE549" s="184"/>
      <c r="AF549" s="184"/>
      <c r="AG549" s="184"/>
      <c r="AH549" s="184"/>
      <c r="AI549" s="184"/>
      <c r="AJ549" s="184"/>
      <c r="AK549" s="184"/>
      <c r="AL549" s="184"/>
      <c r="AM549" s="184"/>
      <c r="AN549" s="185"/>
      <c r="AO549" s="185"/>
      <c r="AP549" s="185"/>
      <c r="AQ549" s="185"/>
    </row>
    <row r="550" ht="16.5" customHeight="1">
      <c r="A550" s="98"/>
      <c r="B550" s="98"/>
      <c r="C550" s="100"/>
      <c r="D550" s="108" t="s">
        <v>1085</v>
      </c>
      <c r="E550" s="98"/>
      <c r="F550" s="98" t="b">
        <f>if('Contextualisation form'!$H$17=TRUE,FALSE,TRUE)</f>
        <v>1</v>
      </c>
      <c r="G550" s="98"/>
      <c r="H550" s="98"/>
      <c r="I550" s="98"/>
      <c r="J550" s="98"/>
      <c r="K550" s="98"/>
      <c r="L550" s="102" t="b">
        <v>1</v>
      </c>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c r="AK550" s="98"/>
      <c r="AL550" s="98"/>
      <c r="AM550" s="98"/>
      <c r="AN550" s="98"/>
      <c r="AO550" s="98"/>
      <c r="AP550" s="98"/>
      <c r="AQ550" s="98"/>
    </row>
    <row r="551" ht="16.5" customHeight="1">
      <c r="A551" s="98"/>
      <c r="B551" s="98"/>
      <c r="C551" s="100"/>
      <c r="D551" s="108" t="s">
        <v>1090</v>
      </c>
      <c r="E551" s="98"/>
      <c r="F551" s="98" t="b">
        <f>if('Contextualisation form'!$H$17=TRUE,FALSE,TRUE)</f>
        <v>1</v>
      </c>
      <c r="G551" s="98"/>
      <c r="H551" s="98"/>
      <c r="I551" s="98"/>
      <c r="J551" s="98"/>
      <c r="K551" s="98"/>
      <c r="L551" s="102" t="b">
        <v>1</v>
      </c>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c r="AK551" s="98"/>
      <c r="AL551" s="98"/>
      <c r="AM551" s="98"/>
      <c r="AN551" s="98"/>
      <c r="AO551" s="98"/>
      <c r="AP551" s="98"/>
      <c r="AQ551" s="98"/>
    </row>
    <row r="552" ht="16.5" customHeight="1">
      <c r="A552" s="98"/>
      <c r="B552" s="98"/>
      <c r="C552" s="100"/>
      <c r="D552" s="108" t="s">
        <v>1087</v>
      </c>
      <c r="E552" s="98"/>
      <c r="F552" s="98" t="b">
        <f>if('Contextualisation form'!$H$17=TRUE,FALSE,TRUE)</f>
        <v>1</v>
      </c>
      <c r="G552" s="98"/>
      <c r="H552" s="98"/>
      <c r="I552" s="98"/>
      <c r="J552" s="98"/>
      <c r="K552" s="98"/>
      <c r="L552" s="102" t="b">
        <v>1</v>
      </c>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c r="AK552" s="98"/>
      <c r="AL552" s="98"/>
      <c r="AM552" s="98"/>
      <c r="AN552" s="98"/>
      <c r="AO552" s="98"/>
      <c r="AP552" s="98"/>
      <c r="AQ552" s="98"/>
    </row>
    <row r="553" ht="16.5" customHeight="1">
      <c r="A553" s="184"/>
      <c r="B553" s="184" t="s">
        <v>253</v>
      </c>
      <c r="C553" s="184" t="s">
        <v>1194</v>
      </c>
      <c r="D553" s="184"/>
      <c r="E553" s="184"/>
      <c r="F553" s="184"/>
      <c r="G553" s="184"/>
      <c r="H553" s="184"/>
      <c r="I553" s="184"/>
      <c r="J553" s="184"/>
      <c r="K553" s="184"/>
      <c r="L553" s="184"/>
      <c r="M553" s="184"/>
      <c r="N553" s="184"/>
      <c r="O553" s="184"/>
      <c r="P553" s="184"/>
      <c r="Q553" s="184"/>
      <c r="R553" s="184" t="s">
        <v>109</v>
      </c>
      <c r="S553" s="184"/>
      <c r="T553" s="184"/>
      <c r="U553" s="184"/>
      <c r="V553" s="184"/>
      <c r="W553" s="184"/>
      <c r="X553" s="184"/>
      <c r="Y553" s="184"/>
      <c r="Z553" s="184"/>
      <c r="AA553" s="184"/>
      <c r="AB553" s="184"/>
      <c r="AC553" s="184"/>
      <c r="AD553" s="184"/>
      <c r="AE553" s="184"/>
      <c r="AF553" s="184"/>
      <c r="AG553" s="184"/>
      <c r="AH553" s="184"/>
      <c r="AI553" s="184"/>
      <c r="AJ553" s="184"/>
      <c r="AK553" s="184"/>
      <c r="AL553" s="184"/>
      <c r="AM553" s="184"/>
      <c r="AN553" s="185"/>
      <c r="AO553" s="185"/>
      <c r="AP553" s="185"/>
      <c r="AQ553" s="185"/>
    </row>
    <row r="554" ht="16.5" customHeight="1">
      <c r="A554" s="104"/>
      <c r="B554" s="104" t="s">
        <v>253</v>
      </c>
      <c r="C554" s="104" t="s">
        <v>210</v>
      </c>
      <c r="D554" s="104"/>
      <c r="E554" s="104"/>
      <c r="F554" s="104"/>
      <c r="G554" s="104"/>
      <c r="H554" s="104"/>
      <c r="I554" s="104"/>
      <c r="J554" s="104"/>
      <c r="K554" s="104"/>
      <c r="L554" s="104"/>
      <c r="M554" s="104"/>
      <c r="N554" s="104"/>
      <c r="O554" s="104"/>
      <c r="P554" s="104"/>
      <c r="Q554" s="104"/>
      <c r="R554" s="104" t="s">
        <v>350</v>
      </c>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6"/>
      <c r="AO554" s="106"/>
      <c r="AP554" s="106"/>
      <c r="AQ554" s="106"/>
    </row>
  </sheetData>
  <dataValidations>
    <dataValidation type="list" allowBlank="1" showErrorMessage="1" sqref="U23 U26 U29 U32 R62:R72 R112:R117 R120:R121 R125:R126 R136:R140 R144:R145 R148:R150 R152:R172">
      <formula1>"Coffee,Cocoa,Tea,Spices,Other crop"</formula1>
    </dataValidation>
  </dataValidations>
  <printOptions/>
  <pageMargins bottom="0.75" footer="0.0" header="0.0" left="0.7" right="0.7" top="0.75"/>
  <pageSetup paperSize="9" orientation="portrait"/>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7.86"/>
    <col customWidth="1" min="3" max="3" width="45.86"/>
    <col customWidth="1" min="4" max="6" width="11.0"/>
    <col customWidth="1" min="7" max="26" width="10.71"/>
  </cols>
  <sheetData>
    <row r="1" ht="16.5" customHeight="1">
      <c r="A1" s="237" t="s">
        <v>1195</v>
      </c>
      <c r="B1" s="237" t="s">
        <v>162</v>
      </c>
      <c r="C1" s="237" t="s">
        <v>163</v>
      </c>
      <c r="D1" s="108" t="s">
        <v>1196</v>
      </c>
      <c r="E1" s="108"/>
      <c r="F1" s="108"/>
      <c r="G1" s="108"/>
      <c r="H1" s="108"/>
      <c r="I1" s="108"/>
      <c r="J1" s="108"/>
      <c r="K1" s="108"/>
      <c r="L1" s="108"/>
      <c r="M1" s="108"/>
      <c r="N1" s="108"/>
      <c r="O1" s="108"/>
      <c r="P1" s="108"/>
      <c r="Q1" s="108"/>
      <c r="R1" s="108"/>
      <c r="S1" s="108"/>
      <c r="T1" s="108"/>
      <c r="U1" s="108"/>
      <c r="V1" s="108"/>
      <c r="W1" s="108"/>
      <c r="X1" s="108"/>
      <c r="Y1" s="108"/>
      <c r="Z1" s="108"/>
    </row>
    <row r="2" ht="16.5" customHeight="1">
      <c r="A2" s="108"/>
      <c r="B2" s="108"/>
      <c r="C2" s="108"/>
      <c r="D2" s="108"/>
      <c r="E2" s="108"/>
      <c r="F2" s="108"/>
      <c r="G2" s="108"/>
      <c r="H2" s="108"/>
      <c r="I2" s="108"/>
      <c r="J2" s="108"/>
      <c r="K2" s="108"/>
      <c r="L2" s="108"/>
      <c r="M2" s="108"/>
      <c r="N2" s="108"/>
      <c r="O2" s="108"/>
      <c r="P2" s="108"/>
      <c r="Q2" s="108"/>
      <c r="R2" s="108"/>
      <c r="S2" s="108"/>
      <c r="T2" s="108"/>
      <c r="U2" s="108"/>
      <c r="V2" s="108"/>
      <c r="W2" s="108"/>
      <c r="X2" s="108"/>
      <c r="Y2" s="108"/>
      <c r="Z2" s="108"/>
    </row>
    <row r="3" ht="16.5" customHeight="1">
      <c r="A3" s="238" t="s">
        <v>1197</v>
      </c>
      <c r="B3" s="238">
        <v>1.0</v>
      </c>
      <c r="C3" s="238" t="s">
        <v>1198</v>
      </c>
      <c r="D3" s="238"/>
      <c r="E3" s="238"/>
      <c r="F3" s="238"/>
      <c r="G3" s="238"/>
      <c r="H3" s="238"/>
      <c r="I3" s="238"/>
      <c r="J3" s="238"/>
      <c r="K3" s="238"/>
      <c r="L3" s="238"/>
      <c r="M3" s="238"/>
      <c r="N3" s="238"/>
      <c r="O3" s="238"/>
      <c r="P3" s="238"/>
      <c r="Q3" s="238"/>
      <c r="R3" s="238"/>
      <c r="S3" s="238"/>
      <c r="T3" s="238"/>
      <c r="U3" s="238"/>
      <c r="V3" s="238"/>
      <c r="W3" s="238"/>
      <c r="X3" s="238"/>
      <c r="Y3" s="238"/>
      <c r="Z3" s="238"/>
    </row>
    <row r="4" ht="16.5" customHeight="1">
      <c r="A4" s="238" t="s">
        <v>1197</v>
      </c>
      <c r="B4" s="238">
        <v>2.0</v>
      </c>
      <c r="C4" s="238" t="s">
        <v>1198</v>
      </c>
      <c r="D4" s="238"/>
      <c r="E4" s="238"/>
      <c r="F4" s="238"/>
      <c r="G4" s="238"/>
      <c r="H4" s="238"/>
      <c r="I4" s="238"/>
      <c r="J4" s="238"/>
      <c r="K4" s="238"/>
      <c r="L4" s="238"/>
      <c r="M4" s="238"/>
      <c r="N4" s="238"/>
      <c r="O4" s="238"/>
      <c r="P4" s="238"/>
      <c r="Q4" s="238"/>
      <c r="R4" s="238"/>
      <c r="S4" s="238"/>
      <c r="T4" s="238"/>
      <c r="U4" s="238"/>
      <c r="V4" s="238"/>
      <c r="W4" s="238"/>
      <c r="X4" s="238"/>
      <c r="Y4" s="238"/>
      <c r="Z4" s="238"/>
    </row>
    <row r="5" ht="16.5" customHeight="1">
      <c r="A5" s="108"/>
      <c r="B5" s="108"/>
      <c r="C5" s="108"/>
      <c r="D5" s="108"/>
      <c r="E5" s="108"/>
      <c r="F5" s="108"/>
      <c r="G5" s="108"/>
      <c r="H5" s="108"/>
      <c r="I5" s="108"/>
      <c r="J5" s="108"/>
      <c r="K5" s="108"/>
      <c r="L5" s="108"/>
      <c r="M5" s="108"/>
      <c r="N5" s="108"/>
      <c r="O5" s="108"/>
      <c r="P5" s="108"/>
      <c r="Q5" s="108"/>
      <c r="R5" s="108"/>
      <c r="S5" s="108"/>
      <c r="T5" s="108"/>
      <c r="U5" s="108"/>
      <c r="V5" s="108"/>
      <c r="W5" s="108"/>
      <c r="X5" s="108"/>
      <c r="Y5" s="108"/>
      <c r="Z5" s="108"/>
    </row>
    <row r="6" ht="16.5" customHeight="1">
      <c r="A6" s="108" t="s">
        <v>210</v>
      </c>
      <c r="B6" s="108">
        <v>1.0</v>
      </c>
      <c r="C6" s="108" t="s">
        <v>1199</v>
      </c>
      <c r="D6" s="108"/>
      <c r="E6" s="108"/>
      <c r="F6" s="108"/>
      <c r="G6" s="108"/>
      <c r="H6" s="108"/>
      <c r="I6" s="108"/>
      <c r="J6" s="108"/>
      <c r="K6" s="108"/>
      <c r="L6" s="108"/>
      <c r="M6" s="108"/>
      <c r="N6" s="108"/>
      <c r="O6" s="108"/>
      <c r="P6" s="108"/>
      <c r="Q6" s="108"/>
      <c r="R6" s="108"/>
      <c r="S6" s="108"/>
      <c r="T6" s="108"/>
      <c r="U6" s="108"/>
      <c r="V6" s="108"/>
      <c r="W6" s="108"/>
      <c r="X6" s="108"/>
      <c r="Y6" s="108"/>
      <c r="Z6" s="108"/>
    </row>
    <row r="7" ht="16.5" customHeight="1">
      <c r="A7" s="108" t="s">
        <v>210</v>
      </c>
      <c r="B7" s="108">
        <v>2.0</v>
      </c>
      <c r="C7" s="108" t="s">
        <v>1200</v>
      </c>
      <c r="D7" s="108"/>
      <c r="E7" s="108"/>
      <c r="F7" s="108"/>
      <c r="G7" s="108"/>
      <c r="H7" s="108"/>
      <c r="I7" s="108"/>
      <c r="J7" s="108"/>
      <c r="K7" s="108"/>
      <c r="L7" s="108"/>
      <c r="M7" s="108"/>
      <c r="N7" s="108"/>
      <c r="O7" s="108"/>
      <c r="P7" s="108"/>
      <c r="Q7" s="108"/>
      <c r="R7" s="108"/>
      <c r="S7" s="108"/>
      <c r="T7" s="108"/>
      <c r="U7" s="108"/>
      <c r="V7" s="108"/>
      <c r="W7" s="108"/>
      <c r="X7" s="108"/>
      <c r="Y7" s="108"/>
      <c r="Z7" s="108"/>
    </row>
    <row r="8" ht="16.5" customHeight="1">
      <c r="A8" s="108"/>
      <c r="B8" s="108"/>
      <c r="C8" s="108"/>
      <c r="D8" s="108"/>
      <c r="E8" s="108"/>
      <c r="F8" s="108"/>
      <c r="G8" s="108"/>
      <c r="H8" s="108"/>
      <c r="I8" s="108"/>
      <c r="J8" s="108"/>
      <c r="K8" s="108"/>
      <c r="L8" s="108"/>
      <c r="M8" s="108"/>
      <c r="N8" s="108"/>
      <c r="O8" s="108"/>
      <c r="P8" s="108"/>
      <c r="Q8" s="108"/>
      <c r="R8" s="108"/>
      <c r="S8" s="108"/>
      <c r="T8" s="108"/>
      <c r="U8" s="108"/>
      <c r="V8" s="108"/>
      <c r="W8" s="108"/>
      <c r="X8" s="108"/>
      <c r="Y8" s="108"/>
      <c r="Z8" s="108"/>
    </row>
    <row r="9" ht="16.5" customHeight="1">
      <c r="A9" s="180" t="s">
        <v>1201</v>
      </c>
      <c r="B9" s="180">
        <v>1.0</v>
      </c>
      <c r="C9" s="180" t="s">
        <v>1199</v>
      </c>
      <c r="D9" s="108"/>
      <c r="E9" s="108"/>
      <c r="F9" s="108"/>
      <c r="G9" s="108"/>
      <c r="H9" s="108"/>
      <c r="I9" s="108"/>
      <c r="J9" s="108"/>
      <c r="K9" s="108"/>
      <c r="L9" s="108"/>
      <c r="M9" s="108"/>
      <c r="N9" s="108"/>
      <c r="O9" s="108"/>
      <c r="P9" s="108"/>
      <c r="Q9" s="108"/>
      <c r="R9" s="108"/>
      <c r="S9" s="108"/>
      <c r="T9" s="108"/>
      <c r="U9" s="108"/>
      <c r="V9" s="108"/>
      <c r="W9" s="108"/>
      <c r="X9" s="108"/>
      <c r="Y9" s="108"/>
      <c r="Z9" s="108"/>
    </row>
    <row r="10" ht="16.5" customHeight="1">
      <c r="A10" s="180" t="s">
        <v>1201</v>
      </c>
      <c r="B10" s="180">
        <v>2.0</v>
      </c>
      <c r="C10" s="180" t="s">
        <v>1202</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ht="16.5" customHeight="1">
      <c r="A11" s="180" t="s">
        <v>1201</v>
      </c>
      <c r="B11" s="180">
        <v>3.0</v>
      </c>
      <c r="C11" s="180" t="s">
        <v>1200</v>
      </c>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ht="16.5" customHeight="1">
      <c r="A12" s="108"/>
      <c r="B12" s="108"/>
      <c r="C12" s="180"/>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ht="16.5" customHeight="1">
      <c r="A13" s="108" t="s">
        <v>1203</v>
      </c>
      <c r="B13" s="108">
        <v>0.0</v>
      </c>
      <c r="C13" s="108" t="s">
        <v>1204</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ht="16.5" customHeight="1">
      <c r="A14" s="108" t="s">
        <v>1203</v>
      </c>
      <c r="B14" s="108">
        <v>1.0</v>
      </c>
      <c r="C14" s="108" t="s">
        <v>1205</v>
      </c>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ht="16.5" customHeight="1">
      <c r="A15" s="108"/>
      <c r="B15" s="10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ht="16.5" customHeight="1">
      <c r="A16" s="239" t="s">
        <v>1206</v>
      </c>
      <c r="B16" s="240">
        <v>1.0</v>
      </c>
      <c r="C16" s="239" t="str">
        <f>IFERROR(__xludf.DUMMYFUNCTION("Filter('Contextualisation form'!F67:F71,'Contextualisation form'!E67:E71=TRUE)"),"Hectares")</f>
        <v>Hectares</v>
      </c>
      <c r="D16" s="239"/>
      <c r="E16" s="239"/>
      <c r="F16" s="239"/>
      <c r="G16" s="239"/>
      <c r="H16" s="239"/>
      <c r="I16" s="239"/>
      <c r="J16" s="239"/>
      <c r="K16" s="239"/>
      <c r="L16" s="239"/>
      <c r="M16" s="239"/>
      <c r="N16" s="239"/>
      <c r="O16" s="239"/>
      <c r="P16" s="239"/>
      <c r="Q16" s="239"/>
      <c r="R16" s="239"/>
      <c r="S16" s="239"/>
      <c r="T16" s="239"/>
      <c r="U16" s="239"/>
      <c r="V16" s="239"/>
      <c r="W16" s="239"/>
      <c r="X16" s="239"/>
      <c r="Y16" s="239"/>
      <c r="Z16" s="239"/>
    </row>
    <row r="17" ht="16.5" customHeight="1">
      <c r="A17" s="239" t="str">
        <f t="shared" ref="A17:A19" si="1">IF(C17&lt;&gt;"","land_unit","")</f>
        <v>land_unit</v>
      </c>
      <c r="B17" s="241">
        <f t="shared" ref="B17:B19" si="2">IF(C17&lt;&gt;"",B16+1,"")</f>
        <v>2</v>
      </c>
      <c r="C17" s="239" t="str">
        <f>IFERROR(__xludf.DUMMYFUNCTION("""COMPUTED_VALUE"""),"Acres")</f>
        <v>Acres</v>
      </c>
      <c r="D17" s="239"/>
      <c r="E17" s="239"/>
      <c r="F17" s="239"/>
      <c r="G17" s="239"/>
      <c r="H17" s="239"/>
      <c r="I17" s="239"/>
      <c r="J17" s="239"/>
      <c r="K17" s="239"/>
      <c r="L17" s="239"/>
      <c r="M17" s="239"/>
      <c r="N17" s="239"/>
      <c r="O17" s="239"/>
      <c r="P17" s="239"/>
      <c r="Q17" s="239"/>
      <c r="R17" s="239"/>
      <c r="S17" s="239"/>
      <c r="T17" s="239"/>
      <c r="U17" s="239"/>
      <c r="V17" s="239"/>
      <c r="W17" s="239"/>
      <c r="X17" s="239"/>
      <c r="Y17" s="239"/>
      <c r="Z17" s="239"/>
    </row>
    <row r="18" ht="16.5" customHeight="1">
      <c r="A18" s="239" t="str">
        <f t="shared" si="1"/>
        <v/>
      </c>
      <c r="B18" s="241" t="str">
        <f t="shared" si="2"/>
        <v/>
      </c>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row>
    <row r="19" ht="16.5" customHeight="1">
      <c r="A19" s="239" t="str">
        <f t="shared" si="1"/>
        <v/>
      </c>
      <c r="B19" s="241" t="str">
        <f t="shared" si="2"/>
        <v/>
      </c>
      <c r="C19" s="239"/>
      <c r="D19" s="239"/>
      <c r="E19" s="239"/>
      <c r="F19" s="239"/>
      <c r="G19" s="239"/>
      <c r="H19" s="239"/>
      <c r="I19" s="239"/>
      <c r="J19" s="239"/>
      <c r="K19" s="239"/>
      <c r="L19" s="239"/>
      <c r="M19" s="239"/>
      <c r="N19" s="239"/>
      <c r="O19" s="239"/>
      <c r="P19" s="239"/>
      <c r="Q19" s="239"/>
      <c r="R19" s="239"/>
      <c r="S19" s="239"/>
      <c r="T19" s="239"/>
      <c r="U19" s="239"/>
      <c r="V19" s="239"/>
      <c r="W19" s="239"/>
      <c r="X19" s="239"/>
      <c r="Y19" s="239"/>
      <c r="Z19" s="239"/>
    </row>
    <row r="20" ht="16.5" customHeight="1">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16.5" customHeight="1">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ht="16.5" customHeight="1">
      <c r="A22" s="242" t="s">
        <v>1207</v>
      </c>
      <c r="B22" s="242">
        <v>0.0</v>
      </c>
      <c r="C22" s="242" t="s">
        <v>1208</v>
      </c>
      <c r="D22" s="242"/>
      <c r="E22" s="242"/>
      <c r="F22" s="242"/>
      <c r="G22" s="242"/>
      <c r="H22" s="242"/>
      <c r="I22" s="242"/>
      <c r="J22" s="242"/>
      <c r="K22" s="242"/>
      <c r="L22" s="242"/>
      <c r="M22" s="242"/>
      <c r="N22" s="242"/>
      <c r="O22" s="242"/>
      <c r="P22" s="242"/>
      <c r="Q22" s="242"/>
      <c r="R22" s="242"/>
      <c r="S22" s="242"/>
      <c r="T22" s="242"/>
      <c r="U22" s="242"/>
      <c r="V22" s="242"/>
      <c r="W22" s="242"/>
      <c r="X22" s="242"/>
      <c r="Y22" s="242"/>
      <c r="Z22" s="242"/>
    </row>
    <row r="23" ht="16.5" customHeight="1">
      <c r="A23" s="242" t="str">
        <f t="shared" ref="A23:A78" si="3">IF(C23&lt;&gt;"","crops_types","")</f>
        <v>crops_types</v>
      </c>
      <c r="B23" s="242">
        <f t="shared" ref="B23:B78" si="4">IF(C23&lt;&gt;"",B22+1,"")</f>
        <v>1</v>
      </c>
      <c r="C23" s="242" t="str">
        <f>IFERROR(__xludf.DUMMYFUNCTION("Filter('Contextualisation form'!H101:H156,'Contextualisation form'!G101:G156=TRUE)"),"Avocado")</f>
        <v>Avocado</v>
      </c>
      <c r="D23" s="242"/>
      <c r="E23" s="242"/>
      <c r="F23" s="242"/>
      <c r="G23" s="242"/>
      <c r="H23" s="242"/>
      <c r="I23" s="242"/>
      <c r="J23" s="242"/>
      <c r="K23" s="242"/>
      <c r="L23" s="242"/>
      <c r="M23" s="242"/>
      <c r="N23" s="242"/>
      <c r="O23" s="242"/>
      <c r="P23" s="242"/>
      <c r="Q23" s="242"/>
      <c r="R23" s="242"/>
      <c r="S23" s="242"/>
      <c r="T23" s="242"/>
      <c r="U23" s="242"/>
      <c r="V23" s="242"/>
      <c r="W23" s="242"/>
      <c r="X23" s="242"/>
      <c r="Y23" s="242"/>
      <c r="Z23" s="242"/>
    </row>
    <row r="24" ht="16.5" customHeight="1">
      <c r="A24" s="242" t="str">
        <f t="shared" si="3"/>
        <v>crops_types</v>
      </c>
      <c r="B24" s="242">
        <f t="shared" si="4"/>
        <v>2</v>
      </c>
      <c r="C24" s="242" t="str">
        <f>IFERROR(__xludf.DUMMYFUNCTION("""COMPUTED_VALUE"""),"Bamboo")</f>
        <v>Bamboo</v>
      </c>
      <c r="D24" s="242"/>
      <c r="E24" s="242"/>
      <c r="F24" s="242"/>
      <c r="G24" s="242"/>
      <c r="H24" s="242"/>
      <c r="I24" s="242"/>
      <c r="J24" s="242"/>
      <c r="K24" s="242"/>
      <c r="L24" s="242"/>
      <c r="M24" s="242"/>
      <c r="N24" s="242"/>
      <c r="O24" s="242"/>
      <c r="P24" s="242"/>
      <c r="Q24" s="242"/>
      <c r="R24" s="242"/>
      <c r="S24" s="242"/>
      <c r="T24" s="242"/>
      <c r="U24" s="242"/>
      <c r="V24" s="242"/>
      <c r="W24" s="242"/>
      <c r="X24" s="242"/>
      <c r="Y24" s="242"/>
      <c r="Z24" s="242"/>
    </row>
    <row r="25" ht="16.5" customHeight="1">
      <c r="A25" s="242" t="str">
        <f t="shared" si="3"/>
        <v>crops_types</v>
      </c>
      <c r="B25" s="242">
        <f t="shared" si="4"/>
        <v>3</v>
      </c>
      <c r="C25" s="242" t="str">
        <f>IFERROR(__xludf.DUMMYFUNCTION("""COMPUTED_VALUE"""),"bananas")</f>
        <v>bananas</v>
      </c>
      <c r="D25" s="242"/>
      <c r="E25" s="242"/>
      <c r="F25" s="242"/>
      <c r="G25" s="242"/>
      <c r="H25" s="242"/>
      <c r="I25" s="242"/>
      <c r="J25" s="242"/>
      <c r="K25" s="242"/>
      <c r="L25" s="242"/>
      <c r="M25" s="242"/>
      <c r="N25" s="242"/>
      <c r="O25" s="242"/>
      <c r="P25" s="242"/>
      <c r="Q25" s="242"/>
      <c r="R25" s="242"/>
      <c r="S25" s="242"/>
      <c r="T25" s="242"/>
      <c r="U25" s="242"/>
      <c r="V25" s="242"/>
      <c r="W25" s="242"/>
      <c r="X25" s="242"/>
      <c r="Y25" s="242"/>
      <c r="Z25" s="242"/>
    </row>
    <row r="26" ht="16.5" customHeight="1">
      <c r="A26" s="242" t="str">
        <f t="shared" si="3"/>
        <v>crops_types</v>
      </c>
      <c r="B26" s="242">
        <f t="shared" si="4"/>
        <v>4</v>
      </c>
      <c r="C26" s="242" t="str">
        <f>IFERROR(__xludf.DUMMYFUNCTION("""COMPUTED_VALUE"""),"Beans")</f>
        <v>Beans</v>
      </c>
      <c r="D26" s="242"/>
      <c r="E26" s="242"/>
      <c r="F26" s="242"/>
      <c r="G26" s="242"/>
      <c r="H26" s="242"/>
      <c r="I26" s="242"/>
      <c r="J26" s="242"/>
      <c r="K26" s="242"/>
      <c r="L26" s="242"/>
      <c r="M26" s="242"/>
      <c r="N26" s="242"/>
      <c r="O26" s="242"/>
      <c r="P26" s="242"/>
      <c r="Q26" s="242"/>
      <c r="R26" s="242"/>
      <c r="S26" s="242"/>
      <c r="T26" s="242"/>
      <c r="U26" s="242"/>
      <c r="V26" s="242"/>
      <c r="W26" s="242"/>
      <c r="X26" s="242"/>
      <c r="Y26" s="242"/>
      <c r="Z26" s="242"/>
    </row>
    <row r="27" ht="16.5" customHeight="1">
      <c r="A27" s="242" t="str">
        <f t="shared" si="3"/>
        <v>crops_types</v>
      </c>
      <c r="B27" s="242">
        <f t="shared" si="4"/>
        <v>5</v>
      </c>
      <c r="C27" s="243" t="str">
        <f>IFERROR(__xludf.DUMMYFUNCTION("""COMPUTED_VALUE"""),"Black pepper")</f>
        <v>Black pepper</v>
      </c>
      <c r="D27" s="243"/>
      <c r="E27" s="243"/>
      <c r="F27" s="243"/>
      <c r="G27" s="243"/>
      <c r="H27" s="243"/>
      <c r="I27" s="243"/>
      <c r="J27" s="243"/>
      <c r="K27" s="243"/>
      <c r="L27" s="243"/>
      <c r="M27" s="243"/>
      <c r="N27" s="243"/>
      <c r="O27" s="243"/>
      <c r="P27" s="243"/>
      <c r="Q27" s="243"/>
      <c r="R27" s="243"/>
      <c r="S27" s="243"/>
      <c r="T27" s="243"/>
      <c r="U27" s="243"/>
      <c r="V27" s="243"/>
      <c r="W27" s="243"/>
      <c r="X27" s="243"/>
      <c r="Y27" s="243"/>
      <c r="Z27" s="243"/>
    </row>
    <row r="28" ht="16.5" customHeight="1">
      <c r="A28" s="242" t="str">
        <f t="shared" si="3"/>
        <v>crops_types</v>
      </c>
      <c r="B28" s="242">
        <f t="shared" si="4"/>
        <v>6</v>
      </c>
      <c r="C28" s="239" t="str">
        <f>IFERROR(__xludf.DUMMYFUNCTION("""COMPUTED_VALUE"""),"breadfruit")</f>
        <v>breadfruit</v>
      </c>
      <c r="D28" s="239"/>
      <c r="E28" s="239"/>
      <c r="F28" s="239"/>
      <c r="G28" s="239"/>
      <c r="H28" s="239"/>
      <c r="I28" s="239"/>
      <c r="J28" s="239"/>
      <c r="K28" s="239"/>
      <c r="L28" s="239"/>
      <c r="M28" s="239"/>
      <c r="N28" s="239"/>
      <c r="O28" s="239"/>
      <c r="P28" s="239"/>
      <c r="Q28" s="239"/>
      <c r="R28" s="239"/>
      <c r="S28" s="239"/>
      <c r="T28" s="239"/>
      <c r="U28" s="239"/>
      <c r="V28" s="239"/>
      <c r="W28" s="239"/>
      <c r="X28" s="239"/>
      <c r="Y28" s="239"/>
      <c r="Z28" s="239"/>
    </row>
    <row r="29" ht="16.5" customHeight="1">
      <c r="A29" s="242" t="str">
        <f t="shared" si="3"/>
        <v>crops_types</v>
      </c>
      <c r="B29" s="242">
        <f t="shared" si="4"/>
        <v>7</v>
      </c>
      <c r="C29" s="239" t="str">
        <f>IFERROR(__xludf.DUMMYFUNCTION("""COMPUTED_VALUE"""),"Cabbage")</f>
        <v>Cabbage</v>
      </c>
      <c r="D29" s="239"/>
      <c r="E29" s="239"/>
      <c r="F29" s="239"/>
      <c r="G29" s="239"/>
      <c r="H29" s="239"/>
      <c r="I29" s="239"/>
      <c r="J29" s="239"/>
      <c r="K29" s="239"/>
      <c r="L29" s="239"/>
      <c r="M29" s="239"/>
      <c r="N29" s="239"/>
      <c r="O29" s="239"/>
      <c r="P29" s="239"/>
      <c r="Q29" s="239"/>
      <c r="R29" s="239"/>
      <c r="S29" s="239"/>
      <c r="T29" s="239"/>
      <c r="U29" s="239"/>
      <c r="V29" s="239"/>
      <c r="W29" s="239"/>
      <c r="X29" s="239"/>
      <c r="Y29" s="239"/>
      <c r="Z29" s="239"/>
    </row>
    <row r="30" ht="16.5" customHeight="1">
      <c r="A30" s="242" t="str">
        <f t="shared" si="3"/>
        <v>crops_types</v>
      </c>
      <c r="B30" s="242">
        <f t="shared" si="4"/>
        <v>8</v>
      </c>
      <c r="C30" s="239" t="str">
        <f>IFERROR(__xludf.DUMMYFUNCTION("""COMPUTED_VALUE"""),"Cardamom")</f>
        <v>Cardamom</v>
      </c>
      <c r="D30" s="239"/>
      <c r="E30" s="239"/>
      <c r="F30" s="239"/>
      <c r="G30" s="239"/>
      <c r="H30" s="239"/>
      <c r="I30" s="239"/>
      <c r="J30" s="239"/>
      <c r="K30" s="239"/>
      <c r="L30" s="239"/>
      <c r="M30" s="239"/>
      <c r="N30" s="239"/>
      <c r="O30" s="239"/>
      <c r="P30" s="239"/>
      <c r="Q30" s="239"/>
      <c r="R30" s="239"/>
      <c r="S30" s="239"/>
      <c r="T30" s="239"/>
      <c r="U30" s="239"/>
      <c r="V30" s="239"/>
      <c r="W30" s="239"/>
      <c r="X30" s="239"/>
      <c r="Y30" s="239"/>
      <c r="Z30" s="239"/>
    </row>
    <row r="31" ht="16.5" customHeight="1">
      <c r="A31" s="242" t="str">
        <f t="shared" si="3"/>
        <v>crops_types</v>
      </c>
      <c r="B31" s="242">
        <f t="shared" si="4"/>
        <v>9</v>
      </c>
      <c r="C31" s="239" t="str">
        <f>IFERROR(__xludf.DUMMYFUNCTION("""COMPUTED_VALUE"""),"Carrots")</f>
        <v>Carrots</v>
      </c>
      <c r="D31" s="239"/>
      <c r="E31" s="239"/>
      <c r="F31" s="239"/>
      <c r="G31" s="239"/>
      <c r="H31" s="239"/>
      <c r="I31" s="239"/>
      <c r="J31" s="239"/>
      <c r="K31" s="239"/>
      <c r="L31" s="239"/>
      <c r="M31" s="239"/>
      <c r="N31" s="239"/>
      <c r="O31" s="239"/>
      <c r="P31" s="239"/>
      <c r="Q31" s="239"/>
      <c r="R31" s="239"/>
      <c r="S31" s="239"/>
      <c r="T31" s="239"/>
      <c r="U31" s="239"/>
      <c r="V31" s="239"/>
      <c r="W31" s="239"/>
      <c r="X31" s="239"/>
      <c r="Y31" s="239"/>
      <c r="Z31" s="239"/>
    </row>
    <row r="32" ht="16.5" customHeight="1">
      <c r="A32" s="242" t="str">
        <f t="shared" si="3"/>
        <v>crops_types</v>
      </c>
      <c r="B32" s="242">
        <f t="shared" si="4"/>
        <v>10</v>
      </c>
      <c r="C32" s="239" t="str">
        <f>IFERROR(__xludf.DUMMYFUNCTION("""COMPUTED_VALUE"""),"Yucca")</f>
        <v>Yucca</v>
      </c>
      <c r="D32" s="239"/>
      <c r="E32" s="239"/>
      <c r="F32" s="239"/>
      <c r="G32" s="239"/>
      <c r="H32" s="239"/>
      <c r="I32" s="239"/>
      <c r="J32" s="239"/>
      <c r="K32" s="239"/>
      <c r="L32" s="239"/>
      <c r="M32" s="239"/>
      <c r="N32" s="239"/>
      <c r="O32" s="239"/>
      <c r="P32" s="239"/>
      <c r="Q32" s="239"/>
      <c r="R32" s="239"/>
      <c r="S32" s="239"/>
      <c r="T32" s="239"/>
      <c r="U32" s="239"/>
      <c r="V32" s="239"/>
      <c r="W32" s="239"/>
      <c r="X32" s="239"/>
      <c r="Y32" s="239"/>
      <c r="Z32" s="239"/>
    </row>
    <row r="33" ht="16.5" customHeight="1">
      <c r="A33" s="242" t="str">
        <f t="shared" si="3"/>
        <v>crops_types</v>
      </c>
      <c r="B33" s="242">
        <f t="shared" si="4"/>
        <v>11</v>
      </c>
      <c r="C33" s="239" t="str">
        <f>IFERROR(__xludf.DUMMYFUNCTION("""COMPUTED_VALUE"""),"Cinnamon")</f>
        <v>Cinnamon</v>
      </c>
      <c r="D33" s="239"/>
      <c r="E33" s="239"/>
      <c r="F33" s="239"/>
      <c r="G33" s="239"/>
      <c r="H33" s="239"/>
      <c r="I33" s="239"/>
      <c r="J33" s="239"/>
      <c r="K33" s="239"/>
      <c r="L33" s="239"/>
      <c r="M33" s="239"/>
      <c r="N33" s="239"/>
      <c r="O33" s="239"/>
      <c r="P33" s="239"/>
      <c r="Q33" s="239"/>
      <c r="R33" s="239"/>
      <c r="S33" s="239"/>
      <c r="T33" s="239"/>
      <c r="U33" s="239"/>
      <c r="V33" s="239"/>
      <c r="W33" s="239"/>
      <c r="X33" s="239"/>
      <c r="Y33" s="239"/>
      <c r="Z33" s="239"/>
    </row>
    <row r="34" ht="16.5" customHeight="1">
      <c r="A34" s="242" t="str">
        <f t="shared" si="3"/>
        <v>crops_types</v>
      </c>
      <c r="B34" s="242">
        <f t="shared" si="4"/>
        <v>12</v>
      </c>
      <c r="C34" s="239" t="str">
        <f>IFERROR(__xludf.DUMMYFUNCTION("""COMPUTED_VALUE"""),"Clove")</f>
        <v>Clove</v>
      </c>
      <c r="D34" s="239"/>
      <c r="E34" s="239"/>
      <c r="F34" s="239"/>
      <c r="G34" s="239"/>
      <c r="H34" s="239"/>
      <c r="I34" s="239"/>
      <c r="J34" s="239"/>
      <c r="K34" s="239"/>
      <c r="L34" s="239"/>
      <c r="M34" s="239"/>
      <c r="N34" s="239"/>
      <c r="O34" s="239"/>
      <c r="P34" s="239"/>
      <c r="Q34" s="239"/>
      <c r="R34" s="239"/>
      <c r="S34" s="239"/>
      <c r="T34" s="239"/>
      <c r="U34" s="239"/>
      <c r="V34" s="239"/>
      <c r="W34" s="239"/>
      <c r="X34" s="239"/>
      <c r="Y34" s="239"/>
      <c r="Z34" s="239"/>
    </row>
    <row r="35" ht="16.5" customHeight="1">
      <c r="A35" s="242" t="str">
        <f t="shared" si="3"/>
        <v>crops_types</v>
      </c>
      <c r="B35" s="242">
        <f t="shared" si="4"/>
        <v>13</v>
      </c>
      <c r="C35" s="239" t="str">
        <f>IFERROR(__xludf.DUMMYFUNCTION("""COMPUTED_VALUE"""),"Cocoa")</f>
        <v>Cocoa</v>
      </c>
      <c r="D35" s="239"/>
      <c r="E35" s="239"/>
      <c r="F35" s="239"/>
      <c r="G35" s="239"/>
      <c r="H35" s="239"/>
      <c r="I35" s="239"/>
      <c r="J35" s="239"/>
      <c r="K35" s="239"/>
      <c r="L35" s="239"/>
      <c r="M35" s="239"/>
      <c r="N35" s="239"/>
      <c r="O35" s="239"/>
      <c r="P35" s="239"/>
      <c r="Q35" s="239"/>
      <c r="R35" s="239"/>
      <c r="S35" s="239"/>
      <c r="T35" s="239"/>
      <c r="U35" s="239"/>
      <c r="V35" s="239"/>
      <c r="W35" s="239"/>
      <c r="X35" s="239"/>
      <c r="Y35" s="239"/>
      <c r="Z35" s="239"/>
    </row>
    <row r="36" ht="16.5" customHeight="1">
      <c r="A36" s="242" t="str">
        <f t="shared" si="3"/>
        <v>crops_types</v>
      </c>
      <c r="B36" s="242">
        <f t="shared" si="4"/>
        <v>14</v>
      </c>
      <c r="C36" s="239" t="str">
        <f>IFERROR(__xludf.DUMMYFUNCTION("""COMPUTED_VALUE"""),"Coconut")</f>
        <v>Coconut</v>
      </c>
      <c r="D36" s="239"/>
      <c r="E36" s="239"/>
      <c r="F36" s="239"/>
      <c r="G36" s="239"/>
      <c r="H36" s="239"/>
      <c r="I36" s="239"/>
      <c r="J36" s="239"/>
      <c r="K36" s="239"/>
      <c r="L36" s="239"/>
      <c r="M36" s="239"/>
      <c r="N36" s="239"/>
      <c r="O36" s="239"/>
      <c r="P36" s="239"/>
      <c r="Q36" s="239"/>
      <c r="R36" s="239"/>
      <c r="S36" s="239"/>
      <c r="T36" s="239"/>
      <c r="U36" s="239"/>
      <c r="V36" s="239"/>
      <c r="W36" s="239"/>
      <c r="X36" s="239"/>
      <c r="Y36" s="239"/>
      <c r="Z36" s="239"/>
    </row>
    <row r="37" ht="16.5" customHeight="1">
      <c r="A37" s="242" t="str">
        <f t="shared" si="3"/>
        <v>crops_types</v>
      </c>
      <c r="B37" s="242">
        <f t="shared" si="4"/>
        <v>15</v>
      </c>
      <c r="C37" s="239" t="str">
        <f>IFERROR(__xludf.DUMMYFUNCTION("""COMPUTED_VALUE"""),"Coffee")</f>
        <v>Coffee</v>
      </c>
      <c r="D37" s="239"/>
      <c r="E37" s="239"/>
      <c r="F37" s="239"/>
      <c r="G37" s="239"/>
      <c r="H37" s="239"/>
      <c r="I37" s="239"/>
      <c r="J37" s="239"/>
      <c r="K37" s="239"/>
      <c r="L37" s="239"/>
      <c r="M37" s="239"/>
      <c r="N37" s="239"/>
      <c r="O37" s="239"/>
      <c r="P37" s="239"/>
      <c r="Q37" s="239"/>
      <c r="R37" s="239"/>
      <c r="S37" s="239"/>
      <c r="T37" s="239"/>
      <c r="U37" s="239"/>
      <c r="V37" s="239"/>
      <c r="W37" s="239"/>
      <c r="X37" s="239"/>
      <c r="Y37" s="239"/>
      <c r="Z37" s="239"/>
    </row>
    <row r="38" ht="16.5" customHeight="1">
      <c r="A38" s="242" t="str">
        <f t="shared" si="3"/>
        <v>crops_types</v>
      </c>
      <c r="B38" s="242">
        <f t="shared" si="4"/>
        <v>16</v>
      </c>
      <c r="C38" s="239" t="str">
        <f>IFERROR(__xludf.DUMMYFUNCTION("""COMPUTED_VALUE"""),"Date palms")</f>
        <v>Date palms</v>
      </c>
      <c r="D38" s="239"/>
      <c r="E38" s="239"/>
      <c r="F38" s="239"/>
      <c r="G38" s="239"/>
      <c r="H38" s="239"/>
      <c r="I38" s="239"/>
      <c r="J38" s="239"/>
      <c r="K38" s="239"/>
      <c r="L38" s="239"/>
      <c r="M38" s="239"/>
      <c r="N38" s="239"/>
      <c r="O38" s="239"/>
      <c r="P38" s="239"/>
      <c r="Q38" s="239"/>
      <c r="R38" s="239"/>
      <c r="S38" s="239"/>
      <c r="T38" s="239"/>
      <c r="U38" s="239"/>
      <c r="V38" s="239"/>
      <c r="W38" s="239"/>
      <c r="X38" s="239"/>
      <c r="Y38" s="239"/>
      <c r="Z38" s="239"/>
    </row>
    <row r="39" ht="16.5" customHeight="1">
      <c r="A39" s="242" t="str">
        <f t="shared" si="3"/>
        <v>crops_types</v>
      </c>
      <c r="B39" s="242">
        <f t="shared" si="4"/>
        <v>17</v>
      </c>
      <c r="C39" s="239" t="str">
        <f>IFERROR(__xludf.DUMMYFUNCTION("""COMPUTED_VALUE"""),"Eggplant")</f>
        <v>Eggplant</v>
      </c>
      <c r="D39" s="239"/>
      <c r="E39" s="239"/>
      <c r="F39" s="239"/>
      <c r="G39" s="239"/>
      <c r="H39" s="239"/>
      <c r="I39" s="239"/>
      <c r="J39" s="239"/>
      <c r="K39" s="239"/>
      <c r="L39" s="239"/>
      <c r="M39" s="239"/>
      <c r="N39" s="239"/>
      <c r="O39" s="239"/>
      <c r="P39" s="239"/>
      <c r="Q39" s="239"/>
      <c r="R39" s="239"/>
      <c r="S39" s="239"/>
      <c r="T39" s="239"/>
      <c r="U39" s="239"/>
      <c r="V39" s="239"/>
      <c r="W39" s="239"/>
      <c r="X39" s="239"/>
      <c r="Y39" s="239"/>
      <c r="Z39" s="239"/>
    </row>
    <row r="40" ht="16.5" customHeight="1">
      <c r="A40" s="242" t="str">
        <f t="shared" si="3"/>
        <v>crops_types</v>
      </c>
      <c r="B40" s="242">
        <f t="shared" si="4"/>
        <v>18</v>
      </c>
      <c r="C40" s="239" t="str">
        <f>IFERROR(__xludf.DUMMYFUNCTION("""COMPUTED_VALUE"""),"Eucalyptus")</f>
        <v>Eucalyptus</v>
      </c>
      <c r="D40" s="239"/>
      <c r="E40" s="239"/>
      <c r="F40" s="239"/>
      <c r="G40" s="239"/>
      <c r="H40" s="239"/>
      <c r="I40" s="239"/>
      <c r="J40" s="239"/>
      <c r="K40" s="239"/>
      <c r="L40" s="239"/>
      <c r="M40" s="239"/>
      <c r="N40" s="239"/>
      <c r="O40" s="239"/>
      <c r="P40" s="239"/>
      <c r="Q40" s="239"/>
      <c r="R40" s="239"/>
      <c r="S40" s="239"/>
      <c r="T40" s="239"/>
      <c r="U40" s="239"/>
      <c r="V40" s="239"/>
      <c r="W40" s="239"/>
      <c r="X40" s="239"/>
      <c r="Y40" s="239"/>
      <c r="Z40" s="239"/>
    </row>
    <row r="41" ht="16.5" customHeight="1">
      <c r="A41" s="242" t="str">
        <f t="shared" si="3"/>
        <v>crops_types</v>
      </c>
      <c r="B41" s="242">
        <f t="shared" si="4"/>
        <v>19</v>
      </c>
      <c r="C41" s="239" t="str">
        <f>IFERROR(__xludf.DUMMYFUNCTION("""COMPUTED_VALUE"""),"Ginger")</f>
        <v>Ginger</v>
      </c>
      <c r="D41" s="239"/>
      <c r="E41" s="239"/>
      <c r="F41" s="239"/>
      <c r="G41" s="239"/>
      <c r="H41" s="239"/>
      <c r="I41" s="239"/>
      <c r="J41" s="239"/>
      <c r="K41" s="239"/>
      <c r="L41" s="239"/>
      <c r="M41" s="239"/>
      <c r="N41" s="239"/>
      <c r="O41" s="239"/>
      <c r="P41" s="239"/>
      <c r="Q41" s="239"/>
      <c r="R41" s="239"/>
      <c r="S41" s="239"/>
      <c r="T41" s="239"/>
      <c r="U41" s="239"/>
      <c r="V41" s="239"/>
      <c r="W41" s="239"/>
      <c r="X41" s="239"/>
      <c r="Y41" s="239"/>
      <c r="Z41" s="239"/>
    </row>
    <row r="42" ht="16.5" customHeight="1">
      <c r="A42" s="242" t="str">
        <f t="shared" si="3"/>
        <v>crops_types</v>
      </c>
      <c r="B42" s="242">
        <f t="shared" si="4"/>
        <v>20</v>
      </c>
      <c r="C42" s="239" t="str">
        <f>IFERROR(__xludf.DUMMYFUNCTION("""COMPUTED_VALUE"""),"French beans")</f>
        <v>French beans</v>
      </c>
      <c r="D42" s="239"/>
      <c r="E42" s="239"/>
      <c r="F42" s="239"/>
      <c r="G42" s="239"/>
      <c r="H42" s="239"/>
      <c r="I42" s="239"/>
      <c r="J42" s="239"/>
      <c r="K42" s="239"/>
      <c r="L42" s="239"/>
      <c r="M42" s="239"/>
      <c r="N42" s="239"/>
      <c r="O42" s="239"/>
      <c r="P42" s="239"/>
      <c r="Q42" s="239"/>
      <c r="R42" s="239"/>
      <c r="S42" s="239"/>
      <c r="T42" s="239"/>
      <c r="U42" s="239"/>
      <c r="V42" s="239"/>
      <c r="W42" s="239"/>
      <c r="X42" s="239"/>
      <c r="Y42" s="239"/>
      <c r="Z42" s="239"/>
    </row>
    <row r="43" ht="16.5" customHeight="1">
      <c r="A43" s="242" t="str">
        <f t="shared" si="3"/>
        <v>crops_types</v>
      </c>
      <c r="B43" s="242">
        <f t="shared" si="4"/>
        <v>21</v>
      </c>
      <c r="C43" s="239" t="str">
        <f>IFERROR(__xludf.DUMMYFUNCTION("""COMPUTED_VALUE"""),"Peanut")</f>
        <v>Peanut</v>
      </c>
      <c r="D43" s="239"/>
      <c r="E43" s="239"/>
      <c r="F43" s="239"/>
      <c r="G43" s="239"/>
      <c r="H43" s="239"/>
      <c r="I43" s="239"/>
      <c r="J43" s="239"/>
      <c r="K43" s="239"/>
      <c r="L43" s="239"/>
      <c r="M43" s="239"/>
      <c r="N43" s="239"/>
      <c r="O43" s="239"/>
      <c r="P43" s="239"/>
      <c r="Q43" s="239"/>
      <c r="R43" s="239"/>
      <c r="S43" s="239"/>
      <c r="T43" s="239"/>
      <c r="U43" s="239"/>
      <c r="V43" s="239"/>
      <c r="W43" s="239"/>
      <c r="X43" s="239"/>
      <c r="Y43" s="239"/>
      <c r="Z43" s="239"/>
    </row>
    <row r="44" ht="16.5" customHeight="1">
      <c r="A44" s="242" t="str">
        <f t="shared" si="3"/>
        <v>crops_types</v>
      </c>
      <c r="B44" s="242">
        <f t="shared" si="4"/>
        <v>22</v>
      </c>
      <c r="C44" s="239" t="str">
        <f>IFERROR(__xludf.DUMMYFUNCTION("""COMPUTED_VALUE"""),"Pony")</f>
        <v>Pony</v>
      </c>
      <c r="D44" s="239"/>
      <c r="E44" s="239"/>
      <c r="F44" s="239"/>
      <c r="G44" s="239"/>
      <c r="H44" s="239"/>
      <c r="I44" s="239"/>
      <c r="J44" s="239"/>
      <c r="K44" s="239"/>
      <c r="L44" s="239"/>
      <c r="M44" s="239"/>
      <c r="N44" s="239"/>
      <c r="O44" s="239"/>
      <c r="P44" s="239"/>
      <c r="Q44" s="239"/>
      <c r="R44" s="239"/>
      <c r="S44" s="239"/>
      <c r="T44" s="239"/>
      <c r="U44" s="239"/>
      <c r="V44" s="239"/>
      <c r="W44" s="239"/>
      <c r="X44" s="239"/>
      <c r="Y44" s="239"/>
      <c r="Z44" s="239"/>
    </row>
    <row r="45" ht="16.5" customHeight="1">
      <c r="A45" s="242" t="str">
        <f t="shared" si="3"/>
        <v>crops_types</v>
      </c>
      <c r="B45" s="242">
        <f t="shared" si="4"/>
        <v>23</v>
      </c>
      <c r="C45" s="239" t="str">
        <f>IFERROR(__xludf.DUMMYFUNCTION("""COMPUTED_VALUE"""),"Kale")</f>
        <v>Kale</v>
      </c>
      <c r="D45" s="239"/>
      <c r="E45" s="239"/>
      <c r="F45" s="239"/>
      <c r="G45" s="239"/>
      <c r="H45" s="239"/>
      <c r="I45" s="239"/>
      <c r="J45" s="239"/>
      <c r="K45" s="239"/>
      <c r="L45" s="239"/>
      <c r="M45" s="239"/>
      <c r="N45" s="239"/>
      <c r="O45" s="239"/>
      <c r="P45" s="239"/>
      <c r="Q45" s="239"/>
      <c r="R45" s="239"/>
      <c r="S45" s="239"/>
      <c r="T45" s="239"/>
      <c r="U45" s="239"/>
      <c r="V45" s="239"/>
      <c r="W45" s="239"/>
      <c r="X45" s="239"/>
      <c r="Y45" s="239"/>
      <c r="Z45" s="239"/>
    </row>
    <row r="46" ht="16.5" customHeight="1">
      <c r="A46" s="242" t="str">
        <f t="shared" si="3"/>
        <v>crops_types</v>
      </c>
      <c r="B46" s="242">
        <f t="shared" si="4"/>
        <v>24</v>
      </c>
      <c r="C46" s="239" t="str">
        <f>IFERROR(__xludf.DUMMYFUNCTION("""COMPUTED_VALUE"""),"Lentils")</f>
        <v>Lentils</v>
      </c>
      <c r="D46" s="239"/>
      <c r="E46" s="239"/>
      <c r="F46" s="239"/>
      <c r="G46" s="239"/>
      <c r="H46" s="239"/>
      <c r="I46" s="239"/>
      <c r="J46" s="239"/>
      <c r="K46" s="239"/>
      <c r="L46" s="239"/>
      <c r="M46" s="239"/>
      <c r="N46" s="239"/>
      <c r="O46" s="239"/>
      <c r="P46" s="239"/>
      <c r="Q46" s="239"/>
      <c r="R46" s="239"/>
      <c r="S46" s="239"/>
      <c r="T46" s="239"/>
      <c r="U46" s="239"/>
      <c r="V46" s="239"/>
      <c r="W46" s="239"/>
      <c r="X46" s="239"/>
      <c r="Y46" s="239"/>
      <c r="Z46" s="239"/>
    </row>
    <row r="47" ht="16.5" customHeight="1">
      <c r="A47" s="242" t="str">
        <f t="shared" si="3"/>
        <v>crops_types</v>
      </c>
      <c r="B47" s="242">
        <f t="shared" si="4"/>
        <v>25</v>
      </c>
      <c r="C47" s="239" t="str">
        <f>IFERROR(__xludf.DUMMYFUNCTION("""COMPUTED_VALUE"""),"Mahogany")</f>
        <v>Mahogany</v>
      </c>
      <c r="D47" s="239"/>
      <c r="E47" s="239"/>
      <c r="F47" s="239"/>
      <c r="G47" s="239"/>
      <c r="H47" s="239"/>
      <c r="I47" s="239"/>
      <c r="J47" s="239"/>
      <c r="K47" s="239"/>
      <c r="L47" s="239"/>
      <c r="M47" s="239"/>
      <c r="N47" s="239"/>
      <c r="O47" s="239"/>
      <c r="P47" s="239"/>
      <c r="Q47" s="239"/>
      <c r="R47" s="239"/>
      <c r="S47" s="239"/>
      <c r="T47" s="239"/>
      <c r="U47" s="239"/>
      <c r="V47" s="239"/>
      <c r="W47" s="239"/>
      <c r="X47" s="239"/>
      <c r="Y47" s="239"/>
      <c r="Z47" s="239"/>
    </row>
    <row r="48" ht="16.5" customHeight="1">
      <c r="A48" s="242" t="str">
        <f t="shared" si="3"/>
        <v>crops_types</v>
      </c>
      <c r="B48" s="242">
        <f t="shared" si="4"/>
        <v>26</v>
      </c>
      <c r="C48" s="239" t="str">
        <f>IFERROR(__xludf.DUMMYFUNCTION("""COMPUTED_VALUE"""),"Corn")</f>
        <v>Corn</v>
      </c>
      <c r="D48" s="239"/>
      <c r="E48" s="239"/>
      <c r="F48" s="239"/>
      <c r="G48" s="239"/>
      <c r="H48" s="239"/>
      <c r="I48" s="239"/>
      <c r="J48" s="239"/>
      <c r="K48" s="239"/>
      <c r="L48" s="239"/>
      <c r="M48" s="239"/>
      <c r="N48" s="239"/>
      <c r="O48" s="239"/>
      <c r="P48" s="239"/>
      <c r="Q48" s="239"/>
      <c r="R48" s="239"/>
      <c r="S48" s="239"/>
      <c r="T48" s="239"/>
      <c r="U48" s="239"/>
      <c r="V48" s="239"/>
      <c r="W48" s="239"/>
      <c r="X48" s="239"/>
      <c r="Y48" s="239"/>
      <c r="Z48" s="239"/>
    </row>
    <row r="49" ht="16.5" customHeight="1">
      <c r="A49" s="242" t="str">
        <f t="shared" si="3"/>
        <v>crops_types</v>
      </c>
      <c r="B49" s="242">
        <f t="shared" si="4"/>
        <v>27</v>
      </c>
      <c r="C49" s="239" t="str">
        <f>IFERROR(__xludf.DUMMYFUNCTION("""COMPUTED_VALUE"""),"Mango")</f>
        <v>Mango</v>
      </c>
      <c r="D49" s="239"/>
      <c r="E49" s="239"/>
      <c r="F49" s="239"/>
      <c r="G49" s="239"/>
      <c r="H49" s="239"/>
      <c r="I49" s="239"/>
      <c r="J49" s="239"/>
      <c r="K49" s="239"/>
      <c r="L49" s="239"/>
      <c r="M49" s="239"/>
      <c r="N49" s="239"/>
      <c r="O49" s="239"/>
      <c r="P49" s="239"/>
      <c r="Q49" s="239"/>
      <c r="R49" s="239"/>
      <c r="S49" s="239"/>
      <c r="T49" s="239"/>
      <c r="U49" s="239"/>
      <c r="V49" s="239"/>
      <c r="W49" s="239"/>
      <c r="X49" s="239"/>
      <c r="Y49" s="239"/>
      <c r="Z49" s="239"/>
    </row>
    <row r="50" ht="16.5" customHeight="1">
      <c r="A50" s="242" t="str">
        <f t="shared" si="3"/>
        <v>crops_types</v>
      </c>
      <c r="B50" s="242">
        <f t="shared" si="4"/>
        <v>28</v>
      </c>
      <c r="C50" s="239" t="str">
        <f>IFERROR(__xludf.DUMMYFUNCTION("""COMPUTED_VALUE"""),"Matooke")</f>
        <v>Matooke</v>
      </c>
      <c r="D50" s="239"/>
      <c r="E50" s="239"/>
      <c r="F50" s="239"/>
      <c r="G50" s="239"/>
      <c r="H50" s="239"/>
      <c r="I50" s="239"/>
      <c r="J50" s="239"/>
      <c r="K50" s="239"/>
      <c r="L50" s="239"/>
      <c r="M50" s="239"/>
      <c r="N50" s="239"/>
      <c r="O50" s="239"/>
      <c r="P50" s="239"/>
      <c r="Q50" s="239"/>
      <c r="R50" s="239"/>
      <c r="S50" s="239"/>
      <c r="T50" s="239"/>
      <c r="U50" s="239"/>
      <c r="V50" s="239"/>
      <c r="W50" s="239"/>
      <c r="X50" s="239"/>
      <c r="Y50" s="239"/>
      <c r="Z50" s="239"/>
    </row>
    <row r="51" ht="16.5" customHeight="1">
      <c r="A51" s="242" t="str">
        <f t="shared" si="3"/>
        <v>crops_types</v>
      </c>
      <c r="B51" s="242">
        <f t="shared" si="4"/>
        <v>29</v>
      </c>
      <c r="C51" s="239" t="str">
        <f>IFERROR(__xludf.DUMMYFUNCTION("""COMPUTED_VALUE"""),"Darling")</f>
        <v>Darling</v>
      </c>
      <c r="D51" s="239"/>
      <c r="E51" s="239"/>
      <c r="F51" s="239"/>
      <c r="G51" s="239"/>
      <c r="H51" s="239"/>
      <c r="I51" s="239"/>
      <c r="J51" s="239"/>
      <c r="K51" s="239"/>
      <c r="L51" s="239"/>
      <c r="M51" s="239"/>
      <c r="N51" s="239"/>
      <c r="O51" s="239"/>
      <c r="P51" s="239"/>
      <c r="Q51" s="239"/>
      <c r="R51" s="239"/>
      <c r="S51" s="239"/>
      <c r="T51" s="239"/>
      <c r="U51" s="239"/>
      <c r="V51" s="239"/>
      <c r="W51" s="239"/>
      <c r="X51" s="239"/>
      <c r="Y51" s="239"/>
      <c r="Z51" s="239"/>
    </row>
    <row r="52" ht="16.5" customHeight="1">
      <c r="A52" s="242" t="str">
        <f t="shared" si="3"/>
        <v>crops_types</v>
      </c>
      <c r="B52" s="242">
        <f t="shared" si="4"/>
        <v>30</v>
      </c>
      <c r="C52" s="239" t="str">
        <f>IFERROR(__xludf.DUMMYFUNCTION("""COMPUTED_VALUE"""),"Moringa")</f>
        <v>Moringa</v>
      </c>
      <c r="D52" s="239"/>
      <c r="E52" s="239"/>
      <c r="F52" s="239"/>
      <c r="G52" s="239"/>
      <c r="H52" s="239"/>
      <c r="I52" s="239"/>
      <c r="J52" s="239"/>
      <c r="K52" s="239"/>
      <c r="L52" s="239"/>
      <c r="M52" s="239"/>
      <c r="N52" s="239"/>
      <c r="O52" s="239"/>
      <c r="P52" s="239"/>
      <c r="Q52" s="239"/>
      <c r="R52" s="239"/>
      <c r="S52" s="239"/>
      <c r="T52" s="239"/>
      <c r="U52" s="239"/>
      <c r="V52" s="239"/>
      <c r="W52" s="239"/>
      <c r="X52" s="239"/>
      <c r="Y52" s="239"/>
      <c r="Z52" s="239"/>
    </row>
    <row r="53" ht="16.5" customHeight="1">
      <c r="A53" s="242" t="str">
        <f t="shared" si="3"/>
        <v>crops_types</v>
      </c>
      <c r="B53" s="242">
        <f t="shared" si="4"/>
        <v>31</v>
      </c>
      <c r="C53" s="239" t="str">
        <f>IFERROR(__xludf.DUMMYFUNCTION("""COMPUTED_VALUE"""),"Onions")</f>
        <v>Onions</v>
      </c>
      <c r="D53" s="239"/>
      <c r="E53" s="239"/>
      <c r="F53" s="239"/>
      <c r="G53" s="239"/>
      <c r="H53" s="239"/>
      <c r="I53" s="239"/>
      <c r="J53" s="239"/>
      <c r="K53" s="239"/>
      <c r="L53" s="239"/>
      <c r="M53" s="239"/>
      <c r="N53" s="239"/>
      <c r="O53" s="239"/>
      <c r="P53" s="239"/>
      <c r="Q53" s="239"/>
      <c r="R53" s="239"/>
      <c r="S53" s="239"/>
      <c r="T53" s="239"/>
      <c r="U53" s="239"/>
      <c r="V53" s="239"/>
      <c r="W53" s="239"/>
      <c r="X53" s="239"/>
      <c r="Y53" s="239"/>
      <c r="Z53" s="239"/>
    </row>
    <row r="54" ht="16.5" customHeight="1">
      <c r="A54" s="242" t="str">
        <f t="shared" si="3"/>
        <v>crops_types</v>
      </c>
      <c r="B54" s="242">
        <f t="shared" si="4"/>
        <v>32</v>
      </c>
      <c r="C54" s="239" t="str">
        <f>IFERROR(__xludf.DUMMYFUNCTION("""COMPUTED_VALUE"""),"Palm oil")</f>
        <v>Palm oil</v>
      </c>
      <c r="D54" s="239"/>
      <c r="E54" s="239"/>
      <c r="F54" s="239"/>
      <c r="G54" s="239"/>
      <c r="H54" s="239"/>
      <c r="I54" s="239"/>
      <c r="J54" s="239"/>
      <c r="K54" s="239"/>
      <c r="L54" s="239"/>
      <c r="M54" s="239"/>
      <c r="N54" s="239"/>
      <c r="O54" s="239"/>
      <c r="P54" s="239"/>
      <c r="Q54" s="239"/>
      <c r="R54" s="239"/>
      <c r="S54" s="239"/>
      <c r="T54" s="239"/>
      <c r="U54" s="239"/>
      <c r="V54" s="239"/>
      <c r="W54" s="239"/>
      <c r="X54" s="239"/>
      <c r="Y54" s="239"/>
      <c r="Z54" s="239"/>
    </row>
    <row r="55" ht="16.5" customHeight="1">
      <c r="A55" s="242" t="str">
        <f t="shared" si="3"/>
        <v>crops_types</v>
      </c>
      <c r="B55" s="242">
        <f t="shared" si="4"/>
        <v>33</v>
      </c>
      <c r="C55" s="239" t="str">
        <f>IFERROR(__xludf.DUMMYFUNCTION("""COMPUTED_VALUE"""),"Peas")</f>
        <v>Peas</v>
      </c>
      <c r="D55" s="239"/>
      <c r="E55" s="239"/>
      <c r="F55" s="239"/>
      <c r="G55" s="239"/>
      <c r="H55" s="239"/>
      <c r="I55" s="239"/>
      <c r="J55" s="239"/>
      <c r="K55" s="239"/>
      <c r="L55" s="239"/>
      <c r="M55" s="239"/>
      <c r="N55" s="239"/>
      <c r="O55" s="239"/>
      <c r="P55" s="239"/>
      <c r="Q55" s="239"/>
      <c r="R55" s="239"/>
      <c r="S55" s="239"/>
      <c r="T55" s="239"/>
      <c r="U55" s="239"/>
      <c r="V55" s="239"/>
      <c r="W55" s="239"/>
      <c r="X55" s="239"/>
      <c r="Y55" s="239"/>
      <c r="Z55" s="239"/>
    </row>
    <row r="56" ht="16.5" customHeight="1">
      <c r="A56" s="242" t="str">
        <f t="shared" si="3"/>
        <v>crops_types</v>
      </c>
      <c r="B56" s="242">
        <f t="shared" si="4"/>
        <v>34</v>
      </c>
      <c r="C56" s="239" t="str">
        <f>IFERROR(__xludf.DUMMYFUNCTION("""COMPUTED_VALUE"""),"Pine")</f>
        <v>Pine</v>
      </c>
      <c r="D56" s="239"/>
      <c r="E56" s="239"/>
      <c r="F56" s="239"/>
      <c r="G56" s="239"/>
      <c r="H56" s="239"/>
      <c r="I56" s="239"/>
      <c r="J56" s="239"/>
      <c r="K56" s="239"/>
      <c r="L56" s="239"/>
      <c r="M56" s="239"/>
      <c r="N56" s="239"/>
      <c r="O56" s="239"/>
      <c r="P56" s="239"/>
      <c r="Q56" s="239"/>
      <c r="R56" s="239"/>
      <c r="S56" s="239"/>
      <c r="T56" s="239"/>
      <c r="U56" s="239"/>
      <c r="V56" s="239"/>
      <c r="W56" s="239"/>
      <c r="X56" s="239"/>
      <c r="Y56" s="239"/>
      <c r="Z56" s="239"/>
    </row>
    <row r="57" ht="16.5" customHeight="1">
      <c r="A57" s="242" t="str">
        <f t="shared" si="3"/>
        <v>crops_types</v>
      </c>
      <c r="B57" s="242">
        <f t="shared" si="4"/>
        <v>35</v>
      </c>
      <c r="C57" s="239" t="str">
        <f>IFERROR(__xludf.DUMMYFUNCTION("""COMPUTED_VALUE"""),"Pine nuts")</f>
        <v>Pine nuts</v>
      </c>
      <c r="D57" s="239"/>
      <c r="E57" s="239"/>
      <c r="F57" s="239"/>
      <c r="G57" s="239"/>
      <c r="H57" s="239"/>
      <c r="I57" s="239"/>
      <c r="J57" s="239"/>
      <c r="K57" s="239"/>
      <c r="L57" s="239"/>
      <c r="M57" s="239"/>
      <c r="N57" s="239"/>
      <c r="O57" s="239"/>
      <c r="P57" s="239"/>
      <c r="Q57" s="239"/>
      <c r="R57" s="239"/>
      <c r="S57" s="239"/>
      <c r="T57" s="239"/>
      <c r="U57" s="239"/>
      <c r="V57" s="239"/>
      <c r="W57" s="239"/>
      <c r="X57" s="239"/>
      <c r="Y57" s="239"/>
      <c r="Z57" s="239"/>
    </row>
    <row r="58" ht="16.5" customHeight="1">
      <c r="A58" s="242" t="str">
        <f t="shared" si="3"/>
        <v>crops_types</v>
      </c>
      <c r="B58" s="242">
        <f t="shared" si="4"/>
        <v>36</v>
      </c>
      <c r="C58" s="239" t="str">
        <f>IFERROR(__xludf.DUMMYFUNCTION("""COMPUTED_VALUE"""),"Pineapples")</f>
        <v>Pineapples</v>
      </c>
      <c r="D58" s="239"/>
      <c r="E58" s="239"/>
      <c r="F58" s="239"/>
      <c r="G58" s="239"/>
      <c r="H58" s="239"/>
      <c r="I58" s="239"/>
      <c r="J58" s="239"/>
      <c r="K58" s="239"/>
      <c r="L58" s="239"/>
      <c r="M58" s="239"/>
      <c r="N58" s="239"/>
      <c r="O58" s="239"/>
      <c r="P58" s="239"/>
      <c r="Q58" s="239"/>
      <c r="R58" s="239"/>
      <c r="S58" s="239"/>
      <c r="T58" s="239"/>
      <c r="U58" s="239"/>
      <c r="V58" s="239"/>
      <c r="W58" s="239"/>
      <c r="X58" s="239"/>
      <c r="Y58" s="239"/>
      <c r="Z58" s="239"/>
    </row>
    <row r="59" ht="16.5" customHeight="1">
      <c r="A59" s="242" t="str">
        <f t="shared" si="3"/>
        <v>crops_types</v>
      </c>
      <c r="B59" s="242">
        <f t="shared" si="4"/>
        <v>37</v>
      </c>
      <c r="C59" s="239" t="str">
        <f>IFERROR(__xludf.DUMMYFUNCTION("""COMPUTED_VALUE"""),"Bananas")</f>
        <v>Bananas</v>
      </c>
      <c r="D59" s="239"/>
      <c r="E59" s="239"/>
      <c r="F59" s="239"/>
      <c r="G59" s="239"/>
      <c r="H59" s="239"/>
      <c r="I59" s="239"/>
      <c r="J59" s="239"/>
      <c r="K59" s="239"/>
      <c r="L59" s="239"/>
      <c r="M59" s="239"/>
      <c r="N59" s="239"/>
      <c r="O59" s="239"/>
      <c r="P59" s="239"/>
      <c r="Q59" s="239"/>
      <c r="R59" s="239"/>
      <c r="S59" s="239"/>
      <c r="T59" s="239"/>
      <c r="U59" s="239"/>
      <c r="V59" s="239"/>
      <c r="W59" s="239"/>
      <c r="X59" s="239"/>
      <c r="Y59" s="239"/>
      <c r="Z59" s="239"/>
    </row>
    <row r="60" ht="16.5" customHeight="1">
      <c r="A60" s="242" t="str">
        <f t="shared" si="3"/>
        <v>crops_types</v>
      </c>
      <c r="B60" s="242">
        <f t="shared" si="4"/>
        <v>38</v>
      </c>
      <c r="C60" s="239" t="str">
        <f>IFERROR(__xludf.DUMMYFUNCTION("""COMPUTED_VALUE"""),"Potatoes")</f>
        <v>Potatoes</v>
      </c>
      <c r="D60" s="239"/>
      <c r="E60" s="239"/>
      <c r="F60" s="239"/>
      <c r="G60" s="239"/>
      <c r="H60" s="239"/>
      <c r="I60" s="239"/>
      <c r="J60" s="239"/>
      <c r="K60" s="239"/>
      <c r="L60" s="239"/>
      <c r="M60" s="239"/>
      <c r="N60" s="239"/>
      <c r="O60" s="239"/>
      <c r="P60" s="239"/>
      <c r="Q60" s="239"/>
      <c r="R60" s="239"/>
      <c r="S60" s="239"/>
      <c r="T60" s="239"/>
      <c r="U60" s="239"/>
      <c r="V60" s="239"/>
      <c r="W60" s="239"/>
      <c r="X60" s="239"/>
      <c r="Y60" s="239"/>
      <c r="Z60" s="239"/>
    </row>
    <row r="61" ht="16.5" customHeight="1">
      <c r="A61" s="242" t="str">
        <f t="shared" si="3"/>
        <v>crops_types</v>
      </c>
      <c r="B61" s="242">
        <f t="shared" si="4"/>
        <v>39</v>
      </c>
      <c r="C61" s="239" t="str">
        <f>IFERROR(__xludf.DUMMYFUNCTION("""COMPUTED_VALUE"""),"Rattan")</f>
        <v>Rattan</v>
      </c>
      <c r="D61" s="239"/>
      <c r="E61" s="239"/>
      <c r="F61" s="239"/>
      <c r="G61" s="239"/>
      <c r="H61" s="239"/>
      <c r="I61" s="239"/>
      <c r="J61" s="239"/>
      <c r="K61" s="239"/>
      <c r="L61" s="239"/>
      <c r="M61" s="239"/>
      <c r="N61" s="239"/>
      <c r="O61" s="239"/>
      <c r="P61" s="239"/>
      <c r="Q61" s="239"/>
      <c r="R61" s="239"/>
      <c r="S61" s="239"/>
      <c r="T61" s="239"/>
      <c r="U61" s="239"/>
      <c r="V61" s="239"/>
      <c r="W61" s="239"/>
      <c r="X61" s="239"/>
      <c r="Y61" s="239"/>
      <c r="Z61" s="239"/>
    </row>
    <row r="62" ht="16.5" customHeight="1">
      <c r="A62" s="242" t="str">
        <f t="shared" si="3"/>
        <v>crops_types</v>
      </c>
      <c r="B62" s="242">
        <f t="shared" si="4"/>
        <v>40</v>
      </c>
      <c r="C62" s="239" t="str">
        <f>IFERROR(__xludf.DUMMYFUNCTION("""COMPUTED_VALUE"""),"Red chili")</f>
        <v>Red chili</v>
      </c>
      <c r="D62" s="239"/>
      <c r="E62" s="239"/>
      <c r="F62" s="239"/>
      <c r="G62" s="239"/>
      <c r="H62" s="239"/>
      <c r="I62" s="239"/>
      <c r="J62" s="239"/>
      <c r="K62" s="239"/>
      <c r="L62" s="239"/>
      <c r="M62" s="239"/>
      <c r="N62" s="239"/>
      <c r="O62" s="239"/>
      <c r="P62" s="239"/>
      <c r="Q62" s="239"/>
      <c r="R62" s="239"/>
      <c r="S62" s="239"/>
      <c r="T62" s="239"/>
      <c r="U62" s="239"/>
      <c r="V62" s="239"/>
      <c r="W62" s="239"/>
      <c r="X62" s="239"/>
      <c r="Y62" s="239"/>
      <c r="Z62" s="239"/>
    </row>
    <row r="63" ht="16.5" customHeight="1">
      <c r="A63" s="242" t="str">
        <f t="shared" si="3"/>
        <v>crops_types</v>
      </c>
      <c r="B63" s="242">
        <f t="shared" si="4"/>
        <v>41</v>
      </c>
      <c r="C63" s="239" t="str">
        <f>IFERROR(__xludf.DUMMYFUNCTION("""COMPUTED_VALUE"""),"Rice")</f>
        <v>Rice</v>
      </c>
      <c r="D63" s="239"/>
      <c r="E63" s="239"/>
      <c r="F63" s="239"/>
      <c r="G63" s="239"/>
      <c r="H63" s="239"/>
      <c r="I63" s="239"/>
      <c r="J63" s="239"/>
      <c r="K63" s="239"/>
      <c r="L63" s="239"/>
      <c r="M63" s="239"/>
      <c r="N63" s="239"/>
      <c r="O63" s="239"/>
      <c r="P63" s="239"/>
      <c r="Q63" s="239"/>
      <c r="R63" s="239"/>
      <c r="S63" s="239"/>
      <c r="T63" s="239"/>
      <c r="U63" s="239"/>
      <c r="V63" s="239"/>
      <c r="W63" s="239"/>
      <c r="X63" s="239"/>
      <c r="Y63" s="239"/>
      <c r="Z63" s="239"/>
    </row>
    <row r="64" ht="16.5" customHeight="1">
      <c r="A64" s="242" t="str">
        <f t="shared" si="3"/>
        <v>crops_types</v>
      </c>
      <c r="B64" s="242">
        <f t="shared" si="4"/>
        <v>42</v>
      </c>
      <c r="C64" s="239" t="str">
        <f>IFERROR(__xludf.DUMMYFUNCTION("""COMPUTED_VALUE"""),"Rubber")</f>
        <v>Rubber</v>
      </c>
      <c r="D64" s="239"/>
      <c r="E64" s="239"/>
      <c r="F64" s="239"/>
      <c r="G64" s="239"/>
      <c r="H64" s="239"/>
      <c r="I64" s="239"/>
      <c r="J64" s="239"/>
      <c r="K64" s="239"/>
      <c r="L64" s="239"/>
      <c r="M64" s="239"/>
      <c r="N64" s="239"/>
      <c r="O64" s="239"/>
      <c r="P64" s="239"/>
      <c r="Q64" s="239"/>
      <c r="R64" s="239"/>
      <c r="S64" s="239"/>
      <c r="T64" s="239"/>
      <c r="U64" s="239"/>
      <c r="V64" s="239"/>
      <c r="W64" s="239"/>
      <c r="X64" s="239"/>
      <c r="Y64" s="239"/>
      <c r="Z64" s="239"/>
    </row>
    <row r="65" ht="16.5" customHeight="1">
      <c r="A65" s="242" t="str">
        <f t="shared" si="3"/>
        <v>crops_types</v>
      </c>
      <c r="B65" s="242">
        <f t="shared" si="4"/>
        <v>43</v>
      </c>
      <c r="C65" s="239" t="str">
        <f>IFERROR(__xludf.DUMMYFUNCTION("""COMPUTED_VALUE"""),"Sesame")</f>
        <v>Sesame</v>
      </c>
      <c r="D65" s="239"/>
      <c r="E65" s="239"/>
      <c r="F65" s="239"/>
      <c r="G65" s="239"/>
      <c r="H65" s="239"/>
      <c r="I65" s="239"/>
      <c r="J65" s="239"/>
      <c r="K65" s="239"/>
      <c r="L65" s="239"/>
      <c r="M65" s="239"/>
      <c r="N65" s="239"/>
      <c r="O65" s="239"/>
      <c r="P65" s="239"/>
      <c r="Q65" s="239"/>
      <c r="R65" s="239"/>
      <c r="S65" s="239"/>
      <c r="T65" s="239"/>
      <c r="U65" s="239"/>
      <c r="V65" s="239"/>
      <c r="W65" s="239"/>
      <c r="X65" s="239"/>
      <c r="Y65" s="239"/>
      <c r="Z65" s="239"/>
    </row>
    <row r="66" ht="16.5" customHeight="1">
      <c r="A66" s="242" t="str">
        <f t="shared" si="3"/>
        <v>crops_types</v>
      </c>
      <c r="B66" s="242">
        <f t="shared" si="4"/>
        <v>44</v>
      </c>
      <c r="C66" s="239" t="str">
        <f>IFERROR(__xludf.DUMMYFUNCTION("""COMPUTED_VALUE"""),"Sorghum")</f>
        <v>Sorghum</v>
      </c>
      <c r="D66" s="239"/>
      <c r="E66" s="239"/>
      <c r="F66" s="239"/>
      <c r="G66" s="239"/>
      <c r="H66" s="239"/>
      <c r="I66" s="239"/>
      <c r="J66" s="239"/>
      <c r="K66" s="239"/>
      <c r="L66" s="239"/>
      <c r="M66" s="239"/>
      <c r="N66" s="239"/>
      <c r="O66" s="239"/>
      <c r="P66" s="239"/>
      <c r="Q66" s="239"/>
      <c r="R66" s="239"/>
      <c r="S66" s="239"/>
      <c r="T66" s="239"/>
      <c r="U66" s="239"/>
      <c r="V66" s="239"/>
      <c r="W66" s="239"/>
      <c r="X66" s="239"/>
      <c r="Y66" s="239"/>
      <c r="Z66" s="239"/>
    </row>
    <row r="67" ht="16.5" customHeight="1">
      <c r="A67" s="242" t="str">
        <f t="shared" si="3"/>
        <v>crops_types</v>
      </c>
      <c r="B67" s="242">
        <f t="shared" si="4"/>
        <v>45</v>
      </c>
      <c r="C67" s="239" t="str">
        <f>IFERROR(__xludf.DUMMYFUNCTION("""COMPUTED_VALUE"""),"Sugarcane")</f>
        <v>Sugarcane</v>
      </c>
      <c r="D67" s="239"/>
      <c r="E67" s="239"/>
      <c r="F67" s="239"/>
      <c r="G67" s="239"/>
      <c r="H67" s="239"/>
      <c r="I67" s="239"/>
      <c r="J67" s="239"/>
      <c r="K67" s="239"/>
      <c r="L67" s="239"/>
      <c r="M67" s="239"/>
      <c r="N67" s="239"/>
      <c r="O67" s="239"/>
      <c r="P67" s="239"/>
      <c r="Q67" s="239"/>
      <c r="R67" s="239"/>
      <c r="S67" s="239"/>
      <c r="T67" s="239"/>
      <c r="U67" s="239"/>
      <c r="V67" s="239"/>
      <c r="W67" s="239"/>
      <c r="X67" s="239"/>
      <c r="Y67" s="239"/>
      <c r="Z67" s="239"/>
    </row>
    <row r="68" ht="16.5" customHeight="1">
      <c r="A68" s="242" t="str">
        <f t="shared" si="3"/>
        <v>crops_types</v>
      </c>
      <c r="B68" s="242">
        <f t="shared" si="4"/>
        <v>46</v>
      </c>
      <c r="C68" s="239" t="str">
        <f>IFERROR(__xludf.DUMMYFUNCTION("""COMPUTED_VALUE"""),"Sugar palm")</f>
        <v>Sugar palm</v>
      </c>
      <c r="D68" s="239"/>
      <c r="E68" s="239"/>
      <c r="F68" s="239"/>
      <c r="G68" s="239"/>
      <c r="H68" s="239"/>
      <c r="I68" s="239"/>
      <c r="J68" s="239"/>
      <c r="K68" s="239"/>
      <c r="L68" s="239"/>
      <c r="M68" s="239"/>
      <c r="N68" s="239"/>
      <c r="O68" s="239"/>
      <c r="P68" s="239"/>
      <c r="Q68" s="239"/>
      <c r="R68" s="239"/>
      <c r="S68" s="239"/>
      <c r="T68" s="239"/>
      <c r="U68" s="239"/>
      <c r="V68" s="239"/>
      <c r="W68" s="239"/>
      <c r="X68" s="239"/>
      <c r="Y68" s="239"/>
      <c r="Z68" s="239"/>
    </row>
    <row r="69" ht="16.5" customHeight="1">
      <c r="A69" s="242" t="str">
        <f t="shared" si="3"/>
        <v>crops_types</v>
      </c>
      <c r="B69" s="242">
        <f t="shared" si="4"/>
        <v>47</v>
      </c>
      <c r="C69" s="239" t="str">
        <f>IFERROR(__xludf.DUMMYFUNCTION("""COMPUTED_VALUE"""),"Sunflower")</f>
        <v>Sunflower</v>
      </c>
      <c r="D69" s="239"/>
      <c r="E69" s="239"/>
      <c r="F69" s="239"/>
      <c r="G69" s="239"/>
      <c r="H69" s="239"/>
      <c r="I69" s="239"/>
      <c r="J69" s="239"/>
      <c r="K69" s="239"/>
      <c r="L69" s="239"/>
      <c r="M69" s="239"/>
      <c r="N69" s="239"/>
      <c r="O69" s="239"/>
      <c r="P69" s="239"/>
      <c r="Q69" s="239"/>
      <c r="R69" s="239"/>
      <c r="S69" s="239"/>
      <c r="T69" s="239"/>
      <c r="U69" s="239"/>
      <c r="V69" s="239"/>
      <c r="W69" s="239"/>
      <c r="X69" s="239"/>
      <c r="Y69" s="239"/>
      <c r="Z69" s="239"/>
    </row>
    <row r="70" ht="16.5" customHeight="1">
      <c r="A70" s="242" t="str">
        <f t="shared" si="3"/>
        <v>crops_types</v>
      </c>
      <c r="B70" s="242">
        <f t="shared" si="4"/>
        <v>48</v>
      </c>
      <c r="C70" s="239" t="str">
        <f>IFERROR(__xludf.DUMMYFUNCTION("""COMPUTED_VALUE"""),"Sweet potato")</f>
        <v>Sweet potato</v>
      </c>
      <c r="D70" s="239"/>
      <c r="E70" s="239"/>
      <c r="F70" s="239"/>
      <c r="G70" s="239"/>
      <c r="H70" s="239"/>
      <c r="I70" s="239"/>
      <c r="J70" s="239"/>
      <c r="K70" s="239"/>
      <c r="L70" s="239"/>
      <c r="M70" s="239"/>
      <c r="N70" s="239"/>
      <c r="O70" s="239"/>
      <c r="P70" s="239"/>
      <c r="Q70" s="239"/>
      <c r="R70" s="239"/>
      <c r="S70" s="239"/>
      <c r="T70" s="239"/>
      <c r="U70" s="239"/>
      <c r="V70" s="239"/>
      <c r="W70" s="239"/>
      <c r="X70" s="239"/>
      <c r="Y70" s="239"/>
      <c r="Z70" s="239"/>
    </row>
    <row r="71" ht="16.5" customHeight="1">
      <c r="A71" s="242" t="str">
        <f t="shared" si="3"/>
        <v>crops_types</v>
      </c>
      <c r="B71" s="242">
        <f t="shared" si="4"/>
        <v>49</v>
      </c>
      <c r="C71" s="239" t="str">
        <f>IFERROR(__xludf.DUMMYFUNCTION("""COMPUTED_VALUE"""),"Tea")</f>
        <v>Tea</v>
      </c>
      <c r="D71" s="239"/>
      <c r="E71" s="239"/>
      <c r="F71" s="239"/>
      <c r="G71" s="239"/>
      <c r="H71" s="239"/>
      <c r="I71" s="239"/>
      <c r="J71" s="239"/>
      <c r="K71" s="239"/>
      <c r="L71" s="239"/>
      <c r="M71" s="239"/>
      <c r="N71" s="239"/>
      <c r="O71" s="239"/>
      <c r="P71" s="239"/>
      <c r="Q71" s="239"/>
      <c r="R71" s="239"/>
      <c r="S71" s="239"/>
      <c r="T71" s="239"/>
      <c r="U71" s="239"/>
      <c r="V71" s="239"/>
      <c r="W71" s="239"/>
      <c r="X71" s="239"/>
      <c r="Y71" s="239"/>
      <c r="Z71" s="239"/>
    </row>
    <row r="72" ht="16.5" customHeight="1">
      <c r="A72" s="242" t="str">
        <f t="shared" si="3"/>
        <v>crops_types</v>
      </c>
      <c r="B72" s="242">
        <f t="shared" si="4"/>
        <v>50</v>
      </c>
      <c r="C72" s="239" t="str">
        <f>IFERROR(__xludf.DUMMYFUNCTION("""COMPUTED_VALUE"""),"Teak")</f>
        <v>Teak</v>
      </c>
      <c r="D72" s="239"/>
      <c r="E72" s="239"/>
      <c r="F72" s="239"/>
      <c r="G72" s="239"/>
      <c r="H72" s="239"/>
      <c r="I72" s="239"/>
      <c r="J72" s="239"/>
      <c r="K72" s="239"/>
      <c r="L72" s="239"/>
      <c r="M72" s="239"/>
      <c r="N72" s="239"/>
      <c r="O72" s="239"/>
      <c r="P72" s="239"/>
      <c r="Q72" s="239"/>
      <c r="R72" s="239"/>
      <c r="S72" s="239"/>
      <c r="T72" s="239"/>
      <c r="U72" s="239"/>
      <c r="V72" s="239"/>
      <c r="W72" s="239"/>
      <c r="X72" s="239"/>
      <c r="Y72" s="239"/>
      <c r="Z72" s="239"/>
    </row>
    <row r="73" ht="16.5" customHeight="1">
      <c r="A73" s="242" t="str">
        <f t="shared" si="3"/>
        <v>crops_types</v>
      </c>
      <c r="B73" s="242">
        <f t="shared" si="4"/>
        <v>51</v>
      </c>
      <c r="C73" s="239" t="str">
        <f>IFERROR(__xludf.DUMMYFUNCTION("""COMPUTED_VALUE"""),"Wood")</f>
        <v>Wood</v>
      </c>
      <c r="D73" s="239"/>
      <c r="E73" s="239"/>
      <c r="F73" s="239"/>
      <c r="G73" s="239"/>
      <c r="H73" s="239"/>
      <c r="I73" s="239"/>
      <c r="J73" s="239"/>
      <c r="K73" s="239"/>
      <c r="L73" s="239"/>
      <c r="M73" s="239"/>
      <c r="N73" s="239"/>
      <c r="O73" s="239"/>
      <c r="P73" s="239"/>
      <c r="Q73" s="239"/>
      <c r="R73" s="239"/>
      <c r="S73" s="239"/>
      <c r="T73" s="239"/>
      <c r="U73" s="239"/>
      <c r="V73" s="239"/>
      <c r="W73" s="239"/>
      <c r="X73" s="239"/>
      <c r="Y73" s="239"/>
      <c r="Z73" s="239"/>
    </row>
    <row r="74" ht="16.5" customHeight="1">
      <c r="A74" s="242" t="str">
        <f t="shared" si="3"/>
        <v>crops_types</v>
      </c>
      <c r="B74" s="242">
        <f t="shared" si="4"/>
        <v>52</v>
      </c>
      <c r="C74" s="239" t="str">
        <f>IFERROR(__xludf.DUMMYFUNCTION("""COMPUTED_VALUE"""),"Tomatoes")</f>
        <v>Tomatoes</v>
      </c>
      <c r="D74" s="239"/>
      <c r="E74" s="239"/>
      <c r="F74" s="239"/>
      <c r="G74" s="239"/>
      <c r="H74" s="239"/>
      <c r="I74" s="239"/>
      <c r="J74" s="239"/>
      <c r="K74" s="239"/>
      <c r="L74" s="239"/>
      <c r="M74" s="239"/>
      <c r="N74" s="239"/>
      <c r="O74" s="239"/>
      <c r="P74" s="239"/>
      <c r="Q74" s="239"/>
      <c r="R74" s="239"/>
      <c r="S74" s="239"/>
      <c r="T74" s="239"/>
      <c r="U74" s="239"/>
      <c r="V74" s="239"/>
      <c r="W74" s="239"/>
      <c r="X74" s="239"/>
      <c r="Y74" s="239"/>
      <c r="Z74" s="239"/>
    </row>
    <row r="75" ht="16.5" customHeight="1">
      <c r="A75" s="242" t="str">
        <f t="shared" si="3"/>
        <v>crops_types</v>
      </c>
      <c r="B75" s="242">
        <f t="shared" si="4"/>
        <v>53</v>
      </c>
      <c r="C75" s="239" t="str">
        <f>IFERROR(__xludf.DUMMYFUNCTION("""COMPUTED_VALUE"""),"Trees for firewood")</f>
        <v>Trees for firewood</v>
      </c>
      <c r="D75" s="239"/>
      <c r="E75" s="239"/>
      <c r="F75" s="239"/>
      <c r="G75" s="239"/>
      <c r="H75" s="239"/>
      <c r="I75" s="239"/>
      <c r="J75" s="239"/>
      <c r="K75" s="239"/>
      <c r="L75" s="239"/>
      <c r="M75" s="239"/>
      <c r="N75" s="239"/>
      <c r="O75" s="239"/>
      <c r="P75" s="239"/>
      <c r="Q75" s="239"/>
      <c r="R75" s="239"/>
      <c r="S75" s="239"/>
      <c r="T75" s="239"/>
      <c r="U75" s="239"/>
      <c r="V75" s="239"/>
      <c r="W75" s="239"/>
      <c r="X75" s="239"/>
      <c r="Y75" s="239"/>
      <c r="Z75" s="239"/>
    </row>
    <row r="76" ht="16.5" customHeight="1">
      <c r="A76" s="242" t="str">
        <f t="shared" si="3"/>
        <v>crops_types</v>
      </c>
      <c r="B76" s="242">
        <f t="shared" si="4"/>
        <v>54</v>
      </c>
      <c r="C76" s="239" t="str">
        <f>IFERROR(__xludf.DUMMYFUNCTION("""COMPUTED_VALUE"""),"Vanilla")</f>
        <v>Vanilla</v>
      </c>
      <c r="D76" s="239"/>
      <c r="E76" s="239"/>
      <c r="F76" s="239"/>
      <c r="G76" s="239"/>
      <c r="H76" s="239"/>
      <c r="I76" s="239"/>
      <c r="J76" s="239"/>
      <c r="K76" s="239"/>
      <c r="L76" s="239"/>
      <c r="M76" s="239"/>
      <c r="N76" s="239"/>
      <c r="O76" s="239"/>
      <c r="P76" s="239"/>
      <c r="Q76" s="239"/>
      <c r="R76" s="239"/>
      <c r="S76" s="239"/>
      <c r="T76" s="239"/>
      <c r="U76" s="239"/>
      <c r="V76" s="239"/>
      <c r="W76" s="239"/>
      <c r="X76" s="239"/>
      <c r="Y76" s="239"/>
      <c r="Z76" s="239"/>
    </row>
    <row r="77" ht="16.5" customHeight="1">
      <c r="A77" s="242" t="str">
        <f t="shared" si="3"/>
        <v>crops_types</v>
      </c>
      <c r="B77" s="242">
        <f t="shared" si="4"/>
        <v>55</v>
      </c>
      <c r="C77" s="239" t="str">
        <f>IFERROR(__xludf.DUMMYFUNCTION("""COMPUTED_VALUE"""),"Watermelon")</f>
        <v>Watermelon</v>
      </c>
      <c r="D77" s="239"/>
      <c r="E77" s="239"/>
      <c r="F77" s="239"/>
      <c r="G77" s="239"/>
      <c r="H77" s="239"/>
      <c r="I77" s="239"/>
      <c r="J77" s="239"/>
      <c r="K77" s="239"/>
      <c r="L77" s="239"/>
      <c r="M77" s="239"/>
      <c r="N77" s="239"/>
      <c r="O77" s="239"/>
      <c r="P77" s="239"/>
      <c r="Q77" s="239"/>
      <c r="R77" s="239"/>
      <c r="S77" s="239"/>
      <c r="T77" s="239"/>
      <c r="U77" s="239"/>
      <c r="V77" s="239"/>
      <c r="W77" s="239"/>
      <c r="X77" s="239"/>
      <c r="Y77" s="239"/>
      <c r="Z77" s="239"/>
    </row>
    <row r="78" ht="16.5" customHeight="1">
      <c r="A78" s="242" t="str">
        <f t="shared" si="3"/>
        <v>crops_types</v>
      </c>
      <c r="B78" s="242">
        <f t="shared" si="4"/>
        <v>56</v>
      </c>
      <c r="C78" s="239" t="str">
        <f>IFERROR(__xludf.DUMMYFUNCTION("""COMPUTED_VALUE"""),"Yam")</f>
        <v>Yam</v>
      </c>
      <c r="D78" s="239"/>
      <c r="E78" s="239"/>
      <c r="F78" s="239"/>
      <c r="G78" s="239"/>
      <c r="H78" s="239"/>
      <c r="I78" s="239"/>
      <c r="J78" s="239"/>
      <c r="K78" s="239"/>
      <c r="L78" s="239"/>
      <c r="M78" s="239"/>
      <c r="N78" s="239"/>
      <c r="O78" s="239"/>
      <c r="P78" s="239"/>
      <c r="Q78" s="239"/>
      <c r="R78" s="239"/>
      <c r="S78" s="239"/>
      <c r="T78" s="239"/>
      <c r="U78" s="239"/>
      <c r="V78" s="239"/>
      <c r="W78" s="239"/>
      <c r="X78" s="239"/>
      <c r="Y78" s="239"/>
      <c r="Z78" s="239"/>
    </row>
    <row r="79" ht="16.5" customHeight="1">
      <c r="A79" s="242" t="s">
        <v>1207</v>
      </c>
      <c r="B79" s="244">
        <v>77.0</v>
      </c>
      <c r="C79" s="244" t="s">
        <v>1209</v>
      </c>
      <c r="D79" s="242"/>
      <c r="E79" s="242"/>
      <c r="F79" s="242"/>
      <c r="G79" s="242"/>
      <c r="H79" s="242"/>
      <c r="I79" s="242"/>
      <c r="J79" s="242"/>
      <c r="K79" s="242"/>
      <c r="L79" s="242"/>
      <c r="M79" s="242"/>
      <c r="N79" s="242"/>
      <c r="O79" s="242"/>
      <c r="P79" s="242"/>
      <c r="Q79" s="242"/>
      <c r="R79" s="242"/>
      <c r="S79" s="242"/>
      <c r="T79" s="242"/>
      <c r="U79" s="242"/>
      <c r="V79" s="242"/>
      <c r="W79" s="242"/>
      <c r="X79" s="242"/>
      <c r="Y79" s="242"/>
      <c r="Z79" s="242"/>
    </row>
    <row r="80" ht="16.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6.5" customHeight="1">
      <c r="A81" s="108" t="s">
        <v>1210</v>
      </c>
      <c r="B81" s="108">
        <v>1.0</v>
      </c>
      <c r="C81" s="108" t="s">
        <v>1211</v>
      </c>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6.5" customHeight="1">
      <c r="A82" s="108" t="s">
        <v>1210</v>
      </c>
      <c r="B82" s="108">
        <v>2.0</v>
      </c>
      <c r="C82" s="108" t="s">
        <v>1212</v>
      </c>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6.5" customHeight="1">
      <c r="A83" s="108" t="s">
        <v>1210</v>
      </c>
      <c r="B83" s="108">
        <v>3.0</v>
      </c>
      <c r="C83" s="108" t="s">
        <v>1213</v>
      </c>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6.5" customHeight="1">
      <c r="A84" s="108" t="s">
        <v>1210</v>
      </c>
      <c r="B84" s="108">
        <v>4.0</v>
      </c>
      <c r="C84" s="108" t="s">
        <v>1214</v>
      </c>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6.5" customHeight="1">
      <c r="A85" s="108" t="s">
        <v>1210</v>
      </c>
      <c r="B85" s="108">
        <v>9999.0</v>
      </c>
      <c r="C85" s="108" t="s">
        <v>1215</v>
      </c>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6.5" customHeight="1">
      <c r="A86" s="108" t="s">
        <v>1210</v>
      </c>
      <c r="B86" s="108">
        <v>9998.0</v>
      </c>
      <c r="C86" s="108" t="s">
        <v>1216</v>
      </c>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6.5" customHeight="1">
      <c r="A87" s="108" t="s">
        <v>1210</v>
      </c>
      <c r="B87" s="108">
        <v>0.0</v>
      </c>
      <c r="C87" s="108" t="s">
        <v>1217</v>
      </c>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6.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6.5" customHeight="1">
      <c r="A89" s="242" t="s">
        <v>1218</v>
      </c>
      <c r="B89" s="244">
        <v>0.0</v>
      </c>
      <c r="C89" s="244" t="s">
        <v>1219</v>
      </c>
      <c r="D89" s="242"/>
      <c r="E89" s="242"/>
      <c r="F89" s="242"/>
      <c r="G89" s="242"/>
      <c r="H89" s="242"/>
      <c r="I89" s="242"/>
      <c r="J89" s="242"/>
      <c r="K89" s="242"/>
      <c r="L89" s="242"/>
      <c r="M89" s="242"/>
      <c r="N89" s="242"/>
      <c r="O89" s="242"/>
      <c r="P89" s="242"/>
      <c r="Q89" s="242"/>
      <c r="R89" s="242"/>
      <c r="S89" s="242"/>
      <c r="T89" s="242"/>
      <c r="U89" s="242"/>
      <c r="V89" s="242"/>
      <c r="W89" s="242"/>
      <c r="X89" s="242"/>
      <c r="Y89" s="242"/>
      <c r="Z89" s="242"/>
    </row>
    <row r="90" ht="16.5" customHeight="1">
      <c r="A90" s="242" t="str">
        <f t="shared" ref="A90:A94" si="5">IF(C90&lt;&gt;"","crop_variety")</f>
        <v>crop_variety</v>
      </c>
      <c r="B90" s="242">
        <f t="shared" ref="B90:B97" si="6">IF(C90&lt;&gt;"",B89+1,"")</f>
        <v>1</v>
      </c>
      <c r="C90" s="242" t="str">
        <f>IFERROR(__xludf.DUMMYFUNCTION("Filter('Contextualisation form'!C101:C108,ISBLANK('Contextualisation form'!B101:B108)=FALSE)"),"a")</f>
        <v>a</v>
      </c>
      <c r="D90" s="242"/>
      <c r="E90" s="242"/>
      <c r="F90" s="242"/>
      <c r="G90" s="242"/>
      <c r="H90" s="242"/>
      <c r="I90" s="242"/>
      <c r="J90" s="242"/>
      <c r="K90" s="242"/>
      <c r="L90" s="242"/>
      <c r="M90" s="242"/>
      <c r="N90" s="242"/>
      <c r="O90" s="242"/>
      <c r="P90" s="242"/>
      <c r="Q90" s="242"/>
      <c r="R90" s="242"/>
      <c r="S90" s="242"/>
      <c r="T90" s="242"/>
      <c r="U90" s="242"/>
      <c r="V90" s="242"/>
      <c r="W90" s="242"/>
      <c r="X90" s="242"/>
      <c r="Y90" s="242"/>
      <c r="Z90" s="242"/>
    </row>
    <row r="91" ht="16.5" customHeight="1">
      <c r="A91" s="242" t="str">
        <f t="shared" si="5"/>
        <v>crop_variety</v>
      </c>
      <c r="B91" s="242">
        <f t="shared" si="6"/>
        <v>2</v>
      </c>
      <c r="C91" s="242" t="str">
        <f>IFERROR(__xludf.DUMMYFUNCTION("""COMPUTED_VALUE"""),"b")</f>
        <v>b</v>
      </c>
      <c r="D91" s="242"/>
      <c r="E91" s="242"/>
      <c r="F91" s="242"/>
      <c r="G91" s="242"/>
      <c r="H91" s="242"/>
      <c r="I91" s="242"/>
      <c r="J91" s="242"/>
      <c r="K91" s="242"/>
      <c r="L91" s="242"/>
      <c r="M91" s="242"/>
      <c r="N91" s="242"/>
      <c r="O91" s="242"/>
      <c r="P91" s="242"/>
      <c r="Q91" s="242"/>
      <c r="R91" s="242"/>
      <c r="S91" s="242"/>
      <c r="T91" s="242"/>
      <c r="U91" s="242"/>
      <c r="V91" s="242"/>
      <c r="W91" s="242"/>
      <c r="X91" s="242"/>
      <c r="Y91" s="242"/>
      <c r="Z91" s="242"/>
    </row>
    <row r="92" ht="16.5" customHeight="1">
      <c r="A92" s="242" t="str">
        <f t="shared" si="5"/>
        <v>crop_variety</v>
      </c>
      <c r="B92" s="242">
        <f t="shared" si="6"/>
        <v>3</v>
      </c>
      <c r="C92" s="242" t="str">
        <f>IFERROR(__xludf.DUMMYFUNCTION("""COMPUTED_VALUE"""),"c")</f>
        <v>c</v>
      </c>
      <c r="D92" s="242"/>
      <c r="E92" s="242"/>
      <c r="F92" s="242"/>
      <c r="G92" s="242"/>
      <c r="H92" s="242"/>
      <c r="I92" s="242"/>
      <c r="J92" s="242"/>
      <c r="K92" s="242"/>
      <c r="L92" s="242"/>
      <c r="M92" s="242"/>
      <c r="N92" s="242"/>
      <c r="O92" s="242"/>
      <c r="P92" s="242"/>
      <c r="Q92" s="242"/>
      <c r="R92" s="242"/>
      <c r="S92" s="242"/>
      <c r="T92" s="242"/>
      <c r="U92" s="242"/>
      <c r="V92" s="242"/>
      <c r="W92" s="242"/>
      <c r="X92" s="242"/>
      <c r="Y92" s="242"/>
      <c r="Z92" s="242"/>
    </row>
    <row r="93" ht="16.5" customHeight="1">
      <c r="A93" s="242" t="str">
        <f t="shared" si="5"/>
        <v>crop_variety</v>
      </c>
      <c r="B93" s="242">
        <f t="shared" si="6"/>
        <v>4</v>
      </c>
      <c r="C93" s="242" t="str">
        <f>IFERROR(__xludf.DUMMYFUNCTION("""COMPUTED_VALUE"""),"d")</f>
        <v>d</v>
      </c>
      <c r="D93" s="242"/>
      <c r="E93" s="242"/>
      <c r="F93" s="242"/>
      <c r="G93" s="242"/>
      <c r="H93" s="242"/>
      <c r="I93" s="242"/>
      <c r="J93" s="242"/>
      <c r="K93" s="242"/>
      <c r="L93" s="242"/>
      <c r="M93" s="242"/>
      <c r="N93" s="242"/>
      <c r="O93" s="242"/>
      <c r="P93" s="242"/>
      <c r="Q93" s="242"/>
      <c r="R93" s="242"/>
      <c r="S93" s="242"/>
      <c r="T93" s="242"/>
      <c r="U93" s="242"/>
      <c r="V93" s="242"/>
      <c r="W93" s="242"/>
      <c r="X93" s="242"/>
      <c r="Y93" s="242"/>
      <c r="Z93" s="242"/>
    </row>
    <row r="94" ht="16.5" customHeight="1">
      <c r="A94" s="242" t="str">
        <f t="shared" si="5"/>
        <v>crop_variety</v>
      </c>
      <c r="B94" s="242">
        <f t="shared" si="6"/>
        <v>5</v>
      </c>
      <c r="C94" s="242" t="str">
        <f>IFERROR(__xludf.DUMMYFUNCTION("""COMPUTED_VALUE"""),"e")</f>
        <v>e</v>
      </c>
      <c r="D94" s="242"/>
      <c r="E94" s="242"/>
      <c r="F94" s="242"/>
      <c r="G94" s="242"/>
      <c r="H94" s="242"/>
      <c r="I94" s="242"/>
      <c r="J94" s="242"/>
      <c r="K94" s="242"/>
      <c r="L94" s="242"/>
      <c r="M94" s="242"/>
      <c r="N94" s="242"/>
      <c r="O94" s="242"/>
      <c r="P94" s="242"/>
      <c r="Q94" s="242"/>
      <c r="R94" s="242"/>
      <c r="S94" s="242"/>
      <c r="T94" s="242"/>
      <c r="U94" s="242"/>
      <c r="V94" s="242"/>
      <c r="W94" s="242"/>
      <c r="X94" s="242"/>
      <c r="Y94" s="242"/>
      <c r="Z94" s="242"/>
    </row>
    <row r="95" ht="16.5" customHeight="1">
      <c r="A95" s="242" t="str">
        <f t="shared" ref="A95:A97" si="7">IF(C95&lt;&gt;"","crop_variety","")</f>
        <v/>
      </c>
      <c r="B95" s="242" t="str">
        <f t="shared" si="6"/>
        <v/>
      </c>
      <c r="C95" s="242"/>
      <c r="D95" s="242"/>
      <c r="E95" s="242"/>
      <c r="F95" s="242"/>
      <c r="G95" s="242"/>
      <c r="H95" s="242"/>
      <c r="I95" s="242"/>
      <c r="J95" s="242"/>
      <c r="K95" s="242"/>
      <c r="L95" s="242"/>
      <c r="M95" s="242"/>
      <c r="N95" s="242"/>
      <c r="O95" s="242"/>
      <c r="P95" s="242"/>
      <c r="Q95" s="242"/>
      <c r="R95" s="242"/>
      <c r="S95" s="242"/>
      <c r="T95" s="242"/>
      <c r="U95" s="242"/>
      <c r="V95" s="242"/>
      <c r="W95" s="242"/>
      <c r="X95" s="242"/>
      <c r="Y95" s="242"/>
      <c r="Z95" s="242"/>
    </row>
    <row r="96" ht="16.5" customHeight="1">
      <c r="A96" s="242" t="str">
        <f t="shared" si="7"/>
        <v/>
      </c>
      <c r="B96" s="242" t="str">
        <f t="shared" si="6"/>
        <v/>
      </c>
      <c r="C96" s="245"/>
      <c r="D96" s="245"/>
      <c r="E96" s="245"/>
      <c r="F96" s="245"/>
      <c r="G96" s="245"/>
      <c r="H96" s="245"/>
      <c r="I96" s="245"/>
      <c r="J96" s="245"/>
      <c r="K96" s="245"/>
      <c r="L96" s="245"/>
      <c r="M96" s="245"/>
      <c r="N96" s="245"/>
      <c r="O96" s="245"/>
      <c r="P96" s="245"/>
      <c r="Q96" s="245"/>
      <c r="R96" s="245"/>
      <c r="S96" s="245"/>
      <c r="T96" s="245"/>
      <c r="U96" s="245"/>
      <c r="V96" s="245"/>
      <c r="W96" s="245"/>
      <c r="X96" s="245"/>
      <c r="Y96" s="245"/>
      <c r="Z96" s="245"/>
    </row>
    <row r="97" ht="16.5" customHeight="1">
      <c r="A97" s="242" t="str">
        <f t="shared" si="7"/>
        <v/>
      </c>
      <c r="B97" s="242" t="str">
        <f t="shared" si="6"/>
        <v/>
      </c>
      <c r="C97" s="245"/>
      <c r="D97" s="245"/>
      <c r="E97" s="245"/>
      <c r="F97" s="245"/>
      <c r="G97" s="245"/>
      <c r="H97" s="245"/>
      <c r="I97" s="245"/>
      <c r="J97" s="245"/>
      <c r="K97" s="245"/>
      <c r="L97" s="245"/>
      <c r="M97" s="245"/>
      <c r="N97" s="245"/>
      <c r="O97" s="245"/>
      <c r="P97" s="245"/>
      <c r="Q97" s="245"/>
      <c r="R97" s="245"/>
      <c r="S97" s="245"/>
      <c r="T97" s="245"/>
      <c r="U97" s="245"/>
      <c r="V97" s="245"/>
      <c r="W97" s="245"/>
      <c r="X97" s="245"/>
      <c r="Y97" s="245"/>
      <c r="Z97" s="245"/>
    </row>
    <row r="98" ht="16.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6.5" customHeight="1">
      <c r="A99" s="242" t="s">
        <v>1220</v>
      </c>
      <c r="B99" s="244">
        <v>0.0</v>
      </c>
      <c r="C99" s="244" t="s">
        <v>1219</v>
      </c>
      <c r="D99" s="242"/>
      <c r="E99" s="242"/>
      <c r="F99" s="242"/>
      <c r="G99" s="242"/>
      <c r="H99" s="242"/>
      <c r="I99" s="242"/>
      <c r="J99" s="242"/>
      <c r="K99" s="242"/>
      <c r="L99" s="242"/>
      <c r="M99" s="242"/>
      <c r="N99" s="242"/>
      <c r="O99" s="242"/>
      <c r="P99" s="242"/>
      <c r="Q99" s="242"/>
      <c r="R99" s="242"/>
      <c r="S99" s="242"/>
      <c r="T99" s="242"/>
      <c r="U99" s="242"/>
      <c r="V99" s="242"/>
      <c r="W99" s="242"/>
      <c r="X99" s="242"/>
      <c r="Y99" s="242"/>
      <c r="Z99" s="242"/>
    </row>
    <row r="100" ht="16.5" customHeight="1">
      <c r="A100" s="242"/>
      <c r="B100" s="242"/>
      <c r="C100" s="242"/>
      <c r="D100" s="242"/>
      <c r="E100" s="242"/>
      <c r="F100" s="242"/>
      <c r="G100" s="242"/>
      <c r="H100" s="242"/>
      <c r="I100" s="242"/>
      <c r="J100" s="242"/>
      <c r="K100" s="242"/>
      <c r="L100" s="242"/>
      <c r="M100" s="242"/>
      <c r="N100" s="242"/>
      <c r="O100" s="242"/>
      <c r="P100" s="242"/>
      <c r="Q100" s="242"/>
      <c r="R100" s="242"/>
      <c r="S100" s="242"/>
      <c r="T100" s="242"/>
      <c r="U100" s="242"/>
      <c r="V100" s="242"/>
      <c r="W100" s="242"/>
      <c r="X100" s="242"/>
      <c r="Y100" s="242"/>
      <c r="Z100" s="242"/>
    </row>
    <row r="101" ht="16.5" customHeight="1">
      <c r="A101" s="242"/>
      <c r="B101" s="242"/>
      <c r="C101" s="242"/>
      <c r="D101" s="242"/>
      <c r="E101" s="242"/>
      <c r="F101" s="242"/>
      <c r="G101" s="242"/>
      <c r="H101" s="242"/>
      <c r="I101" s="242"/>
      <c r="J101" s="242"/>
      <c r="K101" s="242"/>
      <c r="L101" s="242"/>
      <c r="M101" s="242"/>
      <c r="N101" s="242"/>
      <c r="O101" s="242"/>
      <c r="P101" s="242"/>
      <c r="Q101" s="242"/>
      <c r="R101" s="242"/>
      <c r="S101" s="242"/>
      <c r="T101" s="242"/>
      <c r="U101" s="242"/>
      <c r="V101" s="242"/>
      <c r="W101" s="242"/>
      <c r="X101" s="242"/>
      <c r="Y101" s="242"/>
      <c r="Z101" s="242"/>
    </row>
    <row r="102" ht="16.5" customHeight="1">
      <c r="A102" s="242"/>
      <c r="B102" s="242"/>
      <c r="C102" s="242"/>
      <c r="D102" s="242"/>
      <c r="E102" s="242"/>
      <c r="F102" s="242"/>
      <c r="G102" s="242"/>
      <c r="H102" s="242"/>
      <c r="I102" s="242"/>
      <c r="J102" s="242"/>
      <c r="K102" s="242"/>
      <c r="L102" s="242"/>
      <c r="M102" s="242"/>
      <c r="N102" s="242"/>
      <c r="O102" s="242"/>
      <c r="P102" s="242"/>
      <c r="Q102" s="242"/>
      <c r="R102" s="242"/>
      <c r="S102" s="242"/>
      <c r="T102" s="242"/>
      <c r="U102" s="242"/>
      <c r="V102" s="242"/>
      <c r="W102" s="242"/>
      <c r="X102" s="242"/>
      <c r="Y102" s="242"/>
      <c r="Z102" s="242"/>
    </row>
    <row r="103" ht="16.5" customHeight="1">
      <c r="A103" s="242"/>
      <c r="B103" s="242"/>
      <c r="C103" s="242"/>
      <c r="D103" s="242"/>
      <c r="E103" s="242"/>
      <c r="F103" s="242"/>
      <c r="G103" s="242"/>
      <c r="H103" s="242"/>
      <c r="I103" s="242"/>
      <c r="J103" s="242"/>
      <c r="K103" s="242"/>
      <c r="L103" s="242"/>
      <c r="M103" s="242"/>
      <c r="N103" s="242"/>
      <c r="O103" s="242"/>
      <c r="P103" s="242"/>
      <c r="Q103" s="242"/>
      <c r="R103" s="242"/>
      <c r="S103" s="242"/>
      <c r="T103" s="242"/>
      <c r="U103" s="242"/>
      <c r="V103" s="242"/>
      <c r="W103" s="242"/>
      <c r="X103" s="242"/>
      <c r="Y103" s="242"/>
      <c r="Z103" s="242"/>
    </row>
    <row r="104" ht="16.5" customHeight="1">
      <c r="A104" s="242"/>
      <c r="B104" s="242"/>
      <c r="C104" s="242"/>
      <c r="D104" s="242"/>
      <c r="E104" s="242"/>
      <c r="F104" s="242"/>
      <c r="G104" s="242"/>
      <c r="H104" s="242"/>
      <c r="I104" s="242"/>
      <c r="J104" s="242"/>
      <c r="K104" s="242"/>
      <c r="L104" s="242"/>
      <c r="M104" s="242"/>
      <c r="N104" s="242"/>
      <c r="O104" s="242"/>
      <c r="P104" s="242"/>
      <c r="Q104" s="242"/>
      <c r="R104" s="242"/>
      <c r="S104" s="242"/>
      <c r="T104" s="242"/>
      <c r="U104" s="242"/>
      <c r="V104" s="242"/>
      <c r="W104" s="242"/>
      <c r="X104" s="242"/>
      <c r="Y104" s="242"/>
      <c r="Z104" s="242"/>
    </row>
    <row r="105" ht="16.5" customHeight="1">
      <c r="A105" s="242"/>
      <c r="B105" s="242"/>
      <c r="C105" s="242"/>
      <c r="D105" s="242"/>
      <c r="E105" s="242"/>
      <c r="F105" s="242"/>
      <c r="G105" s="242"/>
      <c r="H105" s="242"/>
      <c r="I105" s="242"/>
      <c r="J105" s="242"/>
      <c r="K105" s="242"/>
      <c r="L105" s="242"/>
      <c r="M105" s="242"/>
      <c r="N105" s="242"/>
      <c r="O105" s="242"/>
      <c r="P105" s="242"/>
      <c r="Q105" s="242"/>
      <c r="R105" s="242"/>
      <c r="S105" s="242"/>
      <c r="T105" s="242"/>
      <c r="U105" s="242"/>
      <c r="V105" s="242"/>
      <c r="W105" s="242"/>
      <c r="X105" s="242"/>
      <c r="Y105" s="242"/>
      <c r="Z105" s="242"/>
    </row>
    <row r="106" ht="16.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6.5" customHeight="1">
      <c r="A107" s="242" t="s">
        <v>347</v>
      </c>
      <c r="B107" s="244">
        <v>0.0</v>
      </c>
      <c r="C107" s="244" t="s">
        <v>1219</v>
      </c>
      <c r="D107" s="242"/>
      <c r="E107" s="242"/>
      <c r="F107" s="242"/>
      <c r="G107" s="242"/>
      <c r="H107" s="242"/>
      <c r="I107" s="242"/>
      <c r="J107" s="242"/>
      <c r="K107" s="242"/>
      <c r="L107" s="242"/>
      <c r="M107" s="242"/>
      <c r="N107" s="242"/>
      <c r="O107" s="242"/>
      <c r="P107" s="242"/>
      <c r="Q107" s="242"/>
      <c r="R107" s="242"/>
      <c r="S107" s="242"/>
      <c r="T107" s="242"/>
      <c r="U107" s="242"/>
      <c r="V107" s="242"/>
      <c r="W107" s="242"/>
      <c r="X107" s="242"/>
      <c r="Y107" s="242"/>
      <c r="Z107" s="242"/>
    </row>
    <row r="108" ht="16.5" customHeight="1">
      <c r="A108" s="242" t="str">
        <f t="shared" ref="A108:A114" si="8">IF(C108&lt;&gt;"","f_focus_rev_timeperiod","")</f>
        <v>f_focus_rev_timeperiod</v>
      </c>
      <c r="B108" s="242">
        <f t="shared" ref="B108:B114" si="9">IF(C108&lt;&gt;"",B107+1,"")</f>
        <v>1</v>
      </c>
      <c r="C108" s="242" t="str">
        <f>IFERROR(__xludf.DUMMYFUNCTION("Filter('Contextualisation form'!C111:C120,'Contextualisation form'!B111:B120=TRUE)"),"Primary season (.....)")</f>
        <v>Primary season (.....)</v>
      </c>
      <c r="D108" s="242"/>
      <c r="E108" s="242"/>
      <c r="F108" s="242"/>
      <c r="G108" s="242"/>
      <c r="H108" s="242"/>
      <c r="I108" s="242"/>
      <c r="J108" s="242"/>
      <c r="K108" s="242"/>
      <c r="L108" s="242"/>
      <c r="M108" s="242"/>
      <c r="N108" s="242"/>
      <c r="O108" s="242"/>
      <c r="P108" s="242"/>
      <c r="Q108" s="242"/>
      <c r="R108" s="242"/>
      <c r="S108" s="242"/>
      <c r="T108" s="242"/>
      <c r="U108" s="242"/>
      <c r="V108" s="242"/>
      <c r="W108" s="242"/>
      <c r="X108" s="242"/>
      <c r="Y108" s="242"/>
      <c r="Z108" s="242"/>
    </row>
    <row r="109" ht="16.5" customHeight="1">
      <c r="A109" s="242" t="str">
        <f t="shared" si="8"/>
        <v>f_focus_rev_timeperiod</v>
      </c>
      <c r="B109" s="242">
        <f t="shared" si="9"/>
        <v>2</v>
      </c>
      <c r="C109" s="244" t="s">
        <v>1221</v>
      </c>
      <c r="D109" s="242"/>
      <c r="E109" s="242"/>
      <c r="F109" s="242"/>
      <c r="G109" s="242"/>
      <c r="H109" s="242"/>
      <c r="I109" s="242"/>
      <c r="J109" s="242"/>
      <c r="K109" s="242"/>
      <c r="L109" s="242"/>
      <c r="M109" s="242"/>
      <c r="N109" s="242"/>
      <c r="O109" s="242"/>
      <c r="P109" s="242"/>
      <c r="Q109" s="242"/>
      <c r="R109" s="242"/>
      <c r="S109" s="242"/>
      <c r="T109" s="242"/>
      <c r="U109" s="242"/>
      <c r="V109" s="242"/>
      <c r="W109" s="242"/>
      <c r="X109" s="242"/>
      <c r="Y109" s="242"/>
      <c r="Z109" s="242"/>
    </row>
    <row r="110" ht="16.5" customHeight="1">
      <c r="A110" s="242" t="str">
        <f t="shared" si="8"/>
        <v/>
      </c>
      <c r="B110" s="242" t="str">
        <f t="shared" si="9"/>
        <v/>
      </c>
      <c r="C110" s="242"/>
      <c r="D110" s="242"/>
      <c r="E110" s="242"/>
      <c r="F110" s="242"/>
      <c r="G110" s="242"/>
      <c r="H110" s="242"/>
      <c r="I110" s="242"/>
      <c r="J110" s="242"/>
      <c r="K110" s="242"/>
      <c r="L110" s="242"/>
      <c r="M110" s="242"/>
      <c r="N110" s="242"/>
      <c r="O110" s="242"/>
      <c r="P110" s="242"/>
      <c r="Q110" s="242"/>
      <c r="R110" s="242"/>
      <c r="S110" s="242"/>
      <c r="T110" s="242"/>
      <c r="U110" s="242"/>
      <c r="V110" s="242"/>
      <c r="W110" s="242"/>
      <c r="X110" s="242"/>
      <c r="Y110" s="242"/>
      <c r="Z110" s="242"/>
    </row>
    <row r="111" ht="16.5" customHeight="1">
      <c r="A111" s="242" t="str">
        <f t="shared" si="8"/>
        <v/>
      </c>
      <c r="B111" s="242" t="str">
        <f t="shared" si="9"/>
        <v/>
      </c>
      <c r="C111" s="242"/>
      <c r="D111" s="242"/>
      <c r="E111" s="242"/>
      <c r="F111" s="242"/>
      <c r="G111" s="242"/>
      <c r="H111" s="242"/>
      <c r="I111" s="242"/>
      <c r="J111" s="242"/>
      <c r="K111" s="242"/>
      <c r="L111" s="242"/>
      <c r="M111" s="242"/>
      <c r="N111" s="242"/>
      <c r="O111" s="242"/>
      <c r="P111" s="242"/>
      <c r="Q111" s="242"/>
      <c r="R111" s="242"/>
      <c r="S111" s="242"/>
      <c r="T111" s="242"/>
      <c r="U111" s="242"/>
      <c r="V111" s="242"/>
      <c r="W111" s="242"/>
      <c r="X111" s="242"/>
      <c r="Y111" s="242"/>
      <c r="Z111" s="242"/>
    </row>
    <row r="112" ht="16.5" customHeight="1">
      <c r="A112" s="242" t="str">
        <f t="shared" si="8"/>
        <v/>
      </c>
      <c r="B112" s="242" t="str">
        <f t="shared" si="9"/>
        <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row>
    <row r="113" ht="16.5" customHeight="1">
      <c r="A113" s="242" t="str">
        <f t="shared" si="8"/>
        <v/>
      </c>
      <c r="B113" s="242" t="str">
        <f t="shared" si="9"/>
        <v/>
      </c>
      <c r="C113" s="242"/>
      <c r="D113" s="242"/>
      <c r="E113" s="242"/>
      <c r="F113" s="242"/>
      <c r="G113" s="242"/>
      <c r="H113" s="242"/>
      <c r="I113" s="242"/>
      <c r="J113" s="242"/>
      <c r="K113" s="242"/>
      <c r="L113" s="242"/>
      <c r="M113" s="242"/>
      <c r="N113" s="242"/>
      <c r="O113" s="242"/>
      <c r="P113" s="242"/>
      <c r="Q113" s="242"/>
      <c r="R113" s="242"/>
      <c r="S113" s="242"/>
      <c r="T113" s="242"/>
      <c r="U113" s="242"/>
      <c r="V113" s="242"/>
      <c r="W113" s="242"/>
      <c r="X113" s="242"/>
      <c r="Y113" s="242"/>
      <c r="Z113" s="242"/>
    </row>
    <row r="114" ht="16.5" customHeight="1">
      <c r="A114" s="242" t="str">
        <f t="shared" si="8"/>
        <v/>
      </c>
      <c r="B114" s="242" t="str">
        <f t="shared" si="9"/>
        <v/>
      </c>
      <c r="C114" s="242"/>
      <c r="D114" s="242"/>
      <c r="E114" s="242"/>
      <c r="F114" s="242"/>
      <c r="G114" s="242"/>
      <c r="H114" s="242"/>
      <c r="I114" s="242"/>
      <c r="J114" s="242"/>
      <c r="K114" s="242"/>
      <c r="L114" s="242"/>
      <c r="M114" s="242"/>
      <c r="N114" s="242"/>
      <c r="O114" s="242"/>
      <c r="P114" s="242"/>
      <c r="Q114" s="242"/>
      <c r="R114" s="242"/>
      <c r="S114" s="242"/>
      <c r="T114" s="242"/>
      <c r="U114" s="242"/>
      <c r="V114" s="242"/>
      <c r="W114" s="242"/>
      <c r="X114" s="242"/>
      <c r="Y114" s="242"/>
      <c r="Z114" s="242"/>
    </row>
    <row r="115" ht="16.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6.5" customHeight="1">
      <c r="A116" s="242" t="s">
        <v>1222</v>
      </c>
      <c r="B116" s="244">
        <v>0.0</v>
      </c>
      <c r="C116" s="244" t="s">
        <v>1219</v>
      </c>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row>
    <row r="117" ht="16.5" customHeight="1">
      <c r="A117" s="242" t="str">
        <f t="shared" ref="A117:A123" si="10">IF(C117&lt;&gt;"","measurement_prod","")</f>
        <v>measurement_prod</v>
      </c>
      <c r="B117" s="242">
        <f t="shared" ref="B117:B123" si="11">IF(C117&lt;&gt;"",B116+1,"")</f>
        <v>1</v>
      </c>
      <c r="C117" s="242" t="str">
        <f>IFERROR(__xludf.DUMMYFUNCTION("Filter('Contextualisation form'!F91:F98,'Contextualisation form'!E91:E98=TRUE)"),"Kg")</f>
        <v>Kg</v>
      </c>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row>
    <row r="118" ht="16.5" customHeight="1">
      <c r="A118" s="242" t="str">
        <f t="shared" si="10"/>
        <v>measurement_prod</v>
      </c>
      <c r="B118" s="242">
        <f t="shared" si="11"/>
        <v>2</v>
      </c>
      <c r="C118" s="242" t="str">
        <f>IFERROR(__xludf.DUMMYFUNCTION("""COMPUTED_VALUE"""),"Bag")</f>
        <v>Bag</v>
      </c>
      <c r="D118" s="242"/>
      <c r="E118" s="242"/>
      <c r="F118" s="242"/>
      <c r="G118" s="242"/>
      <c r="H118" s="242"/>
      <c r="I118" s="242"/>
      <c r="J118" s="242"/>
      <c r="K118" s="242"/>
      <c r="L118" s="242"/>
      <c r="M118" s="242"/>
      <c r="N118" s="242"/>
      <c r="O118" s="242"/>
      <c r="P118" s="242"/>
      <c r="Q118" s="242"/>
      <c r="R118" s="242"/>
      <c r="S118" s="242"/>
      <c r="T118" s="242"/>
      <c r="U118" s="242"/>
      <c r="V118" s="242"/>
      <c r="W118" s="242"/>
      <c r="X118" s="242"/>
      <c r="Y118" s="242"/>
      <c r="Z118" s="242"/>
    </row>
    <row r="119" ht="16.5" customHeight="1">
      <c r="A119" s="242" t="str">
        <f t="shared" si="10"/>
        <v>measurement_prod</v>
      </c>
      <c r="B119" s="242">
        <f t="shared" si="11"/>
        <v>3</v>
      </c>
      <c r="C119" s="242" t="str">
        <f>IFERROR(__xludf.DUMMYFUNCTION("""COMPUTED_VALUE"""),"Bucket")</f>
        <v>Bucket</v>
      </c>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row>
    <row r="120" ht="16.5" customHeight="1">
      <c r="A120" s="242" t="str">
        <f t="shared" si="10"/>
        <v/>
      </c>
      <c r="B120" s="242" t="str">
        <f t="shared" si="11"/>
        <v/>
      </c>
      <c r="C120" s="242"/>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row>
    <row r="121" ht="16.5" customHeight="1">
      <c r="A121" s="242" t="str">
        <f t="shared" si="10"/>
        <v/>
      </c>
      <c r="B121" s="242" t="str">
        <f t="shared" si="11"/>
        <v/>
      </c>
      <c r="C121" s="242"/>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row>
    <row r="122" ht="16.5" customHeight="1">
      <c r="A122" s="242" t="str">
        <f t="shared" si="10"/>
        <v/>
      </c>
      <c r="B122" s="242" t="str">
        <f t="shared" si="11"/>
        <v/>
      </c>
      <c r="C122" s="242"/>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row>
    <row r="123" ht="16.5" customHeight="1">
      <c r="A123" s="242" t="str">
        <f t="shared" si="10"/>
        <v/>
      </c>
      <c r="B123" s="242" t="str">
        <f t="shared" si="11"/>
        <v/>
      </c>
      <c r="C123" s="245"/>
      <c r="D123" s="245"/>
      <c r="E123" s="245"/>
      <c r="F123" s="245"/>
      <c r="G123" s="245"/>
      <c r="H123" s="245"/>
      <c r="I123" s="245"/>
      <c r="J123" s="245"/>
      <c r="K123" s="245"/>
      <c r="L123" s="245"/>
      <c r="M123" s="245"/>
      <c r="N123" s="245"/>
      <c r="O123" s="245"/>
      <c r="P123" s="245"/>
      <c r="Q123" s="245"/>
      <c r="R123" s="245"/>
      <c r="S123" s="245"/>
      <c r="T123" s="245"/>
      <c r="U123" s="245"/>
      <c r="V123" s="245"/>
      <c r="W123" s="245"/>
      <c r="X123" s="245"/>
      <c r="Y123" s="245"/>
      <c r="Z123" s="245"/>
    </row>
    <row r="124" ht="16.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6.5" customHeight="1">
      <c r="A125" s="108" t="s">
        <v>1223</v>
      </c>
      <c r="B125" s="108">
        <v>1.0</v>
      </c>
      <c r="C125" s="246" t="s">
        <v>1224</v>
      </c>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6.5" customHeight="1">
      <c r="A126" s="108" t="s">
        <v>1223</v>
      </c>
      <c r="B126" s="108">
        <v>2.0</v>
      </c>
      <c r="C126" s="247">
        <v>0.1</v>
      </c>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6.5" customHeight="1">
      <c r="A127" s="108" t="s">
        <v>1223</v>
      </c>
      <c r="B127" s="108">
        <v>3.0</v>
      </c>
      <c r="C127" s="247">
        <v>0.2</v>
      </c>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6.5" customHeight="1">
      <c r="A128" s="108" t="s">
        <v>1223</v>
      </c>
      <c r="B128" s="108">
        <v>4.0</v>
      </c>
      <c r="C128" s="247">
        <v>0.3</v>
      </c>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6.5" customHeight="1">
      <c r="A129" s="108" t="s">
        <v>1223</v>
      </c>
      <c r="B129" s="108">
        <v>5.0</v>
      </c>
      <c r="C129" s="247">
        <v>0.4</v>
      </c>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6.5" customHeight="1">
      <c r="A130" s="108" t="s">
        <v>1223</v>
      </c>
      <c r="B130" s="108">
        <v>6.0</v>
      </c>
      <c r="C130" s="246" t="s">
        <v>1225</v>
      </c>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6.5" customHeight="1">
      <c r="A131" s="108" t="s">
        <v>1223</v>
      </c>
      <c r="B131" s="108">
        <v>7.0</v>
      </c>
      <c r="C131" s="247">
        <v>0.6</v>
      </c>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6.5" customHeight="1">
      <c r="A132" s="108" t="s">
        <v>1223</v>
      </c>
      <c r="B132" s="108">
        <v>8.0</v>
      </c>
      <c r="C132" s="247">
        <v>0.7</v>
      </c>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6.5" customHeight="1">
      <c r="A133" s="108" t="s">
        <v>1223</v>
      </c>
      <c r="B133" s="108">
        <v>9.0</v>
      </c>
      <c r="C133" s="247">
        <v>0.8</v>
      </c>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6.5" customHeight="1">
      <c r="A134" s="108" t="s">
        <v>1223</v>
      </c>
      <c r="B134" s="108">
        <v>10.0</v>
      </c>
      <c r="C134" s="247">
        <v>0.9</v>
      </c>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6.5" customHeight="1">
      <c r="A135" s="108" t="s">
        <v>1223</v>
      </c>
      <c r="B135" s="108">
        <v>11.0</v>
      </c>
      <c r="C135" s="246" t="s">
        <v>1226</v>
      </c>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6.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6.5" customHeight="1">
      <c r="A137" s="108" t="s">
        <v>1227</v>
      </c>
      <c r="B137" s="108">
        <v>0.0</v>
      </c>
      <c r="C137" s="108" t="s">
        <v>1228</v>
      </c>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6.5" customHeight="1">
      <c r="A138" s="108" t="s">
        <v>1227</v>
      </c>
      <c r="B138" s="108">
        <v>1.0</v>
      </c>
      <c r="C138" s="108" t="s">
        <v>1229</v>
      </c>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6.5" customHeight="1">
      <c r="A139" s="108" t="s">
        <v>1227</v>
      </c>
      <c r="B139" s="108">
        <v>2.0</v>
      </c>
      <c r="C139" s="108" t="s">
        <v>1230</v>
      </c>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6.5" customHeight="1">
      <c r="A140" s="108" t="s">
        <v>1227</v>
      </c>
      <c r="B140" s="108">
        <v>3.0</v>
      </c>
      <c r="C140" s="108" t="s">
        <v>1231</v>
      </c>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6.5" customHeight="1">
      <c r="A141" s="108" t="s">
        <v>1227</v>
      </c>
      <c r="B141" s="108">
        <v>4.0</v>
      </c>
      <c r="C141" s="108" t="s">
        <v>1232</v>
      </c>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6.5" customHeight="1">
      <c r="A142" s="108" t="s">
        <v>1227</v>
      </c>
      <c r="B142" s="108">
        <v>5.0</v>
      </c>
      <c r="C142" s="108" t="s">
        <v>1233</v>
      </c>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6.5" customHeight="1">
      <c r="A143" s="108" t="s">
        <v>1227</v>
      </c>
      <c r="B143" s="108">
        <v>9999.0</v>
      </c>
      <c r="C143" s="108" t="s">
        <v>1215</v>
      </c>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6.5" customHeight="1">
      <c r="A144" s="108" t="s">
        <v>1227</v>
      </c>
      <c r="B144" s="108">
        <v>9998.0</v>
      </c>
      <c r="C144" s="108" t="s">
        <v>1216</v>
      </c>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6.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6.5" customHeight="1">
      <c r="A146" s="108" t="s">
        <v>1234</v>
      </c>
      <c r="B146" s="108">
        <v>1.0</v>
      </c>
      <c r="C146" s="180" t="str">
        <f>concatenate("Yes, I did lose part of the ",'Contextualisation form'!D15  ," produced but I don't know how much I lost")</f>
        <v>Yes, I did lose part of the cocoa produced but I don't know how much I lost</v>
      </c>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6.5" customHeight="1">
      <c r="A147" s="108" t="s">
        <v>1234</v>
      </c>
      <c r="B147" s="108">
        <v>2.0</v>
      </c>
      <c r="C147" s="180" t="str">
        <f>concatenate("Yes, I did lose part of the ", 'Contextualisation form'!D15," produced and I know how much we lost")</f>
        <v>Yes, I did lose part of the cocoa produced and I know how much we lost</v>
      </c>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6.5" customHeight="1">
      <c r="A148" s="108" t="s">
        <v>1234</v>
      </c>
      <c r="B148" s="108">
        <v>3.0</v>
      </c>
      <c r="C148" s="180" t="str">
        <f>concatenate("No, we did not lose part of the ",'Contextualisation form'!D15," produced.")</f>
        <v>No, we did not lose part of the cocoa produced.</v>
      </c>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6.5" customHeight="1">
      <c r="A149" s="108"/>
      <c r="B149" s="108"/>
      <c r="C149" s="180"/>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6.5" customHeight="1">
      <c r="A150" s="108" t="s">
        <v>1235</v>
      </c>
      <c r="B150" s="108">
        <v>1.0</v>
      </c>
      <c r="C150" s="108" t="s">
        <v>1205</v>
      </c>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6.5" customHeight="1">
      <c r="A151" s="108" t="s">
        <v>1235</v>
      </c>
      <c r="B151" s="108">
        <v>2.0</v>
      </c>
      <c r="C151" s="108" t="s">
        <v>1204</v>
      </c>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6.5" customHeight="1">
      <c r="A152" s="108" t="s">
        <v>1235</v>
      </c>
      <c r="B152" s="108">
        <v>9999.0</v>
      </c>
      <c r="C152" s="108" t="s">
        <v>1236</v>
      </c>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6.5" customHeight="1">
      <c r="A153" s="108" t="s">
        <v>1235</v>
      </c>
      <c r="B153" s="108">
        <v>9998.0</v>
      </c>
      <c r="C153" s="108" t="s">
        <v>1237</v>
      </c>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6.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6.5" customHeight="1">
      <c r="A155" s="108" t="s">
        <v>1238</v>
      </c>
      <c r="B155" s="108">
        <v>0.0</v>
      </c>
      <c r="C155" s="108" t="s">
        <v>1239</v>
      </c>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6.5" customHeight="1">
      <c r="A156" s="108" t="s">
        <v>1238</v>
      </c>
      <c r="B156" s="108">
        <v>1.0</v>
      </c>
      <c r="C156" s="108" t="s">
        <v>1240</v>
      </c>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6.5" customHeight="1">
      <c r="A157" s="108" t="s">
        <v>1238</v>
      </c>
      <c r="B157" s="108">
        <v>2.0</v>
      </c>
      <c r="C157" s="108" t="s">
        <v>1241</v>
      </c>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6.5" customHeight="1">
      <c r="A158" s="108" t="s">
        <v>1238</v>
      </c>
      <c r="B158" s="108">
        <v>3.0</v>
      </c>
      <c r="C158" s="108" t="s">
        <v>1242</v>
      </c>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6.5" customHeight="1">
      <c r="A159" s="108" t="s">
        <v>1238</v>
      </c>
      <c r="B159" s="108">
        <v>4.0</v>
      </c>
      <c r="C159" s="108" t="s">
        <v>1243</v>
      </c>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6.5" customHeight="1">
      <c r="A160" s="108" t="s">
        <v>1238</v>
      </c>
      <c r="B160" s="108">
        <v>5.0</v>
      </c>
      <c r="C160" s="108" t="s">
        <v>1244</v>
      </c>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6.5" customHeight="1">
      <c r="A161" s="108" t="s">
        <v>1238</v>
      </c>
      <c r="B161" s="108">
        <v>6.0</v>
      </c>
      <c r="C161" s="108" t="s">
        <v>1245</v>
      </c>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6.5" customHeight="1">
      <c r="A162" s="108" t="s">
        <v>1238</v>
      </c>
      <c r="B162" s="108">
        <v>7.0</v>
      </c>
      <c r="C162" s="108" t="s">
        <v>1246</v>
      </c>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6.5" customHeight="1">
      <c r="A163" s="108" t="s">
        <v>1238</v>
      </c>
      <c r="B163" s="180">
        <v>77.0</v>
      </c>
      <c r="C163" s="108" t="s">
        <v>1247</v>
      </c>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6.5" customHeight="1">
      <c r="A164" s="108" t="s">
        <v>1238</v>
      </c>
      <c r="B164" s="108">
        <v>9999.0</v>
      </c>
      <c r="C164" s="108" t="s">
        <v>1215</v>
      </c>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6.5" customHeight="1">
      <c r="A165" s="108" t="s">
        <v>1238</v>
      </c>
      <c r="B165" s="108">
        <v>9998.0</v>
      </c>
      <c r="C165" s="108" t="s">
        <v>1216</v>
      </c>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6.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6.5" customHeight="1">
      <c r="A167" s="108" t="s">
        <v>1248</v>
      </c>
      <c r="B167" s="108">
        <v>1.0</v>
      </c>
      <c r="C167" s="108" t="s">
        <v>1249</v>
      </c>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6.5" customHeight="1">
      <c r="A168" s="108" t="s">
        <v>1248</v>
      </c>
      <c r="B168" s="108">
        <v>2.0</v>
      </c>
      <c r="C168" s="108" t="s">
        <v>1250</v>
      </c>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6.5" customHeight="1">
      <c r="A169" s="108" t="s">
        <v>1248</v>
      </c>
      <c r="B169" s="108">
        <v>3.0</v>
      </c>
      <c r="C169" s="108" t="s">
        <v>1251</v>
      </c>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6.5" customHeight="1">
      <c r="A170" s="108" t="s">
        <v>1248</v>
      </c>
      <c r="B170" s="108">
        <v>9999.0</v>
      </c>
      <c r="C170" s="108" t="s">
        <v>1252</v>
      </c>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6.5" customHeight="1">
      <c r="A171" s="108" t="s">
        <v>1248</v>
      </c>
      <c r="B171" s="108">
        <v>9998.0</v>
      </c>
      <c r="C171" s="108" t="s">
        <v>1216</v>
      </c>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6.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6.5" customHeight="1">
      <c r="A173" s="108" t="s">
        <v>1253</v>
      </c>
      <c r="B173" s="108">
        <v>1.0</v>
      </c>
      <c r="C173" s="108" t="s">
        <v>1254</v>
      </c>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6.5" customHeight="1">
      <c r="A174" s="108" t="s">
        <v>1253</v>
      </c>
      <c r="B174" s="108">
        <v>2.0</v>
      </c>
      <c r="C174" s="108" t="s">
        <v>1255</v>
      </c>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6.5" customHeight="1">
      <c r="A175" s="108" t="s">
        <v>1253</v>
      </c>
      <c r="B175" s="108">
        <v>3.0</v>
      </c>
      <c r="C175" s="108" t="s">
        <v>1256</v>
      </c>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6.5" customHeight="1">
      <c r="A176" s="108" t="s">
        <v>1253</v>
      </c>
      <c r="B176" s="108">
        <v>4.0</v>
      </c>
      <c r="C176" s="108" t="s">
        <v>1257</v>
      </c>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6.5" customHeight="1">
      <c r="A177" s="108" t="s">
        <v>1253</v>
      </c>
      <c r="B177" s="108">
        <v>5.0</v>
      </c>
      <c r="C177" s="108" t="s">
        <v>1258</v>
      </c>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6.5" customHeight="1">
      <c r="A178" s="108" t="s">
        <v>1253</v>
      </c>
      <c r="B178" s="108">
        <v>6.0</v>
      </c>
      <c r="C178" s="108" t="s">
        <v>1259</v>
      </c>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6.5" customHeight="1">
      <c r="A179" s="108" t="s">
        <v>1253</v>
      </c>
      <c r="B179" s="108">
        <v>7.0</v>
      </c>
      <c r="C179" s="108" t="s">
        <v>1260</v>
      </c>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6.5" customHeight="1">
      <c r="A180" s="108" t="s">
        <v>1253</v>
      </c>
      <c r="B180" s="108">
        <v>8.0</v>
      </c>
      <c r="C180" s="108" t="s">
        <v>1261</v>
      </c>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6.5" customHeight="1">
      <c r="A181" s="108" t="s">
        <v>1253</v>
      </c>
      <c r="B181" s="108">
        <v>9.0</v>
      </c>
      <c r="C181" s="108" t="s">
        <v>1262</v>
      </c>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6.5" customHeight="1">
      <c r="A182" s="108" t="s">
        <v>1253</v>
      </c>
      <c r="B182" s="108">
        <v>10.0</v>
      </c>
      <c r="C182" s="108" t="s">
        <v>1263</v>
      </c>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6.5" customHeight="1">
      <c r="A183" s="108" t="s">
        <v>1253</v>
      </c>
      <c r="B183" s="108">
        <v>11.0</v>
      </c>
      <c r="C183" s="108" t="s">
        <v>1264</v>
      </c>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6.5" customHeight="1">
      <c r="A184" s="108" t="s">
        <v>1253</v>
      </c>
      <c r="B184" s="108">
        <v>0.0</v>
      </c>
      <c r="C184" s="108" t="s">
        <v>1265</v>
      </c>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6.5" customHeight="1">
      <c r="A185" s="108" t="s">
        <v>1253</v>
      </c>
      <c r="B185" s="108">
        <v>9999.0</v>
      </c>
      <c r="C185" s="108" t="s">
        <v>1266</v>
      </c>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6.5" customHeight="1">
      <c r="A186" s="108" t="s">
        <v>1253</v>
      </c>
      <c r="B186" s="108">
        <v>9998.0</v>
      </c>
      <c r="C186" s="108" t="s">
        <v>1267</v>
      </c>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6.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6.5" customHeight="1">
      <c r="A188" s="108" t="s">
        <v>1268</v>
      </c>
      <c r="B188" s="108">
        <v>1.0</v>
      </c>
      <c r="C188" s="108" t="s">
        <v>1269</v>
      </c>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6.5" customHeight="1">
      <c r="A189" s="108" t="s">
        <v>1268</v>
      </c>
      <c r="B189" s="108">
        <v>2.0</v>
      </c>
      <c r="C189" s="108" t="s">
        <v>1270</v>
      </c>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6.5" customHeight="1">
      <c r="A190" s="108" t="s">
        <v>1268</v>
      </c>
      <c r="B190" s="108">
        <v>3.0</v>
      </c>
      <c r="C190" s="108" t="s">
        <v>1271</v>
      </c>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6.5" customHeight="1">
      <c r="A191" s="108" t="s">
        <v>1268</v>
      </c>
      <c r="B191" s="108">
        <v>4.0</v>
      </c>
      <c r="C191" s="108" t="s">
        <v>1272</v>
      </c>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6.5" customHeight="1">
      <c r="A192" s="108" t="s">
        <v>1268</v>
      </c>
      <c r="B192" s="180">
        <v>77.0</v>
      </c>
      <c r="C192" s="180" t="s">
        <v>1209</v>
      </c>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6.5" customHeight="1">
      <c r="A193" s="108" t="s">
        <v>1268</v>
      </c>
      <c r="B193" s="108">
        <v>9999.0</v>
      </c>
      <c r="C193" s="108" t="s">
        <v>1215</v>
      </c>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6.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6.5" customHeight="1">
      <c r="A195" s="108" t="s">
        <v>1273</v>
      </c>
      <c r="B195" s="108">
        <v>0.0</v>
      </c>
      <c r="C195" s="108" t="s">
        <v>1274</v>
      </c>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6.5" customHeight="1">
      <c r="A196" s="108" t="s">
        <v>1273</v>
      </c>
      <c r="B196" s="108">
        <v>1.0</v>
      </c>
      <c r="C196" s="108" t="s">
        <v>1275</v>
      </c>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6.5" customHeight="1">
      <c r="A197" s="108" t="s">
        <v>1273</v>
      </c>
      <c r="B197" s="108">
        <v>2.0</v>
      </c>
      <c r="C197" s="108" t="s">
        <v>1276</v>
      </c>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6.5" customHeight="1">
      <c r="A198" s="108" t="s">
        <v>1273</v>
      </c>
      <c r="B198" s="108">
        <v>3.0</v>
      </c>
      <c r="C198" s="108" t="s">
        <v>1277</v>
      </c>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6.5" customHeight="1">
      <c r="A199" s="108" t="s">
        <v>1273</v>
      </c>
      <c r="B199" s="108">
        <v>4.0</v>
      </c>
      <c r="C199" s="108" t="s">
        <v>1278</v>
      </c>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6.5" customHeight="1">
      <c r="A200" s="108" t="s">
        <v>1273</v>
      </c>
      <c r="B200" s="108">
        <v>5.0</v>
      </c>
      <c r="C200" s="108" t="s">
        <v>1279</v>
      </c>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6.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6.5" customHeight="1">
      <c r="A202" s="108" t="s">
        <v>1280</v>
      </c>
      <c r="B202" s="108">
        <v>1.0</v>
      </c>
      <c r="C202" s="108" t="s">
        <v>1281</v>
      </c>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6.5" customHeight="1">
      <c r="A203" s="108" t="s">
        <v>1280</v>
      </c>
      <c r="B203" s="108">
        <v>2.0</v>
      </c>
      <c r="C203" s="108" t="s">
        <v>1282</v>
      </c>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6.5" customHeight="1">
      <c r="A204" s="108" t="s">
        <v>1280</v>
      </c>
      <c r="B204" s="108">
        <v>3.0</v>
      </c>
      <c r="C204" s="108" t="s">
        <v>1283</v>
      </c>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6.5" customHeight="1">
      <c r="A205" s="108" t="s">
        <v>1280</v>
      </c>
      <c r="B205" s="108">
        <v>4.0</v>
      </c>
      <c r="C205" s="108" t="s">
        <v>1284</v>
      </c>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6.5" customHeight="1">
      <c r="A206" s="108" t="s">
        <v>1280</v>
      </c>
      <c r="B206" s="108">
        <v>5.0</v>
      </c>
      <c r="C206" s="108" t="s">
        <v>1285</v>
      </c>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6.5" customHeight="1">
      <c r="A207" s="108" t="s">
        <v>1280</v>
      </c>
      <c r="B207" s="108">
        <v>6.0</v>
      </c>
      <c r="C207" s="108" t="s">
        <v>1286</v>
      </c>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6.5" customHeight="1">
      <c r="A208" s="108" t="s">
        <v>1280</v>
      </c>
      <c r="B208" s="108">
        <v>9999.0</v>
      </c>
      <c r="C208" s="108" t="s">
        <v>1215</v>
      </c>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6.5" customHeight="1">
      <c r="A209" s="108" t="s">
        <v>1280</v>
      </c>
      <c r="B209" s="108">
        <v>9998.0</v>
      </c>
      <c r="C209" s="108" t="s">
        <v>1216</v>
      </c>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6.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6.5" customHeight="1">
      <c r="A211" s="108" t="s">
        <v>1287</v>
      </c>
      <c r="B211" s="108">
        <v>1.0</v>
      </c>
      <c r="C211" s="108" t="s">
        <v>1288</v>
      </c>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6.5" customHeight="1">
      <c r="A212" s="108" t="s">
        <v>1287</v>
      </c>
      <c r="B212" s="108">
        <v>2.0</v>
      </c>
      <c r="C212" s="108" t="s">
        <v>1289</v>
      </c>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6.5" customHeight="1">
      <c r="A213" s="108" t="s">
        <v>1287</v>
      </c>
      <c r="B213" s="108">
        <v>3.0</v>
      </c>
      <c r="C213" s="108" t="s">
        <v>1290</v>
      </c>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6.5" customHeight="1">
      <c r="A214" s="108" t="s">
        <v>1287</v>
      </c>
      <c r="B214" s="108">
        <v>4.0</v>
      </c>
      <c r="C214" s="108" t="s">
        <v>1291</v>
      </c>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6.5" customHeight="1">
      <c r="A215" s="108" t="s">
        <v>1287</v>
      </c>
      <c r="B215" s="108">
        <v>5.0</v>
      </c>
      <c r="C215" s="108" t="s">
        <v>1292</v>
      </c>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6.5" customHeight="1">
      <c r="A216" s="108" t="s">
        <v>1287</v>
      </c>
      <c r="B216" s="108">
        <v>6.0</v>
      </c>
      <c r="C216" s="108" t="s">
        <v>1293</v>
      </c>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6.5" customHeight="1">
      <c r="A217" s="108" t="s">
        <v>1287</v>
      </c>
      <c r="B217" s="108">
        <v>9999.0</v>
      </c>
      <c r="C217" s="108" t="s">
        <v>1215</v>
      </c>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6.5" customHeight="1">
      <c r="A218" s="108" t="s">
        <v>1287</v>
      </c>
      <c r="B218" s="108">
        <v>9998.0</v>
      </c>
      <c r="C218" s="108" t="s">
        <v>1216</v>
      </c>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6.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6.5" customHeight="1">
      <c r="A220" s="108" t="s">
        <v>1294</v>
      </c>
      <c r="B220" s="108">
        <v>1.0</v>
      </c>
      <c r="C220" s="108" t="s">
        <v>1295</v>
      </c>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6.5" customHeight="1">
      <c r="A221" s="108" t="s">
        <v>1294</v>
      </c>
      <c r="B221" s="108">
        <v>2.0</v>
      </c>
      <c r="C221" s="108" t="s">
        <v>1296</v>
      </c>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6.5" customHeight="1">
      <c r="A222" s="108" t="s">
        <v>1294</v>
      </c>
      <c r="B222" s="108">
        <v>3.0</v>
      </c>
      <c r="C222" s="108" t="s">
        <v>1297</v>
      </c>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6.5" customHeight="1">
      <c r="A223" s="108" t="s">
        <v>1294</v>
      </c>
      <c r="B223" s="108">
        <v>4.0</v>
      </c>
      <c r="C223" s="108" t="s">
        <v>1298</v>
      </c>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6.5" customHeight="1">
      <c r="A224" s="108" t="s">
        <v>1294</v>
      </c>
      <c r="B224" s="180">
        <v>77.0</v>
      </c>
      <c r="C224" s="108" t="s">
        <v>1247</v>
      </c>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6.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6.5" customHeight="1">
      <c r="A226" s="180" t="s">
        <v>1299</v>
      </c>
      <c r="B226" s="108">
        <v>0.0</v>
      </c>
      <c r="C226" s="108" t="s">
        <v>1300</v>
      </c>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6.5" customHeight="1">
      <c r="A227" s="180" t="s">
        <v>1299</v>
      </c>
      <c r="B227" s="108">
        <v>1.0</v>
      </c>
      <c r="C227" s="108" t="s">
        <v>1301</v>
      </c>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6.5" customHeight="1">
      <c r="A228" s="180" t="s">
        <v>1299</v>
      </c>
      <c r="B228" s="108">
        <v>2.0</v>
      </c>
      <c r="C228" s="108" t="s">
        <v>1302</v>
      </c>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6.5" customHeight="1">
      <c r="A229" s="180" t="s">
        <v>1299</v>
      </c>
      <c r="B229" s="108">
        <v>3.0</v>
      </c>
      <c r="C229" s="108" t="s">
        <v>1303</v>
      </c>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6.5" customHeight="1">
      <c r="A230" s="180" t="s">
        <v>1299</v>
      </c>
      <c r="B230" s="108">
        <v>4.0</v>
      </c>
      <c r="C230" s="108" t="s">
        <v>1304</v>
      </c>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6.5" customHeight="1">
      <c r="A231" s="180" t="s">
        <v>1299</v>
      </c>
      <c r="B231" s="108">
        <v>5.0</v>
      </c>
      <c r="C231" s="108" t="s">
        <v>1305</v>
      </c>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16.5" customHeight="1">
      <c r="A232" s="180" t="s">
        <v>1299</v>
      </c>
      <c r="B232" s="108">
        <v>6.0</v>
      </c>
      <c r="C232" s="108" t="s">
        <v>1306</v>
      </c>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16.5" customHeight="1">
      <c r="A233" s="180" t="s">
        <v>1299</v>
      </c>
      <c r="B233" s="108">
        <v>7.0</v>
      </c>
      <c r="C233" s="108" t="s">
        <v>1307</v>
      </c>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16.5" customHeight="1">
      <c r="A234" s="180" t="s">
        <v>1299</v>
      </c>
      <c r="B234" s="108">
        <v>8.0</v>
      </c>
      <c r="C234" s="108" t="s">
        <v>1308</v>
      </c>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16.5" customHeight="1">
      <c r="A235" s="180" t="s">
        <v>1299</v>
      </c>
      <c r="B235" s="108">
        <v>9.0</v>
      </c>
      <c r="C235" s="108" t="s">
        <v>1309</v>
      </c>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16.5" customHeight="1">
      <c r="A236" s="180" t="s">
        <v>1299</v>
      </c>
      <c r="B236" s="108">
        <v>10.0</v>
      </c>
      <c r="C236" s="108" t="s">
        <v>1310</v>
      </c>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16.5" customHeight="1">
      <c r="A237" s="180" t="s">
        <v>1299</v>
      </c>
      <c r="B237" s="108">
        <v>11.0</v>
      </c>
      <c r="C237" s="108" t="s">
        <v>1311</v>
      </c>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16.5" customHeight="1">
      <c r="A238" s="180" t="s">
        <v>1299</v>
      </c>
      <c r="B238" s="108">
        <v>12.0</v>
      </c>
      <c r="C238" s="108" t="s">
        <v>1312</v>
      </c>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16.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16.5" customHeight="1">
      <c r="A240" s="108" t="s">
        <v>1313</v>
      </c>
      <c r="B240" s="180">
        <v>1.0</v>
      </c>
      <c r="C240" s="108" t="s">
        <v>1314</v>
      </c>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16.5" customHeight="1">
      <c r="A241" s="108" t="s">
        <v>1313</v>
      </c>
      <c r="B241" s="180">
        <v>2.0</v>
      </c>
      <c r="C241" s="108" t="s">
        <v>1315</v>
      </c>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16.5" customHeight="1">
      <c r="A242" s="108" t="s">
        <v>1313</v>
      </c>
      <c r="B242" s="180">
        <v>3.0</v>
      </c>
      <c r="C242" s="108" t="s">
        <v>1316</v>
      </c>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16.5" customHeight="1">
      <c r="A243" s="108" t="s">
        <v>1313</v>
      </c>
      <c r="B243" s="180">
        <v>4.0</v>
      </c>
      <c r="C243" s="108" t="s">
        <v>1317</v>
      </c>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16.5" customHeight="1">
      <c r="A244" s="108" t="s">
        <v>1313</v>
      </c>
      <c r="B244" s="180">
        <v>5.0</v>
      </c>
      <c r="C244" s="108" t="s">
        <v>1318</v>
      </c>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16.5" customHeight="1">
      <c r="A245" s="108" t="s">
        <v>1313</v>
      </c>
      <c r="B245" s="180">
        <v>6.0</v>
      </c>
      <c r="C245" s="108" t="s">
        <v>1319</v>
      </c>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16.5" customHeight="1">
      <c r="A246" s="108" t="s">
        <v>1313</v>
      </c>
      <c r="B246" s="180">
        <v>7.0</v>
      </c>
      <c r="C246" s="108" t="s">
        <v>1320</v>
      </c>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16.5" customHeight="1">
      <c r="A247" s="108" t="s">
        <v>1313</v>
      </c>
      <c r="B247" s="180">
        <v>8.0</v>
      </c>
      <c r="C247" s="108" t="s">
        <v>1321</v>
      </c>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16.5" customHeight="1">
      <c r="A248" s="108" t="s">
        <v>1313</v>
      </c>
      <c r="B248" s="180">
        <v>9.0</v>
      </c>
      <c r="C248" s="108" t="s">
        <v>1322</v>
      </c>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16.5" customHeight="1">
      <c r="A249" s="108" t="s">
        <v>1313</v>
      </c>
      <c r="B249" s="180">
        <v>10.0</v>
      </c>
      <c r="C249" s="108" t="s">
        <v>1323</v>
      </c>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16.5" customHeight="1">
      <c r="A250" s="108" t="s">
        <v>1313</v>
      </c>
      <c r="B250" s="180">
        <v>11.0</v>
      </c>
      <c r="C250" s="108" t="s">
        <v>1324</v>
      </c>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16.5" customHeight="1">
      <c r="A251" s="108" t="s">
        <v>1313</v>
      </c>
      <c r="B251" s="180">
        <v>12.0</v>
      </c>
      <c r="C251" s="99" t="s">
        <v>1325</v>
      </c>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16.5" customHeight="1">
      <c r="A252" s="108" t="s">
        <v>1313</v>
      </c>
      <c r="B252" s="180">
        <v>77.0</v>
      </c>
      <c r="C252" s="180" t="s">
        <v>1209</v>
      </c>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16.5" customHeight="1">
      <c r="A253" s="108" t="s">
        <v>1313</v>
      </c>
      <c r="B253" s="180">
        <v>0.0</v>
      </c>
      <c r="C253" s="180" t="s">
        <v>1326</v>
      </c>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16.5" customHeight="1">
      <c r="A254" s="108" t="s">
        <v>1313</v>
      </c>
      <c r="B254" s="108">
        <v>9999.0</v>
      </c>
      <c r="C254" s="108" t="s">
        <v>1215</v>
      </c>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16.5" customHeight="1">
      <c r="A255" s="108" t="s">
        <v>1313</v>
      </c>
      <c r="B255" s="108">
        <v>9998.0</v>
      </c>
      <c r="C255" s="108" t="s">
        <v>1216</v>
      </c>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16.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16.5" customHeight="1">
      <c r="A257" s="239" t="s">
        <v>1327</v>
      </c>
      <c r="B257" s="239">
        <v>1.0</v>
      </c>
      <c r="C257" s="239" t="str">
        <f>IFERROR(__xludf.DUMMYFUNCTION("Filter('Contextualisation form'!F165:F171,'Contextualisation form'!E165:E171=TRUE)"),"Farmer Cooperative")</f>
        <v>Farmer Cooperative</v>
      </c>
      <c r="D257" s="239"/>
      <c r="E257" s="239"/>
      <c r="F257" s="239"/>
      <c r="G257" s="239"/>
      <c r="H257" s="239"/>
      <c r="I257" s="239"/>
      <c r="J257" s="239"/>
      <c r="K257" s="239"/>
      <c r="L257" s="239"/>
      <c r="M257" s="239"/>
      <c r="N257" s="239"/>
      <c r="O257" s="239"/>
      <c r="P257" s="239"/>
      <c r="Q257" s="239"/>
      <c r="R257" s="239"/>
      <c r="S257" s="239"/>
      <c r="T257" s="239"/>
      <c r="U257" s="239"/>
      <c r="V257" s="239"/>
      <c r="W257" s="239"/>
      <c r="X257" s="239"/>
      <c r="Y257" s="239"/>
      <c r="Z257" s="239"/>
    </row>
    <row r="258" ht="16.5" customHeight="1">
      <c r="A258" s="242" t="str">
        <f t="shared" ref="A258:A263" si="12">IF(C258&lt;&gt;"","organisation_type","")</f>
        <v>organisation_type</v>
      </c>
      <c r="B258" s="242">
        <f t="shared" ref="B258:B263" si="13">IF(C258&lt;&gt;"",B257+1,"")</f>
        <v>2</v>
      </c>
      <c r="C258" s="239" t="str">
        <f>IFERROR(__xludf.DUMMYFUNCTION("""COMPUTED_VALUE"""),"VSLA")</f>
        <v>VSLA</v>
      </c>
      <c r="D258" s="239"/>
      <c r="E258" s="239"/>
      <c r="F258" s="239"/>
      <c r="G258" s="239"/>
      <c r="H258" s="239"/>
      <c r="I258" s="239"/>
      <c r="J258" s="239"/>
      <c r="K258" s="239"/>
      <c r="L258" s="239"/>
      <c r="M258" s="239"/>
      <c r="N258" s="239"/>
      <c r="O258" s="239"/>
      <c r="P258" s="239"/>
      <c r="Q258" s="239"/>
      <c r="R258" s="239"/>
      <c r="S258" s="239"/>
      <c r="T258" s="239"/>
      <c r="U258" s="239"/>
      <c r="V258" s="239"/>
      <c r="W258" s="239"/>
      <c r="X258" s="239"/>
      <c r="Y258" s="239"/>
      <c r="Z258" s="239"/>
    </row>
    <row r="259" ht="16.5" customHeight="1">
      <c r="A259" s="242" t="str">
        <f t="shared" si="12"/>
        <v>organisation_type</v>
      </c>
      <c r="B259" s="242">
        <f t="shared" si="13"/>
        <v>3</v>
      </c>
      <c r="C259" s="239" t="str">
        <f>IFERROR(__xludf.DUMMYFUNCTION("""COMPUTED_VALUE"""),"SACCO")</f>
        <v>SACCO</v>
      </c>
      <c r="D259" s="239"/>
      <c r="E259" s="239"/>
      <c r="F259" s="239"/>
      <c r="G259" s="239"/>
      <c r="H259" s="239"/>
      <c r="I259" s="239"/>
      <c r="J259" s="239"/>
      <c r="K259" s="239"/>
      <c r="L259" s="239"/>
      <c r="M259" s="239"/>
      <c r="N259" s="239"/>
      <c r="O259" s="239"/>
      <c r="P259" s="239"/>
      <c r="Q259" s="239"/>
      <c r="R259" s="239"/>
      <c r="S259" s="239"/>
      <c r="T259" s="239"/>
      <c r="U259" s="239"/>
      <c r="V259" s="239"/>
      <c r="W259" s="239"/>
      <c r="X259" s="239"/>
      <c r="Y259" s="239"/>
      <c r="Z259" s="239"/>
    </row>
    <row r="260" ht="16.5" customHeight="1">
      <c r="A260" s="242" t="str">
        <f t="shared" si="12"/>
        <v>organisation_type</v>
      </c>
      <c r="B260" s="242">
        <f t="shared" si="13"/>
        <v>4</v>
      </c>
      <c r="C260" s="239" t="str">
        <f>IFERROR(__xludf.DUMMYFUNCTION("""COMPUTED_VALUE"""),"Community groups")</f>
        <v>Community groups</v>
      </c>
      <c r="D260" s="239"/>
      <c r="E260" s="239"/>
      <c r="F260" s="239"/>
      <c r="G260" s="239"/>
      <c r="H260" s="239"/>
      <c r="I260" s="239"/>
      <c r="J260" s="239"/>
      <c r="K260" s="239"/>
      <c r="L260" s="239"/>
      <c r="M260" s="239"/>
      <c r="N260" s="239"/>
      <c r="O260" s="239"/>
      <c r="P260" s="239"/>
      <c r="Q260" s="239"/>
      <c r="R260" s="239"/>
      <c r="S260" s="239"/>
      <c r="T260" s="239"/>
      <c r="U260" s="239"/>
      <c r="V260" s="239"/>
      <c r="W260" s="239"/>
      <c r="X260" s="239"/>
      <c r="Y260" s="239"/>
      <c r="Z260" s="239"/>
    </row>
    <row r="261" ht="16.5" customHeight="1">
      <c r="A261" s="242" t="str">
        <f t="shared" si="12"/>
        <v/>
      </c>
      <c r="B261" s="242" t="str">
        <f t="shared" si="13"/>
        <v/>
      </c>
      <c r="C261" s="239"/>
      <c r="D261" s="239"/>
      <c r="E261" s="239"/>
      <c r="F261" s="239"/>
      <c r="G261" s="239"/>
      <c r="H261" s="239"/>
      <c r="I261" s="239"/>
      <c r="J261" s="239"/>
      <c r="K261" s="239"/>
      <c r="L261" s="239"/>
      <c r="M261" s="239"/>
      <c r="N261" s="239"/>
      <c r="O261" s="239"/>
      <c r="P261" s="239"/>
      <c r="Q261" s="239"/>
      <c r="R261" s="239"/>
      <c r="S261" s="239"/>
      <c r="T261" s="239"/>
      <c r="U261" s="239"/>
      <c r="V261" s="239"/>
      <c r="W261" s="239"/>
      <c r="X261" s="239"/>
      <c r="Y261" s="239"/>
      <c r="Z261" s="239"/>
    </row>
    <row r="262" ht="16.5" customHeight="1">
      <c r="A262" s="242" t="str">
        <f t="shared" si="12"/>
        <v/>
      </c>
      <c r="B262" s="242" t="str">
        <f t="shared" si="13"/>
        <v/>
      </c>
      <c r="C262" s="239"/>
      <c r="D262" s="239"/>
      <c r="E262" s="239"/>
      <c r="F262" s="239"/>
      <c r="G262" s="239"/>
      <c r="H262" s="239"/>
      <c r="I262" s="239"/>
      <c r="J262" s="239"/>
      <c r="K262" s="239"/>
      <c r="L262" s="239"/>
      <c r="M262" s="239"/>
      <c r="N262" s="239"/>
      <c r="O262" s="239"/>
      <c r="P262" s="239"/>
      <c r="Q262" s="239"/>
      <c r="R262" s="239"/>
      <c r="S262" s="239"/>
      <c r="T262" s="239"/>
      <c r="U262" s="239"/>
      <c r="V262" s="239"/>
      <c r="W262" s="239"/>
      <c r="X262" s="239"/>
      <c r="Y262" s="239"/>
      <c r="Z262" s="239"/>
    </row>
    <row r="263" ht="16.5" customHeight="1">
      <c r="A263" s="242" t="str">
        <f t="shared" si="12"/>
        <v/>
      </c>
      <c r="B263" s="242" t="str">
        <f t="shared" si="13"/>
        <v/>
      </c>
      <c r="C263" s="239"/>
      <c r="D263" s="239"/>
      <c r="E263" s="239"/>
      <c r="F263" s="239"/>
      <c r="G263" s="239"/>
      <c r="H263" s="239"/>
      <c r="I263" s="239"/>
      <c r="J263" s="239"/>
      <c r="K263" s="239"/>
      <c r="L263" s="239"/>
      <c r="M263" s="239"/>
      <c r="N263" s="239"/>
      <c r="O263" s="239"/>
      <c r="P263" s="239"/>
      <c r="Q263" s="239"/>
      <c r="R263" s="239"/>
      <c r="S263" s="239"/>
      <c r="T263" s="239"/>
      <c r="U263" s="239"/>
      <c r="V263" s="239"/>
      <c r="W263" s="239"/>
      <c r="X263" s="239"/>
      <c r="Y263" s="239"/>
      <c r="Z263" s="239"/>
    </row>
    <row r="264" ht="16.5" customHeight="1">
      <c r="A264" s="239" t="s">
        <v>1327</v>
      </c>
      <c r="B264" s="248">
        <v>77.0</v>
      </c>
      <c r="C264" s="239" t="s">
        <v>1247</v>
      </c>
      <c r="D264" s="239"/>
      <c r="E264" s="239"/>
      <c r="F264" s="239"/>
      <c r="G264" s="239"/>
      <c r="H264" s="239"/>
      <c r="I264" s="239"/>
      <c r="J264" s="239"/>
      <c r="K264" s="239"/>
      <c r="L264" s="239"/>
      <c r="M264" s="239"/>
      <c r="N264" s="239"/>
      <c r="O264" s="239"/>
      <c r="P264" s="239"/>
      <c r="Q264" s="239"/>
      <c r="R264" s="239"/>
      <c r="S264" s="239"/>
      <c r="T264" s="239"/>
      <c r="U264" s="239"/>
      <c r="V264" s="239"/>
      <c r="W264" s="239"/>
      <c r="X264" s="239"/>
      <c r="Y264" s="239"/>
      <c r="Z264" s="239"/>
    </row>
    <row r="265" ht="16.5"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16.5" customHeight="1">
      <c r="A266" s="108" t="s">
        <v>1328</v>
      </c>
      <c r="B266" s="108">
        <v>1.0</v>
      </c>
      <c r="C266" s="108" t="s">
        <v>1329</v>
      </c>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16.5" customHeight="1">
      <c r="A267" s="108" t="s">
        <v>1328</v>
      </c>
      <c r="B267" s="108">
        <v>2.0</v>
      </c>
      <c r="C267" s="108" t="s">
        <v>27</v>
      </c>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16.5" customHeight="1">
      <c r="A268" s="108" t="s">
        <v>1328</v>
      </c>
      <c r="B268" s="108">
        <v>3.0</v>
      </c>
      <c r="C268" s="108" t="s">
        <v>28</v>
      </c>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16.5" customHeight="1">
      <c r="A269" s="108" t="s">
        <v>1328</v>
      </c>
      <c r="B269" s="108">
        <v>4.0</v>
      </c>
      <c r="C269" s="108" t="s">
        <v>29</v>
      </c>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16.5" customHeight="1">
      <c r="A270" s="108" t="s">
        <v>1328</v>
      </c>
      <c r="B270" s="108">
        <v>5.0</v>
      </c>
      <c r="C270" s="108" t="s">
        <v>30</v>
      </c>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16.5" customHeight="1">
      <c r="A271" s="108" t="s">
        <v>1328</v>
      </c>
      <c r="B271" s="108">
        <v>6.0</v>
      </c>
      <c r="C271" s="108" t="s">
        <v>31</v>
      </c>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16.5" customHeight="1">
      <c r="A272" s="108" t="s">
        <v>1328</v>
      </c>
      <c r="B272" s="108">
        <v>7.0</v>
      </c>
      <c r="C272" s="108" t="s">
        <v>41</v>
      </c>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16.5" customHeight="1">
      <c r="A273" s="108" t="s">
        <v>1328</v>
      </c>
      <c r="B273" s="108">
        <v>8.0</v>
      </c>
      <c r="C273" s="108" t="s">
        <v>1330</v>
      </c>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16.5" customHeight="1">
      <c r="A274" s="108" t="s">
        <v>1328</v>
      </c>
      <c r="B274" s="108">
        <v>9.0</v>
      </c>
      <c r="C274" s="108" t="s">
        <v>33</v>
      </c>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16.5" customHeight="1">
      <c r="A275" s="108" t="s">
        <v>1328</v>
      </c>
      <c r="B275" s="108">
        <v>10.0</v>
      </c>
      <c r="C275" s="108" t="s">
        <v>1331</v>
      </c>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16.5" customHeight="1">
      <c r="A276" s="108" t="s">
        <v>1328</v>
      </c>
      <c r="B276" s="108">
        <v>11.0</v>
      </c>
      <c r="C276" s="108" t="s">
        <v>34</v>
      </c>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16.5" customHeight="1">
      <c r="A277" s="108" t="s">
        <v>1328</v>
      </c>
      <c r="B277" s="108">
        <v>12.0</v>
      </c>
      <c r="C277" s="108" t="s">
        <v>1332</v>
      </c>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16.5" customHeight="1">
      <c r="A278" s="108" t="s">
        <v>1328</v>
      </c>
      <c r="B278" s="108">
        <v>13.0</v>
      </c>
      <c r="C278" s="108" t="s">
        <v>36</v>
      </c>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16.5" customHeight="1">
      <c r="A279" s="108" t="s">
        <v>1328</v>
      </c>
      <c r="B279" s="108">
        <v>14.0</v>
      </c>
      <c r="C279" s="108" t="s">
        <v>1333</v>
      </c>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16.5" customHeight="1">
      <c r="A280" s="108" t="s">
        <v>1328</v>
      </c>
      <c r="B280" s="108">
        <v>15.0</v>
      </c>
      <c r="C280" s="108" t="s">
        <v>38</v>
      </c>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16.5" customHeight="1">
      <c r="A281" s="108" t="s">
        <v>1328</v>
      </c>
      <c r="B281" s="108">
        <v>16.0</v>
      </c>
      <c r="C281" s="108" t="s">
        <v>39</v>
      </c>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16.5" customHeight="1">
      <c r="A282" s="108" t="s">
        <v>1328</v>
      </c>
      <c r="B282" s="108">
        <v>17.0</v>
      </c>
      <c r="C282" s="108" t="s">
        <v>40</v>
      </c>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16.5" customHeight="1">
      <c r="A283" s="108" t="s">
        <v>1328</v>
      </c>
      <c r="B283" s="108">
        <v>18.0</v>
      </c>
      <c r="C283" s="108" t="s">
        <v>41</v>
      </c>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16.5" customHeight="1">
      <c r="A284" s="108" t="s">
        <v>1328</v>
      </c>
      <c r="B284" s="180">
        <v>77.0</v>
      </c>
      <c r="C284" s="180" t="s">
        <v>1209</v>
      </c>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16.5" customHeight="1">
      <c r="A285" s="108" t="s">
        <v>1328</v>
      </c>
      <c r="B285" s="108">
        <v>0.0</v>
      </c>
      <c r="C285" s="108" t="s">
        <v>1217</v>
      </c>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16.5" customHeight="1">
      <c r="A286" s="108" t="s">
        <v>1328</v>
      </c>
      <c r="B286" s="108">
        <v>9999.0</v>
      </c>
      <c r="C286" s="108" t="s">
        <v>1215</v>
      </c>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16.5" customHeight="1">
      <c r="A287" s="108" t="s">
        <v>1328</v>
      </c>
      <c r="B287" s="108">
        <v>9998.0</v>
      </c>
      <c r="C287" s="108" t="s">
        <v>1216</v>
      </c>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16.5"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16.5" customHeight="1">
      <c r="A289" s="108" t="s">
        <v>1334</v>
      </c>
      <c r="B289" s="108">
        <v>1.0</v>
      </c>
      <c r="C289" s="108" t="s">
        <v>1335</v>
      </c>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16.5" customHeight="1">
      <c r="A290" s="108" t="s">
        <v>1334</v>
      </c>
      <c r="B290" s="108">
        <v>2.0</v>
      </c>
      <c r="C290" s="108" t="s">
        <v>1336</v>
      </c>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16.5" customHeight="1">
      <c r="A291" s="108" t="s">
        <v>1334</v>
      </c>
      <c r="B291" s="108">
        <v>3.0</v>
      </c>
      <c r="C291" s="108" t="s">
        <v>1337</v>
      </c>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16.5" customHeight="1">
      <c r="A292" s="108" t="s">
        <v>1334</v>
      </c>
      <c r="B292" s="108">
        <v>4.0</v>
      </c>
      <c r="C292" s="108" t="s">
        <v>1338</v>
      </c>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16.5" customHeight="1">
      <c r="A293" s="108" t="s">
        <v>1334</v>
      </c>
      <c r="B293" s="108">
        <v>5.0</v>
      </c>
      <c r="C293" s="108" t="s">
        <v>1339</v>
      </c>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16.5" customHeight="1">
      <c r="A294" s="108" t="s">
        <v>1334</v>
      </c>
      <c r="B294" s="108">
        <v>9999.0</v>
      </c>
      <c r="C294" s="108" t="s">
        <v>1215</v>
      </c>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16.5" customHeight="1">
      <c r="A295" s="108" t="s">
        <v>1334</v>
      </c>
      <c r="B295" s="108">
        <v>9998.0</v>
      </c>
      <c r="C295" s="108" t="s">
        <v>1216</v>
      </c>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16.5"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16.5" customHeight="1">
      <c r="A297" s="108" t="s">
        <v>1340</v>
      </c>
      <c r="B297" s="108">
        <v>0.0</v>
      </c>
      <c r="C297" s="108" t="s">
        <v>1341</v>
      </c>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16.5" customHeight="1">
      <c r="A298" s="108" t="s">
        <v>1340</v>
      </c>
      <c r="B298" s="108">
        <v>1.0</v>
      </c>
      <c r="C298" s="108" t="s">
        <v>1342</v>
      </c>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16.5" customHeight="1">
      <c r="A299" s="108" t="s">
        <v>1340</v>
      </c>
      <c r="B299" s="108">
        <v>2.0</v>
      </c>
      <c r="C299" s="108" t="s">
        <v>1343</v>
      </c>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16.5" customHeight="1">
      <c r="A300" s="108" t="s">
        <v>1340</v>
      </c>
      <c r="B300" s="108">
        <v>3.0</v>
      </c>
      <c r="C300" s="108" t="s">
        <v>1343</v>
      </c>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16.5" customHeight="1">
      <c r="A301" s="108" t="s">
        <v>1340</v>
      </c>
      <c r="B301" s="108">
        <v>4.0</v>
      </c>
      <c r="C301" s="108" t="s">
        <v>1344</v>
      </c>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16.5" customHeight="1">
      <c r="A302" s="108" t="s">
        <v>1340</v>
      </c>
      <c r="B302" s="108">
        <v>5.0</v>
      </c>
      <c r="C302" s="108" t="s">
        <v>1345</v>
      </c>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16.5" customHeight="1">
      <c r="A303" s="108" t="s">
        <v>1340</v>
      </c>
      <c r="B303" s="108">
        <v>6.0</v>
      </c>
      <c r="C303" s="108" t="s">
        <v>1346</v>
      </c>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16.5" customHeight="1">
      <c r="A304" s="108" t="s">
        <v>1340</v>
      </c>
      <c r="B304" s="108">
        <v>7.0</v>
      </c>
      <c r="C304" s="108" t="s">
        <v>1347</v>
      </c>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16.5" customHeight="1">
      <c r="A305" s="108" t="s">
        <v>1340</v>
      </c>
      <c r="B305" s="108">
        <v>9999.0</v>
      </c>
      <c r="C305" s="108" t="s">
        <v>1215</v>
      </c>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16.5" customHeight="1">
      <c r="A306" s="108" t="s">
        <v>1340</v>
      </c>
      <c r="B306" s="108">
        <v>9998.0</v>
      </c>
      <c r="C306" s="108" t="s">
        <v>1216</v>
      </c>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16.5"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16.5" customHeight="1">
      <c r="A308" s="108" t="s">
        <v>1348</v>
      </c>
      <c r="B308" s="108">
        <v>0.0</v>
      </c>
      <c r="C308" s="108" t="s">
        <v>1349</v>
      </c>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16.5" customHeight="1">
      <c r="A309" s="108" t="s">
        <v>1348</v>
      </c>
      <c r="B309" s="108">
        <v>1.0</v>
      </c>
      <c r="C309" s="108" t="s">
        <v>1350</v>
      </c>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16.5" customHeight="1">
      <c r="A310" s="108" t="s">
        <v>1348</v>
      </c>
      <c r="B310" s="108">
        <v>2.0</v>
      </c>
      <c r="C310" s="108" t="s">
        <v>1351</v>
      </c>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16.5" customHeight="1">
      <c r="A311" s="108" t="s">
        <v>1348</v>
      </c>
      <c r="B311" s="108">
        <v>3.0</v>
      </c>
      <c r="C311" s="108" t="s">
        <v>1352</v>
      </c>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16.5" customHeight="1">
      <c r="A312" s="108" t="s">
        <v>1348</v>
      </c>
      <c r="B312" s="108">
        <v>4.0</v>
      </c>
      <c r="C312" s="108" t="s">
        <v>1353</v>
      </c>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16.5" customHeight="1">
      <c r="A313" s="108" t="s">
        <v>1348</v>
      </c>
      <c r="B313" s="108">
        <v>5.0</v>
      </c>
      <c r="C313" s="108" t="s">
        <v>1354</v>
      </c>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16.5" customHeight="1">
      <c r="A314" s="108" t="s">
        <v>1348</v>
      </c>
      <c r="B314" s="108">
        <v>9999.0</v>
      </c>
      <c r="C314" s="108" t="s">
        <v>1215</v>
      </c>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16.5" customHeight="1">
      <c r="A315" s="108" t="s">
        <v>1348</v>
      </c>
      <c r="B315" s="108">
        <v>9998.0</v>
      </c>
      <c r="C315" s="108" t="s">
        <v>1216</v>
      </c>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16.5"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16.5" customHeight="1">
      <c r="A317" s="108" t="s">
        <v>1355</v>
      </c>
      <c r="B317" s="108">
        <v>1.0</v>
      </c>
      <c r="C317" s="108" t="s">
        <v>1356</v>
      </c>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16.5" customHeight="1">
      <c r="A318" s="108" t="s">
        <v>1355</v>
      </c>
      <c r="B318" s="108">
        <v>2.0</v>
      </c>
      <c r="C318" s="108" t="s">
        <v>1357</v>
      </c>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16.5" customHeight="1">
      <c r="A319" s="108" t="s">
        <v>1355</v>
      </c>
      <c r="B319" s="108">
        <v>3.0</v>
      </c>
      <c r="C319" s="108" t="s">
        <v>1358</v>
      </c>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16.5" customHeight="1">
      <c r="A320" s="108" t="s">
        <v>1355</v>
      </c>
      <c r="B320" s="108">
        <v>4.0</v>
      </c>
      <c r="C320" s="108" t="s">
        <v>1359</v>
      </c>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16.5" customHeight="1">
      <c r="A321" s="108" t="s">
        <v>1355</v>
      </c>
      <c r="B321" s="108">
        <v>5.0</v>
      </c>
      <c r="C321" s="108" t="s">
        <v>1360</v>
      </c>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16.5" customHeight="1">
      <c r="A322" s="108" t="s">
        <v>1355</v>
      </c>
      <c r="B322" s="108">
        <v>6.0</v>
      </c>
      <c r="C322" s="108" t="s">
        <v>1361</v>
      </c>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16.5" customHeight="1">
      <c r="A323" s="108" t="s">
        <v>1355</v>
      </c>
      <c r="B323" s="108">
        <v>7.0</v>
      </c>
      <c r="C323" s="108" t="s">
        <v>1362</v>
      </c>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16.5" customHeight="1">
      <c r="A324" s="108" t="s">
        <v>1355</v>
      </c>
      <c r="B324" s="108">
        <v>8.0</v>
      </c>
      <c r="C324" s="108" t="s">
        <v>1363</v>
      </c>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16.5" customHeight="1">
      <c r="A325" s="108" t="s">
        <v>1355</v>
      </c>
      <c r="B325" s="108">
        <v>9.0</v>
      </c>
      <c r="C325" s="108" t="s">
        <v>1364</v>
      </c>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16.5" customHeight="1">
      <c r="A326" s="108" t="s">
        <v>1355</v>
      </c>
      <c r="B326" s="108">
        <v>10.0</v>
      </c>
      <c r="C326" s="108" t="s">
        <v>1365</v>
      </c>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16.5" customHeight="1">
      <c r="A327" s="108" t="s">
        <v>1355</v>
      </c>
      <c r="B327" s="108">
        <v>11.0</v>
      </c>
      <c r="C327" s="108" t="s">
        <v>1366</v>
      </c>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16.5" customHeight="1">
      <c r="A328" s="108" t="s">
        <v>1355</v>
      </c>
      <c r="B328" s="108">
        <v>12.0</v>
      </c>
      <c r="C328" s="108" t="s">
        <v>1367</v>
      </c>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16.5" customHeight="1">
      <c r="A329" s="108" t="s">
        <v>1355</v>
      </c>
      <c r="B329" s="108">
        <v>13.0</v>
      </c>
      <c r="C329" s="108" t="s">
        <v>1368</v>
      </c>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16.5" customHeight="1">
      <c r="A330" s="108" t="s">
        <v>1355</v>
      </c>
      <c r="B330" s="108">
        <v>14.0</v>
      </c>
      <c r="C330" s="108" t="s">
        <v>1369</v>
      </c>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16.5" customHeight="1">
      <c r="A331" s="108" t="s">
        <v>1355</v>
      </c>
      <c r="B331" s="108">
        <v>15.0</v>
      </c>
      <c r="C331" s="108" t="s">
        <v>1370</v>
      </c>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16.5" customHeight="1">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16.5" customHeight="1">
      <c r="A333" s="108" t="s">
        <v>1371</v>
      </c>
      <c r="B333" s="108">
        <v>1.0</v>
      </c>
      <c r="C333" s="108" t="s">
        <v>1372</v>
      </c>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16.5" customHeight="1">
      <c r="A334" s="108" t="s">
        <v>1371</v>
      </c>
      <c r="B334" s="108">
        <v>2.0</v>
      </c>
      <c r="C334" s="108" t="s">
        <v>1373</v>
      </c>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16.5" customHeight="1">
      <c r="A335" s="108" t="s">
        <v>1371</v>
      </c>
      <c r="B335" s="108">
        <v>3.0</v>
      </c>
      <c r="C335" s="108" t="s">
        <v>1204</v>
      </c>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16.5" customHeight="1">
      <c r="A336" s="108" t="s">
        <v>1371</v>
      </c>
      <c r="B336" s="108">
        <v>9998.0</v>
      </c>
      <c r="C336" s="108" t="s">
        <v>1216</v>
      </c>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16.5" customHeight="1">
      <c r="A337" s="108" t="s">
        <v>1371</v>
      </c>
      <c r="B337" s="108">
        <v>9999.0</v>
      </c>
      <c r="C337" s="108" t="s">
        <v>1215</v>
      </c>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16.5" customHeight="1">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16.5" customHeight="1">
      <c r="A339" s="108" t="s">
        <v>1374</v>
      </c>
      <c r="B339" s="108">
        <v>1.0</v>
      </c>
      <c r="C339" s="225">
        <v>1.0</v>
      </c>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16.5" customHeight="1">
      <c r="A340" s="108" t="s">
        <v>1374</v>
      </c>
      <c r="B340" s="108">
        <v>2.0</v>
      </c>
      <c r="C340" s="225">
        <v>2.0</v>
      </c>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16.5" customHeight="1">
      <c r="A341" s="108" t="s">
        <v>1374</v>
      </c>
      <c r="B341" s="108">
        <v>3.0</v>
      </c>
      <c r="C341" s="225">
        <v>3.0</v>
      </c>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16.5" customHeight="1">
      <c r="A342" s="108" t="s">
        <v>1374</v>
      </c>
      <c r="B342" s="108">
        <v>4.0</v>
      </c>
      <c r="C342" s="225">
        <v>4.0</v>
      </c>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16.5" customHeight="1">
      <c r="A343" s="108" t="s">
        <v>1374</v>
      </c>
      <c r="B343" s="108">
        <v>5.0</v>
      </c>
      <c r="C343" s="225">
        <v>5.0</v>
      </c>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16.5" customHeight="1">
      <c r="A344" s="108" t="s">
        <v>1374</v>
      </c>
      <c r="B344" s="108">
        <v>6.0</v>
      </c>
      <c r="C344" s="225" t="s">
        <v>1375</v>
      </c>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16.5" customHeight="1">
      <c r="A345" s="108" t="s">
        <v>1374</v>
      </c>
      <c r="B345" s="108">
        <v>9999.0</v>
      </c>
      <c r="C345" s="225" t="s">
        <v>1215</v>
      </c>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16.5" customHeight="1">
      <c r="A346" s="108" t="s">
        <v>1374</v>
      </c>
      <c r="B346" s="108">
        <v>9998.0</v>
      </c>
      <c r="C346" s="225" t="s">
        <v>1216</v>
      </c>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16.5" customHeight="1">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16.5" customHeight="1">
      <c r="A348" s="108" t="s">
        <v>1376</v>
      </c>
      <c r="B348" s="108">
        <v>1.0</v>
      </c>
      <c r="C348" s="108" t="s">
        <v>1377</v>
      </c>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16.5" customHeight="1">
      <c r="A349" s="108" t="s">
        <v>1376</v>
      </c>
      <c r="B349" s="108">
        <v>2.0</v>
      </c>
      <c r="C349" s="108" t="s">
        <v>1378</v>
      </c>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16.5" customHeight="1">
      <c r="A350" s="108" t="s">
        <v>1376</v>
      </c>
      <c r="B350" s="108">
        <v>3.0</v>
      </c>
      <c r="C350" s="108" t="s">
        <v>1379</v>
      </c>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16.5" customHeight="1">
      <c r="A351" s="108" t="s">
        <v>1376</v>
      </c>
      <c r="B351" s="108">
        <v>4.0</v>
      </c>
      <c r="C351" s="108" t="s">
        <v>1380</v>
      </c>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16.5" customHeight="1">
      <c r="A352" s="108" t="s">
        <v>1376</v>
      </c>
      <c r="B352" s="108">
        <v>5.0</v>
      </c>
      <c r="C352" s="108" t="s">
        <v>1381</v>
      </c>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16.5" customHeight="1">
      <c r="A353" s="108" t="s">
        <v>1376</v>
      </c>
      <c r="B353" s="108">
        <v>6.0</v>
      </c>
      <c r="C353" s="108" t="s">
        <v>1382</v>
      </c>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16.5" customHeight="1">
      <c r="A354" s="108" t="s">
        <v>1376</v>
      </c>
      <c r="B354" s="108">
        <v>7.0</v>
      </c>
      <c r="C354" s="108" t="s">
        <v>1383</v>
      </c>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16.5" customHeight="1">
      <c r="A355" s="108" t="s">
        <v>1376</v>
      </c>
      <c r="B355" s="108">
        <v>8.0</v>
      </c>
      <c r="C355" s="108" t="s">
        <v>1384</v>
      </c>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16.5" customHeight="1">
      <c r="A356" s="108" t="s">
        <v>1376</v>
      </c>
      <c r="B356" s="108">
        <v>9.0</v>
      </c>
      <c r="C356" s="108" t="s">
        <v>1385</v>
      </c>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16.5" customHeight="1">
      <c r="A357" s="108" t="s">
        <v>1376</v>
      </c>
      <c r="B357" s="108">
        <v>10.0</v>
      </c>
      <c r="C357" s="108" t="s">
        <v>1386</v>
      </c>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16.5" customHeight="1">
      <c r="A358" s="108" t="s">
        <v>1376</v>
      </c>
      <c r="B358" s="108">
        <v>9998.0</v>
      </c>
      <c r="C358" s="108" t="s">
        <v>1216</v>
      </c>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16.5" customHeight="1">
      <c r="A359" s="108" t="s">
        <v>1376</v>
      </c>
      <c r="B359" s="108">
        <v>9999.0</v>
      </c>
      <c r="C359" s="108" t="s">
        <v>1215</v>
      </c>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16.5" customHeight="1">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16.5" customHeight="1">
      <c r="A361" s="108" t="s">
        <v>1387</v>
      </c>
      <c r="B361" s="108">
        <v>1.0</v>
      </c>
      <c r="C361" s="108" t="s">
        <v>1388</v>
      </c>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16.5" customHeight="1">
      <c r="A362" s="108" t="s">
        <v>1387</v>
      </c>
      <c r="B362" s="108">
        <v>2.0</v>
      </c>
      <c r="C362" s="108" t="s">
        <v>1389</v>
      </c>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16.5" customHeight="1">
      <c r="A363" s="108" t="s">
        <v>1387</v>
      </c>
      <c r="B363" s="108">
        <v>3.0</v>
      </c>
      <c r="C363" s="108" t="s">
        <v>1390</v>
      </c>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16.5" customHeight="1">
      <c r="A364" s="108" t="s">
        <v>1387</v>
      </c>
      <c r="B364" s="108">
        <v>4.0</v>
      </c>
      <c r="C364" s="108" t="s">
        <v>1386</v>
      </c>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16.5" customHeight="1">
      <c r="A365" s="108" t="s">
        <v>1387</v>
      </c>
      <c r="B365" s="108">
        <v>9999.0</v>
      </c>
      <c r="C365" s="108" t="s">
        <v>1215</v>
      </c>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16.5" customHeight="1">
      <c r="A366" s="108" t="s">
        <v>1387</v>
      </c>
      <c r="B366" s="108">
        <v>9998.0</v>
      </c>
      <c r="C366" s="108" t="s">
        <v>1216</v>
      </c>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16.5" customHeight="1">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16.5" customHeight="1">
      <c r="A368" s="108" t="s">
        <v>1391</v>
      </c>
      <c r="B368" s="108">
        <v>1.0</v>
      </c>
      <c r="C368" s="99" t="s">
        <v>1392</v>
      </c>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16.5" customHeight="1">
      <c r="A369" s="108" t="s">
        <v>1391</v>
      </c>
      <c r="B369" s="108">
        <v>2.0</v>
      </c>
      <c r="C369" s="108" t="s">
        <v>1393</v>
      </c>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16.5" customHeight="1">
      <c r="A370" s="108" t="s">
        <v>1391</v>
      </c>
      <c r="B370" s="108">
        <v>3.0</v>
      </c>
      <c r="C370" s="108" t="s">
        <v>1394</v>
      </c>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16.5" customHeight="1">
      <c r="A371" s="108" t="s">
        <v>1391</v>
      </c>
      <c r="B371" s="108">
        <v>4.0</v>
      </c>
      <c r="C371" s="108" t="s">
        <v>1395</v>
      </c>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16.5" customHeight="1">
      <c r="A372" s="108" t="s">
        <v>1391</v>
      </c>
      <c r="B372" s="108">
        <v>5.0</v>
      </c>
      <c r="C372" s="108" t="s">
        <v>1396</v>
      </c>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16.5" customHeight="1">
      <c r="A373" s="108" t="s">
        <v>1391</v>
      </c>
      <c r="B373" s="108">
        <v>6.0</v>
      </c>
      <c r="C373" s="108" t="s">
        <v>1397</v>
      </c>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16.5" customHeight="1">
      <c r="A374" s="108" t="s">
        <v>1391</v>
      </c>
      <c r="B374" s="108">
        <v>7.0</v>
      </c>
      <c r="C374" s="108" t="s">
        <v>1398</v>
      </c>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16.5" customHeight="1">
      <c r="A375" s="108" t="s">
        <v>1391</v>
      </c>
      <c r="B375" s="108">
        <v>8.0</v>
      </c>
      <c r="C375" s="108" t="s">
        <v>1399</v>
      </c>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16.5" customHeight="1">
      <c r="A376" s="108" t="s">
        <v>1391</v>
      </c>
      <c r="B376" s="108">
        <v>9.0</v>
      </c>
      <c r="C376" s="108" t="s">
        <v>1400</v>
      </c>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16.5" customHeight="1">
      <c r="A377" s="108" t="s">
        <v>1391</v>
      </c>
      <c r="B377" s="108">
        <v>10.0</v>
      </c>
      <c r="C377" s="108" t="s">
        <v>1401</v>
      </c>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16.5" customHeight="1">
      <c r="A378" s="108" t="s">
        <v>1391</v>
      </c>
      <c r="B378" s="180">
        <v>77.0</v>
      </c>
      <c r="C378" s="108" t="s">
        <v>1209</v>
      </c>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16.5" customHeight="1">
      <c r="A379" s="108" t="s">
        <v>1391</v>
      </c>
      <c r="B379" s="108">
        <v>9999.0</v>
      </c>
      <c r="C379" s="108" t="s">
        <v>1215</v>
      </c>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16.5" customHeight="1">
      <c r="A380" s="108" t="s">
        <v>1391</v>
      </c>
      <c r="B380" s="108">
        <v>9998.0</v>
      </c>
      <c r="C380" s="108" t="s">
        <v>1216</v>
      </c>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16.5" customHeight="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16.5" customHeight="1">
      <c r="A382" s="108" t="s">
        <v>1402</v>
      </c>
      <c r="B382" s="108">
        <v>1.0</v>
      </c>
      <c r="C382" s="108" t="s">
        <v>1403</v>
      </c>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16.5" customHeight="1">
      <c r="A383" s="108" t="s">
        <v>1402</v>
      </c>
      <c r="B383" s="108">
        <v>2.0</v>
      </c>
      <c r="C383" s="108" t="s">
        <v>1404</v>
      </c>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16.5" customHeight="1">
      <c r="A384" s="108" t="s">
        <v>1402</v>
      </c>
      <c r="B384" s="108">
        <v>3.0</v>
      </c>
      <c r="C384" s="108" t="s">
        <v>1405</v>
      </c>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16.5" customHeight="1">
      <c r="A385" s="108" t="s">
        <v>1402</v>
      </c>
      <c r="B385" s="108">
        <v>4.0</v>
      </c>
      <c r="C385" s="108" t="s">
        <v>1406</v>
      </c>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16.5" customHeight="1">
      <c r="A386" s="108" t="s">
        <v>1402</v>
      </c>
      <c r="B386" s="108">
        <v>5.0</v>
      </c>
      <c r="C386" s="108" t="s">
        <v>1407</v>
      </c>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16.5" customHeight="1">
      <c r="A387" s="108" t="s">
        <v>1402</v>
      </c>
      <c r="B387" s="108">
        <v>6.0</v>
      </c>
      <c r="C387" s="108" t="s">
        <v>1408</v>
      </c>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16.5" customHeight="1">
      <c r="A388" s="108" t="s">
        <v>1402</v>
      </c>
      <c r="B388" s="108">
        <v>7.0</v>
      </c>
      <c r="C388" s="108" t="s">
        <v>1409</v>
      </c>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16.5" customHeight="1">
      <c r="A389" s="108" t="s">
        <v>1402</v>
      </c>
      <c r="B389" s="108">
        <v>8.0</v>
      </c>
      <c r="C389" s="108" t="s">
        <v>1410</v>
      </c>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16.5" customHeight="1">
      <c r="A390" s="108" t="s">
        <v>1402</v>
      </c>
      <c r="B390" s="108">
        <v>9.0</v>
      </c>
      <c r="C390" s="108" t="s">
        <v>1411</v>
      </c>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16.5" customHeight="1">
      <c r="A391" s="108" t="s">
        <v>1402</v>
      </c>
      <c r="B391" s="108">
        <v>10.0</v>
      </c>
      <c r="C391" s="108" t="s">
        <v>1412</v>
      </c>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16.5" customHeight="1">
      <c r="A392" s="108" t="s">
        <v>1402</v>
      </c>
      <c r="B392" s="108">
        <v>11.0</v>
      </c>
      <c r="C392" s="108" t="s">
        <v>1413</v>
      </c>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16.5" customHeight="1">
      <c r="A393" s="108" t="s">
        <v>1402</v>
      </c>
      <c r="B393" s="108">
        <v>12.0</v>
      </c>
      <c r="C393" s="108" t="s">
        <v>1414</v>
      </c>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16.5" customHeight="1">
      <c r="A394" s="108" t="s">
        <v>1402</v>
      </c>
      <c r="B394" s="108">
        <v>9999.0</v>
      </c>
      <c r="C394" s="108" t="s">
        <v>1215</v>
      </c>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16.5" customHeight="1">
      <c r="A395" s="108" t="s">
        <v>1402</v>
      </c>
      <c r="B395" s="108">
        <v>9998.0</v>
      </c>
      <c r="C395" s="108" t="s">
        <v>1216</v>
      </c>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16.5" customHeight="1">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16.5" customHeight="1">
      <c r="A397" s="108" t="s">
        <v>1415</v>
      </c>
      <c r="B397" s="108">
        <v>1.0</v>
      </c>
      <c r="C397" s="108" t="s">
        <v>1416</v>
      </c>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16.5" customHeight="1">
      <c r="A398" s="108" t="s">
        <v>1415</v>
      </c>
      <c r="B398" s="108">
        <v>2.0</v>
      </c>
      <c r="C398" s="108" t="s">
        <v>1417</v>
      </c>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16.5" customHeight="1">
      <c r="A399" s="108" t="s">
        <v>1415</v>
      </c>
      <c r="B399" s="108">
        <v>3.0</v>
      </c>
      <c r="C399" s="108" t="s">
        <v>1418</v>
      </c>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16.5" customHeight="1">
      <c r="A400" s="108" t="s">
        <v>1415</v>
      </c>
      <c r="B400" s="108">
        <v>9999.0</v>
      </c>
      <c r="C400" s="108" t="s">
        <v>1215</v>
      </c>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16.5" customHeight="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16.5" customHeight="1">
      <c r="A402" s="108" t="s">
        <v>1419</v>
      </c>
      <c r="B402" s="108">
        <v>1.0</v>
      </c>
      <c r="C402" s="108" t="s">
        <v>1420</v>
      </c>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16.5" customHeight="1">
      <c r="A403" s="108" t="s">
        <v>1419</v>
      </c>
      <c r="B403" s="108">
        <v>2.0</v>
      </c>
      <c r="C403" s="108" t="s">
        <v>1421</v>
      </c>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16.5" customHeight="1">
      <c r="A404" s="108" t="s">
        <v>1419</v>
      </c>
      <c r="B404" s="108">
        <v>3.0</v>
      </c>
      <c r="C404" s="108" t="s">
        <v>1204</v>
      </c>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16.5" customHeight="1">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16.5" customHeight="1">
      <c r="A406" s="108" t="s">
        <v>1422</v>
      </c>
      <c r="B406" s="108">
        <v>1.0</v>
      </c>
      <c r="C406" s="108" t="s">
        <v>1423</v>
      </c>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16.5" customHeight="1">
      <c r="A407" s="108" t="s">
        <v>1422</v>
      </c>
      <c r="B407" s="108">
        <v>2.0</v>
      </c>
      <c r="C407" s="108" t="s">
        <v>1424</v>
      </c>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16.5" customHeight="1">
      <c r="A408" s="108" t="s">
        <v>1422</v>
      </c>
      <c r="B408" s="108">
        <v>3.0</v>
      </c>
      <c r="C408" s="108" t="s">
        <v>1425</v>
      </c>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16.5" customHeight="1">
      <c r="A409" s="108" t="s">
        <v>1422</v>
      </c>
      <c r="B409" s="108">
        <v>4.0</v>
      </c>
      <c r="C409" s="108" t="s">
        <v>1426</v>
      </c>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16.5" customHeight="1">
      <c r="A410" s="108" t="s">
        <v>1422</v>
      </c>
      <c r="B410" s="108">
        <v>5.0</v>
      </c>
      <c r="C410" s="108" t="s">
        <v>1427</v>
      </c>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16.5" customHeight="1">
      <c r="A411" s="108" t="s">
        <v>1422</v>
      </c>
      <c r="B411" s="108">
        <v>6.0</v>
      </c>
      <c r="C411" s="108" t="s">
        <v>1428</v>
      </c>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16.5" customHeight="1">
      <c r="A412" s="108" t="s">
        <v>1422</v>
      </c>
      <c r="B412" s="108">
        <v>7.0</v>
      </c>
      <c r="C412" s="108" t="s">
        <v>1429</v>
      </c>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16.5" customHeight="1">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16.5" customHeight="1">
      <c r="A414" s="108" t="s">
        <v>1430</v>
      </c>
      <c r="B414" s="108">
        <v>1.0</v>
      </c>
      <c r="C414" s="108" t="s">
        <v>1431</v>
      </c>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16.5" customHeight="1">
      <c r="A415" s="108" t="s">
        <v>1430</v>
      </c>
      <c r="B415" s="108">
        <v>2.0</v>
      </c>
      <c r="C415" s="108" t="s">
        <v>1432</v>
      </c>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16.5" customHeight="1">
      <c r="A416" s="108" t="s">
        <v>1430</v>
      </c>
      <c r="B416" s="108">
        <v>3.0</v>
      </c>
      <c r="C416" s="108" t="s">
        <v>1433</v>
      </c>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16.5" customHeight="1">
      <c r="A417" s="108" t="s">
        <v>1430</v>
      </c>
      <c r="B417" s="108">
        <v>4.0</v>
      </c>
      <c r="C417" s="108" t="s">
        <v>1434</v>
      </c>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16.5" customHeight="1">
      <c r="A418" s="108" t="s">
        <v>1430</v>
      </c>
      <c r="B418" s="108">
        <v>5.0</v>
      </c>
      <c r="C418" s="108" t="s">
        <v>1435</v>
      </c>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16.5" customHeight="1">
      <c r="A419" s="108" t="s">
        <v>1430</v>
      </c>
      <c r="B419" s="108">
        <v>6.0</v>
      </c>
      <c r="C419" s="108" t="s">
        <v>1436</v>
      </c>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16.5" customHeight="1">
      <c r="A420" s="108" t="s">
        <v>1430</v>
      </c>
      <c r="B420" s="180">
        <v>77.0</v>
      </c>
      <c r="C420" s="180" t="s">
        <v>1209</v>
      </c>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16.5" customHeight="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16.5" customHeight="1">
      <c r="A422" s="108" t="s">
        <v>1437</v>
      </c>
      <c r="B422" s="108">
        <v>1.0</v>
      </c>
      <c r="C422" s="108" t="s">
        <v>1438</v>
      </c>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16.5" customHeight="1">
      <c r="A423" s="108" t="s">
        <v>1437</v>
      </c>
      <c r="B423" s="108">
        <v>2.0</v>
      </c>
      <c r="C423" s="108" t="s">
        <v>1439</v>
      </c>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16.5" customHeight="1">
      <c r="A424" s="108" t="s">
        <v>1437</v>
      </c>
      <c r="B424" s="108">
        <v>3.0</v>
      </c>
      <c r="C424" s="108" t="s">
        <v>1440</v>
      </c>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16.5" customHeight="1">
      <c r="A425" s="108" t="s">
        <v>1437</v>
      </c>
      <c r="B425" s="108">
        <v>4.0</v>
      </c>
      <c r="C425" s="108" t="s">
        <v>1441</v>
      </c>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16.5" customHeight="1">
      <c r="A426" s="108" t="s">
        <v>1437</v>
      </c>
      <c r="B426" s="108">
        <v>9999.0</v>
      </c>
      <c r="C426" s="108" t="s">
        <v>1442</v>
      </c>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16.5" customHeight="1">
      <c r="A427" s="108" t="s">
        <v>1437</v>
      </c>
      <c r="B427" s="108">
        <v>9998.0</v>
      </c>
      <c r="C427" s="108" t="s">
        <v>1443</v>
      </c>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16.5" customHeight="1">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16.5" customHeight="1">
      <c r="A429" s="108" t="s">
        <v>1444</v>
      </c>
      <c r="B429" s="108">
        <v>1.0</v>
      </c>
      <c r="C429" s="108" t="s">
        <v>1445</v>
      </c>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16.5" customHeight="1">
      <c r="A430" s="108" t="s">
        <v>1444</v>
      </c>
      <c r="B430" s="108">
        <v>2.0</v>
      </c>
      <c r="C430" s="108" t="s">
        <v>1446</v>
      </c>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16.5" customHeight="1">
      <c r="A431" s="108" t="s">
        <v>1444</v>
      </c>
      <c r="B431" s="108">
        <v>3.0</v>
      </c>
      <c r="C431" s="108" t="s">
        <v>1447</v>
      </c>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16.5" customHeight="1">
      <c r="A432" s="108" t="s">
        <v>1444</v>
      </c>
      <c r="B432" s="108">
        <v>4.0</v>
      </c>
      <c r="C432" s="108" t="s">
        <v>1448</v>
      </c>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16.5" customHeight="1">
      <c r="A433" s="108" t="s">
        <v>1444</v>
      </c>
      <c r="B433" s="108">
        <v>5.0</v>
      </c>
      <c r="C433" s="108" t="s">
        <v>1449</v>
      </c>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16.5" customHeight="1">
      <c r="A434" s="108" t="s">
        <v>1444</v>
      </c>
      <c r="B434" s="108">
        <v>6.0</v>
      </c>
      <c r="C434" s="108" t="s">
        <v>1450</v>
      </c>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16.5" customHeight="1">
      <c r="A435" s="108" t="s">
        <v>1444</v>
      </c>
      <c r="B435" s="108">
        <v>7.0</v>
      </c>
      <c r="C435" s="108" t="s">
        <v>1451</v>
      </c>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16.5" customHeight="1">
      <c r="A436" s="108" t="s">
        <v>1444</v>
      </c>
      <c r="B436" s="108">
        <v>9999.0</v>
      </c>
      <c r="C436" s="108" t="s">
        <v>1442</v>
      </c>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16.5" customHeight="1">
      <c r="A437" s="108" t="s">
        <v>1444</v>
      </c>
      <c r="B437" s="108">
        <v>9998.0</v>
      </c>
      <c r="C437" s="108" t="s">
        <v>1443</v>
      </c>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16.5" customHeight="1">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16.5" customHeight="1">
      <c r="A439" s="108" t="s">
        <v>1452</v>
      </c>
      <c r="B439" s="108">
        <v>1.0</v>
      </c>
      <c r="C439" s="108" t="s">
        <v>1453</v>
      </c>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16.5" customHeight="1">
      <c r="A440" s="108" t="s">
        <v>1452</v>
      </c>
      <c r="B440" s="108">
        <v>2.0</v>
      </c>
      <c r="C440" s="108" t="s">
        <v>1454</v>
      </c>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16.5" customHeight="1">
      <c r="A441" s="108" t="s">
        <v>1452</v>
      </c>
      <c r="B441" s="108">
        <v>3.0</v>
      </c>
      <c r="C441" s="108" t="s">
        <v>1455</v>
      </c>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16.5" customHeight="1">
      <c r="A442" s="108" t="s">
        <v>1452</v>
      </c>
      <c r="B442" s="108">
        <v>4.0</v>
      </c>
      <c r="C442" s="108" t="s">
        <v>1456</v>
      </c>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16.5" customHeight="1">
      <c r="A443" s="108" t="s">
        <v>1452</v>
      </c>
      <c r="B443" s="108">
        <v>5.0</v>
      </c>
      <c r="C443" s="108" t="s">
        <v>1457</v>
      </c>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16.5" customHeight="1">
      <c r="A444" s="108" t="s">
        <v>1452</v>
      </c>
      <c r="B444" s="108">
        <v>6.0</v>
      </c>
      <c r="C444" s="108" t="s">
        <v>1458</v>
      </c>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16.5" customHeight="1">
      <c r="A445" s="108" t="s">
        <v>1452</v>
      </c>
      <c r="B445" s="108">
        <v>7.0</v>
      </c>
      <c r="C445" s="108" t="s">
        <v>1459</v>
      </c>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16.5" customHeight="1">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16.5" customHeight="1">
      <c r="A447" s="108" t="s">
        <v>1460</v>
      </c>
      <c r="B447" s="108">
        <v>1.0</v>
      </c>
      <c r="C447" s="108" t="s">
        <v>1461</v>
      </c>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16.5" customHeight="1">
      <c r="A448" s="108" t="s">
        <v>1460</v>
      </c>
      <c r="B448" s="108">
        <v>2.0</v>
      </c>
      <c r="C448" s="108" t="s">
        <v>1462</v>
      </c>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16.5" customHeight="1">
      <c r="A449" s="108" t="s">
        <v>1460</v>
      </c>
      <c r="B449" s="108">
        <v>3.0</v>
      </c>
      <c r="C449" s="108" t="s">
        <v>1463</v>
      </c>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16.5" customHeight="1">
      <c r="A450" s="108" t="s">
        <v>1460</v>
      </c>
      <c r="B450" s="108">
        <v>4.0</v>
      </c>
      <c r="C450" s="108" t="s">
        <v>1464</v>
      </c>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16.5" customHeight="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16.5" customHeight="1">
      <c r="A452" s="108" t="s">
        <v>1465</v>
      </c>
      <c r="B452" s="108">
        <v>1.0</v>
      </c>
      <c r="C452" s="108" t="s">
        <v>1466</v>
      </c>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16.5" customHeight="1">
      <c r="A453" s="108" t="s">
        <v>1465</v>
      </c>
      <c r="B453" s="108">
        <v>2.0</v>
      </c>
      <c r="C453" s="108" t="s">
        <v>1467</v>
      </c>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16.5" customHeight="1">
      <c r="A454" s="108" t="s">
        <v>1465</v>
      </c>
      <c r="B454" s="108">
        <v>3.0</v>
      </c>
      <c r="C454" s="108" t="s">
        <v>1468</v>
      </c>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16.5" customHeight="1">
      <c r="A455" s="108" t="s">
        <v>1465</v>
      </c>
      <c r="B455" s="108">
        <v>4.0</v>
      </c>
      <c r="C455" s="108" t="s">
        <v>1469</v>
      </c>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16.5" customHeight="1">
      <c r="A456" s="108" t="s">
        <v>1465</v>
      </c>
      <c r="B456" s="180">
        <v>77.0</v>
      </c>
      <c r="C456" s="180" t="s">
        <v>1209</v>
      </c>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16.5" customHeight="1">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16.5" customHeight="1">
      <c r="A458" s="108" t="s">
        <v>1470</v>
      </c>
      <c r="B458" s="108">
        <v>1.0</v>
      </c>
      <c r="C458" s="108" t="s">
        <v>1471</v>
      </c>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16.5" customHeight="1">
      <c r="A459" s="108" t="s">
        <v>1470</v>
      </c>
      <c r="B459" s="108">
        <v>2.0</v>
      </c>
      <c r="C459" s="108" t="s">
        <v>1472</v>
      </c>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16.5" customHeight="1">
      <c r="A460" s="108" t="s">
        <v>1470</v>
      </c>
      <c r="B460" s="108">
        <v>3.0</v>
      </c>
      <c r="C460" s="108" t="s">
        <v>1473</v>
      </c>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16.5" customHeight="1">
      <c r="A461" s="108" t="s">
        <v>1470</v>
      </c>
      <c r="B461" s="108">
        <v>4.0</v>
      </c>
      <c r="C461" s="108" t="s">
        <v>1474</v>
      </c>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16.5" customHeight="1">
      <c r="A462" s="108" t="s">
        <v>1470</v>
      </c>
      <c r="B462" s="108">
        <v>5.0</v>
      </c>
      <c r="C462" s="108" t="s">
        <v>1475</v>
      </c>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16.5" customHeight="1">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16.5" customHeight="1">
      <c r="A464" s="108" t="s">
        <v>1476</v>
      </c>
      <c r="B464" s="108">
        <v>1.0</v>
      </c>
      <c r="C464" s="108" t="s">
        <v>1477</v>
      </c>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16.5" customHeight="1">
      <c r="A465" s="108" t="s">
        <v>1476</v>
      </c>
      <c r="B465" s="108">
        <v>2.0</v>
      </c>
      <c r="C465" s="108" t="s">
        <v>1478</v>
      </c>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16.5" customHeight="1">
      <c r="A466" s="108" t="s">
        <v>1476</v>
      </c>
      <c r="B466" s="108">
        <v>3.0</v>
      </c>
      <c r="C466" s="108" t="s">
        <v>1479</v>
      </c>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16.5" customHeight="1">
      <c r="A467" s="108" t="s">
        <v>1476</v>
      </c>
      <c r="B467" s="108">
        <v>4.0</v>
      </c>
      <c r="C467" s="108" t="s">
        <v>1480</v>
      </c>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16.5" customHeight="1">
      <c r="A468" s="108" t="s">
        <v>1476</v>
      </c>
      <c r="B468" s="108">
        <v>5.0</v>
      </c>
      <c r="C468" s="108" t="s">
        <v>1481</v>
      </c>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16.5" customHeight="1">
      <c r="A469" s="108" t="s">
        <v>1476</v>
      </c>
      <c r="B469" s="108">
        <v>6.0</v>
      </c>
      <c r="C469" s="108" t="s">
        <v>1482</v>
      </c>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16.5" customHeight="1">
      <c r="A470" s="108" t="s">
        <v>1476</v>
      </c>
      <c r="B470" s="180">
        <v>77.0</v>
      </c>
      <c r="C470" s="108" t="s">
        <v>1247</v>
      </c>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16.5" customHeight="1">
      <c r="A471" s="108" t="s">
        <v>1476</v>
      </c>
      <c r="B471" s="108">
        <v>9999.0</v>
      </c>
      <c r="C471" s="108" t="s">
        <v>1215</v>
      </c>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16.5" customHeight="1">
      <c r="A472" s="108" t="s">
        <v>1476</v>
      </c>
      <c r="B472" s="108">
        <v>9998.0</v>
      </c>
      <c r="C472" s="108" t="s">
        <v>1216</v>
      </c>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16.5" customHeight="1">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16.5" customHeight="1">
      <c r="A474" s="108" t="s">
        <v>1483</v>
      </c>
      <c r="B474" s="108">
        <v>1.0</v>
      </c>
      <c r="C474" s="108" t="s">
        <v>1484</v>
      </c>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16.5" customHeight="1">
      <c r="A475" s="108" t="s">
        <v>1483</v>
      </c>
      <c r="B475" s="108">
        <v>2.0</v>
      </c>
      <c r="C475" s="108" t="s">
        <v>1485</v>
      </c>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16.5" customHeight="1">
      <c r="A476" s="108" t="s">
        <v>1483</v>
      </c>
      <c r="B476" s="108">
        <v>3.0</v>
      </c>
      <c r="C476" s="108" t="s">
        <v>1486</v>
      </c>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16.5" customHeight="1">
      <c r="A477" s="108" t="s">
        <v>1483</v>
      </c>
      <c r="B477" s="108">
        <v>4.0</v>
      </c>
      <c r="C477" s="108" t="s">
        <v>1487</v>
      </c>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16.5" customHeight="1">
      <c r="A478" s="108" t="s">
        <v>1483</v>
      </c>
      <c r="B478" s="108">
        <v>5.0</v>
      </c>
      <c r="C478" s="108" t="s">
        <v>1488</v>
      </c>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16.5" customHeight="1">
      <c r="A479" s="108" t="s">
        <v>1483</v>
      </c>
      <c r="B479" s="108">
        <v>9999.0</v>
      </c>
      <c r="C479" s="108" t="s">
        <v>1215</v>
      </c>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16.5" customHeight="1">
      <c r="A480" s="108" t="s">
        <v>1483</v>
      </c>
      <c r="B480" s="108">
        <v>9998.0</v>
      </c>
      <c r="C480" s="108" t="s">
        <v>1443</v>
      </c>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16.5" customHeight="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16.5" customHeight="1">
      <c r="A482" s="108" t="s">
        <v>1489</v>
      </c>
      <c r="B482" s="108">
        <v>1.0</v>
      </c>
      <c r="C482" s="108" t="s">
        <v>1490</v>
      </c>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16.5" customHeight="1">
      <c r="A483" s="108" t="s">
        <v>1489</v>
      </c>
      <c r="B483" s="108">
        <v>2.0</v>
      </c>
      <c r="C483" s="108" t="s">
        <v>1491</v>
      </c>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16.5" customHeight="1">
      <c r="A484" s="108" t="s">
        <v>1489</v>
      </c>
      <c r="B484" s="108">
        <v>3.0</v>
      </c>
      <c r="C484" s="108" t="s">
        <v>1492</v>
      </c>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16.5" customHeight="1">
      <c r="A485" s="108" t="s">
        <v>1489</v>
      </c>
      <c r="B485" s="108">
        <v>4.0</v>
      </c>
      <c r="C485" s="108" t="s">
        <v>1493</v>
      </c>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16.5" customHeight="1">
      <c r="A486" s="108" t="s">
        <v>1489</v>
      </c>
      <c r="B486" s="108">
        <v>5.0</v>
      </c>
      <c r="C486" s="108" t="s">
        <v>1494</v>
      </c>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16.5" customHeight="1">
      <c r="A487" s="108" t="s">
        <v>1489</v>
      </c>
      <c r="B487" s="108">
        <v>6.0</v>
      </c>
      <c r="C487" s="108" t="s">
        <v>1495</v>
      </c>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16.5" customHeight="1">
      <c r="A488" s="108" t="s">
        <v>1489</v>
      </c>
      <c r="B488" s="108">
        <v>7.0</v>
      </c>
      <c r="C488" s="108" t="s">
        <v>1496</v>
      </c>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16.5" customHeight="1">
      <c r="A489" s="108" t="s">
        <v>1489</v>
      </c>
      <c r="B489" s="108">
        <v>8.0</v>
      </c>
      <c r="C489" s="108" t="s">
        <v>1497</v>
      </c>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16.5" customHeight="1">
      <c r="A490" s="108" t="s">
        <v>1489</v>
      </c>
      <c r="B490" s="108">
        <v>9.0</v>
      </c>
      <c r="C490" s="108" t="s">
        <v>1498</v>
      </c>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16.5" customHeight="1">
      <c r="A491" s="108" t="s">
        <v>1489</v>
      </c>
      <c r="B491" s="108">
        <v>10.0</v>
      </c>
      <c r="C491" s="108" t="s">
        <v>1499</v>
      </c>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16.5" customHeight="1">
      <c r="A492" s="108" t="s">
        <v>1489</v>
      </c>
      <c r="B492" s="108">
        <v>11.0</v>
      </c>
      <c r="C492" s="108" t="s">
        <v>1500</v>
      </c>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16.5" customHeight="1">
      <c r="A493" s="108" t="s">
        <v>1489</v>
      </c>
      <c r="B493" s="108">
        <v>12.0</v>
      </c>
      <c r="C493" s="108" t="s">
        <v>1501</v>
      </c>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16.5" customHeight="1">
      <c r="A494" s="108" t="s">
        <v>1489</v>
      </c>
      <c r="B494" s="108">
        <v>13.0</v>
      </c>
      <c r="C494" s="108" t="s">
        <v>1502</v>
      </c>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16.5" customHeight="1">
      <c r="A495" s="108" t="s">
        <v>1489</v>
      </c>
      <c r="B495" s="108">
        <v>14.0</v>
      </c>
      <c r="C495" s="108" t="s">
        <v>1503</v>
      </c>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16.5" customHeight="1">
      <c r="A496" s="108" t="s">
        <v>1489</v>
      </c>
      <c r="B496" s="108">
        <v>15.0</v>
      </c>
      <c r="C496" s="108" t="s">
        <v>1504</v>
      </c>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16.5" customHeight="1">
      <c r="A497" s="108" t="s">
        <v>1489</v>
      </c>
      <c r="B497" s="108">
        <v>16.0</v>
      </c>
      <c r="C497" s="108" t="s">
        <v>1505</v>
      </c>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16.5" customHeight="1">
      <c r="A498" s="108" t="s">
        <v>1489</v>
      </c>
      <c r="B498" s="108">
        <v>17.0</v>
      </c>
      <c r="C498" s="108" t="s">
        <v>1506</v>
      </c>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16.5" customHeight="1">
      <c r="A499" s="108" t="s">
        <v>1489</v>
      </c>
      <c r="B499" s="108">
        <v>0.0</v>
      </c>
      <c r="C499" s="108" t="s">
        <v>1217</v>
      </c>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16.5" customHeight="1">
      <c r="A500" s="108" t="s">
        <v>1489</v>
      </c>
      <c r="B500" s="108">
        <v>9999.0</v>
      </c>
      <c r="C500" s="108" t="s">
        <v>1215</v>
      </c>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16.5" customHeight="1">
      <c r="A501" s="108" t="s">
        <v>1489</v>
      </c>
      <c r="B501" s="108">
        <v>9998.0</v>
      </c>
      <c r="C501" s="108" t="s">
        <v>1216</v>
      </c>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16.5" customHeight="1">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16.5" customHeight="1">
      <c r="A503" s="108" t="s">
        <v>1507</v>
      </c>
      <c r="B503" s="108">
        <v>1.0</v>
      </c>
      <c r="C503" s="108" t="s">
        <v>1508</v>
      </c>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16.5" customHeight="1">
      <c r="A504" s="108" t="s">
        <v>1507</v>
      </c>
      <c r="B504" s="108">
        <v>2.0</v>
      </c>
      <c r="C504" s="108" t="s">
        <v>1509</v>
      </c>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16.5" customHeight="1">
      <c r="A505" s="108" t="s">
        <v>1507</v>
      </c>
      <c r="B505" s="108">
        <v>3.0</v>
      </c>
      <c r="C505" s="108" t="s">
        <v>1510</v>
      </c>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16.5" customHeight="1">
      <c r="A506" s="108" t="s">
        <v>1507</v>
      </c>
      <c r="B506" s="108">
        <v>4.0</v>
      </c>
      <c r="C506" s="108" t="s">
        <v>1511</v>
      </c>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16.5" customHeight="1">
      <c r="A507" s="108" t="s">
        <v>1507</v>
      </c>
      <c r="B507" s="108">
        <v>0.0</v>
      </c>
      <c r="C507" s="108" t="s">
        <v>1208</v>
      </c>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16.5" customHeight="1">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16.5" customHeight="1">
      <c r="A509" s="108" t="s">
        <v>1512</v>
      </c>
      <c r="B509" s="108">
        <v>1.0</v>
      </c>
      <c r="C509" s="108" t="s">
        <v>1513</v>
      </c>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16.5" customHeight="1">
      <c r="A510" s="108" t="s">
        <v>1512</v>
      </c>
      <c r="B510" s="108">
        <v>2.0</v>
      </c>
      <c r="C510" s="108" t="s">
        <v>1514</v>
      </c>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16.5" customHeight="1">
      <c r="A511" s="108" t="s">
        <v>1512</v>
      </c>
      <c r="B511" s="108">
        <v>3.0</v>
      </c>
      <c r="C511" s="108" t="s">
        <v>1515</v>
      </c>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16.5" customHeight="1">
      <c r="A512" s="108" t="s">
        <v>1512</v>
      </c>
      <c r="B512" s="108">
        <v>4.0</v>
      </c>
      <c r="C512" s="108" t="s">
        <v>1516</v>
      </c>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16.5" customHeight="1">
      <c r="A513" s="108" t="s">
        <v>1512</v>
      </c>
      <c r="B513" s="108">
        <v>9998.0</v>
      </c>
      <c r="C513" s="108" t="s">
        <v>1216</v>
      </c>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16.5" customHeight="1">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16.5" customHeight="1">
      <c r="A515" s="108" t="s">
        <v>1517</v>
      </c>
      <c r="B515" s="108">
        <v>1.0</v>
      </c>
      <c r="C515" s="108" t="s">
        <v>1518</v>
      </c>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16.5" customHeight="1">
      <c r="A516" s="108" t="s">
        <v>1517</v>
      </c>
      <c r="B516" s="108">
        <v>2.0</v>
      </c>
      <c r="C516" s="108" t="s">
        <v>1519</v>
      </c>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16.5" customHeight="1">
      <c r="A517" s="108" t="s">
        <v>1517</v>
      </c>
      <c r="B517" s="108">
        <v>3.0</v>
      </c>
      <c r="C517" s="108" t="s">
        <v>1520</v>
      </c>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16.5" customHeight="1">
      <c r="A518" s="108" t="s">
        <v>1517</v>
      </c>
      <c r="B518" s="108">
        <v>4.0</v>
      </c>
      <c r="C518" s="108" t="s">
        <v>1521</v>
      </c>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16.5" customHeight="1">
      <c r="A519" s="108" t="s">
        <v>1517</v>
      </c>
      <c r="B519" s="108">
        <v>9999.0</v>
      </c>
      <c r="C519" s="108" t="s">
        <v>1215</v>
      </c>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16.5" customHeight="1">
      <c r="A520" s="108" t="s">
        <v>1517</v>
      </c>
      <c r="B520" s="108">
        <v>9998.0</v>
      </c>
      <c r="C520" s="108" t="s">
        <v>1216</v>
      </c>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16.5" customHeight="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16.5" customHeight="1">
      <c r="A522" s="180" t="s">
        <v>1522</v>
      </c>
      <c r="B522" s="108">
        <v>1.0</v>
      </c>
      <c r="C522" s="108" t="s">
        <v>1523</v>
      </c>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16.5" customHeight="1">
      <c r="A523" s="180" t="s">
        <v>1522</v>
      </c>
      <c r="B523" s="108">
        <v>2.0</v>
      </c>
      <c r="C523" s="108" t="s">
        <v>1524</v>
      </c>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16.5" customHeight="1">
      <c r="A524" s="180" t="s">
        <v>1522</v>
      </c>
      <c r="B524" s="108">
        <v>3.0</v>
      </c>
      <c r="C524" s="108" t="s">
        <v>1525</v>
      </c>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16.5" customHeight="1">
      <c r="A525" s="180" t="s">
        <v>1522</v>
      </c>
      <c r="B525" s="108">
        <v>4.0</v>
      </c>
      <c r="C525" s="108" t="s">
        <v>1526</v>
      </c>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16.5" customHeight="1">
      <c r="A526" s="180" t="s">
        <v>1522</v>
      </c>
      <c r="B526" s="108">
        <v>5.0</v>
      </c>
      <c r="C526" s="108" t="s">
        <v>1527</v>
      </c>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16.5" customHeight="1">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16.5" customHeight="1">
      <c r="A528" s="108" t="s">
        <v>1528</v>
      </c>
      <c r="B528" s="108">
        <v>1.0</v>
      </c>
      <c r="C528" s="108" t="s">
        <v>1529</v>
      </c>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16.5" customHeight="1">
      <c r="A529" s="108" t="s">
        <v>1528</v>
      </c>
      <c r="B529" s="108">
        <v>2.0</v>
      </c>
      <c r="C529" s="108" t="s">
        <v>1330</v>
      </c>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16.5" customHeight="1">
      <c r="A530" s="108" t="s">
        <v>1528</v>
      </c>
      <c r="B530" s="108">
        <v>3.0</v>
      </c>
      <c r="C530" s="108" t="s">
        <v>1530</v>
      </c>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16.5" customHeight="1">
      <c r="A531" s="108" t="s">
        <v>1528</v>
      </c>
      <c r="B531" s="108">
        <v>4.0</v>
      </c>
      <c r="C531" s="108" t="s">
        <v>1531</v>
      </c>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16.5" customHeight="1">
      <c r="A532" s="108" t="s">
        <v>1528</v>
      </c>
      <c r="B532" s="108">
        <v>5.0</v>
      </c>
      <c r="C532" s="108" t="s">
        <v>1532</v>
      </c>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16.5" customHeight="1">
      <c r="A533" s="108" t="s">
        <v>1528</v>
      </c>
      <c r="B533" s="108">
        <v>6.0</v>
      </c>
      <c r="C533" s="108" t="s">
        <v>1533</v>
      </c>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16.5" customHeight="1">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16.5" customHeight="1">
      <c r="A535" s="108" t="s">
        <v>1534</v>
      </c>
      <c r="B535" s="108">
        <v>1.0</v>
      </c>
      <c r="C535" s="108" t="s">
        <v>1205</v>
      </c>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16.5" customHeight="1">
      <c r="A536" s="108" t="s">
        <v>1534</v>
      </c>
      <c r="B536" s="108">
        <v>2.0</v>
      </c>
      <c r="C536" s="108" t="s">
        <v>1535</v>
      </c>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16.5" customHeight="1">
      <c r="A537" s="108" t="s">
        <v>1534</v>
      </c>
      <c r="B537" s="108">
        <v>3.0</v>
      </c>
      <c r="C537" s="108" t="s">
        <v>1536</v>
      </c>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16.5" customHeight="1">
      <c r="A538" s="108" t="s">
        <v>1534</v>
      </c>
      <c r="B538" s="108">
        <v>9999.0</v>
      </c>
      <c r="C538" s="108" t="s">
        <v>1215</v>
      </c>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16.5" customHeight="1">
      <c r="A539" s="108" t="s">
        <v>1534</v>
      </c>
      <c r="B539" s="108">
        <v>9998.0</v>
      </c>
      <c r="C539" s="108" t="s">
        <v>1216</v>
      </c>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16.5" customHeight="1">
      <c r="A540" s="108" t="s">
        <v>1534</v>
      </c>
      <c r="B540" s="180">
        <v>77.0</v>
      </c>
      <c r="C540" s="108" t="s">
        <v>1247</v>
      </c>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16.5" customHeight="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16.5" customHeight="1">
      <c r="A542" s="108" t="s">
        <v>1537</v>
      </c>
      <c r="B542" s="108">
        <v>1.0</v>
      </c>
      <c r="C542" s="108" t="s">
        <v>1538</v>
      </c>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16.5" customHeight="1">
      <c r="A543" s="108" t="s">
        <v>1537</v>
      </c>
      <c r="B543" s="108">
        <v>2.0</v>
      </c>
      <c r="C543" s="108" t="s">
        <v>1539</v>
      </c>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16.5" customHeight="1">
      <c r="A544" s="108" t="s">
        <v>1537</v>
      </c>
      <c r="B544" s="108">
        <v>3.0</v>
      </c>
      <c r="C544" s="108" t="s">
        <v>1540</v>
      </c>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16.5" customHeight="1">
      <c r="A545" s="108" t="s">
        <v>1537</v>
      </c>
      <c r="B545" s="108">
        <v>4.0</v>
      </c>
      <c r="C545" s="108" t="s">
        <v>1541</v>
      </c>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16.5" customHeight="1">
      <c r="A546" s="108" t="s">
        <v>1537</v>
      </c>
      <c r="B546" s="108">
        <v>0.0</v>
      </c>
      <c r="C546" s="108" t="s">
        <v>1217</v>
      </c>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16.5" customHeight="1">
      <c r="A547" s="108" t="s">
        <v>1537</v>
      </c>
      <c r="B547" s="108">
        <v>9999.0</v>
      </c>
      <c r="C547" s="108" t="s">
        <v>1215</v>
      </c>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16.5" customHeight="1">
      <c r="A548" s="108" t="s">
        <v>1537</v>
      </c>
      <c r="B548" s="108">
        <v>9998.0</v>
      </c>
      <c r="C548" s="108" t="s">
        <v>1443</v>
      </c>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16.5" customHeight="1">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16.5" customHeight="1">
      <c r="A550" s="108" t="s">
        <v>1542</v>
      </c>
      <c r="B550" s="108">
        <v>1.0</v>
      </c>
      <c r="C550" s="108" t="s">
        <v>1543</v>
      </c>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16.5" customHeight="1">
      <c r="A551" s="108" t="s">
        <v>1542</v>
      </c>
      <c r="B551" s="108">
        <v>2.0</v>
      </c>
      <c r="C551" s="108" t="s">
        <v>1544</v>
      </c>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16.5" customHeight="1">
      <c r="A552" s="108" t="s">
        <v>1542</v>
      </c>
      <c r="B552" s="108">
        <v>3.0</v>
      </c>
      <c r="C552" s="108" t="s">
        <v>1545</v>
      </c>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16.5" customHeight="1">
      <c r="A553" s="108" t="s">
        <v>1542</v>
      </c>
      <c r="B553" s="108">
        <v>4.0</v>
      </c>
      <c r="C553" s="108" t="s">
        <v>1546</v>
      </c>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16.5" customHeight="1">
      <c r="A554" s="108" t="s">
        <v>1542</v>
      </c>
      <c r="B554" s="108">
        <v>9999.0</v>
      </c>
      <c r="C554" s="108" t="s">
        <v>1215</v>
      </c>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16.5" customHeight="1">
      <c r="A555" s="108" t="s">
        <v>1542</v>
      </c>
      <c r="B555" s="108">
        <v>9998.0</v>
      </c>
      <c r="C555" s="108" t="s">
        <v>1443</v>
      </c>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16.5" customHeight="1">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16.5" customHeight="1">
      <c r="A557" s="108" t="s">
        <v>1547</v>
      </c>
      <c r="B557" s="108">
        <v>1.0</v>
      </c>
      <c r="C557" s="108" t="s">
        <v>1548</v>
      </c>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16.5" customHeight="1">
      <c r="A558" s="108" t="s">
        <v>1547</v>
      </c>
      <c r="B558" s="108">
        <v>2.0</v>
      </c>
      <c r="C558" s="108" t="s">
        <v>1549</v>
      </c>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16.5" customHeight="1">
      <c r="A559" s="108" t="s">
        <v>1547</v>
      </c>
      <c r="B559" s="108">
        <v>3.0</v>
      </c>
      <c r="C559" s="108" t="s">
        <v>1550</v>
      </c>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16.5" customHeight="1">
      <c r="A560" s="108" t="s">
        <v>1547</v>
      </c>
      <c r="B560" s="108">
        <v>4.0</v>
      </c>
      <c r="C560" s="108" t="s">
        <v>1551</v>
      </c>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16.5" customHeight="1">
      <c r="A561" s="108" t="s">
        <v>1547</v>
      </c>
      <c r="B561" s="108">
        <v>5.0</v>
      </c>
      <c r="C561" s="108" t="s">
        <v>1552</v>
      </c>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16.5" customHeight="1">
      <c r="A562" s="108" t="s">
        <v>1547</v>
      </c>
      <c r="B562" s="108">
        <v>9999.0</v>
      </c>
      <c r="C562" s="108" t="s">
        <v>1215</v>
      </c>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16.5" customHeight="1">
      <c r="A563" s="108" t="s">
        <v>1547</v>
      </c>
      <c r="B563" s="108">
        <v>9998.0</v>
      </c>
      <c r="C563" s="108" t="s">
        <v>1443</v>
      </c>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16.5" customHeight="1">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16.5" customHeight="1">
      <c r="A565" s="108" t="s">
        <v>1553</v>
      </c>
      <c r="B565" s="108">
        <v>1.0</v>
      </c>
      <c r="C565" s="108" t="s">
        <v>1554</v>
      </c>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16.5" customHeight="1">
      <c r="A566" s="108" t="s">
        <v>1553</v>
      </c>
      <c r="B566" s="108">
        <v>2.0</v>
      </c>
      <c r="C566" s="108" t="s">
        <v>1555</v>
      </c>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16.5" customHeight="1">
      <c r="A567" s="108" t="s">
        <v>1553</v>
      </c>
      <c r="B567" s="108">
        <v>3.0</v>
      </c>
      <c r="C567" s="108" t="s">
        <v>1556</v>
      </c>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16.5" customHeight="1">
      <c r="A568" s="108" t="s">
        <v>1553</v>
      </c>
      <c r="B568" s="108">
        <v>4.0</v>
      </c>
      <c r="C568" s="108" t="s">
        <v>1557</v>
      </c>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16.5" customHeight="1">
      <c r="A569" s="108" t="s">
        <v>1553</v>
      </c>
      <c r="B569" s="108">
        <v>5.0</v>
      </c>
      <c r="C569" s="108" t="s">
        <v>1558</v>
      </c>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16.5" customHeight="1">
      <c r="A570" s="108" t="s">
        <v>1553</v>
      </c>
      <c r="B570" s="108">
        <v>6.0</v>
      </c>
      <c r="C570" s="108" t="s">
        <v>1559</v>
      </c>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16.5" customHeight="1">
      <c r="A571" s="108" t="s">
        <v>1553</v>
      </c>
      <c r="B571" s="108">
        <v>7.0</v>
      </c>
      <c r="C571" s="108" t="s">
        <v>1560</v>
      </c>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16.5" customHeight="1">
      <c r="A572" s="108" t="s">
        <v>1553</v>
      </c>
      <c r="B572" s="108">
        <v>8.0</v>
      </c>
      <c r="C572" s="108" t="s">
        <v>1561</v>
      </c>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16.5" customHeight="1">
      <c r="A573" s="108" t="s">
        <v>1553</v>
      </c>
      <c r="B573" s="108">
        <v>0.0</v>
      </c>
      <c r="C573" s="108" t="s">
        <v>1217</v>
      </c>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16.5" customHeight="1">
      <c r="A574" s="108" t="s">
        <v>1553</v>
      </c>
      <c r="B574" s="108">
        <v>9998.0</v>
      </c>
      <c r="C574" s="108" t="s">
        <v>1443</v>
      </c>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16.5" customHeight="1">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16.5" customHeight="1">
      <c r="A576" s="108" t="s">
        <v>1562</v>
      </c>
      <c r="B576" s="108">
        <v>1.0</v>
      </c>
      <c r="C576" s="108" t="s">
        <v>1563</v>
      </c>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16.5" customHeight="1">
      <c r="A577" s="108" t="s">
        <v>1562</v>
      </c>
      <c r="B577" s="108">
        <v>2.0</v>
      </c>
      <c r="C577" s="108" t="s">
        <v>1564</v>
      </c>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16.5" customHeight="1">
      <c r="A578" s="108" t="s">
        <v>1562</v>
      </c>
      <c r="B578" s="108">
        <v>3.0</v>
      </c>
      <c r="C578" s="108" t="s">
        <v>1565</v>
      </c>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16.5" customHeight="1">
      <c r="A579" s="108" t="s">
        <v>1562</v>
      </c>
      <c r="B579" s="108">
        <v>4.0</v>
      </c>
      <c r="C579" s="108" t="s">
        <v>1566</v>
      </c>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16.5" customHeight="1">
      <c r="A580" s="108" t="s">
        <v>1562</v>
      </c>
      <c r="B580" s="108">
        <v>5.0</v>
      </c>
      <c r="C580" s="108" t="s">
        <v>1567</v>
      </c>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16.5" customHeight="1">
      <c r="A581" s="108" t="s">
        <v>1562</v>
      </c>
      <c r="B581" s="108">
        <v>6.0</v>
      </c>
      <c r="C581" s="108" t="s">
        <v>1568</v>
      </c>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16.5" customHeight="1">
      <c r="A582" s="108" t="s">
        <v>1562</v>
      </c>
      <c r="B582" s="108">
        <v>0.0</v>
      </c>
      <c r="C582" s="108" t="s">
        <v>1217</v>
      </c>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16.5" customHeight="1">
      <c r="A583" s="108" t="s">
        <v>1562</v>
      </c>
      <c r="B583" s="108">
        <v>9999.0</v>
      </c>
      <c r="C583" s="108" t="s">
        <v>1215</v>
      </c>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16.5" customHeight="1">
      <c r="A584" s="108" t="s">
        <v>1562</v>
      </c>
      <c r="B584" s="108">
        <v>9998.0</v>
      </c>
      <c r="C584" s="108" t="s">
        <v>1443</v>
      </c>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16.5" customHeight="1">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16.5" customHeight="1">
      <c r="A586" s="108" t="s">
        <v>1569</v>
      </c>
      <c r="B586" s="108">
        <v>1.0</v>
      </c>
      <c r="C586" s="108" t="s">
        <v>1570</v>
      </c>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16.5" customHeight="1">
      <c r="A587" s="108" t="s">
        <v>1569</v>
      </c>
      <c r="B587" s="108">
        <v>2.0</v>
      </c>
      <c r="C587" s="108" t="s">
        <v>1571</v>
      </c>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16.5" customHeight="1">
      <c r="A588" s="108" t="s">
        <v>1569</v>
      </c>
      <c r="B588" s="108">
        <v>3.0</v>
      </c>
      <c r="C588" s="108" t="s">
        <v>1572</v>
      </c>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16.5" customHeight="1">
      <c r="A589" s="108" t="s">
        <v>1569</v>
      </c>
      <c r="B589" s="108">
        <v>9999.0</v>
      </c>
      <c r="C589" s="108" t="s">
        <v>1215</v>
      </c>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16.5" customHeight="1">
      <c r="A590" s="108" t="s">
        <v>1569</v>
      </c>
      <c r="B590" s="108">
        <v>9998.0</v>
      </c>
      <c r="C590" s="108" t="s">
        <v>1216</v>
      </c>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16.5" customHeight="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16.5" customHeight="1">
      <c r="A592" s="108" t="s">
        <v>1573</v>
      </c>
      <c r="B592" s="108">
        <v>1.0</v>
      </c>
      <c r="C592" s="108" t="s">
        <v>1574</v>
      </c>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16.5" customHeight="1">
      <c r="A593" s="108" t="s">
        <v>1573</v>
      </c>
      <c r="B593" s="108">
        <v>2.0</v>
      </c>
      <c r="C593" s="108" t="s">
        <v>1575</v>
      </c>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16.5" customHeight="1">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16.5" customHeight="1">
      <c r="A595" s="108" t="s">
        <v>1576</v>
      </c>
      <c r="B595" s="108">
        <v>1.0</v>
      </c>
      <c r="C595" s="108" t="s">
        <v>1577</v>
      </c>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16.5" customHeight="1">
      <c r="A596" s="108" t="s">
        <v>1576</v>
      </c>
      <c r="B596" s="108">
        <v>2.0</v>
      </c>
      <c r="C596" s="108" t="s">
        <v>1578</v>
      </c>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16.5" customHeight="1">
      <c r="A597" s="108" t="s">
        <v>1576</v>
      </c>
      <c r="B597" s="108">
        <v>3.0</v>
      </c>
      <c r="C597" s="108" t="s">
        <v>1579</v>
      </c>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16.5" customHeight="1">
      <c r="A598" s="108" t="s">
        <v>1576</v>
      </c>
      <c r="B598" s="108">
        <v>4.0</v>
      </c>
      <c r="C598" s="108" t="s">
        <v>1204</v>
      </c>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16.5" customHeight="1">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16.5" customHeight="1">
      <c r="A600" s="108" t="s">
        <v>1580</v>
      </c>
      <c r="B600" s="108">
        <v>1.0</v>
      </c>
      <c r="C600" s="108" t="s">
        <v>1581</v>
      </c>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16.5" customHeight="1">
      <c r="A601" s="108" t="s">
        <v>1580</v>
      </c>
      <c r="B601" s="108">
        <v>2.0</v>
      </c>
      <c r="C601" s="108" t="s">
        <v>1582</v>
      </c>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16.5" customHeight="1">
      <c r="A602" s="108" t="s">
        <v>1580</v>
      </c>
      <c r="B602" s="108">
        <v>3.0</v>
      </c>
      <c r="C602" s="108" t="s">
        <v>1583</v>
      </c>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16.5" customHeight="1">
      <c r="A603" s="108" t="s">
        <v>1580</v>
      </c>
      <c r="B603" s="108">
        <v>4.0</v>
      </c>
      <c r="C603" s="108" t="s">
        <v>1208</v>
      </c>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16.5" customHeight="1">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16.5" customHeight="1">
      <c r="A605" s="108" t="s">
        <v>1584</v>
      </c>
      <c r="B605" s="108">
        <v>1.0</v>
      </c>
      <c r="C605" s="108" t="s">
        <v>1585</v>
      </c>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16.5" customHeight="1">
      <c r="A606" s="108" t="s">
        <v>1584</v>
      </c>
      <c r="B606" s="108">
        <v>2.0</v>
      </c>
      <c r="C606" s="108" t="s">
        <v>1586</v>
      </c>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16.5" customHeight="1">
      <c r="A607" s="108" t="s">
        <v>1584</v>
      </c>
      <c r="B607" s="108">
        <v>3.0</v>
      </c>
      <c r="C607" s="108" t="s">
        <v>1587</v>
      </c>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16.5" customHeight="1">
      <c r="A608" s="108" t="s">
        <v>1584</v>
      </c>
      <c r="B608" s="108">
        <v>4.0</v>
      </c>
      <c r="C608" s="108" t="s">
        <v>1588</v>
      </c>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16.5" customHeight="1">
      <c r="A609" s="108" t="s">
        <v>1584</v>
      </c>
      <c r="B609" s="108">
        <v>5.0</v>
      </c>
      <c r="C609" s="108" t="s">
        <v>1217</v>
      </c>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16.5" customHeight="1">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16.5" customHeight="1">
      <c r="A611" s="108" t="s">
        <v>1589</v>
      </c>
      <c r="B611" s="108">
        <v>1.0</v>
      </c>
      <c r="C611" s="108" t="s">
        <v>1590</v>
      </c>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16.5" customHeight="1">
      <c r="A612" s="108" t="s">
        <v>1589</v>
      </c>
      <c r="B612" s="108">
        <v>2.0</v>
      </c>
      <c r="C612" s="108" t="s">
        <v>1591</v>
      </c>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16.5" customHeight="1">
      <c r="A613" s="108" t="s">
        <v>1589</v>
      </c>
      <c r="B613" s="108">
        <v>3.0</v>
      </c>
      <c r="C613" s="108" t="s">
        <v>1592</v>
      </c>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16.5" customHeight="1">
      <c r="A614" s="108" t="s">
        <v>1589</v>
      </c>
      <c r="B614" s="108">
        <v>4.0</v>
      </c>
      <c r="C614" s="108" t="s">
        <v>1593</v>
      </c>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16.5" customHeight="1">
      <c r="A615" s="108" t="s">
        <v>1589</v>
      </c>
      <c r="B615" s="108">
        <v>5.0</v>
      </c>
      <c r="C615" s="108" t="s">
        <v>1594</v>
      </c>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16.5" customHeight="1">
      <c r="A616" s="108" t="s">
        <v>1589</v>
      </c>
      <c r="B616" s="108">
        <v>6.0</v>
      </c>
      <c r="C616" s="108" t="s">
        <v>1595</v>
      </c>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16.5" customHeight="1">
      <c r="A617" s="108" t="s">
        <v>1589</v>
      </c>
      <c r="B617" s="108">
        <v>7.0</v>
      </c>
      <c r="C617" s="108" t="s">
        <v>1596</v>
      </c>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16.5" customHeight="1">
      <c r="A618" s="108" t="s">
        <v>1589</v>
      </c>
      <c r="B618" s="108">
        <v>8.0</v>
      </c>
      <c r="C618" s="108" t="s">
        <v>1597</v>
      </c>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16.5" customHeight="1">
      <c r="A619" s="108" t="s">
        <v>1589</v>
      </c>
      <c r="B619" s="180">
        <v>77.0</v>
      </c>
      <c r="C619" s="180" t="s">
        <v>1209</v>
      </c>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16.5" customHeight="1">
      <c r="A620" s="108" t="s">
        <v>1589</v>
      </c>
      <c r="B620" s="108">
        <v>10.0</v>
      </c>
      <c r="C620" s="108" t="s">
        <v>1217</v>
      </c>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16.5" customHeight="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16.5" customHeight="1">
      <c r="A622" s="108" t="s">
        <v>1598</v>
      </c>
      <c r="B622" s="108">
        <v>1.0</v>
      </c>
      <c r="C622" s="108" t="s">
        <v>1599</v>
      </c>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16.5" customHeight="1">
      <c r="A623" s="108" t="s">
        <v>1598</v>
      </c>
      <c r="B623" s="108">
        <v>2.0</v>
      </c>
      <c r="C623" s="108" t="s">
        <v>1600</v>
      </c>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16.5" customHeight="1">
      <c r="A624" s="108" t="s">
        <v>1598</v>
      </c>
      <c r="B624" s="108">
        <v>3.0</v>
      </c>
      <c r="C624" s="108" t="s">
        <v>1601</v>
      </c>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16.5" customHeight="1">
      <c r="A625" s="108" t="s">
        <v>1598</v>
      </c>
      <c r="B625" s="108">
        <v>4.0</v>
      </c>
      <c r="C625" s="108" t="s">
        <v>1602</v>
      </c>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16.5" customHeight="1">
      <c r="A626" s="108" t="s">
        <v>1598</v>
      </c>
      <c r="B626" s="108">
        <v>5.0</v>
      </c>
      <c r="C626" s="108" t="s">
        <v>1603</v>
      </c>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16.5" customHeight="1">
      <c r="A627" s="108" t="s">
        <v>1598</v>
      </c>
      <c r="B627" s="108">
        <v>6.0</v>
      </c>
      <c r="C627" s="108" t="s">
        <v>1604</v>
      </c>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16.5" customHeight="1">
      <c r="A628" s="108" t="s">
        <v>1598</v>
      </c>
      <c r="B628" s="108">
        <v>7.0</v>
      </c>
      <c r="C628" s="108" t="s">
        <v>1605</v>
      </c>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16.5" customHeight="1">
      <c r="A629" s="108" t="s">
        <v>1598</v>
      </c>
      <c r="B629" s="108">
        <v>8.0</v>
      </c>
      <c r="C629" s="108" t="s">
        <v>1606</v>
      </c>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16.5" customHeight="1">
      <c r="A630" s="108" t="s">
        <v>1598</v>
      </c>
      <c r="B630" s="108">
        <v>9.0</v>
      </c>
      <c r="C630" s="108" t="s">
        <v>1607</v>
      </c>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16.5" customHeight="1">
      <c r="A631" s="108" t="s">
        <v>1598</v>
      </c>
      <c r="B631" s="108">
        <v>10.0</v>
      </c>
      <c r="C631" s="108" t="s">
        <v>1608</v>
      </c>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16.5" customHeight="1">
      <c r="A632" s="108" t="s">
        <v>1598</v>
      </c>
      <c r="B632" s="180">
        <v>77.0</v>
      </c>
      <c r="C632" s="180" t="s">
        <v>1209</v>
      </c>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16.5" customHeight="1">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16.5" customHeight="1">
      <c r="A634" s="108" t="s">
        <v>1609</v>
      </c>
      <c r="B634" s="108">
        <v>1.0</v>
      </c>
      <c r="C634" s="108" t="s">
        <v>1610</v>
      </c>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16.5" customHeight="1">
      <c r="A635" s="108" t="s">
        <v>1609</v>
      </c>
      <c r="B635" s="108">
        <v>2.0</v>
      </c>
      <c r="C635" s="108" t="s">
        <v>1611</v>
      </c>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16.5" customHeight="1">
      <c r="A636" s="108" t="s">
        <v>1609</v>
      </c>
      <c r="B636" s="108">
        <v>3.0</v>
      </c>
      <c r="C636" s="108" t="s">
        <v>1612</v>
      </c>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16.5" customHeight="1">
      <c r="A637" s="108" t="s">
        <v>1609</v>
      </c>
      <c r="B637" s="180">
        <v>77.0</v>
      </c>
      <c r="C637" s="108" t="s">
        <v>1247</v>
      </c>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16.5" customHeight="1">
      <c r="A638" s="108" t="s">
        <v>1609</v>
      </c>
      <c r="B638" s="108">
        <v>5.0</v>
      </c>
      <c r="C638" s="108" t="s">
        <v>1204</v>
      </c>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16.5" customHeight="1">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16.5" customHeight="1">
      <c r="A640" s="108" t="s">
        <v>1613</v>
      </c>
      <c r="B640" s="108">
        <v>1.0</v>
      </c>
      <c r="C640" s="108" t="s">
        <v>1614</v>
      </c>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16.5" customHeight="1">
      <c r="A641" s="108" t="s">
        <v>1613</v>
      </c>
      <c r="B641" s="108">
        <v>2.0</v>
      </c>
      <c r="C641" s="108" t="s">
        <v>1615</v>
      </c>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16.5" customHeight="1">
      <c r="A642" s="108" t="s">
        <v>1613</v>
      </c>
      <c r="B642" s="108">
        <v>3.0</v>
      </c>
      <c r="C642" s="108" t="s">
        <v>1616</v>
      </c>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16.5" customHeight="1">
      <c r="A643" s="108" t="s">
        <v>1613</v>
      </c>
      <c r="B643" s="108">
        <v>4.0</v>
      </c>
      <c r="C643" s="108" t="s">
        <v>1617</v>
      </c>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16.5" customHeight="1">
      <c r="A644" s="108" t="s">
        <v>1613</v>
      </c>
      <c r="B644" s="180">
        <v>77.0</v>
      </c>
      <c r="C644" s="108" t="s">
        <v>1247</v>
      </c>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16.5" customHeight="1">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16.5" customHeight="1">
      <c r="A646" s="108" t="s">
        <v>1618</v>
      </c>
      <c r="B646" s="108">
        <v>1.0</v>
      </c>
      <c r="C646" s="108" t="s">
        <v>1619</v>
      </c>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16.5" customHeight="1">
      <c r="A647" s="108" t="s">
        <v>1618</v>
      </c>
      <c r="B647" s="108">
        <v>2.0</v>
      </c>
      <c r="C647" s="108" t="s">
        <v>1620</v>
      </c>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16.5" customHeight="1">
      <c r="A648" s="108" t="s">
        <v>1618</v>
      </c>
      <c r="B648" s="108">
        <v>3.0</v>
      </c>
      <c r="C648" s="108" t="s">
        <v>1621</v>
      </c>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16.5" customHeight="1">
      <c r="A649" s="108" t="s">
        <v>1618</v>
      </c>
      <c r="B649" s="108">
        <v>4.0</v>
      </c>
      <c r="C649" s="108" t="s">
        <v>1622</v>
      </c>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16.5" customHeight="1">
      <c r="A650" s="108" t="s">
        <v>1618</v>
      </c>
      <c r="B650" s="108">
        <v>5.0</v>
      </c>
      <c r="C650" s="108" t="s">
        <v>1623</v>
      </c>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16.5" customHeight="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16.5" customHeight="1">
      <c r="A652" s="108" t="s">
        <v>1624</v>
      </c>
      <c r="B652" s="108">
        <v>1.0</v>
      </c>
      <c r="C652" s="141" t="s">
        <v>1224</v>
      </c>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16.5" customHeight="1">
      <c r="A653" s="108" t="s">
        <v>1624</v>
      </c>
      <c r="B653" s="108">
        <v>2.0</v>
      </c>
      <c r="C653" s="249">
        <v>0.1</v>
      </c>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16.5" customHeight="1">
      <c r="A654" s="108" t="s">
        <v>1624</v>
      </c>
      <c r="B654" s="108">
        <v>3.0</v>
      </c>
      <c r="C654" s="249">
        <v>0.2</v>
      </c>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16.5" customHeight="1">
      <c r="A655" s="108" t="s">
        <v>1624</v>
      </c>
      <c r="B655" s="108">
        <v>4.0</v>
      </c>
      <c r="C655" s="249">
        <v>0.3</v>
      </c>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16.5" customHeight="1">
      <c r="A656" s="108" t="s">
        <v>1624</v>
      </c>
      <c r="B656" s="108">
        <v>5.0</v>
      </c>
      <c r="C656" s="249">
        <v>0.4</v>
      </c>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16.5" customHeight="1">
      <c r="A657" s="108" t="s">
        <v>1624</v>
      </c>
      <c r="B657" s="108">
        <v>6.0</v>
      </c>
      <c r="C657" s="141" t="s">
        <v>1625</v>
      </c>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16.5" customHeight="1">
      <c r="A658" s="108" t="s">
        <v>1624</v>
      </c>
      <c r="B658" s="108">
        <v>7.0</v>
      </c>
      <c r="C658" s="249">
        <v>0.6</v>
      </c>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16.5" customHeight="1">
      <c r="A659" s="108" t="s">
        <v>1624</v>
      </c>
      <c r="B659" s="108">
        <v>8.0</v>
      </c>
      <c r="C659" s="249">
        <v>0.7</v>
      </c>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16.5" customHeight="1">
      <c r="A660" s="108" t="s">
        <v>1624</v>
      </c>
      <c r="B660" s="108">
        <v>9.0</v>
      </c>
      <c r="C660" s="249">
        <v>0.8</v>
      </c>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16.5" customHeight="1">
      <c r="A661" s="108" t="s">
        <v>1624</v>
      </c>
      <c r="B661" s="108">
        <v>10.0</v>
      </c>
      <c r="C661" s="249">
        <v>0.9</v>
      </c>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16.5" customHeight="1">
      <c r="A662" s="108" t="s">
        <v>1624</v>
      </c>
      <c r="B662" s="108">
        <v>11.0</v>
      </c>
      <c r="C662" s="141" t="s">
        <v>1626</v>
      </c>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16.5" customHeight="1">
      <c r="A663" s="108" t="s">
        <v>1624</v>
      </c>
      <c r="B663" s="108">
        <v>9999.0</v>
      </c>
      <c r="C663" s="141" t="s">
        <v>1215</v>
      </c>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16.5" customHeight="1">
      <c r="A664" s="108" t="s">
        <v>1624</v>
      </c>
      <c r="B664" s="108">
        <v>9998.0</v>
      </c>
      <c r="C664" s="141" t="s">
        <v>1216</v>
      </c>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16.5" customHeight="1">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16.5" customHeight="1">
      <c r="A666" s="108" t="s">
        <v>1627</v>
      </c>
      <c r="B666" s="108">
        <v>1.0</v>
      </c>
      <c r="C666" s="108" t="s">
        <v>1628</v>
      </c>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16.5" customHeight="1">
      <c r="A667" s="108" t="s">
        <v>1627</v>
      </c>
      <c r="B667" s="108">
        <v>2.0</v>
      </c>
      <c r="C667" s="108" t="s">
        <v>1629</v>
      </c>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16.5" customHeight="1">
      <c r="A668" s="108" t="s">
        <v>1627</v>
      </c>
      <c r="B668" s="108">
        <v>3.0</v>
      </c>
      <c r="C668" s="108" t="s">
        <v>1630</v>
      </c>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16.5" customHeight="1">
      <c r="A669" s="108" t="s">
        <v>1627</v>
      </c>
      <c r="B669" s="108">
        <v>4.0</v>
      </c>
      <c r="C669" s="108" t="s">
        <v>1631</v>
      </c>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16.5" customHeight="1">
      <c r="A670" s="108" t="s">
        <v>1627</v>
      </c>
      <c r="B670" s="108">
        <v>5.0</v>
      </c>
      <c r="C670" s="108" t="s">
        <v>1632</v>
      </c>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16.5" customHeight="1">
      <c r="A671" s="108" t="s">
        <v>1627</v>
      </c>
      <c r="B671" s="180">
        <v>77.0</v>
      </c>
      <c r="C671" s="180" t="s">
        <v>1209</v>
      </c>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16.5" customHeight="1">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16.5" customHeight="1">
      <c r="A673" s="108" t="s">
        <v>1633</v>
      </c>
      <c r="B673" s="108">
        <v>1.0</v>
      </c>
      <c r="C673" s="108" t="s">
        <v>1634</v>
      </c>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16.5" customHeight="1">
      <c r="A674" s="108" t="s">
        <v>1633</v>
      </c>
      <c r="B674" s="108">
        <v>2.0</v>
      </c>
      <c r="C674" s="108" t="s">
        <v>1635</v>
      </c>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16.5" customHeight="1">
      <c r="A675" s="108" t="s">
        <v>1633</v>
      </c>
      <c r="B675" s="108">
        <v>3.0</v>
      </c>
      <c r="C675" s="108" t="s">
        <v>1636</v>
      </c>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16.5" customHeight="1">
      <c r="A676" s="108" t="s">
        <v>1633</v>
      </c>
      <c r="B676" s="108">
        <v>4.0</v>
      </c>
      <c r="C676" s="108" t="s">
        <v>1256</v>
      </c>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16.5" customHeight="1">
      <c r="A677" s="108" t="s">
        <v>1633</v>
      </c>
      <c r="B677" s="108">
        <v>5.0</v>
      </c>
      <c r="C677" s="108" t="s">
        <v>1637</v>
      </c>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16.5" customHeight="1">
      <c r="A678" s="108" t="s">
        <v>1633</v>
      </c>
      <c r="B678" s="108">
        <v>6.0</v>
      </c>
      <c r="C678" s="108" t="s">
        <v>1638</v>
      </c>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16.5" customHeight="1">
      <c r="A679" s="108" t="s">
        <v>1633</v>
      </c>
      <c r="B679" s="108">
        <v>7.0</v>
      </c>
      <c r="C679" s="108" t="s">
        <v>1639</v>
      </c>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16.5" customHeight="1">
      <c r="A680" s="108" t="s">
        <v>1633</v>
      </c>
      <c r="B680" s="180">
        <v>77.0</v>
      </c>
      <c r="C680" s="108" t="s">
        <v>1209</v>
      </c>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16.5" customHeight="1">
      <c r="A681" s="108" t="s">
        <v>1633</v>
      </c>
      <c r="B681" s="108">
        <v>9.0</v>
      </c>
      <c r="C681" s="108" t="s">
        <v>1217</v>
      </c>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16.5" customHeight="1">
      <c r="A682" s="108" t="s">
        <v>1633</v>
      </c>
      <c r="B682" s="108">
        <v>9999.0</v>
      </c>
      <c r="C682" s="108" t="s">
        <v>1215</v>
      </c>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16.5" customHeight="1">
      <c r="A683" s="108" t="s">
        <v>1633</v>
      </c>
      <c r="B683" s="108">
        <v>9998.0</v>
      </c>
      <c r="C683" s="108" t="s">
        <v>1216</v>
      </c>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16.5" customHeight="1">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16.5" customHeight="1">
      <c r="A685" s="108" t="s">
        <v>1640</v>
      </c>
      <c r="B685" s="108">
        <v>1.0</v>
      </c>
      <c r="C685" s="108" t="s">
        <v>1628</v>
      </c>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16.5" customHeight="1">
      <c r="A686" s="108" t="s">
        <v>1640</v>
      </c>
      <c r="B686" s="108">
        <v>2.0</v>
      </c>
      <c r="C686" s="108" t="s">
        <v>1629</v>
      </c>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16.5" customHeight="1">
      <c r="A687" s="108" t="s">
        <v>1640</v>
      </c>
      <c r="B687" s="108">
        <v>3.0</v>
      </c>
      <c r="C687" s="108" t="s">
        <v>1641</v>
      </c>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16.5" customHeight="1">
      <c r="A688" s="108" t="s">
        <v>1640</v>
      </c>
      <c r="B688" s="108">
        <v>4.0</v>
      </c>
      <c r="C688" s="108" t="s">
        <v>1630</v>
      </c>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16.5" customHeight="1">
      <c r="A689" s="108" t="s">
        <v>1640</v>
      </c>
      <c r="B689" s="108">
        <v>5.0</v>
      </c>
      <c r="C689" s="108" t="s">
        <v>1631</v>
      </c>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16.5" customHeight="1">
      <c r="A690" s="108" t="s">
        <v>1640</v>
      </c>
      <c r="B690" s="108">
        <v>6.0</v>
      </c>
      <c r="C690" s="108" t="s">
        <v>1642</v>
      </c>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16.5" customHeight="1">
      <c r="A691" s="108" t="s">
        <v>1640</v>
      </c>
      <c r="B691" s="180">
        <v>77.0</v>
      </c>
      <c r="C691" s="180" t="s">
        <v>1209</v>
      </c>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16.5" customHeight="1">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16.5" customHeight="1">
      <c r="A693" s="108" t="s">
        <v>1643</v>
      </c>
      <c r="B693" s="108">
        <v>1.0</v>
      </c>
      <c r="C693" s="108" t="s">
        <v>1644</v>
      </c>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16.5" customHeight="1">
      <c r="A694" s="108" t="s">
        <v>1643</v>
      </c>
      <c r="B694" s="108">
        <v>2.0</v>
      </c>
      <c r="C694" s="108" t="s">
        <v>1645</v>
      </c>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16.5" customHeight="1">
      <c r="A695" s="108" t="s">
        <v>1643</v>
      </c>
      <c r="B695" s="108">
        <v>3.0</v>
      </c>
      <c r="C695" s="108" t="s">
        <v>1646</v>
      </c>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16.5" customHeight="1">
      <c r="A696" s="108" t="s">
        <v>1643</v>
      </c>
      <c r="B696" s="180">
        <v>77.0</v>
      </c>
      <c r="C696" s="108" t="s">
        <v>1247</v>
      </c>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16.5" customHeight="1">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16.5" customHeight="1">
      <c r="A698" s="108" t="s">
        <v>1647</v>
      </c>
      <c r="B698" s="108">
        <v>1.0</v>
      </c>
      <c r="C698" s="108" t="s">
        <v>1648</v>
      </c>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16.5" customHeight="1">
      <c r="A699" s="108" t="s">
        <v>1647</v>
      </c>
      <c r="B699" s="108">
        <v>2.0</v>
      </c>
      <c r="C699" s="108" t="s">
        <v>1649</v>
      </c>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16.5" customHeight="1">
      <c r="A700" s="108" t="s">
        <v>1647</v>
      </c>
      <c r="B700" s="180">
        <v>77.0</v>
      </c>
      <c r="C700" s="108" t="s">
        <v>1247</v>
      </c>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16.5" customHeight="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16.5" customHeight="1">
      <c r="A702" s="108" t="s">
        <v>1650</v>
      </c>
      <c r="B702" s="108">
        <v>1.0</v>
      </c>
      <c r="C702" s="108" t="s">
        <v>1651</v>
      </c>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16.5" customHeight="1">
      <c r="A703" s="108" t="s">
        <v>1650</v>
      </c>
      <c r="B703" s="108">
        <v>2.0</v>
      </c>
      <c r="C703" s="108" t="s">
        <v>1652</v>
      </c>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16.5" customHeight="1">
      <c r="A704" s="108" t="s">
        <v>1650</v>
      </c>
      <c r="B704" s="108">
        <v>3.0</v>
      </c>
      <c r="C704" s="108" t="s">
        <v>1653</v>
      </c>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16.5" customHeight="1">
      <c r="A705" s="108" t="s">
        <v>1650</v>
      </c>
      <c r="B705" s="108">
        <v>4.0</v>
      </c>
      <c r="C705" s="108" t="s">
        <v>1654</v>
      </c>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16.5" customHeight="1">
      <c r="A706" s="108" t="s">
        <v>1650</v>
      </c>
      <c r="B706" s="108">
        <v>5.0</v>
      </c>
      <c r="C706" s="108" t="s">
        <v>1655</v>
      </c>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16.5" customHeight="1">
      <c r="A707" s="108" t="s">
        <v>1650</v>
      </c>
      <c r="B707" s="180">
        <v>77.0</v>
      </c>
      <c r="C707" s="108" t="s">
        <v>1656</v>
      </c>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16.5" customHeight="1">
      <c r="A708" s="108" t="s">
        <v>1650</v>
      </c>
      <c r="B708" s="108">
        <v>0.0</v>
      </c>
      <c r="C708" s="108" t="s">
        <v>1657</v>
      </c>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16.5" customHeight="1">
      <c r="A709" s="108" t="s">
        <v>1650</v>
      </c>
      <c r="B709" s="108">
        <v>9999.0</v>
      </c>
      <c r="C709" s="108" t="s">
        <v>1442</v>
      </c>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16.5" customHeight="1">
      <c r="A710" s="108" t="s">
        <v>1650</v>
      </c>
      <c r="B710" s="108">
        <v>9998.0</v>
      </c>
      <c r="C710" s="108" t="s">
        <v>1216</v>
      </c>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16.5" customHeight="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16.5" customHeight="1">
      <c r="A712" s="108" t="s">
        <v>1658</v>
      </c>
      <c r="B712" s="108">
        <v>1.0</v>
      </c>
      <c r="C712" s="108" t="s">
        <v>1659</v>
      </c>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16.5" customHeight="1">
      <c r="A713" s="108" t="s">
        <v>1658</v>
      </c>
      <c r="B713" s="108">
        <v>2.0</v>
      </c>
      <c r="C713" s="108" t="s">
        <v>1660</v>
      </c>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16.5" customHeight="1">
      <c r="A714" s="108" t="s">
        <v>1658</v>
      </c>
      <c r="B714" s="108">
        <v>3.0</v>
      </c>
      <c r="C714" s="108" t="s">
        <v>1661</v>
      </c>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16.5" customHeight="1">
      <c r="A715" s="108" t="s">
        <v>1658</v>
      </c>
      <c r="B715" s="108">
        <v>4.0</v>
      </c>
      <c r="C715" s="108" t="s">
        <v>1662</v>
      </c>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16.5" customHeight="1">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16.5" customHeight="1">
      <c r="A717" s="108" t="s">
        <v>1663</v>
      </c>
      <c r="B717" s="108">
        <v>1.0</v>
      </c>
      <c r="C717" s="108" t="s">
        <v>1664</v>
      </c>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16.5" customHeight="1">
      <c r="A718" s="108" t="s">
        <v>1663</v>
      </c>
      <c r="B718" s="108">
        <v>2.0</v>
      </c>
      <c r="C718" s="108" t="s">
        <v>1665</v>
      </c>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16.5" customHeight="1">
      <c r="A719" s="108" t="s">
        <v>1663</v>
      </c>
      <c r="B719" s="108">
        <v>3.0</v>
      </c>
      <c r="C719" s="108" t="s">
        <v>1666</v>
      </c>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16.5" customHeight="1">
      <c r="A720" s="108" t="s">
        <v>1663</v>
      </c>
      <c r="B720" s="108">
        <v>9999.0</v>
      </c>
      <c r="C720" s="108" t="s">
        <v>1442</v>
      </c>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16.5" customHeight="1">
      <c r="A721" s="108" t="s">
        <v>1663</v>
      </c>
      <c r="B721" s="108">
        <v>9998.0</v>
      </c>
      <c r="C721" s="108" t="s">
        <v>1216</v>
      </c>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16.5" customHeight="1">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16.5" customHeight="1">
      <c r="A723" s="108" t="s">
        <v>1667</v>
      </c>
      <c r="B723" s="108">
        <v>1.0</v>
      </c>
      <c r="C723" s="108" t="s">
        <v>1668</v>
      </c>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16.5" customHeight="1">
      <c r="A724" s="108" t="s">
        <v>1667</v>
      </c>
      <c r="B724" s="108">
        <v>2.0</v>
      </c>
      <c r="C724" s="108" t="s">
        <v>1669</v>
      </c>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16.5" customHeight="1">
      <c r="A725" s="108" t="s">
        <v>1667</v>
      </c>
      <c r="B725" s="108">
        <v>3.0</v>
      </c>
      <c r="C725" s="108" t="s">
        <v>1670</v>
      </c>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16.5" customHeight="1">
      <c r="A726" s="108" t="s">
        <v>1667</v>
      </c>
      <c r="B726" s="108">
        <v>4.0</v>
      </c>
      <c r="C726" s="108" t="s">
        <v>1671</v>
      </c>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16.5" customHeight="1">
      <c r="A727" s="108" t="s">
        <v>1667</v>
      </c>
      <c r="B727" s="108">
        <v>5.0</v>
      </c>
      <c r="C727" s="108" t="s">
        <v>1672</v>
      </c>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16.5" customHeight="1">
      <c r="A728" s="108" t="s">
        <v>1667</v>
      </c>
      <c r="B728" s="180">
        <v>77.0</v>
      </c>
      <c r="C728" s="180" t="s">
        <v>1209</v>
      </c>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16.5" customHeight="1">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16.5" customHeight="1">
      <c r="A730" s="108" t="s">
        <v>1673</v>
      </c>
      <c r="B730" s="108">
        <v>1.0</v>
      </c>
      <c r="C730" s="108" t="s">
        <v>1205</v>
      </c>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16.5" customHeight="1">
      <c r="A731" s="108" t="s">
        <v>1673</v>
      </c>
      <c r="B731" s="108">
        <v>2.0</v>
      </c>
      <c r="C731" s="108" t="s">
        <v>1674</v>
      </c>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16.5" customHeight="1">
      <c r="A732" s="108" t="s">
        <v>1673</v>
      </c>
      <c r="B732" s="108">
        <v>3.0</v>
      </c>
      <c r="C732" s="108" t="s">
        <v>1204</v>
      </c>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16.5" customHeight="1">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16.5" customHeight="1">
      <c r="A734" s="108" t="s">
        <v>1675</v>
      </c>
      <c r="B734" s="108">
        <v>1.0</v>
      </c>
      <c r="C734" s="108" t="s">
        <v>1205</v>
      </c>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16.5" customHeight="1">
      <c r="A735" s="108" t="s">
        <v>1675</v>
      </c>
      <c r="B735" s="108">
        <v>2.0</v>
      </c>
      <c r="C735" s="108" t="s">
        <v>1676</v>
      </c>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16.5" customHeight="1">
      <c r="A736" s="108" t="s">
        <v>1675</v>
      </c>
      <c r="B736" s="108">
        <v>3.0</v>
      </c>
      <c r="C736" s="108" t="s">
        <v>1204</v>
      </c>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16.5" customHeight="1">
      <c r="A737" s="108" t="s">
        <v>1675</v>
      </c>
      <c r="B737" s="108">
        <v>9998.0</v>
      </c>
      <c r="C737" s="108" t="s">
        <v>1216</v>
      </c>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16.5" customHeight="1">
      <c r="A738" s="108" t="s">
        <v>1675</v>
      </c>
      <c r="B738" s="108">
        <v>9999.0</v>
      </c>
      <c r="C738" s="108" t="s">
        <v>1215</v>
      </c>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16.5" customHeight="1">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16.5" customHeight="1">
      <c r="A740" s="108" t="s">
        <v>1677</v>
      </c>
      <c r="B740" s="108">
        <v>1.0</v>
      </c>
      <c r="C740" s="108" t="s">
        <v>1678</v>
      </c>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16.5" customHeight="1">
      <c r="A741" s="108" t="s">
        <v>1677</v>
      </c>
      <c r="B741" s="108">
        <v>2.0</v>
      </c>
      <c r="C741" s="108" t="s">
        <v>1679</v>
      </c>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16.5" customHeight="1">
      <c r="A742" s="108" t="s">
        <v>1677</v>
      </c>
      <c r="B742" s="108">
        <v>3.0</v>
      </c>
      <c r="C742" s="108" t="s">
        <v>1680</v>
      </c>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16.5" customHeight="1">
      <c r="A743" s="108" t="s">
        <v>1677</v>
      </c>
      <c r="B743" s="108">
        <v>4.0</v>
      </c>
      <c r="C743" s="108" t="s">
        <v>1681</v>
      </c>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16.5" customHeight="1">
      <c r="A744" s="108" t="s">
        <v>1677</v>
      </c>
      <c r="B744" s="108">
        <v>5.0</v>
      </c>
      <c r="C744" s="108" t="s">
        <v>1263</v>
      </c>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16.5" customHeight="1">
      <c r="A745" s="108" t="s">
        <v>1677</v>
      </c>
      <c r="B745" s="108">
        <v>6.0</v>
      </c>
      <c r="C745" s="108" t="s">
        <v>1682</v>
      </c>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16.5" customHeight="1">
      <c r="A746" s="108" t="s">
        <v>1677</v>
      </c>
      <c r="B746" s="108">
        <v>0.0</v>
      </c>
      <c r="C746" s="108" t="s">
        <v>1217</v>
      </c>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16.5" customHeight="1">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16.5" customHeight="1">
      <c r="A748" s="108" t="s">
        <v>1683</v>
      </c>
      <c r="B748" s="108">
        <v>1.0</v>
      </c>
      <c r="C748" s="108" t="s">
        <v>1684</v>
      </c>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16.5" customHeight="1">
      <c r="A749" s="108" t="s">
        <v>1683</v>
      </c>
      <c r="B749" s="108">
        <v>2.0</v>
      </c>
      <c r="C749" s="108" t="s">
        <v>1685</v>
      </c>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16.5" customHeight="1">
      <c r="A750" s="108" t="s">
        <v>1683</v>
      </c>
      <c r="B750" s="108">
        <v>3.0</v>
      </c>
      <c r="C750" s="108" t="s">
        <v>1686</v>
      </c>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16.5" customHeight="1">
      <c r="A751" s="108" t="s">
        <v>1683</v>
      </c>
      <c r="B751" s="108">
        <v>9998.0</v>
      </c>
      <c r="C751" s="108" t="s">
        <v>1216</v>
      </c>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16.5" customHeight="1">
      <c r="A752" s="108" t="s">
        <v>1683</v>
      </c>
      <c r="B752" s="108">
        <v>9999.0</v>
      </c>
      <c r="C752" s="108" t="s">
        <v>1215</v>
      </c>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16.5" customHeight="1">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16.5" customHeight="1">
      <c r="A754" s="108" t="s">
        <v>1687</v>
      </c>
      <c r="B754" s="108">
        <v>1.0</v>
      </c>
      <c r="C754" s="108" t="s">
        <v>1688</v>
      </c>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16.5" customHeight="1">
      <c r="A755" s="108" t="s">
        <v>1687</v>
      </c>
      <c r="B755" s="108">
        <v>2.0</v>
      </c>
      <c r="C755" s="108" t="s">
        <v>1689</v>
      </c>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16.5" customHeight="1">
      <c r="A756" s="108" t="s">
        <v>1687</v>
      </c>
      <c r="B756" s="108">
        <v>3.0</v>
      </c>
      <c r="C756" s="108" t="s">
        <v>1690</v>
      </c>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16.5" customHeight="1">
      <c r="A757" s="108" t="s">
        <v>1687</v>
      </c>
      <c r="B757" s="108">
        <v>9998.0</v>
      </c>
      <c r="C757" s="108" t="s">
        <v>1216</v>
      </c>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16.5" customHeight="1">
      <c r="A758" s="108" t="s">
        <v>1687</v>
      </c>
      <c r="B758" s="108">
        <v>9999.0</v>
      </c>
      <c r="C758" s="108" t="s">
        <v>1215</v>
      </c>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16.5" customHeight="1">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16.5" customHeight="1">
      <c r="A760" s="108" t="s">
        <v>1691</v>
      </c>
      <c r="B760" s="108">
        <v>1.0</v>
      </c>
      <c r="C760" s="108" t="s">
        <v>1692</v>
      </c>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16.5" customHeight="1">
      <c r="A761" s="108" t="s">
        <v>1691</v>
      </c>
      <c r="B761" s="108">
        <v>2.0</v>
      </c>
      <c r="C761" s="108" t="s">
        <v>1693</v>
      </c>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16.5" customHeight="1">
      <c r="A762" s="108" t="s">
        <v>1691</v>
      </c>
      <c r="B762" s="108">
        <v>3.0</v>
      </c>
      <c r="C762" s="108" t="s">
        <v>1694</v>
      </c>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16.5" customHeight="1">
      <c r="A763" s="108" t="s">
        <v>1691</v>
      </c>
      <c r="B763" s="108">
        <v>4.0</v>
      </c>
      <c r="C763" s="108" t="s">
        <v>1695</v>
      </c>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16.5" customHeight="1">
      <c r="A764" s="108" t="s">
        <v>1691</v>
      </c>
      <c r="B764" s="108">
        <v>5.0</v>
      </c>
      <c r="C764" s="108" t="s">
        <v>1696</v>
      </c>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16.5" customHeight="1">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16.5" customHeight="1">
      <c r="A766" s="108" t="s">
        <v>1697</v>
      </c>
      <c r="B766" s="108">
        <v>1.0</v>
      </c>
      <c r="C766" s="108" t="s">
        <v>1698</v>
      </c>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16.5" customHeight="1">
      <c r="A767" s="108" t="s">
        <v>1697</v>
      </c>
      <c r="B767" s="108">
        <v>2.0</v>
      </c>
      <c r="C767" s="108" t="s">
        <v>1699</v>
      </c>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16.5" customHeight="1">
      <c r="A768" s="108" t="s">
        <v>1697</v>
      </c>
      <c r="B768" s="108">
        <v>3.0</v>
      </c>
      <c r="C768" s="108" t="s">
        <v>1676</v>
      </c>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16.5" customHeight="1">
      <c r="A769" s="108" t="s">
        <v>1697</v>
      </c>
      <c r="B769" s="108">
        <v>4.0</v>
      </c>
      <c r="C769" s="108" t="s">
        <v>1700</v>
      </c>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16.5" customHeight="1">
      <c r="A770" s="108" t="s">
        <v>1697</v>
      </c>
      <c r="B770" s="108">
        <v>5.0</v>
      </c>
      <c r="C770" s="108" t="s">
        <v>1701</v>
      </c>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16.5" customHeight="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16.5" customHeight="1">
      <c r="A772" s="108" t="s">
        <v>1702</v>
      </c>
      <c r="B772" s="108">
        <v>1.0</v>
      </c>
      <c r="C772" s="108" t="s">
        <v>1703</v>
      </c>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16.5" customHeight="1">
      <c r="A773" s="108" t="s">
        <v>1702</v>
      </c>
      <c r="B773" s="108">
        <v>2.0</v>
      </c>
      <c r="C773" s="108" t="s">
        <v>1704</v>
      </c>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16.5" customHeight="1">
      <c r="A774" s="108" t="s">
        <v>1702</v>
      </c>
      <c r="B774" s="108">
        <v>3.0</v>
      </c>
      <c r="C774" s="108" t="s">
        <v>1705</v>
      </c>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16.5" customHeight="1">
      <c r="A775" s="108" t="s">
        <v>1702</v>
      </c>
      <c r="B775" s="180">
        <v>77.0</v>
      </c>
      <c r="C775" s="108" t="s">
        <v>1247</v>
      </c>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16.5" customHeight="1">
      <c r="A776" s="108" t="s">
        <v>1702</v>
      </c>
      <c r="B776" s="108">
        <v>9999.0</v>
      </c>
      <c r="C776" s="108" t="s">
        <v>1215</v>
      </c>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16.5" customHeight="1">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16.5" customHeight="1">
      <c r="A778" s="108" t="s">
        <v>1706</v>
      </c>
      <c r="B778" s="108">
        <v>1.0</v>
      </c>
      <c r="C778" s="180" t="s">
        <v>1707</v>
      </c>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16.5" customHeight="1">
      <c r="A779" s="108" t="s">
        <v>1706</v>
      </c>
      <c r="B779" s="108">
        <v>2.0</v>
      </c>
      <c r="C779" s="180" t="s">
        <v>1708</v>
      </c>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16.5" customHeight="1">
      <c r="A780" s="108" t="s">
        <v>1706</v>
      </c>
      <c r="B780" s="108">
        <v>3.0</v>
      </c>
      <c r="C780" s="180" t="s">
        <v>1709</v>
      </c>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16.5" customHeight="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16.5" customHeight="1">
      <c r="A782" s="108" t="s">
        <v>1710</v>
      </c>
      <c r="B782" s="108">
        <v>1.0</v>
      </c>
      <c r="C782" s="108" t="s">
        <v>1711</v>
      </c>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16.5" customHeight="1">
      <c r="A783" s="108" t="s">
        <v>1710</v>
      </c>
      <c r="B783" s="108">
        <v>2.0</v>
      </c>
      <c r="C783" s="108" t="s">
        <v>1712</v>
      </c>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16.5" customHeight="1">
      <c r="A784" s="108" t="s">
        <v>1710</v>
      </c>
      <c r="B784" s="108">
        <v>3.0</v>
      </c>
      <c r="C784" s="108" t="s">
        <v>1713</v>
      </c>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16.5" customHeight="1">
      <c r="A785" s="108" t="s">
        <v>1710</v>
      </c>
      <c r="B785" s="108">
        <v>4.0</v>
      </c>
      <c r="C785" s="108" t="s">
        <v>1714</v>
      </c>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16.5" customHeight="1">
      <c r="A786" s="108" t="s">
        <v>1710</v>
      </c>
      <c r="B786" s="108">
        <v>5.0</v>
      </c>
      <c r="C786" s="108" t="s">
        <v>1715</v>
      </c>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16.5" customHeight="1">
      <c r="A787" s="108" t="s">
        <v>1710</v>
      </c>
      <c r="B787" s="108">
        <v>6.0</v>
      </c>
      <c r="C787" s="108" t="s">
        <v>1716</v>
      </c>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16.5" customHeight="1">
      <c r="A788" s="108" t="s">
        <v>1710</v>
      </c>
      <c r="B788" s="108">
        <v>7.0</v>
      </c>
      <c r="C788" s="108" t="s">
        <v>1717</v>
      </c>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16.5" customHeight="1">
      <c r="A789" s="108" t="s">
        <v>1710</v>
      </c>
      <c r="B789" s="108">
        <v>8.0</v>
      </c>
      <c r="C789" s="250" t="s">
        <v>1718</v>
      </c>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16.5" customHeight="1">
      <c r="A790" s="108" t="s">
        <v>1710</v>
      </c>
      <c r="B790" s="108">
        <v>0.0</v>
      </c>
      <c r="C790" s="108" t="s">
        <v>1719</v>
      </c>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16.5" customHeight="1">
      <c r="A791" s="108" t="s">
        <v>1710</v>
      </c>
      <c r="B791" s="108">
        <v>9999.0</v>
      </c>
      <c r="C791" s="108" t="s">
        <v>1215</v>
      </c>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16.5" customHeight="1">
      <c r="A792" s="108" t="s">
        <v>1710</v>
      </c>
      <c r="B792" s="108">
        <v>9998.0</v>
      </c>
      <c r="C792" s="108" t="s">
        <v>1443</v>
      </c>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16.5" customHeight="1">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16.5" customHeight="1">
      <c r="A794" s="108" t="s">
        <v>1720</v>
      </c>
      <c r="B794" s="108">
        <v>1.0</v>
      </c>
      <c r="C794" s="108" t="s">
        <v>1721</v>
      </c>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16.5" customHeight="1">
      <c r="A795" s="108" t="s">
        <v>1720</v>
      </c>
      <c r="B795" s="108">
        <v>2.0</v>
      </c>
      <c r="C795" s="108" t="s">
        <v>1722</v>
      </c>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16.5" customHeight="1">
      <c r="A796" s="108" t="s">
        <v>1720</v>
      </c>
      <c r="B796" s="108">
        <v>3.0</v>
      </c>
      <c r="C796" s="108" t="s">
        <v>1723</v>
      </c>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16.5" customHeight="1">
      <c r="A797" s="108" t="s">
        <v>1720</v>
      </c>
      <c r="B797" s="108">
        <v>4.0</v>
      </c>
      <c r="C797" s="108" t="s">
        <v>1724</v>
      </c>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16.5" customHeight="1">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16.5" customHeight="1">
      <c r="A799" s="108" t="s">
        <v>1725</v>
      </c>
      <c r="B799" s="108">
        <v>1.0</v>
      </c>
      <c r="C799" s="108" t="s">
        <v>1726</v>
      </c>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16.5" customHeight="1">
      <c r="A800" s="108" t="s">
        <v>1725</v>
      </c>
      <c r="B800" s="108">
        <v>2.0</v>
      </c>
      <c r="C800" s="108" t="s">
        <v>1727</v>
      </c>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16.5" customHeight="1">
      <c r="A801" s="108" t="s">
        <v>1725</v>
      </c>
      <c r="B801" s="108">
        <v>3.0</v>
      </c>
      <c r="C801" s="108" t="s">
        <v>1728</v>
      </c>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16.5" customHeight="1">
      <c r="A802" s="108" t="s">
        <v>1725</v>
      </c>
      <c r="B802" s="108">
        <v>4.0</v>
      </c>
      <c r="C802" s="108" t="s">
        <v>1729</v>
      </c>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16.5" customHeight="1">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16.5" customHeight="1">
      <c r="A804" s="108" t="s">
        <v>1730</v>
      </c>
      <c r="B804" s="108">
        <v>1.0</v>
      </c>
      <c r="C804" s="108" t="s">
        <v>1731</v>
      </c>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16.5" customHeight="1">
      <c r="A805" s="108" t="s">
        <v>1730</v>
      </c>
      <c r="B805" s="108">
        <v>2.0</v>
      </c>
      <c r="C805" s="108" t="s">
        <v>1732</v>
      </c>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16.5" customHeight="1">
      <c r="A806" s="108" t="s">
        <v>1730</v>
      </c>
      <c r="B806" s="108">
        <v>3.0</v>
      </c>
      <c r="C806" s="108" t="s">
        <v>1733</v>
      </c>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16.5" customHeight="1">
      <c r="A807" s="108" t="s">
        <v>1730</v>
      </c>
      <c r="B807" s="108">
        <v>4.0</v>
      </c>
      <c r="C807" s="108" t="s">
        <v>1734</v>
      </c>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16.5" customHeight="1">
      <c r="A808" s="108" t="s">
        <v>1730</v>
      </c>
      <c r="B808" s="180">
        <v>77.0</v>
      </c>
      <c r="C808" s="108" t="s">
        <v>1735</v>
      </c>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16.5" customHeight="1">
      <c r="A809" s="108" t="s">
        <v>1730</v>
      </c>
      <c r="B809" s="108">
        <v>9999.0</v>
      </c>
      <c r="C809" s="108" t="s">
        <v>1215</v>
      </c>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16.5" customHeight="1">
      <c r="A810" s="108" t="s">
        <v>1730</v>
      </c>
      <c r="B810" s="108">
        <v>9998.0</v>
      </c>
      <c r="C810" s="108" t="s">
        <v>1736</v>
      </c>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16.5" customHeight="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16.5" customHeight="1">
      <c r="A812" s="108" t="s">
        <v>1737</v>
      </c>
      <c r="B812" s="108">
        <v>1.0</v>
      </c>
      <c r="C812" s="108" t="s">
        <v>1738</v>
      </c>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16.5" customHeight="1">
      <c r="A813" s="108" t="s">
        <v>1737</v>
      </c>
      <c r="B813" s="108">
        <v>2.0</v>
      </c>
      <c r="C813" s="108" t="s">
        <v>1739</v>
      </c>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16.5" customHeight="1">
      <c r="A814" s="108" t="s">
        <v>1737</v>
      </c>
      <c r="B814" s="108">
        <v>3.0</v>
      </c>
      <c r="C814" s="108" t="s">
        <v>1740</v>
      </c>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16.5" customHeight="1">
      <c r="A815" s="108" t="s">
        <v>1737</v>
      </c>
      <c r="B815" s="108">
        <v>9999.0</v>
      </c>
      <c r="C815" s="108" t="s">
        <v>1442</v>
      </c>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16.5" customHeight="1">
      <c r="A816" s="108" t="s">
        <v>1737</v>
      </c>
      <c r="B816" s="108">
        <v>9998.0</v>
      </c>
      <c r="C816" s="108" t="s">
        <v>1216</v>
      </c>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16.5" customHeight="1">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16.5" customHeight="1">
      <c r="A818" s="108" t="s">
        <v>1741</v>
      </c>
      <c r="B818" s="108">
        <v>1.0</v>
      </c>
      <c r="C818" s="108" t="s">
        <v>1742</v>
      </c>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16.5" customHeight="1">
      <c r="A819" s="108" t="s">
        <v>1741</v>
      </c>
      <c r="B819" s="108">
        <v>2.0</v>
      </c>
      <c r="C819" s="108" t="s">
        <v>1743</v>
      </c>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16.5" customHeight="1">
      <c r="A820" s="108" t="s">
        <v>1741</v>
      </c>
      <c r="B820" s="108">
        <v>3.0</v>
      </c>
      <c r="C820" s="108" t="s">
        <v>1744</v>
      </c>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16.5" customHeight="1">
      <c r="A821" s="108" t="s">
        <v>1741</v>
      </c>
      <c r="B821" s="108">
        <v>4.0</v>
      </c>
      <c r="C821" s="108" t="s">
        <v>1745</v>
      </c>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16.5" customHeight="1">
      <c r="A822" s="108" t="s">
        <v>1741</v>
      </c>
      <c r="B822" s="108">
        <v>5.0</v>
      </c>
      <c r="C822" s="108" t="s">
        <v>1746</v>
      </c>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16.5" customHeight="1">
      <c r="A823" s="108" t="s">
        <v>1741</v>
      </c>
      <c r="B823" s="108">
        <v>9999.0</v>
      </c>
      <c r="C823" s="108" t="s">
        <v>1442</v>
      </c>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16.5" customHeight="1">
      <c r="A824" s="108" t="s">
        <v>1741</v>
      </c>
      <c r="B824" s="108">
        <v>9998.0</v>
      </c>
      <c r="C824" s="108" t="s">
        <v>1216</v>
      </c>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16.5" customHeight="1">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16.5" customHeight="1">
      <c r="A826" s="108" t="s">
        <v>1747</v>
      </c>
      <c r="B826" s="108">
        <v>1.0</v>
      </c>
      <c r="C826" s="108" t="s">
        <v>1748</v>
      </c>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16.5" customHeight="1">
      <c r="A827" s="108" t="s">
        <v>1747</v>
      </c>
      <c r="B827" s="108">
        <v>2.0</v>
      </c>
      <c r="C827" s="108" t="s">
        <v>1749</v>
      </c>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16.5" customHeight="1">
      <c r="A828" s="108" t="s">
        <v>1747</v>
      </c>
      <c r="B828" s="108">
        <v>9999.0</v>
      </c>
      <c r="C828" s="108" t="s">
        <v>1442</v>
      </c>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16.5" customHeight="1">
      <c r="A829" s="108" t="s">
        <v>1747</v>
      </c>
      <c r="B829" s="108">
        <v>9998.0</v>
      </c>
      <c r="C829" s="108" t="s">
        <v>1216</v>
      </c>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16.5" customHeight="1">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16.5" customHeight="1">
      <c r="A831" s="108" t="s">
        <v>1750</v>
      </c>
      <c r="B831" s="108">
        <v>1.0</v>
      </c>
      <c r="C831" s="108" t="s">
        <v>1431</v>
      </c>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16.5" customHeight="1">
      <c r="A832" s="108" t="s">
        <v>1750</v>
      </c>
      <c r="B832" s="108">
        <v>2.0</v>
      </c>
      <c r="C832" s="108" t="s">
        <v>1432</v>
      </c>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16.5" customHeight="1">
      <c r="A833" s="108" t="s">
        <v>1750</v>
      </c>
      <c r="B833" s="108">
        <v>3.0</v>
      </c>
      <c r="C833" s="108" t="s">
        <v>1433</v>
      </c>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16.5" customHeight="1">
      <c r="A834" s="108" t="s">
        <v>1750</v>
      </c>
      <c r="B834" s="108">
        <v>4.0</v>
      </c>
      <c r="C834" s="108" t="s">
        <v>1751</v>
      </c>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16.5" customHeight="1">
      <c r="A835" s="108" t="s">
        <v>1750</v>
      </c>
      <c r="B835" s="108">
        <v>5.0</v>
      </c>
      <c r="C835" s="108" t="s">
        <v>1752</v>
      </c>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16.5" customHeight="1">
      <c r="A836" s="108" t="s">
        <v>1750</v>
      </c>
      <c r="B836" s="108">
        <v>6.0</v>
      </c>
      <c r="C836" s="108" t="s">
        <v>1435</v>
      </c>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16.5" customHeight="1">
      <c r="A837" s="108" t="s">
        <v>1750</v>
      </c>
      <c r="B837" s="108">
        <v>7.0</v>
      </c>
      <c r="C837" s="108" t="s">
        <v>1436</v>
      </c>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16.5" customHeight="1">
      <c r="A838" s="108" t="s">
        <v>1750</v>
      </c>
      <c r="B838" s="180">
        <v>77.0</v>
      </c>
      <c r="C838" s="180" t="s">
        <v>1209</v>
      </c>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16.5" customHeight="1">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16.5" customHeight="1">
      <c r="A840" s="108" t="s">
        <v>1753</v>
      </c>
      <c r="B840" s="108">
        <v>1.0</v>
      </c>
      <c r="C840" s="108" t="s">
        <v>1420</v>
      </c>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16.5" customHeight="1">
      <c r="A841" s="108" t="s">
        <v>1753</v>
      </c>
      <c r="B841" s="108">
        <v>2.0</v>
      </c>
      <c r="C841" s="108" t="s">
        <v>1421</v>
      </c>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16.5" customHeight="1">
      <c r="A842" s="108" t="s">
        <v>1753</v>
      </c>
      <c r="B842" s="108">
        <v>3.0</v>
      </c>
      <c r="C842" s="108" t="s">
        <v>1204</v>
      </c>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16.5" customHeight="1">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16.5" customHeight="1">
      <c r="A844" s="108" t="s">
        <v>1754</v>
      </c>
      <c r="B844" s="108">
        <v>1.0</v>
      </c>
      <c r="C844" s="108" t="s">
        <v>1755</v>
      </c>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16.5" customHeight="1">
      <c r="A845" s="108" t="s">
        <v>1754</v>
      </c>
      <c r="B845" s="108">
        <v>2.0</v>
      </c>
      <c r="C845" s="108" t="s">
        <v>1756</v>
      </c>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16.5" customHeight="1">
      <c r="A846" s="108" t="s">
        <v>1754</v>
      </c>
      <c r="B846" s="108">
        <v>3.0</v>
      </c>
      <c r="C846" s="108" t="s">
        <v>1757</v>
      </c>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16.5" customHeight="1">
      <c r="A847" s="108" t="s">
        <v>1754</v>
      </c>
      <c r="B847" s="108">
        <v>4.0</v>
      </c>
      <c r="C847" s="108" t="s">
        <v>1758</v>
      </c>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16.5" customHeight="1">
      <c r="A848" s="108" t="s">
        <v>1754</v>
      </c>
      <c r="B848" s="108">
        <v>5.0</v>
      </c>
      <c r="C848" s="108" t="s">
        <v>1759</v>
      </c>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16.5" customHeight="1">
      <c r="A849" s="108" t="s">
        <v>1754</v>
      </c>
      <c r="B849" s="108">
        <v>9999.0</v>
      </c>
      <c r="C849" s="108" t="s">
        <v>1760</v>
      </c>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16.5" customHeight="1">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16.5" customHeight="1">
      <c r="A851" s="108" t="s">
        <v>1761</v>
      </c>
      <c r="B851" s="108">
        <v>1.0</v>
      </c>
      <c r="C851" s="108" t="s">
        <v>1762</v>
      </c>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16.5" customHeight="1">
      <c r="A852" s="108" t="s">
        <v>1761</v>
      </c>
      <c r="B852" s="108">
        <v>2.0</v>
      </c>
      <c r="C852" s="108" t="s">
        <v>1763</v>
      </c>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16.5" customHeight="1">
      <c r="A853" s="108" t="s">
        <v>1761</v>
      </c>
      <c r="B853" s="108">
        <v>3.0</v>
      </c>
      <c r="C853" s="108" t="s">
        <v>1764</v>
      </c>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16.5" customHeight="1">
      <c r="A854" s="108" t="s">
        <v>1761</v>
      </c>
      <c r="B854" s="108">
        <v>4.0</v>
      </c>
      <c r="C854" s="108" t="s">
        <v>1765</v>
      </c>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16.5" customHeight="1">
      <c r="A855" s="108" t="s">
        <v>1761</v>
      </c>
      <c r="B855" s="180">
        <v>77.0</v>
      </c>
      <c r="C855" s="108" t="s">
        <v>1209</v>
      </c>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16.5" customHeight="1">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16.5" customHeight="1">
      <c r="A857" s="108" t="s">
        <v>1766</v>
      </c>
      <c r="B857" s="108">
        <v>1.0</v>
      </c>
      <c r="C857" s="108" t="s">
        <v>1767</v>
      </c>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16.5" customHeight="1">
      <c r="A858" s="108" t="s">
        <v>1766</v>
      </c>
      <c r="B858" s="108">
        <v>2.0</v>
      </c>
      <c r="C858" s="108" t="s">
        <v>1403</v>
      </c>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16.5" customHeight="1">
      <c r="A859" s="108" t="s">
        <v>1766</v>
      </c>
      <c r="B859" s="108">
        <v>3.0</v>
      </c>
      <c r="C859" s="108" t="s">
        <v>1404</v>
      </c>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16.5" customHeight="1">
      <c r="A860" s="108" t="s">
        <v>1766</v>
      </c>
      <c r="B860" s="108">
        <v>4.0</v>
      </c>
      <c r="C860" s="108" t="s">
        <v>1405</v>
      </c>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16.5" customHeight="1">
      <c r="A861" s="108" t="s">
        <v>1766</v>
      </c>
      <c r="B861" s="108">
        <v>5.0</v>
      </c>
      <c r="C861" s="108" t="s">
        <v>1406</v>
      </c>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16.5" customHeight="1">
      <c r="A862" s="108" t="s">
        <v>1766</v>
      </c>
      <c r="B862" s="108">
        <v>6.0</v>
      </c>
      <c r="C862" s="108" t="s">
        <v>1407</v>
      </c>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16.5" customHeight="1">
      <c r="A863" s="108" t="s">
        <v>1766</v>
      </c>
      <c r="B863" s="108">
        <v>7.0</v>
      </c>
      <c r="C863" s="108" t="s">
        <v>1408</v>
      </c>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16.5" customHeight="1">
      <c r="A864" s="108" t="s">
        <v>1766</v>
      </c>
      <c r="B864" s="108">
        <v>8.0</v>
      </c>
      <c r="C864" s="108" t="s">
        <v>1409</v>
      </c>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16.5" customHeight="1">
      <c r="A865" s="108" t="s">
        <v>1766</v>
      </c>
      <c r="B865" s="108">
        <v>9.0</v>
      </c>
      <c r="C865" s="108" t="s">
        <v>1410</v>
      </c>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16.5" customHeight="1">
      <c r="A866" s="108" t="s">
        <v>1766</v>
      </c>
      <c r="B866" s="108">
        <v>10.0</v>
      </c>
      <c r="C866" s="108" t="s">
        <v>1411</v>
      </c>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16.5" customHeight="1">
      <c r="A867" s="108" t="s">
        <v>1766</v>
      </c>
      <c r="B867" s="108">
        <v>11.0</v>
      </c>
      <c r="C867" s="108" t="s">
        <v>1412</v>
      </c>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16.5" customHeight="1">
      <c r="A868" s="108" t="s">
        <v>1766</v>
      </c>
      <c r="B868" s="108">
        <v>12.0</v>
      </c>
      <c r="C868" s="108" t="s">
        <v>1413</v>
      </c>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16.5" customHeight="1">
      <c r="A869" s="108" t="s">
        <v>1766</v>
      </c>
      <c r="B869" s="108">
        <v>13.0</v>
      </c>
      <c r="C869" s="108" t="s">
        <v>1414</v>
      </c>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16.5" customHeight="1">
      <c r="A870" s="108" t="s">
        <v>1766</v>
      </c>
      <c r="B870" s="108">
        <v>0.0</v>
      </c>
      <c r="C870" s="108" t="s">
        <v>1208</v>
      </c>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16.5" customHeight="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16.5" customHeight="1">
      <c r="A872" s="108" t="s">
        <v>1768</v>
      </c>
      <c r="B872" s="108">
        <v>1.0</v>
      </c>
      <c r="C872" s="108" t="s">
        <v>1769</v>
      </c>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16.5" customHeight="1">
      <c r="A873" s="108" t="s">
        <v>1768</v>
      </c>
      <c r="B873" s="108">
        <v>2.0</v>
      </c>
      <c r="C873" s="108" t="s">
        <v>1770</v>
      </c>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16.5" customHeight="1">
      <c r="A874" s="108" t="s">
        <v>1768</v>
      </c>
      <c r="B874" s="108">
        <v>3.0</v>
      </c>
      <c r="C874" s="108" t="s">
        <v>1771</v>
      </c>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16.5" customHeight="1">
      <c r="A875" s="108" t="s">
        <v>1768</v>
      </c>
      <c r="B875" s="108">
        <v>4.0</v>
      </c>
      <c r="C875" s="108" t="s">
        <v>1772</v>
      </c>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16.5" customHeight="1">
      <c r="A876" s="108" t="s">
        <v>1768</v>
      </c>
      <c r="B876" s="180">
        <v>77.0</v>
      </c>
      <c r="C876" s="108" t="s">
        <v>1247</v>
      </c>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16.5" customHeight="1">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16.5" customHeight="1">
      <c r="A878" s="108" t="s">
        <v>1773</v>
      </c>
      <c r="B878" s="108">
        <v>1.0</v>
      </c>
      <c r="C878" s="108" t="s">
        <v>1774</v>
      </c>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16.5" customHeight="1">
      <c r="A879" s="108" t="s">
        <v>1773</v>
      </c>
      <c r="B879" s="108">
        <v>2.0</v>
      </c>
      <c r="C879" s="108" t="s">
        <v>1775</v>
      </c>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16.5" customHeight="1">
      <c r="A880" s="108" t="s">
        <v>1773</v>
      </c>
      <c r="B880" s="108">
        <v>3.0</v>
      </c>
      <c r="C880" s="108" t="s">
        <v>1776</v>
      </c>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16.5" customHeight="1">
      <c r="A881" s="108" t="s">
        <v>1773</v>
      </c>
      <c r="B881" s="108">
        <v>4.0</v>
      </c>
      <c r="C881" s="108" t="s">
        <v>1777</v>
      </c>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16.5" customHeight="1">
      <c r="A882" s="108" t="s">
        <v>1773</v>
      </c>
      <c r="B882" s="108">
        <v>5.0</v>
      </c>
      <c r="C882" s="108" t="s">
        <v>1247</v>
      </c>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16.5" customHeight="1">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16.5" customHeight="1">
      <c r="A884" s="108" t="s">
        <v>1778</v>
      </c>
      <c r="B884" s="108">
        <v>1.0</v>
      </c>
      <c r="C884" s="108" t="s">
        <v>1300</v>
      </c>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16.5" customHeight="1">
      <c r="A885" s="108" t="s">
        <v>1778</v>
      </c>
      <c r="B885" s="108">
        <v>2.0</v>
      </c>
      <c r="C885" s="108" t="s">
        <v>1779</v>
      </c>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16.5" customHeight="1">
      <c r="A886" s="108" t="s">
        <v>1778</v>
      </c>
      <c r="B886" s="108">
        <v>3.0</v>
      </c>
      <c r="C886" s="108" t="s">
        <v>1780</v>
      </c>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16.5" customHeight="1">
      <c r="A887" s="108" t="s">
        <v>1778</v>
      </c>
      <c r="B887" s="108">
        <v>4.0</v>
      </c>
      <c r="C887" s="108" t="s">
        <v>1781</v>
      </c>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16.5" customHeight="1">
      <c r="A888" s="108" t="s">
        <v>1778</v>
      </c>
      <c r="B888" s="108">
        <v>5.0</v>
      </c>
      <c r="C888" s="108" t="s">
        <v>1782</v>
      </c>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16.5" customHeight="1">
      <c r="A889" s="108" t="s">
        <v>1778</v>
      </c>
      <c r="B889" s="108">
        <v>6.0</v>
      </c>
      <c r="C889" s="108" t="s">
        <v>1303</v>
      </c>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16.5" customHeight="1">
      <c r="A890" s="108" t="s">
        <v>1778</v>
      </c>
      <c r="B890" s="108">
        <v>7.0</v>
      </c>
      <c r="C890" s="108" t="s">
        <v>1783</v>
      </c>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16.5" customHeight="1">
      <c r="A891" s="108" t="s">
        <v>1778</v>
      </c>
      <c r="B891" s="108">
        <v>8.0</v>
      </c>
      <c r="C891" s="108" t="s">
        <v>1784</v>
      </c>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16.5" customHeight="1">
      <c r="A892" s="108" t="s">
        <v>1778</v>
      </c>
      <c r="B892" s="108">
        <v>9.0</v>
      </c>
      <c r="C892" s="108" t="s">
        <v>1785</v>
      </c>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16.5" customHeight="1">
      <c r="A893" s="108" t="s">
        <v>1778</v>
      </c>
      <c r="B893" s="108">
        <v>0.0</v>
      </c>
      <c r="C893" s="108" t="s">
        <v>1786</v>
      </c>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16.5" customHeight="1">
      <c r="A894" s="108" t="s">
        <v>1778</v>
      </c>
      <c r="B894" s="108">
        <v>9999.0</v>
      </c>
      <c r="C894" s="108" t="s">
        <v>1442</v>
      </c>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16.5" customHeight="1">
      <c r="A895" s="108" t="s">
        <v>1778</v>
      </c>
      <c r="B895" s="108">
        <v>9998.0</v>
      </c>
      <c r="C895" s="108" t="s">
        <v>1736</v>
      </c>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16.5" customHeight="1">
      <c r="A896" s="108" t="s">
        <v>1778</v>
      </c>
      <c r="B896" s="180">
        <v>77.0</v>
      </c>
      <c r="C896" s="108" t="s">
        <v>1209</v>
      </c>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16.5" customHeight="1">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16.5" customHeight="1">
      <c r="A898" s="108" t="s">
        <v>1787</v>
      </c>
      <c r="B898" s="108">
        <v>1.0</v>
      </c>
      <c r="C898" s="108" t="s">
        <v>1788</v>
      </c>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16.5" customHeight="1">
      <c r="A899" s="108" t="s">
        <v>1787</v>
      </c>
      <c r="B899" s="108">
        <v>2.0</v>
      </c>
      <c r="C899" s="108" t="s">
        <v>1789</v>
      </c>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16.5" customHeight="1">
      <c r="A900" s="108" t="s">
        <v>1787</v>
      </c>
      <c r="B900" s="108">
        <v>3.0</v>
      </c>
      <c r="C900" s="108" t="s">
        <v>1790</v>
      </c>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16.5" customHeight="1">
      <c r="A901" s="108" t="s">
        <v>1787</v>
      </c>
      <c r="B901" s="108">
        <v>4.0</v>
      </c>
      <c r="C901" s="108" t="s">
        <v>1791</v>
      </c>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16.5" customHeight="1">
      <c r="A902" s="108" t="s">
        <v>1787</v>
      </c>
      <c r="B902" s="108">
        <v>9998.0</v>
      </c>
      <c r="C902" s="108" t="s">
        <v>1216</v>
      </c>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16.5" customHeight="1">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16.5" customHeight="1">
      <c r="A904" s="108" t="s">
        <v>1792</v>
      </c>
      <c r="B904" s="108">
        <v>1.0</v>
      </c>
      <c r="C904" s="108" t="s">
        <v>1793</v>
      </c>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16.5" customHeight="1">
      <c r="A905" s="108" t="s">
        <v>1792</v>
      </c>
      <c r="B905" s="108">
        <v>2.0</v>
      </c>
      <c r="C905" s="108" t="s">
        <v>1794</v>
      </c>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16.5" customHeight="1">
      <c r="A906" s="108" t="s">
        <v>1792</v>
      </c>
      <c r="B906" s="108">
        <v>3.0</v>
      </c>
      <c r="C906" s="108" t="s">
        <v>1795</v>
      </c>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16.5" customHeight="1">
      <c r="A907" s="108" t="s">
        <v>1792</v>
      </c>
      <c r="B907" s="108">
        <v>4.0</v>
      </c>
      <c r="C907" s="108" t="s">
        <v>1796</v>
      </c>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16.5" customHeight="1">
      <c r="A908" s="108" t="s">
        <v>1792</v>
      </c>
      <c r="B908" s="108">
        <v>5.0</v>
      </c>
      <c r="C908" s="108" t="s">
        <v>1797</v>
      </c>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16.5" customHeight="1">
      <c r="A909" s="108" t="s">
        <v>1792</v>
      </c>
      <c r="B909" s="108">
        <v>6.0</v>
      </c>
      <c r="C909" s="108" t="s">
        <v>1798</v>
      </c>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16.5" customHeight="1">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16.5" customHeight="1">
      <c r="A911" s="108" t="s">
        <v>1799</v>
      </c>
      <c r="B911" s="108">
        <v>1.0</v>
      </c>
      <c r="C911" s="108" t="s">
        <v>1800</v>
      </c>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16.5" customHeight="1">
      <c r="A912" s="108" t="s">
        <v>1799</v>
      </c>
      <c r="B912" s="108">
        <v>2.0</v>
      </c>
      <c r="C912" s="108" t="s">
        <v>1789</v>
      </c>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16.5" customHeight="1">
      <c r="A913" s="108" t="s">
        <v>1799</v>
      </c>
      <c r="B913" s="108">
        <v>3.0</v>
      </c>
      <c r="C913" s="108" t="s">
        <v>1796</v>
      </c>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16.5" customHeight="1">
      <c r="A914" s="108" t="s">
        <v>1799</v>
      </c>
      <c r="B914" s="108">
        <v>4.0</v>
      </c>
      <c r="C914" s="108" t="s">
        <v>1797</v>
      </c>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16.5" customHeight="1">
      <c r="A915" s="108" t="s">
        <v>1799</v>
      </c>
      <c r="B915" s="108">
        <v>5.0</v>
      </c>
      <c r="C915" s="108" t="s">
        <v>1801</v>
      </c>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16.5" customHeight="1">
      <c r="A916" s="108" t="s">
        <v>1799</v>
      </c>
      <c r="B916" s="108">
        <v>6.0</v>
      </c>
      <c r="C916" s="108" t="s">
        <v>1802</v>
      </c>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16.5" customHeight="1">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16.5" customHeight="1">
      <c r="A918" s="108" t="s">
        <v>1803</v>
      </c>
      <c r="B918" s="108">
        <v>1.0</v>
      </c>
      <c r="C918" s="108" t="s">
        <v>1804</v>
      </c>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16.5" customHeight="1">
      <c r="A919" s="108" t="s">
        <v>1803</v>
      </c>
      <c r="B919" s="108">
        <v>2.0</v>
      </c>
      <c r="C919" s="108" t="s">
        <v>1805</v>
      </c>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16.5" customHeight="1">
      <c r="A920" s="108" t="s">
        <v>1803</v>
      </c>
      <c r="B920" s="108">
        <v>3.0</v>
      </c>
      <c r="C920" s="108" t="s">
        <v>1806</v>
      </c>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16.5" customHeight="1">
      <c r="A921" s="108" t="s">
        <v>1803</v>
      </c>
      <c r="B921" s="108">
        <v>4.0</v>
      </c>
      <c r="C921" s="108" t="s">
        <v>1807</v>
      </c>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16.5" customHeight="1">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16.5" customHeight="1">
      <c r="A923" s="108" t="s">
        <v>1808</v>
      </c>
      <c r="B923" s="108">
        <v>1.0</v>
      </c>
      <c r="C923" s="225">
        <v>1.0</v>
      </c>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16.5" customHeight="1">
      <c r="A924" s="108" t="s">
        <v>1808</v>
      </c>
      <c r="B924" s="108">
        <v>2.0</v>
      </c>
      <c r="C924" s="225">
        <v>2.0</v>
      </c>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16.5" customHeight="1">
      <c r="A925" s="108" t="s">
        <v>1808</v>
      </c>
      <c r="B925" s="108">
        <v>3.0</v>
      </c>
      <c r="C925" s="225">
        <v>3.0</v>
      </c>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16.5" customHeight="1">
      <c r="A926" s="108" t="s">
        <v>1808</v>
      </c>
      <c r="B926" s="108">
        <v>4.0</v>
      </c>
      <c r="C926" s="225">
        <v>4.0</v>
      </c>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16.5" customHeight="1">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16.5" customHeight="1">
      <c r="A928" s="108" t="s">
        <v>1809</v>
      </c>
      <c r="B928" s="108">
        <v>1.0</v>
      </c>
      <c r="C928" s="108" t="s">
        <v>1810</v>
      </c>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16.5" customHeight="1">
      <c r="A929" s="108" t="s">
        <v>1809</v>
      </c>
      <c r="B929" s="108">
        <v>2.0</v>
      </c>
      <c r="C929" s="108" t="s">
        <v>1811</v>
      </c>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16.5" customHeight="1">
      <c r="A930" s="108" t="s">
        <v>1809</v>
      </c>
      <c r="B930" s="108">
        <v>3.0</v>
      </c>
      <c r="C930" s="108" t="s">
        <v>1812</v>
      </c>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16.5" customHeight="1">
      <c r="A931" s="108" t="s">
        <v>1809</v>
      </c>
      <c r="B931" s="108">
        <v>4.0</v>
      </c>
      <c r="C931" s="108" t="s">
        <v>1813</v>
      </c>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16.5" customHeight="1">
      <c r="A932" s="108" t="s">
        <v>1809</v>
      </c>
      <c r="B932" s="108">
        <v>5.0</v>
      </c>
      <c r="C932" s="250" t="s">
        <v>1814</v>
      </c>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16.5" customHeight="1">
      <c r="A933" s="108" t="s">
        <v>1809</v>
      </c>
      <c r="B933" s="108">
        <v>9999.0</v>
      </c>
      <c r="C933" s="108" t="s">
        <v>1215</v>
      </c>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16.5" customHeight="1">
      <c r="A934" s="108" t="s">
        <v>1809</v>
      </c>
      <c r="B934" s="108">
        <v>9998.0</v>
      </c>
      <c r="C934" s="108" t="s">
        <v>1216</v>
      </c>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16.5" customHeight="1">
      <c r="A935" s="108" t="s">
        <v>1809</v>
      </c>
      <c r="B935" s="180">
        <v>77.0</v>
      </c>
      <c r="C935" s="108" t="s">
        <v>1209</v>
      </c>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16.5" customHeight="1">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16.5" customHeight="1">
      <c r="A937" s="108" t="s">
        <v>1815</v>
      </c>
      <c r="B937" s="108">
        <v>1.0</v>
      </c>
      <c r="C937" s="108" t="s">
        <v>1816</v>
      </c>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16.5" customHeight="1">
      <c r="A938" s="108" t="s">
        <v>1815</v>
      </c>
      <c r="B938" s="108">
        <v>2.0</v>
      </c>
      <c r="C938" s="108" t="s">
        <v>1817</v>
      </c>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16.5" customHeight="1">
      <c r="A939" s="108" t="s">
        <v>1815</v>
      </c>
      <c r="B939" s="108">
        <v>3.0</v>
      </c>
      <c r="C939" s="108" t="s">
        <v>1818</v>
      </c>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16.5" customHeight="1">
      <c r="A940" s="108" t="s">
        <v>1815</v>
      </c>
      <c r="B940" s="108">
        <v>4.0</v>
      </c>
      <c r="C940" s="108" t="s">
        <v>1819</v>
      </c>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16.5" customHeight="1">
      <c r="A941" s="108" t="s">
        <v>1815</v>
      </c>
      <c r="B941" s="108">
        <v>5.0</v>
      </c>
      <c r="C941" s="108" t="s">
        <v>1820</v>
      </c>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16.5" customHeight="1">
      <c r="A942" s="108" t="s">
        <v>1815</v>
      </c>
      <c r="B942" s="108">
        <v>6.0</v>
      </c>
      <c r="C942" s="108" t="s">
        <v>1821</v>
      </c>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16.5" customHeight="1">
      <c r="A943" s="108" t="s">
        <v>1815</v>
      </c>
      <c r="B943" s="180">
        <v>77.0</v>
      </c>
      <c r="C943" s="108" t="s">
        <v>1247</v>
      </c>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16.5" customHeight="1">
      <c r="A944" s="108" t="s">
        <v>1815</v>
      </c>
      <c r="B944" s="108">
        <v>0.0</v>
      </c>
      <c r="C944" s="108" t="s">
        <v>1822</v>
      </c>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16.5" customHeight="1">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16.5" customHeight="1">
      <c r="A946" s="108" t="s">
        <v>1823</v>
      </c>
      <c r="B946" s="108">
        <v>1.0</v>
      </c>
      <c r="C946" s="108" t="s">
        <v>1824</v>
      </c>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16.5" customHeight="1">
      <c r="A947" s="108" t="s">
        <v>1823</v>
      </c>
      <c r="B947" s="108">
        <v>2.0</v>
      </c>
      <c r="C947" s="108" t="s">
        <v>1825</v>
      </c>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16.5" customHeight="1">
      <c r="A948" s="108" t="s">
        <v>1823</v>
      </c>
      <c r="B948" s="108">
        <v>3.0</v>
      </c>
      <c r="C948" s="108" t="s">
        <v>1826</v>
      </c>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16.5" customHeight="1">
      <c r="A949" s="108" t="s">
        <v>1823</v>
      </c>
      <c r="B949" s="108">
        <v>4.0</v>
      </c>
      <c r="C949" s="108" t="s">
        <v>1827</v>
      </c>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16.5" customHeight="1">
      <c r="A950" s="108" t="s">
        <v>1823</v>
      </c>
      <c r="B950" s="108">
        <v>5.0</v>
      </c>
      <c r="C950" s="108" t="s">
        <v>1828</v>
      </c>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16.5" customHeight="1">
      <c r="A951" s="108" t="s">
        <v>1823</v>
      </c>
      <c r="B951" s="180">
        <v>77.0</v>
      </c>
      <c r="C951" s="180" t="s">
        <v>1209</v>
      </c>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16.5" customHeight="1">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16.5" customHeight="1">
      <c r="A953" s="108" t="s">
        <v>1829</v>
      </c>
      <c r="B953" s="108">
        <v>1.0</v>
      </c>
      <c r="C953" s="108" t="s">
        <v>1755</v>
      </c>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16.5" customHeight="1">
      <c r="A954" s="108" t="s">
        <v>1829</v>
      </c>
      <c r="B954" s="108">
        <v>2.0</v>
      </c>
      <c r="C954" s="108" t="s">
        <v>1830</v>
      </c>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16.5" customHeight="1">
      <c r="A955" s="108" t="s">
        <v>1829</v>
      </c>
      <c r="B955" s="108">
        <v>3.0</v>
      </c>
      <c r="C955" s="108" t="s">
        <v>1757</v>
      </c>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16.5" customHeight="1">
      <c r="A956" s="108" t="s">
        <v>1829</v>
      </c>
      <c r="B956" s="108">
        <v>4.0</v>
      </c>
      <c r="C956" s="108" t="s">
        <v>1758</v>
      </c>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16.5" customHeight="1">
      <c r="A957" s="108" t="s">
        <v>1829</v>
      </c>
      <c r="B957" s="108">
        <v>5.0</v>
      </c>
      <c r="C957" s="108" t="s">
        <v>1759</v>
      </c>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16.5" customHeight="1">
      <c r="A958" s="108" t="s">
        <v>1829</v>
      </c>
      <c r="B958" s="108">
        <v>9999.0</v>
      </c>
      <c r="C958" s="108" t="s">
        <v>1215</v>
      </c>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16.5" customHeight="1">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16.5" customHeight="1">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16.5" customHeight="1">
      <c r="A961" s="180" t="s">
        <v>1831</v>
      </c>
      <c r="B961" s="180">
        <v>1.0</v>
      </c>
      <c r="C961" s="180" t="s">
        <v>1832</v>
      </c>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16.5" customHeight="1">
      <c r="A962" s="180" t="s">
        <v>1831</v>
      </c>
      <c r="B962" s="180">
        <v>2.0</v>
      </c>
      <c r="C962" s="180" t="s">
        <v>1833</v>
      </c>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16.5" customHeight="1">
      <c r="A963" s="180" t="s">
        <v>1831</v>
      </c>
      <c r="B963" s="180">
        <v>3.0</v>
      </c>
      <c r="C963" s="180" t="s">
        <v>1834</v>
      </c>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16.5" customHeight="1">
      <c r="A964" s="180" t="s">
        <v>1831</v>
      </c>
      <c r="B964" s="180">
        <v>4.0</v>
      </c>
      <c r="C964" s="180" t="s">
        <v>1812</v>
      </c>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16.5" customHeight="1">
      <c r="A965" s="180" t="s">
        <v>1831</v>
      </c>
      <c r="B965" s="180">
        <v>77.0</v>
      </c>
      <c r="C965" s="180" t="s">
        <v>1247</v>
      </c>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16.5" customHeight="1">
      <c r="A966" s="180" t="s">
        <v>1831</v>
      </c>
      <c r="B966" s="108">
        <v>9999.0</v>
      </c>
      <c r="C966" s="108" t="s">
        <v>1215</v>
      </c>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16.5" customHeight="1">
      <c r="A967" s="180" t="s">
        <v>1831</v>
      </c>
      <c r="B967" s="108">
        <v>9998.0</v>
      </c>
      <c r="C967" s="108" t="s">
        <v>1216</v>
      </c>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16.5" customHeight="1">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16.5" customHeight="1">
      <c r="A969" s="180" t="s">
        <v>1835</v>
      </c>
      <c r="B969" s="180">
        <v>1.0</v>
      </c>
      <c r="C969" s="180" t="s">
        <v>1810</v>
      </c>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16.5" customHeight="1">
      <c r="A970" s="180" t="s">
        <v>1835</v>
      </c>
      <c r="B970" s="180">
        <v>2.0</v>
      </c>
      <c r="C970" s="180" t="s">
        <v>1811</v>
      </c>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16.5" customHeight="1">
      <c r="A971" s="180" t="s">
        <v>1835</v>
      </c>
      <c r="B971" s="180">
        <v>3.0</v>
      </c>
      <c r="C971" s="180" t="s">
        <v>1812</v>
      </c>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16.5" customHeight="1">
      <c r="A972" s="180" t="s">
        <v>1835</v>
      </c>
      <c r="B972" s="180">
        <v>4.0</v>
      </c>
      <c r="C972" s="180" t="s">
        <v>1813</v>
      </c>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16.5" customHeight="1">
      <c r="A973" s="180" t="s">
        <v>1835</v>
      </c>
      <c r="B973" s="180">
        <v>77.0</v>
      </c>
      <c r="C973" s="180" t="s">
        <v>1247</v>
      </c>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16.5" customHeight="1">
      <c r="A974" s="180" t="s">
        <v>1835</v>
      </c>
      <c r="B974" s="108">
        <v>9999.0</v>
      </c>
      <c r="C974" s="180" t="s">
        <v>1215</v>
      </c>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16.5" customHeight="1">
      <c r="A975" s="180" t="s">
        <v>1835</v>
      </c>
      <c r="B975" s="108">
        <v>9998.0</v>
      </c>
      <c r="C975" s="180" t="s">
        <v>1216</v>
      </c>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16.5" customHeight="1">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16.5" customHeight="1">
      <c r="A977" s="152" t="s">
        <v>1836</v>
      </c>
      <c r="B977" s="251">
        <v>1.0</v>
      </c>
      <c r="C977" s="152" t="s">
        <v>1837</v>
      </c>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16.5" customHeight="1">
      <c r="A978" s="152" t="s">
        <v>1836</v>
      </c>
      <c r="B978" s="251">
        <v>2.0</v>
      </c>
      <c r="C978" s="152" t="s">
        <v>1838</v>
      </c>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16.5" customHeight="1">
      <c r="A979" s="152" t="s">
        <v>1836</v>
      </c>
      <c r="B979" s="251">
        <v>3.0</v>
      </c>
      <c r="C979" s="152" t="s">
        <v>1839</v>
      </c>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16.5" customHeight="1">
      <c r="A980" s="152" t="s">
        <v>1836</v>
      </c>
      <c r="B980" s="251">
        <v>4.0</v>
      </c>
      <c r="C980" s="152" t="s">
        <v>1840</v>
      </c>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16.5" customHeight="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16.5" customHeight="1">
      <c r="A982" s="152" t="s">
        <v>1841</v>
      </c>
      <c r="B982" s="251">
        <v>1.0</v>
      </c>
      <c r="C982" s="152" t="s">
        <v>1842</v>
      </c>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16.5" customHeight="1">
      <c r="A983" s="152" t="s">
        <v>1841</v>
      </c>
      <c r="B983" s="251">
        <v>2.0</v>
      </c>
      <c r="C983" s="152" t="s">
        <v>1843</v>
      </c>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16.5" customHeight="1">
      <c r="A984" s="152" t="s">
        <v>1841</v>
      </c>
      <c r="B984" s="251">
        <v>3.0</v>
      </c>
      <c r="C984" s="152" t="s">
        <v>1844</v>
      </c>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16.5" customHeight="1">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16.5" customHeight="1">
      <c r="A986" s="152" t="s">
        <v>1845</v>
      </c>
      <c r="B986" s="251">
        <v>1.0</v>
      </c>
      <c r="C986" s="152" t="s">
        <v>1846</v>
      </c>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16.5" customHeight="1">
      <c r="A987" s="152" t="s">
        <v>1845</v>
      </c>
      <c r="B987" s="251">
        <v>2.0</v>
      </c>
      <c r="C987" s="152" t="s">
        <v>1847</v>
      </c>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16.5" customHeight="1">
      <c r="A988" s="152" t="s">
        <v>1845</v>
      </c>
      <c r="B988" s="251">
        <v>77.0</v>
      </c>
      <c r="C988" s="152" t="s">
        <v>1209</v>
      </c>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16.5" customHeight="1">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16.5" customHeight="1">
      <c r="A990" s="152" t="s">
        <v>1848</v>
      </c>
      <c r="B990" s="251">
        <v>1.0</v>
      </c>
      <c r="C990" s="152" t="s">
        <v>1849</v>
      </c>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16.5" customHeight="1">
      <c r="A991" s="152" t="s">
        <v>1848</v>
      </c>
      <c r="B991" s="251">
        <v>2.0</v>
      </c>
      <c r="C991" s="152" t="s">
        <v>1850</v>
      </c>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16.5" customHeight="1">
      <c r="A992" s="152" t="s">
        <v>1848</v>
      </c>
      <c r="B992" s="251">
        <v>3.0</v>
      </c>
      <c r="C992" s="152" t="s">
        <v>1851</v>
      </c>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16.5" customHeight="1">
      <c r="A993" s="152" t="s">
        <v>1848</v>
      </c>
      <c r="B993" s="251">
        <v>4.0</v>
      </c>
      <c r="C993" s="152" t="s">
        <v>1852</v>
      </c>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16.5" customHeight="1">
      <c r="A994" s="152" t="s">
        <v>1848</v>
      </c>
      <c r="B994" s="251">
        <v>5.0</v>
      </c>
      <c r="C994" s="152" t="s">
        <v>1853</v>
      </c>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16.5" customHeight="1">
      <c r="A995" s="152" t="s">
        <v>1848</v>
      </c>
      <c r="B995" s="251">
        <v>77.0</v>
      </c>
      <c r="C995" s="152" t="s">
        <v>1247</v>
      </c>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16.5" customHeight="1">
      <c r="A996" s="152" t="s">
        <v>1848</v>
      </c>
      <c r="B996" s="251">
        <v>0.0</v>
      </c>
      <c r="C996" s="152" t="s">
        <v>1822</v>
      </c>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16.5" customHeight="1">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16.5" customHeight="1">
      <c r="A998" s="180" t="s">
        <v>1854</v>
      </c>
      <c r="B998" s="180">
        <v>1.0</v>
      </c>
      <c r="C998" s="180" t="s">
        <v>1855</v>
      </c>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16.5" customHeight="1">
      <c r="A999" s="180" t="s">
        <v>1854</v>
      </c>
      <c r="B999" s="180">
        <v>2.0</v>
      </c>
      <c r="C999" s="180" t="s">
        <v>1856</v>
      </c>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16.5" customHeight="1">
      <c r="A1000" s="180" t="s">
        <v>1854</v>
      </c>
      <c r="B1000" s="180">
        <v>3.0</v>
      </c>
      <c r="C1000" s="180" t="s">
        <v>1857</v>
      </c>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row r="1001" ht="16.5" customHeight="1">
      <c r="A1001" s="180" t="s">
        <v>1854</v>
      </c>
      <c r="B1001" s="180">
        <v>4.0</v>
      </c>
      <c r="C1001" s="180" t="s">
        <v>1858</v>
      </c>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row>
    <row r="1002" ht="16.5" customHeight="1">
      <c r="A1002" s="180" t="s">
        <v>1854</v>
      </c>
      <c r="B1002" s="180">
        <v>5.0</v>
      </c>
      <c r="C1002" s="180" t="s">
        <v>1859</v>
      </c>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row>
    <row r="1003" ht="16.5" customHeight="1">
      <c r="A1003" s="108"/>
      <c r="B1003" s="108"/>
      <c r="C1003" s="180"/>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row>
    <row r="1004" ht="16.5" customHeight="1">
      <c r="A1004" s="180" t="s">
        <v>1860</v>
      </c>
      <c r="B1004" s="180">
        <v>1.0</v>
      </c>
      <c r="C1004" s="180" t="s">
        <v>1453</v>
      </c>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row>
    <row r="1005" ht="16.5" customHeight="1">
      <c r="A1005" s="180" t="s">
        <v>1860</v>
      </c>
      <c r="B1005" s="180">
        <v>2.0</v>
      </c>
      <c r="C1005" s="180" t="s">
        <v>1454</v>
      </c>
      <c r="D1005" s="108"/>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08"/>
    </row>
    <row r="1006" ht="16.5" customHeight="1">
      <c r="A1006" s="180" t="s">
        <v>1860</v>
      </c>
      <c r="B1006" s="180">
        <v>3.0</v>
      </c>
      <c r="C1006" s="180" t="s">
        <v>1455</v>
      </c>
      <c r="D1006" s="108"/>
      <c r="E1006" s="108"/>
      <c r="F1006" s="108"/>
      <c r="G1006" s="108"/>
      <c r="H1006" s="108"/>
      <c r="I1006" s="108"/>
      <c r="J1006" s="108"/>
      <c r="K1006" s="108"/>
      <c r="L1006" s="108"/>
      <c r="M1006" s="108"/>
      <c r="N1006" s="108"/>
      <c r="O1006" s="108"/>
      <c r="P1006" s="108"/>
      <c r="Q1006" s="108"/>
      <c r="R1006" s="108"/>
      <c r="S1006" s="108"/>
      <c r="T1006" s="108"/>
      <c r="U1006" s="108"/>
      <c r="V1006" s="108"/>
      <c r="W1006" s="108"/>
      <c r="X1006" s="108"/>
      <c r="Y1006" s="108"/>
      <c r="Z1006" s="108"/>
    </row>
    <row r="1007" ht="16.5" customHeight="1">
      <c r="A1007" s="180" t="s">
        <v>1860</v>
      </c>
      <c r="B1007" s="180">
        <v>4.0</v>
      </c>
      <c r="C1007" s="180" t="s">
        <v>1456</v>
      </c>
      <c r="D1007" s="108"/>
      <c r="E1007" s="108"/>
      <c r="F1007" s="108"/>
      <c r="G1007" s="108"/>
      <c r="H1007" s="108"/>
      <c r="I1007" s="108"/>
      <c r="J1007" s="108"/>
      <c r="K1007" s="108"/>
      <c r="L1007" s="108"/>
      <c r="M1007" s="108"/>
      <c r="N1007" s="108"/>
      <c r="O1007" s="108"/>
      <c r="P1007" s="108"/>
      <c r="Q1007" s="108"/>
      <c r="R1007" s="108"/>
      <c r="S1007" s="108"/>
      <c r="T1007" s="108"/>
      <c r="U1007" s="108"/>
      <c r="V1007" s="108"/>
      <c r="W1007" s="108"/>
      <c r="X1007" s="108"/>
      <c r="Y1007" s="108"/>
      <c r="Z1007" s="108"/>
    </row>
    <row r="1008" ht="16.5" customHeight="1">
      <c r="A1008" s="180" t="s">
        <v>1860</v>
      </c>
      <c r="B1008" s="180">
        <v>5.0</v>
      </c>
      <c r="C1008" s="180" t="s">
        <v>1861</v>
      </c>
      <c r="D1008" s="108"/>
      <c r="E1008" s="108"/>
      <c r="F1008" s="108"/>
      <c r="G1008" s="108"/>
      <c r="H1008" s="108"/>
      <c r="I1008" s="108"/>
      <c r="J1008" s="108"/>
      <c r="K1008" s="108"/>
      <c r="L1008" s="108"/>
      <c r="M1008" s="108"/>
      <c r="N1008" s="108"/>
      <c r="O1008" s="108"/>
      <c r="P1008" s="108"/>
      <c r="Q1008" s="108"/>
      <c r="R1008" s="108"/>
      <c r="S1008" s="108"/>
      <c r="T1008" s="108"/>
      <c r="U1008" s="108"/>
      <c r="V1008" s="108"/>
      <c r="W1008" s="108"/>
      <c r="X1008" s="108"/>
      <c r="Y1008" s="108"/>
      <c r="Z1008" s="108"/>
    </row>
    <row r="1009" ht="16.5" customHeight="1">
      <c r="A1009" s="108"/>
      <c r="B1009" s="108"/>
      <c r="C1009" s="180"/>
      <c r="D1009" s="108"/>
      <c r="E1009" s="108"/>
      <c r="F1009" s="108"/>
      <c r="G1009" s="108"/>
      <c r="H1009" s="108"/>
      <c r="I1009" s="108"/>
      <c r="J1009" s="108"/>
      <c r="K1009" s="108"/>
      <c r="L1009" s="108"/>
      <c r="M1009" s="108"/>
      <c r="N1009" s="108"/>
      <c r="O1009" s="108"/>
      <c r="P1009" s="108"/>
      <c r="Q1009" s="108"/>
      <c r="R1009" s="108"/>
      <c r="S1009" s="108"/>
      <c r="T1009" s="108"/>
      <c r="U1009" s="108"/>
      <c r="V1009" s="108"/>
      <c r="W1009" s="108"/>
      <c r="X1009" s="108"/>
      <c r="Y1009" s="108"/>
      <c r="Z1009" s="108"/>
    </row>
    <row r="1010" ht="16.5" customHeight="1">
      <c r="A1010" s="180" t="s">
        <v>1862</v>
      </c>
      <c r="B1010" s="180">
        <v>1.0</v>
      </c>
      <c r="C1010" s="180" t="s">
        <v>1863</v>
      </c>
      <c r="D1010" s="108"/>
      <c r="E1010" s="108"/>
      <c r="F1010" s="108"/>
      <c r="G1010" s="108"/>
      <c r="H1010" s="108"/>
      <c r="I1010" s="108"/>
      <c r="J1010" s="108"/>
      <c r="K1010" s="108"/>
      <c r="L1010" s="108"/>
      <c r="M1010" s="108"/>
      <c r="N1010" s="108"/>
      <c r="O1010" s="108"/>
      <c r="P1010" s="108"/>
      <c r="Q1010" s="108"/>
      <c r="R1010" s="108"/>
      <c r="S1010" s="108"/>
      <c r="T1010" s="108"/>
      <c r="U1010" s="108"/>
      <c r="V1010" s="108"/>
      <c r="W1010" s="108"/>
      <c r="X1010" s="108"/>
      <c r="Y1010" s="108"/>
      <c r="Z1010" s="108"/>
    </row>
    <row r="1011" ht="16.5" customHeight="1">
      <c r="A1011" s="180" t="s">
        <v>1862</v>
      </c>
      <c r="B1011" s="180">
        <v>2.0</v>
      </c>
      <c r="C1011" s="180" t="s">
        <v>1205</v>
      </c>
      <c r="D1011" s="108"/>
      <c r="E1011" s="108"/>
      <c r="F1011" s="108"/>
      <c r="G1011" s="108"/>
      <c r="H1011" s="108"/>
      <c r="I1011" s="108"/>
      <c r="J1011" s="108"/>
      <c r="K1011" s="108"/>
      <c r="L1011" s="108"/>
      <c r="M1011" s="108"/>
      <c r="N1011" s="108"/>
      <c r="O1011" s="108"/>
      <c r="P1011" s="108"/>
      <c r="Q1011" s="108"/>
      <c r="R1011" s="108"/>
      <c r="S1011" s="108"/>
      <c r="T1011" s="108"/>
      <c r="U1011" s="108"/>
      <c r="V1011" s="108"/>
      <c r="W1011" s="108"/>
      <c r="X1011" s="108"/>
      <c r="Y1011" s="108"/>
      <c r="Z1011" s="108"/>
    </row>
    <row r="1012" ht="16.5" customHeight="1">
      <c r="A1012" s="180" t="s">
        <v>1862</v>
      </c>
      <c r="B1012" s="180">
        <v>3.0</v>
      </c>
      <c r="C1012" s="180" t="s">
        <v>1864</v>
      </c>
      <c r="D1012" s="108"/>
      <c r="E1012" s="108"/>
      <c r="F1012" s="108"/>
      <c r="G1012" s="108"/>
      <c r="H1012" s="108"/>
      <c r="I1012" s="108"/>
      <c r="J1012" s="108"/>
      <c r="K1012" s="108"/>
      <c r="L1012" s="108"/>
      <c r="M1012" s="108"/>
      <c r="N1012" s="108"/>
      <c r="O1012" s="108"/>
      <c r="P1012" s="108"/>
      <c r="Q1012" s="108"/>
      <c r="R1012" s="108"/>
      <c r="S1012" s="108"/>
      <c r="T1012" s="108"/>
      <c r="U1012" s="108"/>
      <c r="V1012" s="108"/>
      <c r="W1012" s="108"/>
      <c r="X1012" s="108"/>
      <c r="Y1012" s="108"/>
      <c r="Z1012" s="108"/>
    </row>
    <row r="1013" ht="16.5" customHeight="1">
      <c r="A1013" s="180" t="s">
        <v>1862</v>
      </c>
      <c r="B1013" s="180">
        <v>4.0</v>
      </c>
      <c r="C1013" s="180" t="s">
        <v>1865</v>
      </c>
      <c r="D1013" s="108"/>
      <c r="E1013" s="108"/>
      <c r="F1013" s="108"/>
      <c r="G1013" s="108"/>
      <c r="H1013" s="108"/>
      <c r="I1013" s="108"/>
      <c r="J1013" s="108"/>
      <c r="K1013" s="108"/>
      <c r="L1013" s="108"/>
      <c r="M1013" s="108"/>
      <c r="N1013" s="108"/>
      <c r="O1013" s="108"/>
      <c r="P1013" s="108"/>
      <c r="Q1013" s="108"/>
      <c r="R1013" s="108"/>
      <c r="S1013" s="108"/>
      <c r="T1013" s="108"/>
      <c r="U1013" s="108"/>
      <c r="V1013" s="108"/>
      <c r="W1013" s="108"/>
      <c r="X1013" s="108"/>
      <c r="Y1013" s="108"/>
      <c r="Z1013" s="108"/>
    </row>
    <row r="1014" ht="16.5" customHeight="1">
      <c r="A1014" s="108"/>
      <c r="B1014" s="108"/>
      <c r="C1014" s="180"/>
      <c r="D1014" s="108"/>
      <c r="E1014" s="108"/>
      <c r="F1014" s="108"/>
      <c r="G1014" s="108"/>
      <c r="H1014" s="108"/>
      <c r="I1014" s="108"/>
      <c r="J1014" s="108"/>
      <c r="K1014" s="108"/>
      <c r="L1014" s="108"/>
      <c r="M1014" s="108"/>
      <c r="N1014" s="108"/>
      <c r="O1014" s="108"/>
      <c r="P1014" s="108"/>
      <c r="Q1014" s="108"/>
      <c r="R1014" s="108"/>
      <c r="S1014" s="108"/>
      <c r="T1014" s="108"/>
      <c r="U1014" s="108"/>
      <c r="V1014" s="108"/>
      <c r="W1014" s="108"/>
      <c r="X1014" s="108"/>
      <c r="Y1014" s="108"/>
      <c r="Z1014" s="108"/>
    </row>
    <row r="1015" ht="16.5" customHeight="1">
      <c r="A1015" s="180" t="s">
        <v>1866</v>
      </c>
      <c r="B1015" s="180">
        <v>1.0</v>
      </c>
      <c r="C1015" s="180" t="s">
        <v>1867</v>
      </c>
      <c r="D1015" s="108"/>
      <c r="E1015" s="108"/>
      <c r="F1015" s="108"/>
      <c r="G1015" s="108"/>
      <c r="H1015" s="108"/>
      <c r="I1015" s="108"/>
      <c r="J1015" s="108"/>
      <c r="K1015" s="108"/>
      <c r="L1015" s="108"/>
      <c r="M1015" s="108"/>
      <c r="N1015" s="108"/>
      <c r="O1015" s="108"/>
      <c r="P1015" s="108"/>
      <c r="Q1015" s="108"/>
      <c r="R1015" s="108"/>
      <c r="S1015" s="108"/>
      <c r="T1015" s="108"/>
      <c r="U1015" s="108"/>
      <c r="V1015" s="108"/>
      <c r="W1015" s="108"/>
      <c r="X1015" s="108"/>
      <c r="Y1015" s="108"/>
      <c r="Z1015" s="108"/>
    </row>
    <row r="1016" ht="16.5" customHeight="1">
      <c r="A1016" s="180" t="s">
        <v>1866</v>
      </c>
      <c r="B1016" s="180">
        <v>2.0</v>
      </c>
      <c r="C1016" s="180" t="s">
        <v>1868</v>
      </c>
      <c r="D1016" s="108"/>
      <c r="E1016" s="108"/>
      <c r="F1016" s="108"/>
      <c r="G1016" s="108"/>
      <c r="H1016" s="108"/>
      <c r="I1016" s="108"/>
      <c r="J1016" s="108"/>
      <c r="K1016" s="108"/>
      <c r="L1016" s="108"/>
      <c r="M1016" s="108"/>
      <c r="N1016" s="108"/>
      <c r="O1016" s="108"/>
      <c r="P1016" s="108"/>
      <c r="Q1016" s="108"/>
      <c r="R1016" s="108"/>
      <c r="S1016" s="108"/>
      <c r="T1016" s="108"/>
      <c r="U1016" s="108"/>
      <c r="V1016" s="108"/>
      <c r="W1016" s="108"/>
      <c r="X1016" s="108"/>
      <c r="Y1016" s="108"/>
      <c r="Z1016" s="108"/>
    </row>
    <row r="1017" ht="16.5" customHeight="1">
      <c r="A1017" s="180" t="s">
        <v>1866</v>
      </c>
      <c r="B1017" s="180">
        <v>3.0</v>
      </c>
      <c r="C1017" s="180" t="s">
        <v>1869</v>
      </c>
      <c r="D1017" s="108"/>
      <c r="E1017" s="108"/>
      <c r="F1017" s="108"/>
      <c r="G1017" s="108"/>
      <c r="H1017" s="108"/>
      <c r="I1017" s="108"/>
      <c r="J1017" s="108"/>
      <c r="K1017" s="108"/>
      <c r="L1017" s="108"/>
      <c r="M1017" s="108"/>
      <c r="N1017" s="108"/>
      <c r="O1017" s="108"/>
      <c r="P1017" s="108"/>
      <c r="Q1017" s="108"/>
      <c r="R1017" s="108"/>
      <c r="S1017" s="108"/>
      <c r="T1017" s="108"/>
      <c r="U1017" s="108"/>
      <c r="V1017" s="108"/>
      <c r="W1017" s="108"/>
      <c r="X1017" s="108"/>
      <c r="Y1017" s="108"/>
      <c r="Z1017" s="108"/>
    </row>
    <row r="1018" ht="16.5" customHeight="1">
      <c r="A1018" s="180" t="s">
        <v>1866</v>
      </c>
      <c r="B1018" s="180">
        <v>4.0</v>
      </c>
      <c r="C1018" s="180" t="s">
        <v>1870</v>
      </c>
      <c r="D1018" s="108"/>
      <c r="E1018" s="108"/>
      <c r="F1018" s="108"/>
      <c r="G1018" s="108"/>
      <c r="H1018" s="108"/>
      <c r="I1018" s="108"/>
      <c r="J1018" s="108"/>
      <c r="K1018" s="108"/>
      <c r="L1018" s="108"/>
      <c r="M1018" s="108"/>
      <c r="N1018" s="108"/>
      <c r="O1018" s="108"/>
      <c r="P1018" s="108"/>
      <c r="Q1018" s="108"/>
      <c r="R1018" s="108"/>
      <c r="S1018" s="108"/>
      <c r="T1018" s="108"/>
      <c r="U1018" s="108"/>
      <c r="V1018" s="108"/>
      <c r="W1018" s="108"/>
      <c r="X1018" s="108"/>
      <c r="Y1018" s="108"/>
      <c r="Z1018" s="108"/>
    </row>
    <row r="1019" ht="16.5" customHeight="1">
      <c r="A1019" s="180" t="s">
        <v>1866</v>
      </c>
      <c r="B1019" s="180">
        <v>5.0</v>
      </c>
      <c r="C1019" s="180" t="s">
        <v>1871</v>
      </c>
      <c r="D1019" s="108"/>
      <c r="E1019" s="108"/>
      <c r="F1019" s="108"/>
      <c r="G1019" s="108"/>
      <c r="H1019" s="108"/>
      <c r="I1019" s="108"/>
      <c r="J1019" s="108"/>
      <c r="K1019" s="108"/>
      <c r="L1019" s="108"/>
      <c r="M1019" s="108"/>
      <c r="N1019" s="108"/>
      <c r="O1019" s="108"/>
      <c r="P1019" s="108"/>
      <c r="Q1019" s="108"/>
      <c r="R1019" s="108"/>
      <c r="S1019" s="108"/>
      <c r="T1019" s="108"/>
      <c r="U1019" s="108"/>
      <c r="V1019" s="108"/>
      <c r="W1019" s="108"/>
      <c r="X1019" s="108"/>
      <c r="Y1019" s="108"/>
      <c r="Z1019" s="108"/>
    </row>
    <row r="1020" ht="16.5" customHeight="1">
      <c r="A1020" s="180" t="s">
        <v>1866</v>
      </c>
      <c r="B1020" s="180">
        <v>6.0</v>
      </c>
      <c r="C1020" s="180" t="s">
        <v>1872</v>
      </c>
      <c r="D1020" s="108"/>
      <c r="E1020" s="108"/>
      <c r="F1020" s="108"/>
      <c r="G1020" s="108"/>
      <c r="H1020" s="108"/>
      <c r="I1020" s="108"/>
      <c r="J1020" s="108"/>
      <c r="K1020" s="108"/>
      <c r="L1020" s="108"/>
      <c r="M1020" s="108"/>
      <c r="N1020" s="108"/>
      <c r="O1020" s="108"/>
      <c r="P1020" s="108"/>
      <c r="Q1020" s="108"/>
      <c r="R1020" s="108"/>
      <c r="S1020" s="108"/>
      <c r="T1020" s="108"/>
      <c r="U1020" s="108"/>
      <c r="V1020" s="108"/>
      <c r="W1020" s="108"/>
      <c r="X1020" s="108"/>
      <c r="Y1020" s="108"/>
      <c r="Z1020" s="108"/>
    </row>
    <row r="1021" ht="16.5" customHeight="1">
      <c r="A1021" s="180" t="s">
        <v>1866</v>
      </c>
      <c r="B1021" s="180">
        <v>9999.0</v>
      </c>
      <c r="C1021" s="180" t="s">
        <v>1215</v>
      </c>
      <c r="D1021" s="108"/>
      <c r="E1021" s="108"/>
      <c r="F1021" s="108"/>
      <c r="G1021" s="108"/>
      <c r="H1021" s="108"/>
      <c r="I1021" s="108"/>
      <c r="J1021" s="108"/>
      <c r="K1021" s="108"/>
      <c r="L1021" s="108"/>
      <c r="M1021" s="108"/>
      <c r="N1021" s="108"/>
      <c r="O1021" s="108"/>
      <c r="P1021" s="108"/>
      <c r="Q1021" s="108"/>
      <c r="R1021" s="108"/>
      <c r="S1021" s="108"/>
      <c r="T1021" s="108"/>
      <c r="U1021" s="108"/>
      <c r="V1021" s="108"/>
      <c r="W1021" s="108"/>
      <c r="X1021" s="108"/>
      <c r="Y1021" s="108"/>
      <c r="Z1021" s="108"/>
    </row>
    <row r="1022" ht="16.5" customHeight="1">
      <c r="A1022" s="180" t="s">
        <v>1866</v>
      </c>
      <c r="B1022" s="180">
        <v>9998.0</v>
      </c>
      <c r="C1022" s="180" t="s">
        <v>1216</v>
      </c>
      <c r="D1022" s="108"/>
      <c r="E1022" s="108"/>
      <c r="F1022" s="108"/>
      <c r="G1022" s="108"/>
      <c r="H1022" s="108"/>
      <c r="I1022" s="108"/>
      <c r="J1022" s="108"/>
      <c r="K1022" s="108"/>
      <c r="L1022" s="108"/>
      <c r="M1022" s="108"/>
      <c r="N1022" s="108"/>
      <c r="O1022" s="108"/>
      <c r="P1022" s="108"/>
      <c r="Q1022" s="108"/>
      <c r="R1022" s="108"/>
      <c r="S1022" s="108"/>
      <c r="T1022" s="108"/>
      <c r="U1022" s="108"/>
      <c r="V1022" s="108"/>
      <c r="W1022" s="108"/>
      <c r="X1022" s="108"/>
      <c r="Y1022" s="108"/>
      <c r="Z1022" s="108"/>
    </row>
    <row r="1023" ht="16.5" customHeight="1">
      <c r="A1023" s="108"/>
      <c r="B1023" s="108"/>
      <c r="C1023" s="180"/>
      <c r="D1023" s="108"/>
      <c r="E1023" s="108"/>
      <c r="F1023" s="108"/>
      <c r="G1023" s="108"/>
      <c r="H1023" s="108"/>
      <c r="I1023" s="108"/>
      <c r="J1023" s="108"/>
      <c r="K1023" s="108"/>
      <c r="L1023" s="108"/>
      <c r="M1023" s="108"/>
      <c r="N1023" s="108"/>
      <c r="O1023" s="108"/>
      <c r="P1023" s="108"/>
      <c r="Q1023" s="108"/>
      <c r="R1023" s="108"/>
      <c r="S1023" s="108"/>
      <c r="T1023" s="108"/>
      <c r="U1023" s="108"/>
      <c r="V1023" s="108"/>
      <c r="W1023" s="108"/>
      <c r="X1023" s="108"/>
      <c r="Y1023" s="108"/>
      <c r="Z1023" s="108"/>
    </row>
    <row r="1024" ht="16.5" customHeight="1">
      <c r="A1024" s="180" t="s">
        <v>1873</v>
      </c>
      <c r="B1024" s="180">
        <v>0.0</v>
      </c>
      <c r="C1024" s="180" t="s">
        <v>1874</v>
      </c>
      <c r="D1024" s="108"/>
      <c r="E1024" s="108"/>
      <c r="F1024" s="108"/>
      <c r="G1024" s="108"/>
      <c r="H1024" s="108"/>
      <c r="I1024" s="108"/>
      <c r="J1024" s="108"/>
      <c r="K1024" s="108"/>
      <c r="L1024" s="108"/>
      <c r="M1024" s="108"/>
      <c r="N1024" s="108"/>
      <c r="O1024" s="108"/>
      <c r="P1024" s="108"/>
      <c r="Q1024" s="108"/>
      <c r="R1024" s="108"/>
      <c r="S1024" s="108"/>
      <c r="T1024" s="108"/>
      <c r="U1024" s="108"/>
      <c r="V1024" s="108"/>
      <c r="W1024" s="108"/>
      <c r="X1024" s="108"/>
      <c r="Y1024" s="108"/>
      <c r="Z1024" s="108"/>
    </row>
    <row r="1025" ht="16.5" customHeight="1">
      <c r="A1025" s="180" t="s">
        <v>1873</v>
      </c>
      <c r="B1025" s="180">
        <v>1.0</v>
      </c>
      <c r="C1025" s="180" t="s">
        <v>1875</v>
      </c>
      <c r="D1025" s="108"/>
      <c r="E1025" s="108"/>
      <c r="F1025" s="108"/>
      <c r="G1025" s="108"/>
      <c r="H1025" s="108"/>
      <c r="I1025" s="108"/>
      <c r="J1025" s="108"/>
      <c r="K1025" s="108"/>
      <c r="L1025" s="108"/>
      <c r="M1025" s="108"/>
      <c r="N1025" s="108"/>
      <c r="O1025" s="108"/>
      <c r="P1025" s="108"/>
      <c r="Q1025" s="108"/>
      <c r="R1025" s="108"/>
      <c r="S1025" s="108"/>
      <c r="T1025" s="108"/>
      <c r="U1025" s="108"/>
      <c r="V1025" s="108"/>
      <c r="W1025" s="108"/>
      <c r="X1025" s="108"/>
      <c r="Y1025" s="108"/>
      <c r="Z1025" s="108"/>
    </row>
    <row r="1026" ht="16.5" customHeight="1">
      <c r="A1026" s="180" t="s">
        <v>1873</v>
      </c>
      <c r="B1026" s="180">
        <v>2.0</v>
      </c>
      <c r="C1026" s="180" t="s">
        <v>1876</v>
      </c>
      <c r="D1026" s="108"/>
      <c r="E1026" s="108"/>
      <c r="F1026" s="108"/>
      <c r="G1026" s="108"/>
      <c r="H1026" s="108"/>
      <c r="I1026" s="108"/>
      <c r="J1026" s="108"/>
      <c r="K1026" s="108"/>
      <c r="L1026" s="108"/>
      <c r="M1026" s="108"/>
      <c r="N1026" s="108"/>
      <c r="O1026" s="108"/>
      <c r="P1026" s="108"/>
      <c r="Q1026" s="108"/>
      <c r="R1026" s="108"/>
      <c r="S1026" s="108"/>
      <c r="T1026" s="108"/>
      <c r="U1026" s="108"/>
      <c r="V1026" s="108"/>
      <c r="W1026" s="108"/>
      <c r="X1026" s="108"/>
      <c r="Y1026" s="108"/>
      <c r="Z1026" s="108"/>
    </row>
    <row r="1027" ht="16.5" customHeight="1">
      <c r="A1027" s="180" t="s">
        <v>1873</v>
      </c>
      <c r="B1027" s="180">
        <v>3.0</v>
      </c>
      <c r="C1027" s="180" t="s">
        <v>1877</v>
      </c>
      <c r="D1027" s="108"/>
      <c r="E1027" s="108"/>
      <c r="F1027" s="108"/>
      <c r="G1027" s="108"/>
      <c r="H1027" s="108"/>
      <c r="I1027" s="108"/>
      <c r="J1027" s="108"/>
      <c r="K1027" s="108"/>
      <c r="L1027" s="108"/>
      <c r="M1027" s="108"/>
      <c r="N1027" s="108"/>
      <c r="O1027" s="108"/>
      <c r="P1027" s="108"/>
      <c r="Q1027" s="108"/>
      <c r="R1027" s="108"/>
      <c r="S1027" s="108"/>
      <c r="T1027" s="108"/>
      <c r="U1027" s="108"/>
      <c r="V1027" s="108"/>
      <c r="W1027" s="108"/>
      <c r="X1027" s="108"/>
      <c r="Y1027" s="108"/>
      <c r="Z1027" s="108"/>
    </row>
    <row r="1028" ht="16.5" customHeight="1">
      <c r="A1028" s="180" t="s">
        <v>1873</v>
      </c>
      <c r="B1028" s="180">
        <v>4.0</v>
      </c>
      <c r="C1028" s="180" t="s">
        <v>1878</v>
      </c>
      <c r="D1028" s="108"/>
      <c r="E1028" s="108"/>
      <c r="F1028" s="108"/>
      <c r="G1028" s="108"/>
      <c r="H1028" s="108"/>
      <c r="I1028" s="108"/>
      <c r="J1028" s="108"/>
      <c r="K1028" s="108"/>
      <c r="L1028" s="108"/>
      <c r="M1028" s="108"/>
      <c r="N1028" s="108"/>
      <c r="O1028" s="108"/>
      <c r="P1028" s="108"/>
      <c r="Q1028" s="108"/>
      <c r="R1028" s="108"/>
      <c r="S1028" s="108"/>
      <c r="T1028" s="108"/>
      <c r="U1028" s="108"/>
      <c r="V1028" s="108"/>
      <c r="W1028" s="108"/>
      <c r="X1028" s="108"/>
      <c r="Y1028" s="108"/>
      <c r="Z1028" s="108"/>
    </row>
    <row r="1029" ht="16.5" customHeight="1">
      <c r="A1029" s="108"/>
      <c r="B1029" s="108"/>
      <c r="C1029" s="180"/>
      <c r="D1029" s="108"/>
      <c r="E1029" s="108"/>
      <c r="F1029" s="108"/>
      <c r="G1029" s="108"/>
      <c r="H1029" s="108"/>
      <c r="I1029" s="108"/>
      <c r="J1029" s="108"/>
      <c r="K1029" s="108"/>
      <c r="L1029" s="108"/>
      <c r="M1029" s="108"/>
      <c r="N1029" s="108"/>
      <c r="O1029" s="108"/>
      <c r="P1029" s="108"/>
      <c r="Q1029" s="108"/>
      <c r="R1029" s="108"/>
      <c r="S1029" s="108"/>
      <c r="T1029" s="108"/>
      <c r="U1029" s="108"/>
      <c r="V1029" s="108"/>
      <c r="W1029" s="108"/>
      <c r="X1029" s="108"/>
      <c r="Y1029" s="108"/>
      <c r="Z1029" s="108"/>
    </row>
    <row r="1030" ht="16.5" customHeight="1">
      <c r="A1030" s="180" t="s">
        <v>217</v>
      </c>
      <c r="B1030" s="180">
        <v>1.0</v>
      </c>
      <c r="C1030" s="252" t="s">
        <v>1205</v>
      </c>
      <c r="D1030" s="108"/>
      <c r="E1030" s="108"/>
      <c r="F1030" s="108"/>
      <c r="G1030" s="108"/>
      <c r="H1030" s="108"/>
      <c r="I1030" s="108"/>
      <c r="J1030" s="108"/>
      <c r="K1030" s="108"/>
      <c r="L1030" s="108"/>
      <c r="M1030" s="108"/>
      <c r="N1030" s="108"/>
      <c r="O1030" s="108"/>
      <c r="P1030" s="108"/>
      <c r="Q1030" s="108"/>
      <c r="R1030" s="108"/>
      <c r="S1030" s="108"/>
      <c r="T1030" s="108"/>
      <c r="U1030" s="108"/>
      <c r="V1030" s="108"/>
      <c r="W1030" s="108"/>
      <c r="X1030" s="108"/>
      <c r="Y1030" s="108"/>
      <c r="Z1030" s="108"/>
    </row>
    <row r="1031" ht="16.5" customHeight="1">
      <c r="A1031" s="180" t="s">
        <v>217</v>
      </c>
      <c r="B1031" s="180">
        <v>2.0</v>
      </c>
      <c r="C1031" s="180" t="s">
        <v>1879</v>
      </c>
      <c r="D1031" s="108"/>
      <c r="E1031" s="108"/>
      <c r="F1031" s="108"/>
      <c r="G1031" s="108"/>
      <c r="H1031" s="108"/>
      <c r="I1031" s="108"/>
      <c r="J1031" s="108"/>
      <c r="K1031" s="108"/>
      <c r="L1031" s="108"/>
      <c r="M1031" s="108"/>
      <c r="N1031" s="108"/>
      <c r="O1031" s="108"/>
      <c r="P1031" s="108"/>
      <c r="Q1031" s="108"/>
      <c r="R1031" s="108"/>
      <c r="S1031" s="108"/>
      <c r="T1031" s="108"/>
      <c r="U1031" s="108"/>
      <c r="V1031" s="108"/>
      <c r="W1031" s="108"/>
      <c r="X1031" s="108"/>
      <c r="Y1031" s="108"/>
      <c r="Z1031" s="108"/>
    </row>
    <row r="1032" ht="16.5" customHeight="1">
      <c r="A1032" s="180" t="s">
        <v>217</v>
      </c>
      <c r="B1032" s="180">
        <v>3.0</v>
      </c>
      <c r="C1032" s="180" t="s">
        <v>1204</v>
      </c>
      <c r="D1032" s="108"/>
      <c r="E1032" s="108"/>
      <c r="F1032" s="108"/>
      <c r="G1032" s="108"/>
      <c r="H1032" s="108"/>
      <c r="I1032" s="108"/>
      <c r="J1032" s="108"/>
      <c r="K1032" s="108"/>
      <c r="L1032" s="108"/>
      <c r="M1032" s="108"/>
      <c r="N1032" s="108"/>
      <c r="O1032" s="108"/>
      <c r="P1032" s="108"/>
      <c r="Q1032" s="108"/>
      <c r="R1032" s="108"/>
      <c r="S1032" s="108"/>
      <c r="T1032" s="108"/>
      <c r="U1032" s="108"/>
      <c r="V1032" s="108"/>
      <c r="W1032" s="108"/>
      <c r="X1032" s="108"/>
      <c r="Y1032" s="108"/>
      <c r="Z1032" s="108"/>
    </row>
    <row r="1033" ht="16.5" customHeight="1">
      <c r="A1033" s="108"/>
      <c r="B1033" s="108"/>
      <c r="C1033" s="180"/>
      <c r="D1033" s="108"/>
      <c r="E1033" s="108"/>
      <c r="F1033" s="108"/>
      <c r="G1033" s="108"/>
      <c r="H1033" s="108"/>
      <c r="I1033" s="108"/>
      <c r="J1033" s="108"/>
      <c r="K1033" s="108"/>
      <c r="L1033" s="108"/>
      <c r="M1033" s="108"/>
      <c r="N1033" s="108"/>
      <c r="O1033" s="108"/>
      <c r="P1033" s="108"/>
      <c r="Q1033" s="108"/>
      <c r="R1033" s="108"/>
      <c r="S1033" s="108"/>
      <c r="T1033" s="108"/>
      <c r="U1033" s="108"/>
      <c r="V1033" s="108"/>
      <c r="W1033" s="108"/>
      <c r="X1033" s="108"/>
      <c r="Y1033" s="108"/>
      <c r="Z1033" s="108"/>
    </row>
    <row r="1034" ht="16.5" customHeight="1">
      <c r="A1034" s="180" t="s">
        <v>1880</v>
      </c>
      <c r="B1034" s="180">
        <v>1.0</v>
      </c>
      <c r="C1034" s="180" t="s">
        <v>1881</v>
      </c>
      <c r="D1034" s="108"/>
      <c r="E1034" s="108"/>
      <c r="F1034" s="108"/>
      <c r="G1034" s="108"/>
      <c r="H1034" s="108"/>
      <c r="I1034" s="108"/>
      <c r="J1034" s="108"/>
      <c r="K1034" s="108"/>
      <c r="L1034" s="108"/>
      <c r="M1034" s="108"/>
      <c r="N1034" s="108"/>
      <c r="O1034" s="108"/>
      <c r="P1034" s="108"/>
      <c r="Q1034" s="108"/>
      <c r="R1034" s="108"/>
      <c r="S1034" s="108"/>
      <c r="T1034" s="108"/>
      <c r="U1034" s="108"/>
      <c r="V1034" s="108"/>
      <c r="W1034" s="108"/>
      <c r="X1034" s="108"/>
      <c r="Y1034" s="108"/>
      <c r="Z1034" s="108"/>
    </row>
    <row r="1035" ht="16.5" customHeight="1">
      <c r="A1035" s="180" t="s">
        <v>1880</v>
      </c>
      <c r="B1035" s="180">
        <v>2.0</v>
      </c>
      <c r="C1035" s="180" t="s">
        <v>1882</v>
      </c>
      <c r="D1035" s="108"/>
      <c r="E1035" s="108"/>
      <c r="F1035" s="108"/>
      <c r="G1035" s="108"/>
      <c r="H1035" s="108"/>
      <c r="I1035" s="108"/>
      <c r="J1035" s="108"/>
      <c r="K1035" s="108"/>
      <c r="L1035" s="108"/>
      <c r="M1035" s="108"/>
      <c r="N1035" s="108"/>
      <c r="O1035" s="108"/>
      <c r="P1035" s="108"/>
      <c r="Q1035" s="108"/>
      <c r="R1035" s="108"/>
      <c r="S1035" s="108"/>
      <c r="T1035" s="108"/>
      <c r="U1035" s="108"/>
      <c r="V1035" s="108"/>
      <c r="W1035" s="108"/>
      <c r="X1035" s="108"/>
      <c r="Y1035" s="108"/>
      <c r="Z1035" s="108"/>
    </row>
    <row r="1036" ht="16.5" customHeight="1">
      <c r="A1036" s="180" t="s">
        <v>1880</v>
      </c>
      <c r="B1036" s="180">
        <v>3.0</v>
      </c>
      <c r="C1036" s="180" t="s">
        <v>1883</v>
      </c>
      <c r="D1036" s="108"/>
      <c r="E1036" s="108"/>
      <c r="F1036" s="108"/>
      <c r="G1036" s="108"/>
      <c r="H1036" s="108"/>
      <c r="I1036" s="108"/>
      <c r="J1036" s="108"/>
      <c r="K1036" s="108"/>
      <c r="L1036" s="108"/>
      <c r="M1036" s="108"/>
      <c r="N1036" s="108"/>
      <c r="O1036" s="108"/>
      <c r="P1036" s="108"/>
      <c r="Q1036" s="108"/>
      <c r="R1036" s="108"/>
      <c r="S1036" s="108"/>
      <c r="T1036" s="108"/>
      <c r="U1036" s="108"/>
      <c r="V1036" s="108"/>
      <c r="W1036" s="108"/>
      <c r="X1036" s="108"/>
      <c r="Y1036" s="108"/>
      <c r="Z1036" s="108"/>
    </row>
    <row r="1037" ht="16.5" customHeight="1">
      <c r="A1037" s="180" t="s">
        <v>1880</v>
      </c>
      <c r="B1037" s="180">
        <v>4.0</v>
      </c>
      <c r="C1037" s="180" t="s">
        <v>1884</v>
      </c>
      <c r="D1037" s="108"/>
      <c r="E1037" s="108"/>
      <c r="F1037" s="108"/>
      <c r="G1037" s="108"/>
      <c r="H1037" s="108"/>
      <c r="I1037" s="108"/>
      <c r="J1037" s="108"/>
      <c r="K1037" s="108"/>
      <c r="L1037" s="108"/>
      <c r="M1037" s="108"/>
      <c r="N1037" s="108"/>
      <c r="O1037" s="108"/>
      <c r="P1037" s="108"/>
      <c r="Q1037" s="108"/>
      <c r="R1037" s="108"/>
      <c r="S1037" s="108"/>
      <c r="T1037" s="108"/>
      <c r="U1037" s="108"/>
      <c r="V1037" s="108"/>
      <c r="W1037" s="108"/>
      <c r="X1037" s="108"/>
      <c r="Y1037" s="108"/>
      <c r="Z1037" s="108"/>
    </row>
    <row r="1038" ht="16.5" customHeight="1">
      <c r="A1038" s="180" t="s">
        <v>1880</v>
      </c>
      <c r="B1038" s="180">
        <v>5.0</v>
      </c>
      <c r="C1038" s="180" t="s">
        <v>1885</v>
      </c>
      <c r="D1038" s="108"/>
      <c r="E1038" s="108"/>
      <c r="F1038" s="108"/>
      <c r="G1038" s="108"/>
      <c r="H1038" s="108"/>
      <c r="I1038" s="108"/>
      <c r="J1038" s="108"/>
      <c r="K1038" s="108"/>
      <c r="L1038" s="108"/>
      <c r="M1038" s="108"/>
      <c r="N1038" s="108"/>
      <c r="O1038" s="108"/>
      <c r="P1038" s="108"/>
      <c r="Q1038" s="108"/>
      <c r="R1038" s="108"/>
      <c r="S1038" s="108"/>
      <c r="T1038" s="108"/>
      <c r="U1038" s="108"/>
      <c r="V1038" s="108"/>
      <c r="W1038" s="108"/>
      <c r="X1038" s="108"/>
      <c r="Y1038" s="108"/>
      <c r="Z1038" s="108"/>
    </row>
    <row r="1039" ht="16.5" customHeight="1">
      <c r="A1039" s="180" t="s">
        <v>1880</v>
      </c>
      <c r="B1039" s="180">
        <v>6.0</v>
      </c>
      <c r="C1039" s="180" t="s">
        <v>1886</v>
      </c>
      <c r="D1039" s="108"/>
      <c r="E1039" s="108"/>
      <c r="F1039" s="108"/>
      <c r="G1039" s="108"/>
      <c r="H1039" s="108"/>
      <c r="I1039" s="108"/>
      <c r="J1039" s="108"/>
      <c r="K1039" s="108"/>
      <c r="L1039" s="108"/>
      <c r="M1039" s="108"/>
      <c r="N1039" s="108"/>
      <c r="O1039" s="108"/>
      <c r="P1039" s="108"/>
      <c r="Q1039" s="108"/>
      <c r="R1039" s="108"/>
      <c r="S1039" s="108"/>
      <c r="T1039" s="108"/>
      <c r="U1039" s="108"/>
      <c r="V1039" s="108"/>
      <c r="W1039" s="108"/>
      <c r="X1039" s="108"/>
      <c r="Y1039" s="108"/>
      <c r="Z1039" s="108"/>
    </row>
    <row r="1040" ht="16.5" customHeight="1">
      <c r="A1040" s="180" t="s">
        <v>1880</v>
      </c>
      <c r="B1040" s="180">
        <v>9999.0</v>
      </c>
      <c r="C1040" s="180" t="s">
        <v>1215</v>
      </c>
      <c r="D1040" s="108"/>
      <c r="E1040" s="108"/>
      <c r="F1040" s="108"/>
      <c r="G1040" s="108"/>
      <c r="H1040" s="108"/>
      <c r="I1040" s="108"/>
      <c r="J1040" s="108"/>
      <c r="K1040" s="108"/>
      <c r="L1040" s="108"/>
      <c r="M1040" s="108"/>
      <c r="N1040" s="108"/>
      <c r="O1040" s="108"/>
      <c r="P1040" s="108"/>
      <c r="Q1040" s="108"/>
      <c r="R1040" s="108"/>
      <c r="S1040" s="108"/>
      <c r="T1040" s="108"/>
      <c r="U1040" s="108"/>
      <c r="V1040" s="108"/>
      <c r="W1040" s="108"/>
      <c r="X1040" s="108"/>
      <c r="Y1040" s="108"/>
      <c r="Z1040" s="108"/>
    </row>
    <row r="1041" ht="16.5" customHeight="1">
      <c r="A1041" s="180" t="s">
        <v>1880</v>
      </c>
      <c r="B1041" s="180">
        <v>9998.0</v>
      </c>
      <c r="C1041" s="180" t="s">
        <v>1216</v>
      </c>
      <c r="D1041" s="108"/>
      <c r="E1041" s="108"/>
      <c r="F1041" s="108"/>
      <c r="G1041" s="108"/>
      <c r="H1041" s="108"/>
      <c r="I1041" s="108"/>
      <c r="J1041" s="108"/>
      <c r="K1041" s="108"/>
      <c r="L1041" s="108"/>
      <c r="M1041" s="108"/>
      <c r="N1041" s="108"/>
      <c r="O1041" s="108"/>
      <c r="P1041" s="108"/>
      <c r="Q1041" s="108"/>
      <c r="R1041" s="108"/>
      <c r="S1041" s="108"/>
      <c r="T1041" s="108"/>
      <c r="U1041" s="108"/>
      <c r="V1041" s="108"/>
      <c r="W1041" s="108"/>
      <c r="X1041" s="108"/>
      <c r="Y1041" s="108"/>
      <c r="Z1041" s="108"/>
    </row>
    <row r="1042" ht="16.5" customHeight="1">
      <c r="A1042" s="108"/>
      <c r="B1042" s="108"/>
      <c r="C1042" s="180"/>
      <c r="D1042" s="108"/>
      <c r="E1042" s="108"/>
      <c r="F1042" s="108"/>
      <c r="G1042" s="108"/>
      <c r="H1042" s="108"/>
      <c r="I1042" s="108"/>
      <c r="J1042" s="108"/>
      <c r="K1042" s="108"/>
      <c r="L1042" s="108"/>
      <c r="M1042" s="108"/>
      <c r="N1042" s="108"/>
      <c r="O1042" s="108"/>
      <c r="P1042" s="108"/>
      <c r="Q1042" s="108"/>
      <c r="R1042" s="108"/>
      <c r="S1042" s="108"/>
      <c r="T1042" s="108"/>
      <c r="U1042" s="108"/>
      <c r="V1042" s="108"/>
      <c r="W1042" s="108"/>
      <c r="X1042" s="108"/>
      <c r="Y1042" s="108"/>
      <c r="Z1042" s="108"/>
    </row>
    <row r="1043" ht="16.5" customHeight="1">
      <c r="A1043" s="180" t="s">
        <v>1887</v>
      </c>
      <c r="B1043" s="180">
        <v>1.0</v>
      </c>
      <c r="C1043" s="180" t="s">
        <v>1888</v>
      </c>
      <c r="D1043" s="108"/>
      <c r="E1043" s="108"/>
      <c r="F1043" s="108"/>
      <c r="G1043" s="108"/>
      <c r="H1043" s="108"/>
      <c r="I1043" s="108"/>
      <c r="J1043" s="108"/>
      <c r="K1043" s="108"/>
      <c r="L1043" s="108"/>
      <c r="M1043" s="108"/>
      <c r="N1043" s="108"/>
      <c r="O1043" s="108"/>
      <c r="P1043" s="108"/>
      <c r="Q1043" s="108"/>
      <c r="R1043" s="108"/>
      <c r="S1043" s="108"/>
      <c r="T1043" s="108"/>
      <c r="U1043" s="108"/>
      <c r="V1043" s="108"/>
      <c r="W1043" s="108"/>
      <c r="X1043" s="108"/>
      <c r="Y1043" s="108"/>
      <c r="Z1043" s="108"/>
    </row>
    <row r="1044" ht="16.5" customHeight="1">
      <c r="A1044" s="180" t="s">
        <v>1887</v>
      </c>
      <c r="B1044" s="180">
        <v>2.0</v>
      </c>
      <c r="C1044" s="180" t="s">
        <v>1889</v>
      </c>
      <c r="D1044" s="108"/>
      <c r="E1044" s="108"/>
      <c r="F1044" s="108"/>
      <c r="G1044" s="108"/>
      <c r="H1044" s="108"/>
      <c r="I1044" s="108"/>
      <c r="J1044" s="108"/>
      <c r="K1044" s="108"/>
      <c r="L1044" s="108"/>
      <c r="M1044" s="108"/>
      <c r="N1044" s="108"/>
      <c r="O1044" s="108"/>
      <c r="P1044" s="108"/>
      <c r="Q1044" s="108"/>
      <c r="R1044" s="108"/>
      <c r="S1044" s="108"/>
      <c r="T1044" s="108"/>
      <c r="U1044" s="108"/>
      <c r="V1044" s="108"/>
      <c r="W1044" s="108"/>
      <c r="X1044" s="108"/>
      <c r="Y1044" s="108"/>
      <c r="Z1044" s="108"/>
    </row>
    <row r="1045" ht="16.5" customHeight="1">
      <c r="A1045" s="180" t="s">
        <v>1887</v>
      </c>
      <c r="B1045" s="180">
        <v>3.0</v>
      </c>
      <c r="C1045" s="180" t="s">
        <v>1890</v>
      </c>
      <c r="D1045" s="108"/>
      <c r="E1045" s="108"/>
      <c r="F1045" s="108"/>
      <c r="G1045" s="108"/>
      <c r="H1045" s="108"/>
      <c r="I1045" s="108"/>
      <c r="J1045" s="108"/>
      <c r="K1045" s="108"/>
      <c r="L1045" s="108"/>
      <c r="M1045" s="108"/>
      <c r="N1045" s="108"/>
      <c r="O1045" s="108"/>
      <c r="P1045" s="108"/>
      <c r="Q1045" s="108"/>
      <c r="R1045" s="108"/>
      <c r="S1045" s="108"/>
      <c r="T1045" s="108"/>
      <c r="U1045" s="108"/>
      <c r="V1045" s="108"/>
      <c r="W1045" s="108"/>
      <c r="X1045" s="108"/>
      <c r="Y1045" s="108"/>
      <c r="Z1045" s="108"/>
    </row>
    <row r="1046" ht="16.5" customHeight="1">
      <c r="A1046" s="108"/>
      <c r="B1046" s="108"/>
      <c r="C1046" s="180"/>
      <c r="D1046" s="108"/>
      <c r="E1046" s="108"/>
      <c r="F1046" s="108"/>
      <c r="G1046" s="108"/>
      <c r="H1046" s="108"/>
      <c r="I1046" s="108"/>
      <c r="J1046" s="108"/>
      <c r="K1046" s="108"/>
      <c r="L1046" s="108"/>
      <c r="M1046" s="108"/>
      <c r="N1046" s="108"/>
      <c r="O1046" s="108"/>
      <c r="P1046" s="108"/>
      <c r="Q1046" s="108"/>
      <c r="R1046" s="108"/>
      <c r="S1046" s="108"/>
      <c r="T1046" s="108"/>
      <c r="U1046" s="108"/>
      <c r="V1046" s="108"/>
      <c r="W1046" s="108"/>
      <c r="X1046" s="108"/>
      <c r="Y1046" s="108"/>
      <c r="Z1046" s="108"/>
    </row>
    <row r="1047" ht="16.5" customHeight="1">
      <c r="A1047" s="180" t="s">
        <v>1891</v>
      </c>
      <c r="B1047" s="180">
        <v>1.0</v>
      </c>
      <c r="C1047" s="180" t="s">
        <v>1892</v>
      </c>
      <c r="D1047" s="108"/>
      <c r="E1047" s="108"/>
      <c r="F1047" s="108"/>
      <c r="G1047" s="108"/>
      <c r="H1047" s="108"/>
      <c r="I1047" s="108"/>
      <c r="J1047" s="108"/>
      <c r="K1047" s="108"/>
      <c r="L1047" s="108"/>
      <c r="M1047" s="108"/>
      <c r="N1047" s="108"/>
      <c r="O1047" s="108"/>
      <c r="P1047" s="108"/>
      <c r="Q1047" s="108"/>
      <c r="R1047" s="108"/>
      <c r="S1047" s="108"/>
      <c r="T1047" s="108"/>
      <c r="U1047" s="108"/>
      <c r="V1047" s="108"/>
      <c r="W1047" s="108"/>
      <c r="X1047" s="108"/>
      <c r="Y1047" s="108"/>
      <c r="Z1047" s="108"/>
    </row>
    <row r="1048" ht="16.5" customHeight="1">
      <c r="A1048" s="180" t="s">
        <v>1891</v>
      </c>
      <c r="B1048" s="180">
        <v>2.0</v>
      </c>
      <c r="C1048" s="180" t="s">
        <v>1893</v>
      </c>
      <c r="D1048" s="108"/>
      <c r="E1048" s="108"/>
      <c r="F1048" s="108"/>
      <c r="G1048" s="108"/>
      <c r="H1048" s="108"/>
      <c r="I1048" s="108"/>
      <c r="J1048" s="108"/>
      <c r="K1048" s="108"/>
      <c r="L1048" s="108"/>
      <c r="M1048" s="108"/>
      <c r="N1048" s="108"/>
      <c r="O1048" s="108"/>
      <c r="P1048" s="108"/>
      <c r="Q1048" s="108"/>
      <c r="R1048" s="108"/>
      <c r="S1048" s="108"/>
      <c r="T1048" s="108"/>
      <c r="U1048" s="108"/>
      <c r="V1048" s="108"/>
      <c r="W1048" s="108"/>
      <c r="X1048" s="108"/>
      <c r="Y1048" s="108"/>
      <c r="Z1048" s="108"/>
    </row>
    <row r="1049" ht="16.5" customHeight="1">
      <c r="A1049" s="180" t="s">
        <v>1891</v>
      </c>
      <c r="B1049" s="180">
        <v>3.0</v>
      </c>
      <c r="C1049" s="180" t="s">
        <v>1894</v>
      </c>
      <c r="D1049" s="108"/>
      <c r="E1049" s="108"/>
      <c r="F1049" s="108"/>
      <c r="G1049" s="108"/>
      <c r="H1049" s="108"/>
      <c r="I1049" s="108"/>
      <c r="J1049" s="108"/>
      <c r="K1049" s="108"/>
      <c r="L1049" s="108"/>
      <c r="M1049" s="108"/>
      <c r="N1049" s="108"/>
      <c r="O1049" s="108"/>
      <c r="P1049" s="108"/>
      <c r="Q1049" s="108"/>
      <c r="R1049" s="108"/>
      <c r="S1049" s="108"/>
      <c r="T1049" s="108"/>
      <c r="U1049" s="108"/>
      <c r="V1049" s="108"/>
      <c r="W1049" s="108"/>
      <c r="X1049" s="108"/>
      <c r="Y1049" s="108"/>
      <c r="Z1049" s="108"/>
    </row>
    <row r="1050" ht="16.5" customHeight="1">
      <c r="A1050" s="180" t="s">
        <v>1891</v>
      </c>
      <c r="B1050" s="180">
        <v>4.0</v>
      </c>
      <c r="C1050" s="180" t="s">
        <v>1895</v>
      </c>
      <c r="D1050" s="108"/>
      <c r="E1050" s="108"/>
      <c r="F1050" s="108"/>
      <c r="G1050" s="108"/>
      <c r="H1050" s="108"/>
      <c r="I1050" s="108"/>
      <c r="J1050" s="108"/>
      <c r="K1050" s="108"/>
      <c r="L1050" s="108"/>
      <c r="M1050" s="108"/>
      <c r="N1050" s="108"/>
      <c r="O1050" s="108"/>
      <c r="P1050" s="108"/>
      <c r="Q1050" s="108"/>
      <c r="R1050" s="108"/>
      <c r="S1050" s="108"/>
      <c r="T1050" s="108"/>
      <c r="U1050" s="108"/>
      <c r="V1050" s="108"/>
      <c r="W1050" s="108"/>
      <c r="X1050" s="108"/>
      <c r="Y1050" s="108"/>
      <c r="Z1050" s="108"/>
    </row>
    <row r="1051" ht="16.5" customHeight="1">
      <c r="A1051" s="180" t="s">
        <v>1891</v>
      </c>
      <c r="B1051" s="180">
        <v>9999.0</v>
      </c>
      <c r="C1051" s="180" t="s">
        <v>1215</v>
      </c>
      <c r="D1051" s="108"/>
      <c r="E1051" s="108"/>
      <c r="F1051" s="108"/>
      <c r="G1051" s="108"/>
      <c r="H1051" s="108"/>
      <c r="I1051" s="108"/>
      <c r="J1051" s="108"/>
      <c r="K1051" s="108"/>
      <c r="L1051" s="108"/>
      <c r="M1051" s="108"/>
      <c r="N1051" s="108"/>
      <c r="O1051" s="108"/>
      <c r="P1051" s="108"/>
      <c r="Q1051" s="108"/>
      <c r="R1051" s="108"/>
      <c r="S1051" s="108"/>
      <c r="T1051" s="108"/>
      <c r="U1051" s="108"/>
      <c r="V1051" s="108"/>
      <c r="W1051" s="108"/>
      <c r="X1051" s="108"/>
      <c r="Y1051" s="108"/>
      <c r="Z1051" s="108"/>
    </row>
    <row r="1052" ht="16.5" customHeight="1">
      <c r="A1052" s="180" t="s">
        <v>1891</v>
      </c>
      <c r="B1052" s="180">
        <v>9998.0</v>
      </c>
      <c r="C1052" s="180" t="s">
        <v>1216</v>
      </c>
      <c r="D1052" s="108"/>
      <c r="E1052" s="108"/>
      <c r="F1052" s="108"/>
      <c r="G1052" s="108"/>
      <c r="H1052" s="108"/>
      <c r="I1052" s="108"/>
      <c r="J1052" s="108"/>
      <c r="K1052" s="108"/>
      <c r="L1052" s="108"/>
      <c r="M1052" s="108"/>
      <c r="N1052" s="108"/>
      <c r="O1052" s="108"/>
      <c r="P1052" s="108"/>
      <c r="Q1052" s="108"/>
      <c r="R1052" s="108"/>
      <c r="S1052" s="108"/>
      <c r="T1052" s="108"/>
      <c r="U1052" s="108"/>
      <c r="V1052" s="108"/>
      <c r="W1052" s="108"/>
      <c r="X1052" s="108"/>
      <c r="Y1052" s="108"/>
      <c r="Z1052" s="108"/>
    </row>
    <row r="1053" ht="16.5" customHeight="1">
      <c r="A1053" s="108"/>
      <c r="B1053" s="108"/>
      <c r="C1053" s="180"/>
      <c r="D1053" s="108"/>
      <c r="E1053" s="108"/>
      <c r="F1053" s="108"/>
      <c r="G1053" s="108"/>
      <c r="H1053" s="108"/>
      <c r="I1053" s="108"/>
      <c r="J1053" s="108"/>
      <c r="K1053" s="108"/>
      <c r="L1053" s="108"/>
      <c r="M1053" s="108"/>
      <c r="N1053" s="108"/>
      <c r="O1053" s="108"/>
      <c r="P1053" s="108"/>
      <c r="Q1053" s="108"/>
      <c r="R1053" s="108"/>
      <c r="S1053" s="108"/>
      <c r="T1053" s="108"/>
      <c r="U1053" s="108"/>
      <c r="V1053" s="108"/>
      <c r="W1053" s="108"/>
      <c r="X1053" s="108"/>
      <c r="Y1053" s="108"/>
      <c r="Z1053" s="108"/>
    </row>
    <row r="1054" ht="16.5" customHeight="1">
      <c r="A1054" s="180" t="s">
        <v>1896</v>
      </c>
      <c r="B1054" s="180">
        <v>1.0</v>
      </c>
      <c r="C1054" s="253" t="s">
        <v>1703</v>
      </c>
      <c r="D1054" s="108"/>
      <c r="E1054" s="108"/>
      <c r="F1054" s="108"/>
      <c r="G1054" s="108"/>
      <c r="H1054" s="108"/>
      <c r="I1054" s="108"/>
      <c r="J1054" s="108"/>
      <c r="K1054" s="108"/>
      <c r="L1054" s="108"/>
      <c r="M1054" s="108"/>
      <c r="N1054" s="108"/>
      <c r="O1054" s="108"/>
      <c r="P1054" s="108"/>
      <c r="Q1054" s="108"/>
      <c r="R1054" s="108"/>
      <c r="S1054" s="108"/>
      <c r="T1054" s="108"/>
      <c r="U1054" s="108"/>
      <c r="V1054" s="108"/>
      <c r="W1054" s="108"/>
      <c r="X1054" s="108"/>
      <c r="Y1054" s="108"/>
      <c r="Z1054" s="108"/>
    </row>
    <row r="1055" ht="16.5" customHeight="1">
      <c r="A1055" s="180" t="s">
        <v>1896</v>
      </c>
      <c r="B1055" s="180">
        <v>2.0</v>
      </c>
      <c r="C1055" s="180" t="s">
        <v>1704</v>
      </c>
      <c r="D1055" s="108"/>
      <c r="E1055" s="108"/>
      <c r="F1055" s="108"/>
      <c r="G1055" s="108"/>
      <c r="H1055" s="108"/>
      <c r="I1055" s="108"/>
      <c r="J1055" s="108"/>
      <c r="K1055" s="108"/>
      <c r="L1055" s="108"/>
      <c r="M1055" s="108"/>
      <c r="N1055" s="108"/>
      <c r="O1055" s="108"/>
      <c r="P1055" s="108"/>
      <c r="Q1055" s="108"/>
      <c r="R1055" s="108"/>
      <c r="S1055" s="108"/>
      <c r="T1055" s="108"/>
      <c r="U1055" s="108"/>
      <c r="V1055" s="108"/>
      <c r="W1055" s="108"/>
      <c r="X1055" s="108"/>
      <c r="Y1055" s="108"/>
      <c r="Z1055" s="108"/>
    </row>
    <row r="1056" ht="16.5" customHeight="1">
      <c r="A1056" s="180" t="s">
        <v>1896</v>
      </c>
      <c r="B1056" s="180">
        <v>3.0</v>
      </c>
      <c r="C1056" s="180" t="s">
        <v>1705</v>
      </c>
      <c r="D1056" s="108"/>
      <c r="E1056" s="108"/>
      <c r="F1056" s="108"/>
      <c r="G1056" s="108"/>
      <c r="H1056" s="108"/>
      <c r="I1056" s="108"/>
      <c r="J1056" s="108"/>
      <c r="K1056" s="108"/>
      <c r="L1056" s="108"/>
      <c r="M1056" s="108"/>
      <c r="N1056" s="108"/>
      <c r="O1056" s="108"/>
      <c r="P1056" s="108"/>
      <c r="Q1056" s="108"/>
      <c r="R1056" s="108"/>
      <c r="S1056" s="108"/>
      <c r="T1056" s="108"/>
      <c r="U1056" s="108"/>
      <c r="V1056" s="108"/>
      <c r="W1056" s="108"/>
      <c r="X1056" s="108"/>
      <c r="Y1056" s="108"/>
      <c r="Z1056" s="108"/>
    </row>
    <row r="1057" ht="16.5" customHeight="1">
      <c r="A1057" s="180" t="s">
        <v>1896</v>
      </c>
      <c r="B1057" s="180">
        <v>77.0</v>
      </c>
      <c r="C1057" s="180" t="s">
        <v>1247</v>
      </c>
      <c r="D1057" s="108"/>
      <c r="E1057" s="108"/>
      <c r="F1057" s="108"/>
      <c r="G1057" s="108"/>
      <c r="H1057" s="108"/>
      <c r="I1057" s="108"/>
      <c r="J1057" s="108"/>
      <c r="K1057" s="108"/>
      <c r="L1057" s="108"/>
      <c r="M1057" s="108"/>
      <c r="N1057" s="108"/>
      <c r="O1057" s="108"/>
      <c r="P1057" s="108"/>
      <c r="Q1057" s="108"/>
      <c r="R1057" s="108"/>
      <c r="S1057" s="108"/>
      <c r="T1057" s="108"/>
      <c r="U1057" s="108"/>
      <c r="V1057" s="108"/>
      <c r="W1057" s="108"/>
      <c r="X1057" s="108"/>
      <c r="Y1057" s="108"/>
      <c r="Z1057" s="108"/>
    </row>
    <row r="1058" ht="16.5" customHeight="1">
      <c r="A1058" s="180" t="s">
        <v>1896</v>
      </c>
      <c r="B1058" s="180">
        <v>9999.0</v>
      </c>
      <c r="C1058" s="180" t="s">
        <v>1215</v>
      </c>
      <c r="D1058" s="108"/>
      <c r="E1058" s="108"/>
      <c r="F1058" s="108"/>
      <c r="G1058" s="108"/>
      <c r="H1058" s="108"/>
      <c r="I1058" s="108"/>
      <c r="J1058" s="108"/>
      <c r="K1058" s="108"/>
      <c r="L1058" s="108"/>
      <c r="M1058" s="108"/>
      <c r="N1058" s="108"/>
      <c r="O1058" s="108"/>
      <c r="P1058" s="108"/>
      <c r="Q1058" s="108"/>
      <c r="R1058" s="108"/>
      <c r="S1058" s="108"/>
      <c r="T1058" s="108"/>
      <c r="U1058" s="108"/>
      <c r="V1058" s="108"/>
      <c r="W1058" s="108"/>
      <c r="X1058" s="108"/>
      <c r="Y1058" s="108"/>
      <c r="Z1058" s="108"/>
    </row>
    <row r="1059" ht="16.5" customHeight="1">
      <c r="A1059" s="108"/>
      <c r="B1059" s="108"/>
      <c r="C1059" s="180"/>
      <c r="D1059" s="108"/>
      <c r="E1059" s="108"/>
      <c r="F1059" s="108"/>
      <c r="G1059" s="108"/>
      <c r="H1059" s="108"/>
      <c r="I1059" s="108"/>
      <c r="J1059" s="108"/>
      <c r="K1059" s="108"/>
      <c r="L1059" s="108"/>
      <c r="M1059" s="108"/>
      <c r="N1059" s="108"/>
      <c r="O1059" s="108"/>
      <c r="P1059" s="108"/>
      <c r="Q1059" s="108"/>
      <c r="R1059" s="108"/>
      <c r="S1059" s="108"/>
      <c r="T1059" s="108"/>
      <c r="U1059" s="108"/>
      <c r="V1059" s="108"/>
      <c r="W1059" s="108"/>
      <c r="X1059" s="108"/>
      <c r="Y1059" s="108"/>
      <c r="Z1059" s="108"/>
    </row>
    <row r="1060" ht="16.5" customHeight="1">
      <c r="A1060" s="180" t="s">
        <v>1897</v>
      </c>
      <c r="B1060" s="180">
        <v>1.0</v>
      </c>
      <c r="C1060" s="253" t="s">
        <v>1898</v>
      </c>
      <c r="D1060" s="108"/>
      <c r="E1060" s="108"/>
      <c r="F1060" s="108"/>
      <c r="G1060" s="108"/>
      <c r="H1060" s="108"/>
      <c r="I1060" s="108"/>
      <c r="J1060" s="108"/>
      <c r="K1060" s="108"/>
      <c r="L1060" s="108"/>
      <c r="M1060" s="108"/>
      <c r="N1060" s="108"/>
      <c r="O1060" s="108"/>
      <c r="P1060" s="108"/>
      <c r="Q1060" s="108"/>
      <c r="R1060" s="108"/>
      <c r="S1060" s="108"/>
      <c r="T1060" s="108"/>
      <c r="U1060" s="108"/>
      <c r="V1060" s="108"/>
      <c r="W1060" s="108"/>
      <c r="X1060" s="108"/>
      <c r="Y1060" s="108"/>
      <c r="Z1060" s="108"/>
    </row>
    <row r="1061" ht="16.5" customHeight="1">
      <c r="A1061" s="180" t="s">
        <v>1897</v>
      </c>
      <c r="B1061" s="180">
        <v>2.0</v>
      </c>
      <c r="C1061" s="180" t="s">
        <v>1899</v>
      </c>
      <c r="D1061" s="108"/>
      <c r="E1061" s="108"/>
      <c r="F1061" s="108"/>
      <c r="G1061" s="108"/>
      <c r="H1061" s="108"/>
      <c r="I1061" s="108"/>
      <c r="J1061" s="108"/>
      <c r="K1061" s="108"/>
      <c r="L1061" s="108"/>
      <c r="M1061" s="108"/>
      <c r="N1061" s="108"/>
      <c r="O1061" s="108"/>
      <c r="P1061" s="108"/>
      <c r="Q1061" s="108"/>
      <c r="R1061" s="108"/>
      <c r="S1061" s="108"/>
      <c r="T1061" s="108"/>
      <c r="U1061" s="108"/>
      <c r="V1061" s="108"/>
      <c r="W1061" s="108"/>
      <c r="X1061" s="108"/>
      <c r="Y1061" s="108"/>
      <c r="Z1061" s="108"/>
    </row>
    <row r="1062" ht="16.5" customHeight="1">
      <c r="A1062" s="180" t="s">
        <v>1897</v>
      </c>
      <c r="B1062" s="180">
        <v>3.0</v>
      </c>
      <c r="C1062" s="180" t="s">
        <v>1900</v>
      </c>
      <c r="D1062" s="108"/>
      <c r="E1062" s="108"/>
      <c r="F1062" s="108"/>
      <c r="G1062" s="108"/>
      <c r="H1062" s="108"/>
      <c r="I1062" s="108"/>
      <c r="J1062" s="108"/>
      <c r="K1062" s="108"/>
      <c r="L1062" s="108"/>
      <c r="M1062" s="108"/>
      <c r="N1062" s="108"/>
      <c r="O1062" s="108"/>
      <c r="P1062" s="108"/>
      <c r="Q1062" s="108"/>
      <c r="R1062" s="108"/>
      <c r="S1062" s="108"/>
      <c r="T1062" s="108"/>
      <c r="U1062" s="108"/>
      <c r="V1062" s="108"/>
      <c r="W1062" s="108"/>
      <c r="X1062" s="108"/>
      <c r="Y1062" s="108"/>
      <c r="Z1062" s="108"/>
    </row>
    <row r="1063" ht="16.5" customHeight="1">
      <c r="A1063" s="180" t="s">
        <v>1897</v>
      </c>
      <c r="B1063" s="180">
        <v>4.0</v>
      </c>
      <c r="C1063" s="180" t="s">
        <v>1901</v>
      </c>
      <c r="D1063" s="108"/>
      <c r="E1063" s="108"/>
      <c r="F1063" s="108"/>
      <c r="G1063" s="108"/>
      <c r="H1063" s="108"/>
      <c r="I1063" s="108"/>
      <c r="J1063" s="108"/>
      <c r="K1063" s="108"/>
      <c r="L1063" s="108"/>
      <c r="M1063" s="108"/>
      <c r="N1063" s="108"/>
      <c r="O1063" s="108"/>
      <c r="P1063" s="108"/>
      <c r="Q1063" s="108"/>
      <c r="R1063" s="108"/>
      <c r="S1063" s="108"/>
      <c r="T1063" s="108"/>
      <c r="U1063" s="108"/>
      <c r="V1063" s="108"/>
      <c r="W1063" s="108"/>
      <c r="X1063" s="108"/>
      <c r="Y1063" s="108"/>
      <c r="Z1063" s="108"/>
    </row>
    <row r="1064" ht="16.5" customHeight="1">
      <c r="A1064" s="180" t="s">
        <v>1897</v>
      </c>
      <c r="B1064" s="180">
        <v>9999.0</v>
      </c>
      <c r="C1064" s="180" t="s">
        <v>1215</v>
      </c>
      <c r="D1064" s="108"/>
      <c r="E1064" s="108"/>
      <c r="F1064" s="108"/>
      <c r="G1064" s="108"/>
      <c r="H1064" s="108"/>
      <c r="I1064" s="108"/>
      <c r="J1064" s="108"/>
      <c r="K1064" s="108"/>
      <c r="L1064" s="108"/>
      <c r="M1064" s="108"/>
      <c r="N1064" s="108"/>
      <c r="O1064" s="108"/>
      <c r="P1064" s="108"/>
      <c r="Q1064" s="108"/>
      <c r="R1064" s="108"/>
      <c r="S1064" s="108"/>
      <c r="T1064" s="108"/>
      <c r="U1064" s="108"/>
      <c r="V1064" s="108"/>
      <c r="W1064" s="108"/>
      <c r="X1064" s="108"/>
      <c r="Y1064" s="108"/>
      <c r="Z1064" s="108"/>
    </row>
    <row r="1065" ht="16.5" customHeight="1">
      <c r="A1065" s="180" t="s">
        <v>1897</v>
      </c>
      <c r="B1065" s="180">
        <v>9998.0</v>
      </c>
      <c r="C1065" s="180" t="s">
        <v>1216</v>
      </c>
      <c r="D1065" s="108"/>
      <c r="E1065" s="108"/>
      <c r="F1065" s="108"/>
      <c r="G1065" s="108"/>
      <c r="H1065" s="108"/>
      <c r="I1065" s="108"/>
      <c r="J1065" s="108"/>
      <c r="K1065" s="108"/>
      <c r="L1065" s="108"/>
      <c r="M1065" s="108"/>
      <c r="N1065" s="108"/>
      <c r="O1065" s="108"/>
      <c r="P1065" s="108"/>
      <c r="Q1065" s="108"/>
      <c r="R1065" s="108"/>
      <c r="S1065" s="108"/>
      <c r="T1065" s="108"/>
      <c r="U1065" s="108"/>
      <c r="V1065" s="108"/>
      <c r="W1065" s="108"/>
      <c r="X1065" s="108"/>
      <c r="Y1065" s="108"/>
      <c r="Z1065" s="108"/>
    </row>
    <row r="1066" ht="16.5" customHeight="1">
      <c r="A1066" s="108"/>
      <c r="B1066" s="108"/>
      <c r="C1066" s="180"/>
      <c r="D1066" s="108"/>
      <c r="E1066" s="108"/>
      <c r="F1066" s="108"/>
      <c r="G1066" s="108"/>
      <c r="H1066" s="108"/>
      <c r="I1066" s="108"/>
      <c r="J1066" s="108"/>
      <c r="K1066" s="108"/>
      <c r="L1066" s="108"/>
      <c r="M1066" s="108"/>
      <c r="N1066" s="108"/>
      <c r="O1066" s="108"/>
      <c r="P1066" s="108"/>
      <c r="Q1066" s="108"/>
      <c r="R1066" s="108"/>
      <c r="S1066" s="108"/>
      <c r="T1066" s="108"/>
      <c r="U1066" s="108"/>
      <c r="V1066" s="108"/>
      <c r="W1066" s="108"/>
      <c r="X1066" s="108"/>
      <c r="Y1066" s="108"/>
      <c r="Z1066" s="108"/>
    </row>
    <row r="1067" ht="16.5" customHeight="1">
      <c r="A1067" s="180" t="s">
        <v>1706</v>
      </c>
      <c r="B1067" s="180">
        <v>1.0</v>
      </c>
      <c r="C1067" s="180" t="s">
        <v>1902</v>
      </c>
      <c r="D1067" s="108"/>
      <c r="E1067" s="108"/>
      <c r="F1067" s="108"/>
      <c r="G1067" s="108"/>
      <c r="H1067" s="108"/>
      <c r="I1067" s="108"/>
      <c r="J1067" s="108"/>
      <c r="K1067" s="108"/>
      <c r="L1067" s="108"/>
      <c r="M1067" s="108"/>
      <c r="N1067" s="108"/>
      <c r="O1067" s="108"/>
      <c r="P1067" s="108"/>
      <c r="Q1067" s="108"/>
      <c r="R1067" s="108"/>
      <c r="S1067" s="108"/>
      <c r="T1067" s="108"/>
      <c r="U1067" s="108"/>
      <c r="V1067" s="108"/>
      <c r="W1067" s="108"/>
      <c r="X1067" s="108"/>
      <c r="Y1067" s="108"/>
      <c r="Z1067" s="108"/>
    </row>
    <row r="1068" ht="16.5" customHeight="1">
      <c r="A1068" s="180" t="s">
        <v>1706</v>
      </c>
      <c r="B1068" s="180">
        <v>2.0</v>
      </c>
      <c r="C1068" s="180" t="s">
        <v>1903</v>
      </c>
      <c r="D1068" s="108"/>
      <c r="E1068" s="108"/>
      <c r="F1068" s="108"/>
      <c r="G1068" s="108"/>
      <c r="H1068" s="108"/>
      <c r="I1068" s="108"/>
      <c r="J1068" s="108"/>
      <c r="K1068" s="108"/>
      <c r="L1068" s="108"/>
      <c r="M1068" s="108"/>
      <c r="N1068" s="108"/>
      <c r="O1068" s="108"/>
      <c r="P1068" s="108"/>
      <c r="Q1068" s="108"/>
      <c r="R1068" s="108"/>
      <c r="S1068" s="108"/>
      <c r="T1068" s="108"/>
      <c r="U1068" s="108"/>
      <c r="V1068" s="108"/>
      <c r="W1068" s="108"/>
      <c r="X1068" s="108"/>
      <c r="Y1068" s="108"/>
      <c r="Z1068" s="108"/>
    </row>
    <row r="1069" ht="16.5" customHeight="1">
      <c r="A1069" s="180" t="s">
        <v>1706</v>
      </c>
      <c r="B1069" s="180">
        <v>3.0</v>
      </c>
      <c r="C1069" s="180" t="s">
        <v>1904</v>
      </c>
      <c r="D1069" s="108"/>
      <c r="E1069" s="108"/>
      <c r="F1069" s="108"/>
      <c r="G1069" s="108"/>
      <c r="H1069" s="108"/>
      <c r="I1069" s="108"/>
      <c r="J1069" s="108"/>
      <c r="K1069" s="108"/>
      <c r="L1069" s="108"/>
      <c r="M1069" s="108"/>
      <c r="N1069" s="108"/>
      <c r="O1069" s="108"/>
      <c r="P1069" s="108"/>
      <c r="Q1069" s="108"/>
      <c r="R1069" s="108"/>
      <c r="S1069" s="108"/>
      <c r="T1069" s="108"/>
      <c r="U1069" s="108"/>
      <c r="V1069" s="108"/>
      <c r="W1069" s="108"/>
      <c r="X1069" s="108"/>
      <c r="Y1069" s="108"/>
      <c r="Z1069" s="108"/>
    </row>
    <row r="1070" ht="16.5" customHeight="1">
      <c r="A1070" s="108"/>
      <c r="B1070" s="108"/>
      <c r="C1070" s="180"/>
      <c r="D1070" s="108"/>
      <c r="E1070" s="108"/>
      <c r="F1070" s="108"/>
      <c r="G1070" s="108"/>
      <c r="H1070" s="108"/>
      <c r="I1070" s="108"/>
      <c r="J1070" s="108"/>
      <c r="K1070" s="108"/>
      <c r="L1070" s="108"/>
      <c r="M1070" s="108"/>
      <c r="N1070" s="108"/>
      <c r="O1070" s="108"/>
      <c r="P1070" s="108"/>
      <c r="Q1070" s="108"/>
      <c r="R1070" s="108"/>
      <c r="S1070" s="108"/>
      <c r="T1070" s="108"/>
      <c r="U1070" s="108"/>
      <c r="V1070" s="108"/>
      <c r="W1070" s="108"/>
      <c r="X1070" s="108"/>
      <c r="Y1070" s="108"/>
      <c r="Z1070" s="108"/>
    </row>
    <row r="1071" ht="16.5" customHeight="1">
      <c r="A1071" s="180" t="s">
        <v>1905</v>
      </c>
      <c r="B1071" s="180">
        <v>1.0</v>
      </c>
      <c r="C1071" s="180" t="s">
        <v>1906</v>
      </c>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row>
    <row r="1072" ht="16.5" customHeight="1">
      <c r="A1072" s="180" t="s">
        <v>1905</v>
      </c>
      <c r="B1072" s="180">
        <v>2.0</v>
      </c>
      <c r="C1072" s="180" t="s">
        <v>1907</v>
      </c>
      <c r="D1072" s="108"/>
      <c r="E1072" s="108"/>
      <c r="F1072" s="108"/>
      <c r="G1072" s="108"/>
      <c r="H1072" s="108"/>
      <c r="I1072" s="108"/>
      <c r="J1072" s="108"/>
      <c r="K1072" s="108"/>
      <c r="L1072" s="108"/>
      <c r="M1072" s="108"/>
      <c r="N1072" s="108"/>
      <c r="O1072" s="108"/>
      <c r="P1072" s="108"/>
      <c r="Q1072" s="108"/>
      <c r="R1072" s="108"/>
      <c r="S1072" s="108"/>
      <c r="T1072" s="108"/>
      <c r="U1072" s="108"/>
      <c r="V1072" s="108"/>
      <c r="W1072" s="108"/>
      <c r="X1072" s="108"/>
      <c r="Y1072" s="108"/>
      <c r="Z1072" s="108"/>
    </row>
    <row r="1073" ht="16.5" customHeight="1">
      <c r="A1073" s="180" t="s">
        <v>1905</v>
      </c>
      <c r="B1073" s="180">
        <v>3.0</v>
      </c>
      <c r="C1073" s="180" t="s">
        <v>1908</v>
      </c>
      <c r="D1073" s="108"/>
      <c r="E1073" s="108"/>
      <c r="F1073" s="108"/>
      <c r="G1073" s="108"/>
      <c r="H1073" s="108"/>
      <c r="I1073" s="108"/>
      <c r="J1073" s="108"/>
      <c r="K1073" s="108"/>
      <c r="L1073" s="108"/>
      <c r="M1073" s="108"/>
      <c r="N1073" s="108"/>
      <c r="O1073" s="108"/>
      <c r="P1073" s="108"/>
      <c r="Q1073" s="108"/>
      <c r="R1073" s="108"/>
      <c r="S1073" s="108"/>
      <c r="T1073" s="108"/>
      <c r="U1073" s="108"/>
      <c r="V1073" s="108"/>
      <c r="W1073" s="108"/>
      <c r="X1073" s="108"/>
      <c r="Y1073" s="108"/>
      <c r="Z1073" s="108"/>
    </row>
    <row r="1074" ht="16.5" customHeight="1">
      <c r="A1074" s="180" t="s">
        <v>1905</v>
      </c>
      <c r="B1074" s="180">
        <v>4.0</v>
      </c>
      <c r="C1074" s="180" t="s">
        <v>1909</v>
      </c>
      <c r="D1074" s="108"/>
      <c r="E1074" s="108"/>
      <c r="F1074" s="108"/>
      <c r="G1074" s="108"/>
      <c r="H1074" s="108"/>
      <c r="I1074" s="108"/>
      <c r="J1074" s="108"/>
      <c r="K1074" s="108"/>
      <c r="L1074" s="108"/>
      <c r="M1074" s="108"/>
      <c r="N1074" s="108"/>
      <c r="O1074" s="108"/>
      <c r="P1074" s="108"/>
      <c r="Q1074" s="108"/>
      <c r="R1074" s="108"/>
      <c r="S1074" s="108"/>
      <c r="T1074" s="108"/>
      <c r="U1074" s="108"/>
      <c r="V1074" s="108"/>
      <c r="W1074" s="108"/>
      <c r="X1074" s="108"/>
      <c r="Y1074" s="108"/>
      <c r="Z1074" s="108"/>
    </row>
    <row r="1075" ht="16.5" customHeight="1">
      <c r="A1075" s="180" t="s">
        <v>1905</v>
      </c>
      <c r="B1075" s="180">
        <v>5.0</v>
      </c>
      <c r="C1075" s="180" t="s">
        <v>1910</v>
      </c>
      <c r="D1075" s="108"/>
      <c r="E1075" s="108"/>
      <c r="F1075" s="108"/>
      <c r="G1075" s="108"/>
      <c r="H1075" s="108"/>
      <c r="I1075" s="108"/>
      <c r="J1075" s="108"/>
      <c r="K1075" s="108"/>
      <c r="L1075" s="108"/>
      <c r="M1075" s="108"/>
      <c r="N1075" s="108"/>
      <c r="O1075" s="108"/>
      <c r="P1075" s="108"/>
      <c r="Q1075" s="108"/>
      <c r="R1075" s="108"/>
      <c r="S1075" s="108"/>
      <c r="T1075" s="108"/>
      <c r="U1075" s="108"/>
      <c r="V1075" s="108"/>
      <c r="W1075" s="108"/>
      <c r="X1075" s="108"/>
      <c r="Y1075" s="108"/>
      <c r="Z1075" s="108"/>
    </row>
    <row r="1076" ht="16.5" customHeight="1">
      <c r="A1076" s="180" t="s">
        <v>1905</v>
      </c>
      <c r="B1076" s="180">
        <v>6.0</v>
      </c>
      <c r="C1076" s="180" t="s">
        <v>1911</v>
      </c>
      <c r="D1076" s="108"/>
      <c r="E1076" s="108"/>
      <c r="F1076" s="108"/>
      <c r="G1076" s="108"/>
      <c r="H1076" s="108"/>
      <c r="I1076" s="108"/>
      <c r="J1076" s="108"/>
      <c r="K1076" s="108"/>
      <c r="L1076" s="108"/>
      <c r="M1076" s="108"/>
      <c r="N1076" s="108"/>
      <c r="O1076" s="108"/>
      <c r="P1076" s="108"/>
      <c r="Q1076" s="108"/>
      <c r="R1076" s="108"/>
      <c r="S1076" s="108"/>
      <c r="T1076" s="108"/>
      <c r="U1076" s="108"/>
      <c r="V1076" s="108"/>
      <c r="W1076" s="108"/>
      <c r="X1076" s="108"/>
      <c r="Y1076" s="108"/>
      <c r="Z1076" s="108"/>
    </row>
    <row r="1077" ht="16.5" customHeight="1">
      <c r="A1077" s="180" t="s">
        <v>1905</v>
      </c>
      <c r="B1077" s="180">
        <v>7.0</v>
      </c>
      <c r="C1077" s="180" t="s">
        <v>1912</v>
      </c>
      <c r="D1077" s="108"/>
      <c r="E1077" s="108"/>
      <c r="F1077" s="108"/>
      <c r="G1077" s="108"/>
      <c r="H1077" s="108"/>
      <c r="I1077" s="108"/>
      <c r="J1077" s="108"/>
      <c r="K1077" s="108"/>
      <c r="L1077" s="108"/>
      <c r="M1077" s="108"/>
      <c r="N1077" s="108"/>
      <c r="O1077" s="108"/>
      <c r="P1077" s="108"/>
      <c r="Q1077" s="108"/>
      <c r="R1077" s="108"/>
      <c r="S1077" s="108"/>
      <c r="T1077" s="108"/>
      <c r="U1077" s="108"/>
      <c r="V1077" s="108"/>
      <c r="W1077" s="108"/>
      <c r="X1077" s="108"/>
      <c r="Y1077" s="108"/>
      <c r="Z1077" s="108"/>
    </row>
    <row r="1078" ht="16.5" customHeight="1">
      <c r="A1078" s="180" t="s">
        <v>1905</v>
      </c>
      <c r="B1078" s="180">
        <v>8.0</v>
      </c>
      <c r="C1078" s="180" t="s">
        <v>1913</v>
      </c>
      <c r="D1078" s="108"/>
      <c r="E1078" s="108"/>
      <c r="F1078" s="108"/>
      <c r="G1078" s="108"/>
      <c r="H1078" s="108"/>
      <c r="I1078" s="108"/>
      <c r="J1078" s="108"/>
      <c r="K1078" s="108"/>
      <c r="L1078" s="108"/>
      <c r="M1078" s="108"/>
      <c r="N1078" s="108"/>
      <c r="O1078" s="108"/>
      <c r="P1078" s="108"/>
      <c r="Q1078" s="108"/>
      <c r="R1078" s="108"/>
      <c r="S1078" s="108"/>
      <c r="T1078" s="108"/>
      <c r="U1078" s="108"/>
      <c r="V1078" s="108"/>
      <c r="W1078" s="108"/>
      <c r="X1078" s="108"/>
      <c r="Y1078" s="108"/>
      <c r="Z1078" s="108"/>
    </row>
    <row r="1079" ht="16.5" customHeight="1">
      <c r="A1079" s="180" t="s">
        <v>1905</v>
      </c>
      <c r="B1079" s="180">
        <v>9.0</v>
      </c>
      <c r="C1079" s="180" t="s">
        <v>1914</v>
      </c>
      <c r="D1079" s="108"/>
      <c r="E1079" s="108"/>
      <c r="F1079" s="108"/>
      <c r="G1079" s="108"/>
      <c r="H1079" s="108"/>
      <c r="I1079" s="108"/>
      <c r="J1079" s="108"/>
      <c r="K1079" s="108"/>
      <c r="L1079" s="108"/>
      <c r="M1079" s="108"/>
      <c r="N1079" s="108"/>
      <c r="O1079" s="108"/>
      <c r="P1079" s="108"/>
      <c r="Q1079" s="108"/>
      <c r="R1079" s="108"/>
      <c r="S1079" s="108"/>
      <c r="T1079" s="108"/>
      <c r="U1079" s="108"/>
      <c r="V1079" s="108"/>
      <c r="W1079" s="108"/>
      <c r="X1079" s="108"/>
      <c r="Y1079" s="108"/>
      <c r="Z1079" s="108"/>
    </row>
    <row r="1080" ht="16.5" customHeight="1">
      <c r="A1080" s="108"/>
      <c r="B1080" s="108"/>
      <c r="C1080" s="180"/>
      <c r="D1080" s="108"/>
      <c r="E1080" s="108"/>
      <c r="F1080" s="108"/>
      <c r="G1080" s="108"/>
      <c r="H1080" s="108"/>
      <c r="I1080" s="108"/>
      <c r="J1080" s="108"/>
      <c r="K1080" s="108"/>
      <c r="L1080" s="108"/>
      <c r="M1080" s="108"/>
      <c r="N1080" s="108"/>
      <c r="O1080" s="108"/>
      <c r="P1080" s="108"/>
      <c r="Q1080" s="108"/>
      <c r="R1080" s="108"/>
      <c r="S1080" s="108"/>
      <c r="T1080" s="108"/>
      <c r="U1080" s="108"/>
      <c r="V1080" s="108"/>
      <c r="W1080" s="108"/>
      <c r="X1080" s="108"/>
      <c r="Y1080" s="108"/>
      <c r="Z1080" s="108"/>
    </row>
    <row r="1081" ht="16.5" customHeight="1">
      <c r="A1081" s="180" t="s">
        <v>1915</v>
      </c>
      <c r="B1081" s="180">
        <v>1.0</v>
      </c>
      <c r="C1081" s="180" t="s">
        <v>1703</v>
      </c>
      <c r="D1081" s="108"/>
      <c r="E1081" s="108"/>
      <c r="F1081" s="108"/>
      <c r="G1081" s="108"/>
      <c r="H1081" s="108"/>
      <c r="I1081" s="108"/>
      <c r="J1081" s="108"/>
      <c r="K1081" s="108"/>
      <c r="L1081" s="108"/>
      <c r="M1081" s="108"/>
      <c r="N1081" s="108"/>
      <c r="O1081" s="108"/>
      <c r="P1081" s="108"/>
      <c r="Q1081" s="108"/>
      <c r="R1081" s="108"/>
      <c r="S1081" s="108"/>
      <c r="T1081" s="108"/>
      <c r="U1081" s="108"/>
      <c r="V1081" s="108"/>
      <c r="W1081" s="108"/>
      <c r="X1081" s="108"/>
      <c r="Y1081" s="108"/>
      <c r="Z1081" s="108"/>
    </row>
    <row r="1082" ht="16.5" customHeight="1">
      <c r="A1082" s="180" t="s">
        <v>1915</v>
      </c>
      <c r="B1082" s="180">
        <v>2.0</v>
      </c>
      <c r="C1082" s="180" t="s">
        <v>1704</v>
      </c>
      <c r="D1082" s="108"/>
      <c r="E1082" s="108"/>
      <c r="F1082" s="108"/>
      <c r="G1082" s="108"/>
      <c r="H1082" s="108"/>
      <c r="I1082" s="108"/>
      <c r="J1082" s="108"/>
      <c r="K1082" s="108"/>
      <c r="L1082" s="108"/>
      <c r="M1082" s="108"/>
      <c r="N1082" s="108"/>
      <c r="O1082" s="108"/>
      <c r="P1082" s="108"/>
      <c r="Q1082" s="108"/>
      <c r="R1082" s="108"/>
      <c r="S1082" s="108"/>
      <c r="T1082" s="108"/>
      <c r="U1082" s="108"/>
      <c r="V1082" s="108"/>
      <c r="W1082" s="108"/>
      <c r="X1082" s="108"/>
      <c r="Y1082" s="108"/>
      <c r="Z1082" s="108"/>
    </row>
    <row r="1083" ht="16.5" customHeight="1">
      <c r="A1083" s="180" t="s">
        <v>1915</v>
      </c>
      <c r="B1083" s="180">
        <v>3.0</v>
      </c>
      <c r="C1083" s="180" t="s">
        <v>1705</v>
      </c>
      <c r="D1083" s="108"/>
      <c r="E1083" s="108"/>
      <c r="F1083" s="108"/>
      <c r="G1083" s="108"/>
      <c r="H1083" s="108"/>
      <c r="I1083" s="108"/>
      <c r="J1083" s="108"/>
      <c r="K1083" s="108"/>
      <c r="L1083" s="108"/>
      <c r="M1083" s="108"/>
      <c r="N1083" s="108"/>
      <c r="O1083" s="108"/>
      <c r="P1083" s="108"/>
      <c r="Q1083" s="108"/>
      <c r="R1083" s="108"/>
      <c r="S1083" s="108"/>
      <c r="T1083" s="108"/>
      <c r="U1083" s="108"/>
      <c r="V1083" s="108"/>
      <c r="W1083" s="108"/>
      <c r="X1083" s="108"/>
      <c r="Y1083" s="108"/>
      <c r="Z1083" s="108"/>
    </row>
    <row r="1084" ht="16.5" customHeight="1">
      <c r="A1084" s="180" t="s">
        <v>1915</v>
      </c>
      <c r="B1084" s="180">
        <v>77.0</v>
      </c>
      <c r="C1084" s="180" t="s">
        <v>1247</v>
      </c>
      <c r="D1084" s="108"/>
      <c r="E1084" s="108"/>
      <c r="F1084" s="108"/>
      <c r="G1084" s="108"/>
      <c r="H1084" s="108"/>
      <c r="I1084" s="108"/>
      <c r="J1084" s="108"/>
      <c r="K1084" s="108"/>
      <c r="L1084" s="108"/>
      <c r="M1084" s="108"/>
      <c r="N1084" s="108"/>
      <c r="O1084" s="108"/>
      <c r="P1084" s="108"/>
      <c r="Q1084" s="108"/>
      <c r="R1084" s="108"/>
      <c r="S1084" s="108"/>
      <c r="T1084" s="108"/>
      <c r="U1084" s="108"/>
      <c r="V1084" s="108"/>
      <c r="W1084" s="108"/>
      <c r="X1084" s="108"/>
      <c r="Y1084" s="108"/>
      <c r="Z1084" s="108"/>
    </row>
    <row r="1085" ht="16.5" customHeight="1">
      <c r="A1085" s="180" t="s">
        <v>1915</v>
      </c>
      <c r="B1085" s="180">
        <v>9999.0</v>
      </c>
      <c r="C1085" s="180" t="s">
        <v>1215</v>
      </c>
      <c r="D1085" s="108"/>
      <c r="E1085" s="108"/>
      <c r="F1085" s="108"/>
      <c r="G1085" s="108"/>
      <c r="H1085" s="108"/>
      <c r="I1085" s="108"/>
      <c r="J1085" s="108"/>
      <c r="K1085" s="108"/>
      <c r="L1085" s="108"/>
      <c r="M1085" s="108"/>
      <c r="N1085" s="108"/>
      <c r="O1085" s="108"/>
      <c r="P1085" s="108"/>
      <c r="Q1085" s="108"/>
      <c r="R1085" s="108"/>
      <c r="S1085" s="108"/>
      <c r="T1085" s="108"/>
      <c r="U1085" s="108"/>
      <c r="V1085" s="108"/>
      <c r="W1085" s="108"/>
      <c r="X1085" s="108"/>
      <c r="Y1085" s="108"/>
      <c r="Z1085" s="108"/>
    </row>
    <row r="1086" ht="16.5" customHeight="1">
      <c r="A1086" s="108"/>
      <c r="B1086" s="108"/>
      <c r="C1086" s="180"/>
      <c r="D1086" s="108"/>
      <c r="E1086" s="108"/>
      <c r="F1086" s="108"/>
      <c r="G1086" s="108"/>
      <c r="H1086" s="108"/>
      <c r="I1086" s="108"/>
      <c r="J1086" s="108"/>
      <c r="K1086" s="108"/>
      <c r="L1086" s="108"/>
      <c r="M1086" s="108"/>
      <c r="N1086" s="108"/>
      <c r="O1086" s="108"/>
      <c r="P1086" s="108"/>
      <c r="Q1086" s="108"/>
      <c r="R1086" s="108"/>
      <c r="S1086" s="108"/>
      <c r="T1086" s="108"/>
      <c r="U1086" s="108"/>
      <c r="V1086" s="108"/>
      <c r="W1086" s="108"/>
      <c r="X1086" s="108"/>
      <c r="Y1086" s="108"/>
      <c r="Z1086" s="108"/>
    </row>
    <row r="1087" ht="16.5" customHeight="1">
      <c r="A1087" s="108"/>
      <c r="B1087" s="108"/>
      <c r="C1087" s="180"/>
      <c r="D1087" s="108"/>
      <c r="E1087" s="108"/>
      <c r="F1087" s="108"/>
      <c r="G1087" s="108"/>
      <c r="H1087" s="108"/>
      <c r="I1087" s="108"/>
      <c r="J1087" s="108"/>
      <c r="K1087" s="108"/>
      <c r="L1087" s="108"/>
      <c r="M1087" s="108"/>
      <c r="N1087" s="108"/>
      <c r="O1087" s="108"/>
      <c r="P1087" s="108"/>
      <c r="Q1087" s="108"/>
      <c r="R1087" s="108"/>
      <c r="S1087" s="108"/>
      <c r="T1087" s="108"/>
      <c r="U1087" s="108"/>
      <c r="V1087" s="108"/>
      <c r="W1087" s="108"/>
      <c r="X1087" s="108"/>
      <c r="Y1087" s="108"/>
      <c r="Z1087" s="108"/>
    </row>
    <row r="1088" ht="16.5" customHeight="1">
      <c r="A1088" s="180" t="s">
        <v>1916</v>
      </c>
      <c r="B1088" s="180">
        <v>0.0</v>
      </c>
      <c r="C1088" s="180" t="s">
        <v>1917</v>
      </c>
      <c r="D1088" s="108"/>
      <c r="E1088" s="108"/>
      <c r="F1088" s="108"/>
      <c r="G1088" s="108"/>
      <c r="H1088" s="108"/>
      <c r="I1088" s="108"/>
      <c r="J1088" s="108"/>
      <c r="K1088" s="108"/>
      <c r="L1088" s="108"/>
      <c r="M1088" s="108"/>
      <c r="N1088" s="108"/>
      <c r="O1088" s="108"/>
      <c r="P1088" s="108"/>
      <c r="Q1088" s="108"/>
      <c r="R1088" s="108"/>
      <c r="S1088" s="108"/>
      <c r="T1088" s="108"/>
      <c r="U1088" s="108"/>
      <c r="V1088" s="108"/>
      <c r="W1088" s="108"/>
      <c r="X1088" s="108"/>
      <c r="Y1088" s="108"/>
      <c r="Z1088" s="108"/>
    </row>
    <row r="1089" ht="16.5" customHeight="1">
      <c r="A1089" s="180" t="s">
        <v>1916</v>
      </c>
      <c r="B1089" s="180">
        <v>1.0</v>
      </c>
      <c r="C1089" s="254" t="s">
        <v>1918</v>
      </c>
      <c r="D1089" s="108"/>
      <c r="E1089" s="108"/>
      <c r="F1089" s="108"/>
      <c r="G1089" s="108"/>
      <c r="H1089" s="108"/>
      <c r="I1089" s="108"/>
      <c r="J1089" s="108"/>
      <c r="K1089" s="108"/>
      <c r="L1089" s="108"/>
      <c r="M1089" s="108"/>
      <c r="N1089" s="108"/>
      <c r="O1089" s="108"/>
      <c r="P1089" s="108"/>
      <c r="Q1089" s="108"/>
      <c r="R1089" s="108"/>
      <c r="S1089" s="108"/>
      <c r="T1089" s="108"/>
      <c r="U1089" s="108"/>
      <c r="V1089" s="108"/>
      <c r="W1089" s="108"/>
      <c r="X1089" s="108"/>
      <c r="Y1089" s="108"/>
      <c r="Z1089" s="108"/>
    </row>
    <row r="1090" ht="16.5" customHeight="1">
      <c r="A1090" s="180" t="s">
        <v>1916</v>
      </c>
      <c r="B1090" s="180">
        <v>2.0</v>
      </c>
      <c r="C1090" s="254" t="s">
        <v>1919</v>
      </c>
      <c r="D1090" s="108"/>
      <c r="E1090" s="108"/>
      <c r="F1090" s="108"/>
      <c r="G1090" s="108"/>
      <c r="H1090" s="108"/>
      <c r="I1090" s="108"/>
      <c r="J1090" s="108"/>
      <c r="K1090" s="108"/>
      <c r="L1090" s="108"/>
      <c r="M1090" s="108"/>
      <c r="N1090" s="108"/>
      <c r="O1090" s="108"/>
      <c r="P1090" s="108"/>
      <c r="Q1090" s="108"/>
      <c r="R1090" s="108"/>
      <c r="S1090" s="108"/>
      <c r="T1090" s="108"/>
      <c r="U1090" s="108"/>
      <c r="V1090" s="108"/>
      <c r="W1090" s="108"/>
      <c r="X1090" s="108"/>
      <c r="Y1090" s="108"/>
      <c r="Z1090" s="108"/>
    </row>
    <row r="1091" ht="16.5" customHeight="1">
      <c r="A1091" s="180" t="s">
        <v>1916</v>
      </c>
      <c r="B1091" s="180">
        <v>3.0</v>
      </c>
      <c r="C1091" s="254" t="s">
        <v>1919</v>
      </c>
      <c r="D1091" s="108"/>
      <c r="E1091" s="108"/>
      <c r="F1091" s="108"/>
      <c r="G1091" s="108"/>
      <c r="H1091" s="108"/>
      <c r="I1091" s="108"/>
      <c r="J1091" s="108"/>
      <c r="K1091" s="108"/>
      <c r="L1091" s="108"/>
      <c r="M1091" s="108"/>
      <c r="N1091" s="108"/>
      <c r="O1091" s="108"/>
      <c r="P1091" s="108"/>
      <c r="Q1091" s="108"/>
      <c r="R1091" s="108"/>
      <c r="S1091" s="108"/>
      <c r="T1091" s="108"/>
      <c r="U1091" s="108"/>
      <c r="V1091" s="108"/>
      <c r="W1091" s="108"/>
      <c r="X1091" s="108"/>
      <c r="Y1091" s="108"/>
      <c r="Z1091" s="108"/>
    </row>
    <row r="1092" ht="16.5" customHeight="1">
      <c r="A1092" s="108"/>
      <c r="B1092" s="108"/>
      <c r="C1092" s="180"/>
      <c r="D1092" s="108"/>
      <c r="E1092" s="108"/>
      <c r="F1092" s="108"/>
      <c r="G1092" s="108"/>
      <c r="H1092" s="108"/>
      <c r="I1092" s="108"/>
      <c r="J1092" s="108"/>
      <c r="K1092" s="108"/>
      <c r="L1092" s="108"/>
      <c r="M1092" s="108"/>
      <c r="N1092" s="108"/>
      <c r="O1092" s="108"/>
      <c r="P1092" s="108"/>
      <c r="Q1092" s="108"/>
      <c r="R1092" s="108"/>
      <c r="S1092" s="108"/>
      <c r="T1092" s="108"/>
      <c r="U1092" s="108"/>
      <c r="V1092" s="108"/>
      <c r="W1092" s="108"/>
      <c r="X1092" s="108"/>
      <c r="Y1092" s="108"/>
      <c r="Z1092" s="108"/>
    </row>
    <row r="1093" ht="16.5" customHeight="1">
      <c r="A1093" s="180" t="s">
        <v>1920</v>
      </c>
      <c r="B1093" s="180">
        <v>0.0</v>
      </c>
      <c r="C1093" s="180" t="s">
        <v>1917</v>
      </c>
      <c r="D1093" s="108"/>
      <c r="E1093" s="108"/>
      <c r="F1093" s="108"/>
      <c r="G1093" s="108"/>
      <c r="H1093" s="108"/>
      <c r="I1093" s="108"/>
      <c r="J1093" s="108"/>
      <c r="K1093" s="108"/>
      <c r="L1093" s="108"/>
      <c r="M1093" s="108"/>
      <c r="N1093" s="108"/>
      <c r="O1093" s="108"/>
      <c r="P1093" s="108"/>
      <c r="Q1093" s="108"/>
      <c r="R1093" s="108"/>
      <c r="S1093" s="108"/>
      <c r="T1093" s="108"/>
      <c r="U1093" s="108"/>
      <c r="V1093" s="108"/>
      <c r="W1093" s="108"/>
      <c r="X1093" s="108"/>
      <c r="Y1093" s="108"/>
      <c r="Z1093" s="108"/>
    </row>
    <row r="1094" ht="16.5" customHeight="1">
      <c r="A1094" s="180" t="s">
        <v>1920</v>
      </c>
      <c r="B1094" s="180">
        <v>1.0</v>
      </c>
      <c r="C1094" s="254" t="s">
        <v>1918</v>
      </c>
      <c r="D1094" s="108"/>
      <c r="E1094" s="108"/>
      <c r="F1094" s="108"/>
      <c r="G1094" s="108"/>
      <c r="H1094" s="108"/>
      <c r="I1094" s="108"/>
      <c r="J1094" s="108"/>
      <c r="K1094" s="108"/>
      <c r="L1094" s="108"/>
      <c r="M1094" s="108"/>
      <c r="N1094" s="108"/>
      <c r="O1094" s="108"/>
      <c r="P1094" s="108"/>
      <c r="Q1094" s="108"/>
      <c r="R1094" s="108"/>
      <c r="S1094" s="108"/>
      <c r="T1094" s="108"/>
      <c r="U1094" s="108"/>
      <c r="V1094" s="108"/>
      <c r="W1094" s="108"/>
      <c r="X1094" s="108"/>
      <c r="Y1094" s="108"/>
      <c r="Z1094" s="108"/>
    </row>
    <row r="1095" ht="16.5" customHeight="1">
      <c r="A1095" s="180" t="s">
        <v>1920</v>
      </c>
      <c r="B1095" s="180">
        <v>2.0</v>
      </c>
      <c r="C1095" s="254" t="s">
        <v>1919</v>
      </c>
      <c r="D1095" s="108"/>
      <c r="E1095" s="108"/>
      <c r="F1095" s="108"/>
      <c r="G1095" s="108"/>
      <c r="H1095" s="108"/>
      <c r="I1095" s="108"/>
      <c r="J1095" s="108"/>
      <c r="K1095" s="108"/>
      <c r="L1095" s="108"/>
      <c r="M1095" s="108"/>
      <c r="N1095" s="108"/>
      <c r="O1095" s="108"/>
      <c r="P1095" s="108"/>
      <c r="Q1095" s="108"/>
      <c r="R1095" s="108"/>
      <c r="S1095" s="108"/>
      <c r="T1095" s="108"/>
      <c r="U1095" s="108"/>
      <c r="V1095" s="108"/>
      <c r="W1095" s="108"/>
      <c r="X1095" s="108"/>
      <c r="Y1095" s="108"/>
      <c r="Z1095" s="108"/>
    </row>
    <row r="1096" ht="16.5" customHeight="1">
      <c r="A1096" s="180" t="s">
        <v>1920</v>
      </c>
      <c r="B1096" s="180">
        <v>3.0</v>
      </c>
      <c r="C1096" s="254" t="s">
        <v>1919</v>
      </c>
      <c r="D1096" s="108"/>
      <c r="E1096" s="108"/>
      <c r="F1096" s="108"/>
      <c r="G1096" s="108"/>
      <c r="H1096" s="108"/>
      <c r="I1096" s="108"/>
      <c r="J1096" s="108"/>
      <c r="K1096" s="108"/>
      <c r="L1096" s="108"/>
      <c r="M1096" s="108"/>
      <c r="N1096" s="108"/>
      <c r="O1096" s="108"/>
      <c r="P1096" s="108"/>
      <c r="Q1096" s="108"/>
      <c r="R1096" s="108"/>
      <c r="S1096" s="108"/>
      <c r="T1096" s="108"/>
      <c r="U1096" s="108"/>
      <c r="V1096" s="108"/>
      <c r="W1096" s="108"/>
      <c r="X1096" s="108"/>
      <c r="Y1096" s="108"/>
      <c r="Z1096" s="108"/>
    </row>
    <row r="1097" ht="16.5" customHeight="1">
      <c r="A1097" s="108"/>
      <c r="B1097" s="108"/>
      <c r="C1097" s="180"/>
      <c r="D1097" s="108"/>
      <c r="E1097" s="108"/>
      <c r="F1097" s="108"/>
      <c r="G1097" s="108"/>
      <c r="H1097" s="108"/>
      <c r="I1097" s="108"/>
      <c r="J1097" s="108"/>
      <c r="K1097" s="108"/>
      <c r="L1097" s="108"/>
      <c r="M1097" s="108"/>
      <c r="N1097" s="108"/>
      <c r="O1097" s="108"/>
      <c r="P1097" s="108"/>
      <c r="Q1097" s="108"/>
      <c r="R1097" s="108"/>
      <c r="S1097" s="108"/>
      <c r="T1097" s="108"/>
      <c r="U1097" s="108"/>
      <c r="V1097" s="108"/>
      <c r="W1097" s="108"/>
      <c r="X1097" s="108"/>
      <c r="Y1097" s="108"/>
      <c r="Z1097" s="108"/>
    </row>
    <row r="1098" ht="16.5" customHeight="1">
      <c r="A1098" s="180" t="s">
        <v>1921</v>
      </c>
      <c r="B1098" s="180">
        <v>0.0</v>
      </c>
      <c r="C1098" s="180" t="s">
        <v>1917</v>
      </c>
      <c r="D1098" s="108"/>
      <c r="E1098" s="108"/>
      <c r="F1098" s="108"/>
      <c r="G1098" s="108"/>
      <c r="H1098" s="108"/>
      <c r="I1098" s="108"/>
      <c r="J1098" s="108"/>
      <c r="K1098" s="108"/>
      <c r="L1098" s="108"/>
      <c r="M1098" s="108"/>
      <c r="N1098" s="108"/>
      <c r="O1098" s="108"/>
      <c r="P1098" s="108"/>
      <c r="Q1098" s="108"/>
      <c r="R1098" s="108"/>
      <c r="S1098" s="108"/>
      <c r="T1098" s="108"/>
      <c r="U1098" s="108"/>
      <c r="V1098" s="108"/>
      <c r="W1098" s="108"/>
      <c r="X1098" s="108"/>
      <c r="Y1098" s="108"/>
      <c r="Z1098" s="108"/>
    </row>
    <row r="1099" ht="16.5" customHeight="1">
      <c r="A1099" s="180" t="s">
        <v>1921</v>
      </c>
      <c r="B1099" s="180">
        <v>1.0</v>
      </c>
      <c r="C1099" s="254" t="s">
        <v>1918</v>
      </c>
      <c r="D1099" s="108"/>
      <c r="E1099" s="108"/>
      <c r="F1099" s="108"/>
      <c r="G1099" s="108"/>
      <c r="H1099" s="108"/>
      <c r="I1099" s="108"/>
      <c r="J1099" s="108"/>
      <c r="K1099" s="108"/>
      <c r="L1099" s="108"/>
      <c r="M1099" s="108"/>
      <c r="N1099" s="108"/>
      <c r="O1099" s="108"/>
      <c r="P1099" s="108"/>
      <c r="Q1099" s="108"/>
      <c r="R1099" s="108"/>
      <c r="S1099" s="108"/>
      <c r="T1099" s="108"/>
      <c r="U1099" s="108"/>
      <c r="V1099" s="108"/>
      <c r="W1099" s="108"/>
      <c r="X1099" s="108"/>
      <c r="Y1099" s="108"/>
      <c r="Z1099" s="108"/>
    </row>
    <row r="1100" ht="16.5" customHeight="1">
      <c r="A1100" s="180" t="s">
        <v>1921</v>
      </c>
      <c r="B1100" s="180">
        <v>2.0</v>
      </c>
      <c r="C1100" s="254" t="s">
        <v>1919</v>
      </c>
      <c r="D1100" s="108"/>
      <c r="E1100" s="108"/>
      <c r="F1100" s="108"/>
      <c r="G1100" s="108"/>
      <c r="H1100" s="108"/>
      <c r="I1100" s="108"/>
      <c r="J1100" s="108"/>
      <c r="K1100" s="108"/>
      <c r="L1100" s="108"/>
      <c r="M1100" s="108"/>
      <c r="N1100" s="108"/>
      <c r="O1100" s="108"/>
      <c r="P1100" s="108"/>
      <c r="Q1100" s="108"/>
      <c r="R1100" s="108"/>
      <c r="S1100" s="108"/>
      <c r="T1100" s="108"/>
      <c r="U1100" s="108"/>
      <c r="V1100" s="108"/>
      <c r="W1100" s="108"/>
      <c r="X1100" s="108"/>
      <c r="Y1100" s="108"/>
      <c r="Z1100" s="108"/>
    </row>
    <row r="1101" ht="16.5" customHeight="1">
      <c r="A1101" s="180" t="s">
        <v>1921</v>
      </c>
      <c r="B1101" s="180">
        <v>3.0</v>
      </c>
      <c r="C1101" s="254" t="s">
        <v>1919</v>
      </c>
      <c r="D1101" s="108"/>
      <c r="E1101" s="108"/>
      <c r="F1101" s="108"/>
      <c r="G1101" s="108"/>
      <c r="H1101" s="108"/>
      <c r="I1101" s="108"/>
      <c r="J1101" s="108"/>
      <c r="K1101" s="108"/>
      <c r="L1101" s="108"/>
      <c r="M1101" s="108"/>
      <c r="N1101" s="108"/>
      <c r="O1101" s="108"/>
      <c r="P1101" s="108"/>
      <c r="Q1101" s="108"/>
      <c r="R1101" s="108"/>
      <c r="S1101" s="108"/>
      <c r="T1101" s="108"/>
      <c r="U1101" s="108"/>
      <c r="V1101" s="108"/>
      <c r="W1101" s="108"/>
      <c r="X1101" s="108"/>
      <c r="Y1101" s="108"/>
      <c r="Z1101" s="108"/>
    </row>
    <row r="1102" ht="16.5" customHeight="1">
      <c r="A1102" s="108"/>
      <c r="B1102" s="108"/>
      <c r="C1102" s="180"/>
      <c r="D1102" s="108"/>
      <c r="E1102" s="108"/>
      <c r="F1102" s="108"/>
      <c r="G1102" s="108"/>
      <c r="H1102" s="108"/>
      <c r="I1102" s="108"/>
      <c r="J1102" s="108"/>
      <c r="K1102" s="108"/>
      <c r="L1102" s="108"/>
      <c r="M1102" s="108"/>
      <c r="N1102" s="108"/>
      <c r="O1102" s="108"/>
      <c r="P1102" s="108"/>
      <c r="Q1102" s="108"/>
      <c r="R1102" s="108"/>
      <c r="S1102" s="108"/>
      <c r="T1102" s="108"/>
      <c r="U1102" s="108"/>
      <c r="V1102" s="108"/>
      <c r="W1102" s="108"/>
      <c r="X1102" s="108"/>
      <c r="Y1102" s="108"/>
      <c r="Z1102" s="108"/>
    </row>
    <row r="1103" ht="16.5" customHeight="1">
      <c r="A1103" s="180" t="s">
        <v>1922</v>
      </c>
      <c r="B1103" s="180">
        <v>0.0</v>
      </c>
      <c r="C1103" s="180" t="s">
        <v>1917</v>
      </c>
      <c r="D1103" s="108"/>
      <c r="E1103" s="108"/>
      <c r="F1103" s="108"/>
      <c r="G1103" s="108"/>
      <c r="H1103" s="108"/>
      <c r="I1103" s="108"/>
      <c r="J1103" s="108"/>
      <c r="K1103" s="108"/>
      <c r="L1103" s="108"/>
      <c r="M1103" s="108"/>
      <c r="N1103" s="108"/>
      <c r="O1103" s="108"/>
      <c r="P1103" s="108"/>
      <c r="Q1103" s="108"/>
      <c r="R1103" s="108"/>
      <c r="S1103" s="108"/>
      <c r="T1103" s="108"/>
      <c r="U1103" s="108"/>
      <c r="V1103" s="108"/>
      <c r="W1103" s="108"/>
      <c r="X1103" s="108"/>
      <c r="Y1103" s="108"/>
      <c r="Z1103" s="108"/>
    </row>
    <row r="1104" ht="16.5" customHeight="1">
      <c r="A1104" s="180" t="s">
        <v>1922</v>
      </c>
      <c r="B1104" s="180">
        <v>1.0</v>
      </c>
      <c r="C1104" s="254" t="s">
        <v>1918</v>
      </c>
      <c r="D1104" s="108"/>
      <c r="E1104" s="108"/>
      <c r="F1104" s="108"/>
      <c r="G1104" s="108"/>
      <c r="H1104" s="108"/>
      <c r="I1104" s="108"/>
      <c r="J1104" s="108"/>
      <c r="K1104" s="108"/>
      <c r="L1104" s="108"/>
      <c r="M1104" s="108"/>
      <c r="N1104" s="108"/>
      <c r="O1104" s="108"/>
      <c r="P1104" s="108"/>
      <c r="Q1104" s="108"/>
      <c r="R1104" s="108"/>
      <c r="S1104" s="108"/>
      <c r="T1104" s="108"/>
      <c r="U1104" s="108"/>
      <c r="V1104" s="108"/>
      <c r="W1104" s="108"/>
      <c r="X1104" s="108"/>
      <c r="Y1104" s="108"/>
      <c r="Z1104" s="108"/>
    </row>
    <row r="1105" ht="16.5" customHeight="1">
      <c r="A1105" s="180" t="s">
        <v>1922</v>
      </c>
      <c r="B1105" s="180">
        <v>2.0</v>
      </c>
      <c r="C1105" s="254" t="s">
        <v>1919</v>
      </c>
      <c r="D1105" s="108"/>
      <c r="E1105" s="108"/>
      <c r="F1105" s="108"/>
      <c r="G1105" s="108"/>
      <c r="H1105" s="108"/>
      <c r="I1105" s="108"/>
      <c r="J1105" s="108"/>
      <c r="K1105" s="108"/>
      <c r="L1105" s="108"/>
      <c r="M1105" s="108"/>
      <c r="N1105" s="108"/>
      <c r="O1105" s="108"/>
      <c r="P1105" s="108"/>
      <c r="Q1105" s="108"/>
      <c r="R1105" s="108"/>
      <c r="S1105" s="108"/>
      <c r="T1105" s="108"/>
      <c r="U1105" s="108"/>
      <c r="V1105" s="108"/>
      <c r="W1105" s="108"/>
      <c r="X1105" s="108"/>
      <c r="Y1105" s="108"/>
      <c r="Z1105" s="108"/>
    </row>
    <row r="1106" ht="16.5" customHeight="1">
      <c r="A1106" s="180" t="s">
        <v>1922</v>
      </c>
      <c r="B1106" s="180">
        <v>3.0</v>
      </c>
      <c r="C1106" s="254" t="s">
        <v>1919</v>
      </c>
      <c r="D1106" s="108"/>
      <c r="E1106" s="108"/>
      <c r="F1106" s="108"/>
      <c r="G1106" s="108"/>
      <c r="H1106" s="108"/>
      <c r="I1106" s="108"/>
      <c r="J1106" s="108"/>
      <c r="K1106" s="108"/>
      <c r="L1106" s="108"/>
      <c r="M1106" s="108"/>
      <c r="N1106" s="108"/>
      <c r="O1106" s="108"/>
      <c r="P1106" s="108"/>
      <c r="Q1106" s="108"/>
      <c r="R1106" s="108"/>
      <c r="S1106" s="108"/>
      <c r="T1106" s="108"/>
      <c r="U1106" s="108"/>
      <c r="V1106" s="108"/>
      <c r="W1106" s="108"/>
      <c r="X1106" s="108"/>
      <c r="Y1106" s="108"/>
      <c r="Z1106" s="108"/>
    </row>
    <row r="1107" ht="16.5" customHeight="1">
      <c r="A1107" s="108"/>
      <c r="B1107" s="108"/>
      <c r="C1107" s="180"/>
      <c r="D1107" s="108"/>
      <c r="E1107" s="108"/>
      <c r="F1107" s="108"/>
      <c r="G1107" s="108"/>
      <c r="H1107" s="108"/>
      <c r="I1107" s="108"/>
      <c r="J1107" s="108"/>
      <c r="K1107" s="108"/>
      <c r="L1107" s="108"/>
      <c r="M1107" s="108"/>
      <c r="N1107" s="108"/>
      <c r="O1107" s="108"/>
      <c r="P1107" s="108"/>
      <c r="Q1107" s="108"/>
      <c r="R1107" s="108"/>
      <c r="S1107" s="108"/>
      <c r="T1107" s="108"/>
      <c r="U1107" s="108"/>
      <c r="V1107" s="108"/>
      <c r="W1107" s="108"/>
      <c r="X1107" s="108"/>
      <c r="Y1107" s="108"/>
      <c r="Z1107" s="108"/>
    </row>
    <row r="1108" ht="16.5" customHeight="1">
      <c r="A1108" s="180" t="s">
        <v>1923</v>
      </c>
      <c r="B1108" s="180">
        <v>0.0</v>
      </c>
      <c r="C1108" s="180" t="s">
        <v>1208</v>
      </c>
      <c r="D1108" s="108"/>
      <c r="E1108" s="108"/>
      <c r="F1108" s="108"/>
      <c r="G1108" s="108"/>
      <c r="H1108" s="108"/>
      <c r="I1108" s="108"/>
      <c r="J1108" s="108"/>
      <c r="K1108" s="108"/>
      <c r="L1108" s="108"/>
      <c r="M1108" s="108"/>
      <c r="N1108" s="108"/>
      <c r="O1108" s="108"/>
      <c r="P1108" s="108"/>
      <c r="Q1108" s="108"/>
      <c r="R1108" s="108"/>
      <c r="S1108" s="108"/>
      <c r="T1108" s="108"/>
      <c r="U1108" s="108"/>
      <c r="V1108" s="108"/>
      <c r="W1108" s="108"/>
      <c r="X1108" s="108"/>
      <c r="Y1108" s="108"/>
      <c r="Z1108" s="108"/>
    </row>
    <row r="1109" ht="16.5" customHeight="1">
      <c r="A1109" s="180" t="s">
        <v>1923</v>
      </c>
      <c r="B1109" s="254">
        <v>1.0</v>
      </c>
      <c r="C1109" s="254" t="s">
        <v>1924</v>
      </c>
      <c r="D1109" s="108"/>
      <c r="E1109" s="108"/>
      <c r="F1109" s="108"/>
      <c r="G1109" s="108"/>
      <c r="H1109" s="108"/>
      <c r="I1109" s="108"/>
      <c r="J1109" s="108"/>
      <c r="K1109" s="108"/>
      <c r="L1109" s="108"/>
      <c r="M1109" s="108"/>
      <c r="N1109" s="108"/>
      <c r="O1109" s="108"/>
      <c r="P1109" s="108"/>
      <c r="Q1109" s="108"/>
      <c r="R1109" s="108"/>
      <c r="S1109" s="108"/>
      <c r="T1109" s="108"/>
      <c r="U1109" s="108"/>
      <c r="V1109" s="108"/>
      <c r="W1109" s="108"/>
      <c r="X1109" s="108"/>
      <c r="Y1109" s="108"/>
      <c r="Z1109" s="108"/>
    </row>
    <row r="1110" ht="16.5" customHeight="1">
      <c r="A1110" s="180" t="s">
        <v>1923</v>
      </c>
      <c r="B1110" s="254">
        <v>2.0</v>
      </c>
      <c r="C1110" s="254" t="s">
        <v>1925</v>
      </c>
      <c r="D1110" s="108"/>
      <c r="E1110" s="108"/>
      <c r="F1110" s="108"/>
      <c r="G1110" s="108"/>
      <c r="H1110" s="108"/>
      <c r="I1110" s="108"/>
      <c r="J1110" s="108"/>
      <c r="K1110" s="108"/>
      <c r="L1110" s="108"/>
      <c r="M1110" s="108"/>
      <c r="N1110" s="108"/>
      <c r="O1110" s="108"/>
      <c r="P1110" s="108"/>
      <c r="Q1110" s="108"/>
      <c r="R1110" s="108"/>
      <c r="S1110" s="108"/>
      <c r="T1110" s="108"/>
      <c r="U1110" s="108"/>
      <c r="V1110" s="108"/>
      <c r="W1110" s="108"/>
      <c r="X1110" s="108"/>
      <c r="Y1110" s="108"/>
      <c r="Z1110" s="108"/>
    </row>
    <row r="1111" ht="16.5" customHeight="1">
      <c r="A1111" s="180" t="s">
        <v>1923</v>
      </c>
      <c r="B1111" s="254">
        <v>3.0</v>
      </c>
      <c r="C1111" s="254" t="s">
        <v>1926</v>
      </c>
      <c r="D1111" s="108"/>
      <c r="E1111" s="108"/>
      <c r="F1111" s="108"/>
      <c r="G1111" s="108"/>
      <c r="H1111" s="108"/>
      <c r="I1111" s="108"/>
      <c r="J1111" s="108"/>
      <c r="K1111" s="108"/>
      <c r="L1111" s="108"/>
      <c r="M1111" s="108"/>
      <c r="N1111" s="108"/>
      <c r="O1111" s="108"/>
      <c r="P1111" s="108"/>
      <c r="Q1111" s="108"/>
      <c r="R1111" s="108"/>
      <c r="S1111" s="108"/>
      <c r="T1111" s="108"/>
      <c r="U1111" s="108"/>
      <c r="V1111" s="108"/>
      <c r="W1111" s="108"/>
      <c r="X1111" s="108"/>
      <c r="Y1111" s="108"/>
      <c r="Z1111" s="108"/>
    </row>
    <row r="1112" ht="16.5" customHeight="1">
      <c r="A1112" s="180" t="s">
        <v>1923</v>
      </c>
      <c r="B1112" s="180">
        <v>77.0</v>
      </c>
      <c r="C1112" s="180" t="s">
        <v>1209</v>
      </c>
      <c r="D1112" s="108"/>
      <c r="E1112" s="108"/>
      <c r="F1112" s="108"/>
      <c r="G1112" s="108"/>
      <c r="H1112" s="108"/>
      <c r="I1112" s="108"/>
      <c r="J1112" s="108"/>
      <c r="K1112" s="108"/>
      <c r="L1112" s="108"/>
      <c r="M1112" s="108"/>
      <c r="N1112" s="108"/>
      <c r="O1112" s="108"/>
      <c r="P1112" s="108"/>
      <c r="Q1112" s="108"/>
      <c r="R1112" s="108"/>
      <c r="S1112" s="108"/>
      <c r="T1112" s="108"/>
      <c r="U1112" s="108"/>
      <c r="V1112" s="108"/>
      <c r="W1112" s="108"/>
      <c r="X1112" s="108"/>
      <c r="Y1112" s="108"/>
      <c r="Z1112" s="108"/>
    </row>
    <row r="1113" ht="16.5" customHeight="1">
      <c r="A1113" s="108"/>
      <c r="B1113" s="108"/>
      <c r="C1113" s="180"/>
      <c r="D1113" s="108"/>
      <c r="E1113" s="108"/>
      <c r="F1113" s="108"/>
      <c r="G1113" s="108"/>
      <c r="H1113" s="108"/>
      <c r="I1113" s="108"/>
      <c r="J1113" s="108"/>
      <c r="K1113" s="108"/>
      <c r="L1113" s="108"/>
      <c r="M1113" s="108"/>
      <c r="N1113" s="108"/>
      <c r="O1113" s="108"/>
      <c r="P1113" s="108"/>
      <c r="Q1113" s="108"/>
      <c r="R1113" s="108"/>
      <c r="S1113" s="108"/>
      <c r="T1113" s="108"/>
      <c r="U1113" s="108"/>
      <c r="V1113" s="108"/>
      <c r="W1113" s="108"/>
      <c r="X1113" s="108"/>
      <c r="Y1113" s="108"/>
      <c r="Z1113" s="108"/>
    </row>
    <row r="1114" ht="16.5" customHeight="1">
      <c r="A1114" s="108"/>
      <c r="B1114" s="108"/>
      <c r="C1114" s="180"/>
      <c r="D1114" s="108"/>
      <c r="E1114" s="108"/>
      <c r="F1114" s="108"/>
      <c r="G1114" s="108"/>
      <c r="H1114" s="108"/>
      <c r="I1114" s="108"/>
      <c r="J1114" s="108"/>
      <c r="K1114" s="108"/>
      <c r="L1114" s="108"/>
      <c r="M1114" s="108"/>
      <c r="N1114" s="108"/>
      <c r="O1114" s="108"/>
      <c r="P1114" s="108"/>
      <c r="Q1114" s="108"/>
      <c r="R1114" s="108"/>
      <c r="S1114" s="108"/>
      <c r="T1114" s="108"/>
      <c r="U1114" s="108"/>
      <c r="V1114" s="108"/>
      <c r="W1114" s="108"/>
      <c r="X1114" s="108"/>
      <c r="Y1114" s="108"/>
      <c r="Z1114" s="108"/>
    </row>
    <row r="1115" ht="16.5" customHeight="1">
      <c r="A1115" s="108"/>
      <c r="B1115" s="108"/>
      <c r="C1115" s="180"/>
      <c r="D1115" s="108"/>
      <c r="E1115" s="108"/>
      <c r="F1115" s="108"/>
      <c r="G1115" s="108"/>
      <c r="H1115" s="108"/>
      <c r="I1115" s="108"/>
      <c r="J1115" s="108"/>
      <c r="K1115" s="108"/>
      <c r="L1115" s="108"/>
      <c r="M1115" s="108"/>
      <c r="N1115" s="108"/>
      <c r="O1115" s="108"/>
      <c r="P1115" s="108"/>
      <c r="Q1115" s="108"/>
      <c r="R1115" s="108"/>
      <c r="S1115" s="108"/>
      <c r="T1115" s="108"/>
      <c r="U1115" s="108"/>
      <c r="V1115" s="108"/>
      <c r="W1115" s="108"/>
      <c r="X1115" s="108"/>
      <c r="Y1115" s="108"/>
      <c r="Z1115" s="108"/>
    </row>
    <row r="1116" ht="16.5" customHeight="1">
      <c r="A1116" s="108"/>
      <c r="B1116" s="108"/>
      <c r="C1116" s="180"/>
      <c r="D1116" s="108"/>
      <c r="E1116" s="108"/>
      <c r="F1116" s="108"/>
      <c r="G1116" s="108"/>
      <c r="H1116" s="108"/>
      <c r="I1116" s="108"/>
      <c r="J1116" s="108"/>
      <c r="K1116" s="108"/>
      <c r="L1116" s="108"/>
      <c r="M1116" s="108"/>
      <c r="N1116" s="108"/>
      <c r="O1116" s="108"/>
      <c r="P1116" s="108"/>
      <c r="Q1116" s="108"/>
      <c r="R1116" s="108"/>
      <c r="S1116" s="108"/>
      <c r="T1116" s="108"/>
      <c r="U1116" s="108"/>
      <c r="V1116" s="108"/>
      <c r="W1116" s="108"/>
      <c r="X1116" s="108"/>
      <c r="Y1116" s="108"/>
      <c r="Z1116" s="108"/>
    </row>
    <row r="1117" ht="16.5" customHeight="1">
      <c r="A1117" s="108"/>
      <c r="B1117" s="108"/>
      <c r="C1117" s="180"/>
      <c r="D1117" s="108"/>
      <c r="E1117" s="108"/>
      <c r="F1117" s="108"/>
      <c r="G1117" s="108"/>
      <c r="H1117" s="108"/>
      <c r="I1117" s="108"/>
      <c r="J1117" s="108"/>
      <c r="K1117" s="108"/>
      <c r="L1117" s="108"/>
      <c r="M1117" s="108"/>
      <c r="N1117" s="108"/>
      <c r="O1117" s="108"/>
      <c r="P1117" s="108"/>
      <c r="Q1117" s="108"/>
      <c r="R1117" s="108"/>
      <c r="S1117" s="108"/>
      <c r="T1117" s="108"/>
      <c r="U1117" s="108"/>
      <c r="V1117" s="108"/>
      <c r="W1117" s="108"/>
      <c r="X1117" s="108"/>
      <c r="Y1117" s="108"/>
      <c r="Z1117" s="108"/>
    </row>
    <row r="1118" ht="16.5" customHeight="1">
      <c r="A1118" s="108"/>
      <c r="B1118" s="108"/>
      <c r="C1118" s="180"/>
      <c r="D1118" s="108"/>
      <c r="E1118" s="108"/>
      <c r="F1118" s="108"/>
      <c r="G1118" s="108"/>
      <c r="H1118" s="108"/>
      <c r="I1118" s="108"/>
      <c r="J1118" s="108"/>
      <c r="K1118" s="108"/>
      <c r="L1118" s="108"/>
      <c r="M1118" s="108"/>
      <c r="N1118" s="108"/>
      <c r="O1118" s="108"/>
      <c r="P1118" s="108"/>
      <c r="Q1118" s="108"/>
      <c r="R1118" s="108"/>
      <c r="S1118" s="108"/>
      <c r="T1118" s="108"/>
      <c r="U1118" s="108"/>
      <c r="V1118" s="108"/>
      <c r="W1118" s="108"/>
      <c r="X1118" s="108"/>
      <c r="Y1118" s="108"/>
      <c r="Z1118" s="108"/>
    </row>
    <row r="1119" ht="16.5" customHeight="1">
      <c r="A1119" s="108"/>
      <c r="B1119" s="108"/>
      <c r="C1119" s="180"/>
      <c r="D1119" s="108"/>
      <c r="E1119" s="108"/>
      <c r="F1119" s="108"/>
      <c r="G1119" s="108"/>
      <c r="H1119" s="108"/>
      <c r="I1119" s="108"/>
      <c r="J1119" s="108"/>
      <c r="K1119" s="108"/>
      <c r="L1119" s="108"/>
      <c r="M1119" s="108"/>
      <c r="N1119" s="108"/>
      <c r="O1119" s="108"/>
      <c r="P1119" s="108"/>
      <c r="Q1119" s="108"/>
      <c r="R1119" s="108"/>
      <c r="S1119" s="108"/>
      <c r="T1119" s="108"/>
      <c r="U1119" s="108"/>
      <c r="V1119" s="108"/>
      <c r="W1119" s="108"/>
      <c r="X1119" s="108"/>
      <c r="Y1119" s="108"/>
      <c r="Z1119" s="108"/>
    </row>
    <row r="1120" ht="16.5" customHeight="1">
      <c r="A1120" s="108"/>
      <c r="B1120" s="108"/>
      <c r="C1120" s="180"/>
      <c r="D1120" s="108"/>
      <c r="E1120" s="108"/>
      <c r="F1120" s="108"/>
      <c r="G1120" s="108"/>
      <c r="H1120" s="108"/>
      <c r="I1120" s="108"/>
      <c r="J1120" s="108"/>
      <c r="K1120" s="108"/>
      <c r="L1120" s="108"/>
      <c r="M1120" s="108"/>
      <c r="N1120" s="108"/>
      <c r="O1120" s="108"/>
      <c r="P1120" s="108"/>
      <c r="Q1120" s="108"/>
      <c r="R1120" s="108"/>
      <c r="S1120" s="108"/>
      <c r="T1120" s="108"/>
      <c r="U1120" s="108"/>
      <c r="V1120" s="108"/>
      <c r="W1120" s="108"/>
      <c r="X1120" s="108"/>
      <c r="Y1120" s="108"/>
      <c r="Z1120" s="108"/>
    </row>
    <row r="1121" ht="16.5" customHeight="1">
      <c r="A1121" s="108"/>
      <c r="B1121" s="108"/>
      <c r="C1121" s="180"/>
      <c r="D1121" s="108"/>
      <c r="E1121" s="108"/>
      <c r="F1121" s="108"/>
      <c r="G1121" s="108"/>
      <c r="H1121" s="108"/>
      <c r="I1121" s="108"/>
      <c r="J1121" s="108"/>
      <c r="K1121" s="108"/>
      <c r="L1121" s="108"/>
      <c r="M1121" s="108"/>
      <c r="N1121" s="108"/>
      <c r="O1121" s="108"/>
      <c r="P1121" s="108"/>
      <c r="Q1121" s="108"/>
      <c r="R1121" s="108"/>
      <c r="S1121" s="108"/>
      <c r="T1121" s="108"/>
      <c r="U1121" s="108"/>
      <c r="V1121" s="108"/>
      <c r="W1121" s="108"/>
      <c r="X1121" s="108"/>
      <c r="Y1121" s="108"/>
      <c r="Z1121" s="108"/>
    </row>
    <row r="1122" ht="16.5" customHeight="1">
      <c r="A1122" s="108"/>
      <c r="B1122" s="108"/>
      <c r="C1122" s="180"/>
      <c r="D1122" s="108"/>
      <c r="E1122" s="108"/>
      <c r="F1122" s="108"/>
      <c r="G1122" s="108"/>
      <c r="H1122" s="108"/>
      <c r="I1122" s="108"/>
      <c r="J1122" s="108"/>
      <c r="K1122" s="108"/>
      <c r="L1122" s="108"/>
      <c r="M1122" s="108"/>
      <c r="N1122" s="108"/>
      <c r="O1122" s="108"/>
      <c r="P1122" s="108"/>
      <c r="Q1122" s="108"/>
      <c r="R1122" s="108"/>
      <c r="S1122" s="108"/>
      <c r="T1122" s="108"/>
      <c r="U1122" s="108"/>
      <c r="V1122" s="108"/>
      <c r="W1122" s="108"/>
      <c r="X1122" s="108"/>
      <c r="Y1122" s="108"/>
      <c r="Z1122" s="108"/>
    </row>
    <row r="1123" ht="16.5" customHeight="1">
      <c r="A1123" s="108"/>
      <c r="B1123" s="108"/>
      <c r="C1123" s="180"/>
      <c r="D1123" s="108"/>
      <c r="E1123" s="108"/>
      <c r="F1123" s="108"/>
      <c r="G1123" s="108"/>
      <c r="H1123" s="108"/>
      <c r="I1123" s="108"/>
      <c r="J1123" s="108"/>
      <c r="K1123" s="108"/>
      <c r="L1123" s="108"/>
      <c r="M1123" s="108"/>
      <c r="N1123" s="108"/>
      <c r="O1123" s="108"/>
      <c r="P1123" s="108"/>
      <c r="Q1123" s="108"/>
      <c r="R1123" s="108"/>
      <c r="S1123" s="108"/>
      <c r="T1123" s="108"/>
      <c r="U1123" s="108"/>
      <c r="V1123" s="108"/>
      <c r="W1123" s="108"/>
      <c r="X1123" s="108"/>
      <c r="Y1123" s="108"/>
      <c r="Z1123" s="108"/>
    </row>
    <row r="1124" ht="16.5" customHeight="1">
      <c r="A1124" s="108"/>
      <c r="B1124" s="108"/>
      <c r="C1124" s="180"/>
      <c r="D1124" s="108"/>
      <c r="E1124" s="108"/>
      <c r="F1124" s="108"/>
      <c r="G1124" s="108"/>
      <c r="H1124" s="108"/>
      <c r="I1124" s="108"/>
      <c r="J1124" s="108"/>
      <c r="K1124" s="108"/>
      <c r="L1124" s="108"/>
      <c r="M1124" s="108"/>
      <c r="N1124" s="108"/>
      <c r="O1124" s="108"/>
      <c r="P1124" s="108"/>
      <c r="Q1124" s="108"/>
      <c r="R1124" s="108"/>
      <c r="S1124" s="108"/>
      <c r="T1124" s="108"/>
      <c r="U1124" s="108"/>
      <c r="V1124" s="108"/>
      <c r="W1124" s="108"/>
      <c r="X1124" s="108"/>
      <c r="Y1124" s="108"/>
      <c r="Z1124" s="108"/>
    </row>
    <row r="1125" ht="16.5" customHeight="1">
      <c r="A1125" s="108"/>
      <c r="B1125" s="108"/>
      <c r="C1125" s="180"/>
      <c r="D1125" s="108"/>
      <c r="E1125" s="108"/>
      <c r="F1125" s="108"/>
      <c r="G1125" s="108"/>
      <c r="H1125" s="108"/>
      <c r="I1125" s="108"/>
      <c r="J1125" s="108"/>
      <c r="K1125" s="108"/>
      <c r="L1125" s="108"/>
      <c r="M1125" s="108"/>
      <c r="N1125" s="108"/>
      <c r="O1125" s="108"/>
      <c r="P1125" s="108"/>
      <c r="Q1125" s="108"/>
      <c r="R1125" s="108"/>
      <c r="S1125" s="108"/>
      <c r="T1125" s="108"/>
      <c r="U1125" s="108"/>
      <c r="V1125" s="108"/>
      <c r="W1125" s="108"/>
      <c r="X1125" s="108"/>
      <c r="Y1125" s="108"/>
      <c r="Z1125" s="108"/>
    </row>
    <row r="1126" ht="16.5" customHeight="1">
      <c r="A1126" s="108"/>
      <c r="B1126" s="108"/>
      <c r="C1126" s="180"/>
      <c r="D1126" s="108"/>
      <c r="E1126" s="108"/>
      <c r="F1126" s="108"/>
      <c r="G1126" s="108"/>
      <c r="H1126" s="108"/>
      <c r="I1126" s="108"/>
      <c r="J1126" s="108"/>
      <c r="K1126" s="108"/>
      <c r="L1126" s="108"/>
      <c r="M1126" s="108"/>
      <c r="N1126" s="108"/>
      <c r="O1126" s="108"/>
      <c r="P1126" s="108"/>
      <c r="Q1126" s="108"/>
      <c r="R1126" s="108"/>
      <c r="S1126" s="108"/>
      <c r="T1126" s="108"/>
      <c r="U1126" s="108"/>
      <c r="V1126" s="108"/>
      <c r="W1126" s="108"/>
      <c r="X1126" s="108"/>
      <c r="Y1126" s="108"/>
      <c r="Z1126" s="108"/>
    </row>
    <row r="1127" ht="16.5" customHeight="1">
      <c r="A1127" s="108"/>
      <c r="B1127" s="108"/>
      <c r="C1127" s="180"/>
      <c r="D1127" s="108"/>
      <c r="E1127" s="108"/>
      <c r="F1127" s="108"/>
      <c r="G1127" s="108"/>
      <c r="H1127" s="108"/>
      <c r="I1127" s="108"/>
      <c r="J1127" s="108"/>
      <c r="K1127" s="108"/>
      <c r="L1127" s="108"/>
      <c r="M1127" s="108"/>
      <c r="N1127" s="108"/>
      <c r="O1127" s="108"/>
      <c r="P1127" s="108"/>
      <c r="Q1127" s="108"/>
      <c r="R1127" s="108"/>
      <c r="S1127" s="108"/>
      <c r="T1127" s="108"/>
      <c r="U1127" s="108"/>
      <c r="V1127" s="108"/>
      <c r="W1127" s="108"/>
      <c r="X1127" s="108"/>
      <c r="Y1127" s="108"/>
      <c r="Z1127" s="108"/>
    </row>
    <row r="1128" ht="16.5" customHeight="1">
      <c r="A1128" s="108"/>
      <c r="B1128" s="108"/>
      <c r="C1128" s="180"/>
      <c r="D1128" s="108"/>
      <c r="E1128" s="108"/>
      <c r="F1128" s="108"/>
      <c r="G1128" s="108"/>
      <c r="H1128" s="108"/>
      <c r="I1128" s="108"/>
      <c r="J1128" s="108"/>
      <c r="K1128" s="108"/>
      <c r="L1128" s="108"/>
      <c r="M1128" s="108"/>
      <c r="N1128" s="108"/>
      <c r="O1128" s="108"/>
      <c r="P1128" s="108"/>
      <c r="Q1128" s="108"/>
      <c r="R1128" s="108"/>
      <c r="S1128" s="108"/>
      <c r="T1128" s="108"/>
      <c r="U1128" s="108"/>
      <c r="V1128" s="108"/>
      <c r="W1128" s="108"/>
      <c r="X1128" s="108"/>
      <c r="Y1128" s="108"/>
      <c r="Z1128" s="108"/>
    </row>
    <row r="1129" ht="16.5" customHeight="1">
      <c r="A1129" s="108"/>
      <c r="B1129" s="108"/>
      <c r="C1129" s="180"/>
      <c r="D1129" s="108"/>
      <c r="E1129" s="108"/>
      <c r="F1129" s="108"/>
      <c r="G1129" s="108"/>
      <c r="H1129" s="108"/>
      <c r="I1129" s="108"/>
      <c r="J1129" s="108"/>
      <c r="K1129" s="108"/>
      <c r="L1129" s="108"/>
      <c r="M1129" s="108"/>
      <c r="N1129" s="108"/>
      <c r="O1129" s="108"/>
      <c r="P1129" s="108"/>
      <c r="Q1129" s="108"/>
      <c r="R1129" s="108"/>
      <c r="S1129" s="108"/>
      <c r="T1129" s="108"/>
      <c r="U1129" s="108"/>
      <c r="V1129" s="108"/>
      <c r="W1129" s="108"/>
      <c r="X1129" s="108"/>
      <c r="Y1129" s="108"/>
      <c r="Z1129" s="108"/>
    </row>
    <row r="1130" ht="16.5" customHeight="1">
      <c r="A1130" s="108"/>
      <c r="B1130" s="108"/>
      <c r="C1130" s="180"/>
      <c r="D1130" s="108"/>
      <c r="E1130" s="108"/>
      <c r="F1130" s="108"/>
      <c r="G1130" s="108"/>
      <c r="H1130" s="108"/>
      <c r="I1130" s="108"/>
      <c r="J1130" s="108"/>
      <c r="K1130" s="108"/>
      <c r="L1130" s="108"/>
      <c r="M1130" s="108"/>
      <c r="N1130" s="108"/>
      <c r="O1130" s="108"/>
      <c r="P1130" s="108"/>
      <c r="Q1130" s="108"/>
      <c r="R1130" s="108"/>
      <c r="S1130" s="108"/>
      <c r="T1130" s="108"/>
      <c r="U1130" s="108"/>
      <c r="V1130" s="108"/>
      <c r="W1130" s="108"/>
      <c r="X1130" s="108"/>
      <c r="Y1130" s="108"/>
      <c r="Z1130" s="108"/>
    </row>
    <row r="1131" ht="16.5" customHeight="1">
      <c r="A1131" s="108"/>
      <c r="B1131" s="108"/>
      <c r="C1131" s="180"/>
      <c r="D1131" s="108"/>
      <c r="E1131" s="108"/>
      <c r="F1131" s="108"/>
      <c r="G1131" s="108"/>
      <c r="H1131" s="108"/>
      <c r="I1131" s="108"/>
      <c r="J1131" s="108"/>
      <c r="K1131" s="108"/>
      <c r="L1131" s="108"/>
      <c r="M1131" s="108"/>
      <c r="N1131" s="108"/>
      <c r="O1131" s="108"/>
      <c r="P1131" s="108"/>
      <c r="Q1131" s="108"/>
      <c r="R1131" s="108"/>
      <c r="S1131" s="108"/>
      <c r="T1131" s="108"/>
      <c r="U1131" s="108"/>
      <c r="V1131" s="108"/>
      <c r="W1131" s="108"/>
      <c r="X1131" s="108"/>
      <c r="Y1131" s="108"/>
      <c r="Z1131" s="108"/>
    </row>
    <row r="1132" ht="16.5" customHeight="1">
      <c r="A1132" s="108"/>
      <c r="B1132" s="108"/>
      <c r="C1132" s="180"/>
      <c r="D1132" s="108"/>
      <c r="E1132" s="108"/>
      <c r="F1132" s="108"/>
      <c r="G1132" s="108"/>
      <c r="H1132" s="108"/>
      <c r="I1132" s="108"/>
      <c r="J1132" s="108"/>
      <c r="K1132" s="108"/>
      <c r="L1132" s="108"/>
      <c r="M1132" s="108"/>
      <c r="N1132" s="108"/>
      <c r="O1132" s="108"/>
      <c r="P1132" s="108"/>
      <c r="Q1132" s="108"/>
      <c r="R1132" s="108"/>
      <c r="S1132" s="108"/>
      <c r="T1132" s="108"/>
      <c r="U1132" s="108"/>
      <c r="V1132" s="108"/>
      <c r="W1132" s="108"/>
      <c r="X1132" s="108"/>
      <c r="Y1132" s="108"/>
      <c r="Z1132" s="108"/>
    </row>
    <row r="1133" ht="16.5" customHeight="1">
      <c r="A1133" s="108"/>
      <c r="B1133" s="108"/>
      <c r="C1133" s="180"/>
      <c r="D1133" s="108"/>
      <c r="E1133" s="108"/>
      <c r="F1133" s="108"/>
      <c r="G1133" s="108"/>
      <c r="H1133" s="108"/>
      <c r="I1133" s="108"/>
      <c r="J1133" s="108"/>
      <c r="K1133" s="108"/>
      <c r="L1133" s="108"/>
      <c r="M1133" s="108"/>
      <c r="N1133" s="108"/>
      <c r="O1133" s="108"/>
      <c r="P1133" s="108"/>
      <c r="Q1133" s="108"/>
      <c r="R1133" s="108"/>
      <c r="S1133" s="108"/>
      <c r="T1133" s="108"/>
      <c r="U1133" s="108"/>
      <c r="V1133" s="108"/>
      <c r="W1133" s="108"/>
      <c r="X1133" s="108"/>
      <c r="Y1133" s="108"/>
      <c r="Z1133" s="108"/>
    </row>
    <row r="1134" ht="16.5" customHeight="1">
      <c r="A1134" s="108"/>
      <c r="B1134" s="108"/>
      <c r="C1134" s="180"/>
      <c r="D1134" s="108"/>
      <c r="E1134" s="108"/>
      <c r="F1134" s="108"/>
      <c r="G1134" s="108"/>
      <c r="H1134" s="108"/>
      <c r="I1134" s="108"/>
      <c r="J1134" s="108"/>
      <c r="K1134" s="108"/>
      <c r="L1134" s="108"/>
      <c r="M1134" s="108"/>
      <c r="N1134" s="108"/>
      <c r="O1134" s="108"/>
      <c r="P1134" s="108"/>
      <c r="Q1134" s="108"/>
      <c r="R1134" s="108"/>
      <c r="S1134" s="108"/>
      <c r="T1134" s="108"/>
      <c r="U1134" s="108"/>
      <c r="V1134" s="108"/>
      <c r="W1134" s="108"/>
      <c r="X1134" s="108"/>
      <c r="Y1134" s="108"/>
      <c r="Z1134" s="108"/>
    </row>
    <row r="1135" ht="16.5" customHeight="1">
      <c r="A1135" s="108"/>
      <c r="B1135" s="108"/>
      <c r="C1135" s="180"/>
      <c r="D1135" s="108"/>
      <c r="E1135" s="108"/>
      <c r="F1135" s="108"/>
      <c r="G1135" s="108"/>
      <c r="H1135" s="108"/>
      <c r="I1135" s="108"/>
      <c r="J1135" s="108"/>
      <c r="K1135" s="108"/>
      <c r="L1135" s="108"/>
      <c r="M1135" s="108"/>
      <c r="N1135" s="108"/>
      <c r="O1135" s="108"/>
      <c r="P1135" s="108"/>
      <c r="Q1135" s="108"/>
      <c r="R1135" s="108"/>
      <c r="S1135" s="108"/>
      <c r="T1135" s="108"/>
      <c r="U1135" s="108"/>
      <c r="V1135" s="108"/>
      <c r="W1135" s="108"/>
      <c r="X1135" s="108"/>
      <c r="Y1135" s="108"/>
      <c r="Z1135" s="108"/>
    </row>
    <row r="1136" ht="16.5" customHeight="1">
      <c r="A1136" s="108"/>
      <c r="B1136" s="108"/>
      <c r="C1136" s="180"/>
      <c r="D1136" s="108"/>
      <c r="E1136" s="108"/>
      <c r="F1136" s="108"/>
      <c r="G1136" s="108"/>
      <c r="H1136" s="108"/>
      <c r="I1136" s="108"/>
      <c r="J1136" s="108"/>
      <c r="K1136" s="108"/>
      <c r="L1136" s="108"/>
      <c r="M1136" s="108"/>
      <c r="N1136" s="108"/>
      <c r="O1136" s="108"/>
      <c r="P1136" s="108"/>
      <c r="Q1136" s="108"/>
      <c r="R1136" s="108"/>
      <c r="S1136" s="108"/>
      <c r="T1136" s="108"/>
      <c r="U1136" s="108"/>
      <c r="V1136" s="108"/>
      <c r="W1136" s="108"/>
      <c r="X1136" s="108"/>
      <c r="Y1136" s="108"/>
      <c r="Z1136" s="108"/>
    </row>
    <row r="1137" ht="16.5" customHeight="1">
      <c r="A1137" s="108"/>
      <c r="B1137" s="108"/>
      <c r="C1137" s="180"/>
      <c r="D1137" s="108"/>
      <c r="E1137" s="108"/>
      <c r="F1137" s="108"/>
      <c r="G1137" s="108"/>
      <c r="H1137" s="108"/>
      <c r="I1137" s="108"/>
      <c r="J1137" s="108"/>
      <c r="K1137" s="108"/>
      <c r="L1137" s="108"/>
      <c r="M1137" s="108"/>
      <c r="N1137" s="108"/>
      <c r="O1137" s="108"/>
      <c r="P1137" s="108"/>
      <c r="Q1137" s="108"/>
      <c r="R1137" s="108"/>
      <c r="S1137" s="108"/>
      <c r="T1137" s="108"/>
      <c r="U1137" s="108"/>
      <c r="V1137" s="108"/>
      <c r="W1137" s="108"/>
      <c r="X1137" s="108"/>
      <c r="Y1137" s="108"/>
      <c r="Z1137" s="108"/>
    </row>
    <row r="1138" ht="16.5" customHeight="1">
      <c r="A1138" s="108"/>
      <c r="B1138" s="108"/>
      <c r="C1138" s="180"/>
      <c r="D1138" s="108"/>
      <c r="E1138" s="108"/>
      <c r="F1138" s="108"/>
      <c r="G1138" s="108"/>
      <c r="H1138" s="108"/>
      <c r="I1138" s="108"/>
      <c r="J1138" s="108"/>
      <c r="K1138" s="108"/>
      <c r="L1138" s="108"/>
      <c r="M1138" s="108"/>
      <c r="N1138" s="108"/>
      <c r="O1138" s="108"/>
      <c r="P1138" s="108"/>
      <c r="Q1138" s="108"/>
      <c r="R1138" s="108"/>
      <c r="S1138" s="108"/>
      <c r="T1138" s="108"/>
      <c r="U1138" s="108"/>
      <c r="V1138" s="108"/>
      <c r="W1138" s="108"/>
      <c r="X1138" s="108"/>
      <c r="Y1138" s="108"/>
      <c r="Z1138" s="108"/>
    </row>
    <row r="1139" ht="16.5" customHeight="1">
      <c r="A1139" s="108"/>
      <c r="B1139" s="108"/>
      <c r="C1139" s="180"/>
      <c r="D1139" s="108"/>
      <c r="E1139" s="108"/>
      <c r="F1139" s="108"/>
      <c r="G1139" s="108"/>
      <c r="H1139" s="108"/>
      <c r="I1139" s="108"/>
      <c r="J1139" s="108"/>
      <c r="K1139" s="108"/>
      <c r="L1139" s="108"/>
      <c r="M1139" s="108"/>
      <c r="N1139" s="108"/>
      <c r="O1139" s="108"/>
      <c r="P1139" s="108"/>
      <c r="Q1139" s="108"/>
      <c r="R1139" s="108"/>
      <c r="S1139" s="108"/>
      <c r="T1139" s="108"/>
      <c r="U1139" s="108"/>
      <c r="V1139" s="108"/>
      <c r="W1139" s="108"/>
      <c r="X1139" s="108"/>
      <c r="Y1139" s="108"/>
      <c r="Z1139" s="108"/>
    </row>
    <row r="1140" ht="16.5" customHeight="1">
      <c r="A1140" s="108"/>
      <c r="B1140" s="108"/>
      <c r="C1140" s="180"/>
      <c r="D1140" s="108"/>
      <c r="E1140" s="108"/>
      <c r="F1140" s="108"/>
      <c r="G1140" s="108"/>
      <c r="H1140" s="108"/>
      <c r="I1140" s="108"/>
      <c r="J1140" s="108"/>
      <c r="K1140" s="108"/>
      <c r="L1140" s="108"/>
      <c r="M1140" s="108"/>
      <c r="N1140" s="108"/>
      <c r="O1140" s="108"/>
      <c r="P1140" s="108"/>
      <c r="Q1140" s="108"/>
      <c r="R1140" s="108"/>
      <c r="S1140" s="108"/>
      <c r="T1140" s="108"/>
      <c r="U1140" s="108"/>
      <c r="V1140" s="108"/>
      <c r="W1140" s="108"/>
      <c r="X1140" s="108"/>
      <c r="Y1140" s="108"/>
      <c r="Z1140" s="108"/>
    </row>
    <row r="1141" ht="16.5" customHeight="1">
      <c r="A1141" s="108"/>
      <c r="B1141" s="108"/>
      <c r="C1141" s="180"/>
      <c r="D1141" s="108"/>
      <c r="E1141" s="108"/>
      <c r="F1141" s="108"/>
      <c r="G1141" s="108"/>
      <c r="H1141" s="108"/>
      <c r="I1141" s="108"/>
      <c r="J1141" s="108"/>
      <c r="K1141" s="108"/>
      <c r="L1141" s="108"/>
      <c r="M1141" s="108"/>
      <c r="N1141" s="108"/>
      <c r="O1141" s="108"/>
      <c r="P1141" s="108"/>
      <c r="Q1141" s="108"/>
      <c r="R1141" s="108"/>
      <c r="S1141" s="108"/>
      <c r="T1141" s="108"/>
      <c r="U1141" s="108"/>
      <c r="V1141" s="108"/>
      <c r="W1141" s="108"/>
      <c r="X1141" s="108"/>
      <c r="Y1141" s="108"/>
      <c r="Z1141" s="108"/>
    </row>
    <row r="1142" ht="16.5" customHeight="1">
      <c r="A1142" s="108"/>
      <c r="B1142" s="108"/>
      <c r="C1142" s="180"/>
      <c r="D1142" s="108"/>
      <c r="E1142" s="108"/>
      <c r="F1142" s="108"/>
      <c r="G1142" s="108"/>
      <c r="H1142" s="108"/>
      <c r="I1142" s="108"/>
      <c r="J1142" s="108"/>
      <c r="K1142" s="108"/>
      <c r="L1142" s="108"/>
      <c r="M1142" s="108"/>
      <c r="N1142" s="108"/>
      <c r="O1142" s="108"/>
      <c r="P1142" s="108"/>
      <c r="Q1142" s="108"/>
      <c r="R1142" s="108"/>
      <c r="S1142" s="108"/>
      <c r="T1142" s="108"/>
      <c r="U1142" s="108"/>
      <c r="V1142" s="108"/>
      <c r="W1142" s="108"/>
      <c r="X1142" s="108"/>
      <c r="Y1142" s="108"/>
      <c r="Z1142" s="108"/>
    </row>
    <row r="1143" ht="16.5" customHeight="1">
      <c r="A1143" s="108"/>
      <c r="B1143" s="108"/>
      <c r="C1143" s="180"/>
      <c r="D1143" s="108"/>
      <c r="E1143" s="108"/>
      <c r="F1143" s="108"/>
      <c r="G1143" s="108"/>
      <c r="H1143" s="108"/>
      <c r="I1143" s="108"/>
      <c r="J1143" s="108"/>
      <c r="K1143" s="108"/>
      <c r="L1143" s="108"/>
      <c r="M1143" s="108"/>
      <c r="N1143" s="108"/>
      <c r="O1143" s="108"/>
      <c r="P1143" s="108"/>
      <c r="Q1143" s="108"/>
      <c r="R1143" s="108"/>
      <c r="S1143" s="108"/>
      <c r="T1143" s="108"/>
      <c r="U1143" s="108"/>
      <c r="V1143" s="108"/>
      <c r="W1143" s="108"/>
      <c r="X1143" s="108"/>
      <c r="Y1143" s="108"/>
      <c r="Z1143" s="108"/>
    </row>
    <row r="1144" ht="16.5" customHeight="1">
      <c r="A1144" s="108"/>
      <c r="B1144" s="108"/>
      <c r="C1144" s="180"/>
      <c r="D1144" s="108"/>
      <c r="E1144" s="108"/>
      <c r="F1144" s="108"/>
      <c r="G1144" s="108"/>
      <c r="H1144" s="108"/>
      <c r="I1144" s="108"/>
      <c r="J1144" s="108"/>
      <c r="K1144" s="108"/>
      <c r="L1144" s="108"/>
      <c r="M1144" s="108"/>
      <c r="N1144" s="108"/>
      <c r="O1144" s="108"/>
      <c r="P1144" s="108"/>
      <c r="Q1144" s="108"/>
      <c r="R1144" s="108"/>
      <c r="S1144" s="108"/>
      <c r="T1144" s="108"/>
      <c r="U1144" s="108"/>
      <c r="V1144" s="108"/>
      <c r="W1144" s="108"/>
      <c r="X1144" s="108"/>
      <c r="Y1144" s="108"/>
      <c r="Z1144" s="108"/>
    </row>
    <row r="1145" ht="16.5" customHeight="1">
      <c r="A1145" s="108"/>
      <c r="B1145" s="108"/>
      <c r="C1145" s="180"/>
      <c r="D1145" s="108"/>
      <c r="E1145" s="108"/>
      <c r="F1145" s="108"/>
      <c r="G1145" s="108"/>
      <c r="H1145" s="108"/>
      <c r="I1145" s="108"/>
      <c r="J1145" s="108"/>
      <c r="K1145" s="108"/>
      <c r="L1145" s="108"/>
      <c r="M1145" s="108"/>
      <c r="N1145" s="108"/>
      <c r="O1145" s="108"/>
      <c r="P1145" s="108"/>
      <c r="Q1145" s="108"/>
      <c r="R1145" s="108"/>
      <c r="S1145" s="108"/>
      <c r="T1145" s="108"/>
      <c r="U1145" s="108"/>
      <c r="V1145" s="108"/>
      <c r="W1145" s="108"/>
      <c r="X1145" s="108"/>
      <c r="Y1145" s="108"/>
      <c r="Z1145" s="108"/>
    </row>
    <row r="1146" ht="16.5" customHeight="1">
      <c r="A1146" s="108"/>
      <c r="B1146" s="108"/>
      <c r="C1146" s="180"/>
      <c r="D1146" s="108"/>
      <c r="E1146" s="108"/>
      <c r="F1146" s="108"/>
      <c r="G1146" s="108"/>
      <c r="H1146" s="108"/>
      <c r="I1146" s="108"/>
      <c r="J1146" s="108"/>
      <c r="K1146" s="108"/>
      <c r="L1146" s="108"/>
      <c r="M1146" s="108"/>
      <c r="N1146" s="108"/>
      <c r="O1146" s="108"/>
      <c r="P1146" s="108"/>
      <c r="Q1146" s="108"/>
      <c r="R1146" s="108"/>
      <c r="S1146" s="108"/>
      <c r="T1146" s="108"/>
      <c r="U1146" s="108"/>
      <c r="V1146" s="108"/>
      <c r="W1146" s="108"/>
      <c r="X1146" s="108"/>
      <c r="Y1146" s="108"/>
      <c r="Z1146" s="108"/>
    </row>
    <row r="1147" ht="16.5" customHeight="1">
      <c r="A1147" s="108"/>
      <c r="B1147" s="108"/>
      <c r="C1147" s="180"/>
      <c r="D1147" s="108"/>
      <c r="E1147" s="108"/>
      <c r="F1147" s="108"/>
      <c r="G1147" s="108"/>
      <c r="H1147" s="108"/>
      <c r="I1147" s="108"/>
      <c r="J1147" s="108"/>
      <c r="K1147" s="108"/>
      <c r="L1147" s="108"/>
      <c r="M1147" s="108"/>
      <c r="N1147" s="108"/>
      <c r="O1147" s="108"/>
      <c r="P1147" s="108"/>
      <c r="Q1147" s="108"/>
      <c r="R1147" s="108"/>
      <c r="S1147" s="108"/>
      <c r="T1147" s="108"/>
      <c r="U1147" s="108"/>
      <c r="V1147" s="108"/>
      <c r="W1147" s="108"/>
      <c r="X1147" s="108"/>
      <c r="Y1147" s="108"/>
      <c r="Z1147" s="108"/>
    </row>
    <row r="1148" ht="16.5" customHeight="1">
      <c r="A1148" s="108"/>
      <c r="B1148" s="108"/>
      <c r="C1148" s="180"/>
      <c r="D1148" s="108"/>
      <c r="E1148" s="108"/>
      <c r="F1148" s="108"/>
      <c r="G1148" s="108"/>
      <c r="H1148" s="108"/>
      <c r="I1148" s="108"/>
      <c r="J1148" s="108"/>
      <c r="K1148" s="108"/>
      <c r="L1148" s="108"/>
      <c r="M1148" s="108"/>
      <c r="N1148" s="108"/>
      <c r="O1148" s="108"/>
      <c r="P1148" s="108"/>
      <c r="Q1148" s="108"/>
      <c r="R1148" s="108"/>
      <c r="S1148" s="108"/>
      <c r="T1148" s="108"/>
      <c r="U1148" s="108"/>
      <c r="V1148" s="108"/>
      <c r="W1148" s="108"/>
      <c r="X1148" s="108"/>
      <c r="Y1148" s="108"/>
      <c r="Z1148" s="108"/>
    </row>
    <row r="1149" ht="16.5" customHeight="1">
      <c r="A1149" s="108"/>
      <c r="B1149" s="108"/>
      <c r="C1149" s="180"/>
      <c r="D1149" s="108"/>
      <c r="E1149" s="108"/>
      <c r="F1149" s="108"/>
      <c r="G1149" s="108"/>
      <c r="H1149" s="108"/>
      <c r="I1149" s="108"/>
      <c r="J1149" s="108"/>
      <c r="K1149" s="108"/>
      <c r="L1149" s="108"/>
      <c r="M1149" s="108"/>
      <c r="N1149" s="108"/>
      <c r="O1149" s="108"/>
      <c r="P1149" s="108"/>
      <c r="Q1149" s="108"/>
      <c r="R1149" s="108"/>
      <c r="S1149" s="108"/>
      <c r="T1149" s="108"/>
      <c r="U1149" s="108"/>
      <c r="V1149" s="108"/>
      <c r="W1149" s="108"/>
      <c r="X1149" s="108"/>
      <c r="Y1149" s="108"/>
      <c r="Z1149" s="108"/>
    </row>
    <row r="1150" ht="16.5" customHeight="1">
      <c r="A1150" s="108"/>
      <c r="B1150" s="108"/>
      <c r="C1150" s="180"/>
      <c r="D1150" s="108"/>
      <c r="E1150" s="108"/>
      <c r="F1150" s="108"/>
      <c r="G1150" s="108"/>
      <c r="H1150" s="108"/>
      <c r="I1150" s="108"/>
      <c r="J1150" s="108"/>
      <c r="K1150" s="108"/>
      <c r="L1150" s="108"/>
      <c r="M1150" s="108"/>
      <c r="N1150" s="108"/>
      <c r="O1150" s="108"/>
      <c r="P1150" s="108"/>
      <c r="Q1150" s="108"/>
      <c r="R1150" s="108"/>
      <c r="S1150" s="108"/>
      <c r="T1150" s="108"/>
      <c r="U1150" s="108"/>
      <c r="V1150" s="108"/>
      <c r="W1150" s="108"/>
      <c r="X1150" s="108"/>
      <c r="Y1150" s="108"/>
      <c r="Z1150" s="108"/>
    </row>
    <row r="1151" ht="16.5" customHeight="1">
      <c r="A1151" s="108"/>
      <c r="B1151" s="108"/>
      <c r="C1151" s="180"/>
      <c r="D1151" s="108"/>
      <c r="E1151" s="108"/>
      <c r="F1151" s="108"/>
      <c r="G1151" s="108"/>
      <c r="H1151" s="108"/>
      <c r="I1151" s="108"/>
      <c r="J1151" s="108"/>
      <c r="K1151" s="108"/>
      <c r="L1151" s="108"/>
      <c r="M1151" s="108"/>
      <c r="N1151" s="108"/>
      <c r="O1151" s="108"/>
      <c r="P1151" s="108"/>
      <c r="Q1151" s="108"/>
      <c r="R1151" s="108"/>
      <c r="S1151" s="108"/>
      <c r="T1151" s="108"/>
      <c r="U1151" s="108"/>
      <c r="V1151" s="108"/>
      <c r="W1151" s="108"/>
      <c r="X1151" s="108"/>
      <c r="Y1151" s="108"/>
      <c r="Z1151" s="108"/>
    </row>
    <row r="1152" ht="16.5" customHeight="1">
      <c r="A1152" s="108"/>
      <c r="B1152" s="108"/>
      <c r="C1152" s="180"/>
      <c r="D1152" s="108"/>
      <c r="E1152" s="108"/>
      <c r="F1152" s="108"/>
      <c r="G1152" s="108"/>
      <c r="H1152" s="108"/>
      <c r="I1152" s="108"/>
      <c r="J1152" s="108"/>
      <c r="K1152" s="108"/>
      <c r="L1152" s="108"/>
      <c r="M1152" s="108"/>
      <c r="N1152" s="108"/>
      <c r="O1152" s="108"/>
      <c r="P1152" s="108"/>
      <c r="Q1152" s="108"/>
      <c r="R1152" s="108"/>
      <c r="S1152" s="108"/>
      <c r="T1152" s="108"/>
      <c r="U1152" s="108"/>
      <c r="V1152" s="108"/>
      <c r="W1152" s="108"/>
      <c r="X1152" s="108"/>
      <c r="Y1152" s="108"/>
      <c r="Z1152" s="108"/>
    </row>
    <row r="1153" ht="16.5" customHeight="1">
      <c r="A1153" s="108"/>
      <c r="B1153" s="108"/>
      <c r="C1153" s="180"/>
      <c r="D1153" s="108"/>
      <c r="E1153" s="108"/>
      <c r="F1153" s="108"/>
      <c r="G1153" s="108"/>
      <c r="H1153" s="108"/>
      <c r="I1153" s="108"/>
      <c r="J1153" s="108"/>
      <c r="K1153" s="108"/>
      <c r="L1153" s="108"/>
      <c r="M1153" s="108"/>
      <c r="N1153" s="108"/>
      <c r="O1153" s="108"/>
      <c r="P1153" s="108"/>
      <c r="Q1153" s="108"/>
      <c r="R1153" s="108"/>
      <c r="S1153" s="108"/>
      <c r="T1153" s="108"/>
      <c r="U1153" s="108"/>
      <c r="V1153" s="108"/>
      <c r="W1153" s="108"/>
      <c r="X1153" s="108"/>
      <c r="Y1153" s="108"/>
      <c r="Z1153" s="108"/>
    </row>
    <row r="1154" ht="16.5" customHeight="1">
      <c r="A1154" s="108"/>
      <c r="B1154" s="108"/>
      <c r="C1154" s="180"/>
      <c r="D1154" s="108"/>
      <c r="E1154" s="108"/>
      <c r="F1154" s="108"/>
      <c r="G1154" s="108"/>
      <c r="H1154" s="108"/>
      <c r="I1154" s="108"/>
      <c r="J1154" s="108"/>
      <c r="K1154" s="108"/>
      <c r="L1154" s="108"/>
      <c r="M1154" s="108"/>
      <c r="N1154" s="108"/>
      <c r="O1154" s="108"/>
      <c r="P1154" s="108"/>
      <c r="Q1154" s="108"/>
      <c r="R1154" s="108"/>
      <c r="S1154" s="108"/>
      <c r="T1154" s="108"/>
      <c r="U1154" s="108"/>
      <c r="V1154" s="108"/>
      <c r="W1154" s="108"/>
      <c r="X1154" s="108"/>
      <c r="Y1154" s="108"/>
      <c r="Z1154" s="108"/>
    </row>
    <row r="1155" ht="16.5" customHeight="1">
      <c r="A1155" s="108"/>
      <c r="B1155" s="108"/>
      <c r="C1155" s="180"/>
      <c r="D1155" s="108"/>
      <c r="E1155" s="108"/>
      <c r="F1155" s="108"/>
      <c r="G1155" s="108"/>
      <c r="H1155" s="108"/>
      <c r="I1155" s="108"/>
      <c r="J1155" s="108"/>
      <c r="K1155" s="108"/>
      <c r="L1155" s="108"/>
      <c r="M1155" s="108"/>
      <c r="N1155" s="108"/>
      <c r="O1155" s="108"/>
      <c r="P1155" s="108"/>
      <c r="Q1155" s="108"/>
      <c r="R1155" s="108"/>
      <c r="S1155" s="108"/>
      <c r="T1155" s="108"/>
      <c r="U1155" s="108"/>
      <c r="V1155" s="108"/>
      <c r="W1155" s="108"/>
      <c r="X1155" s="108"/>
      <c r="Y1155" s="108"/>
      <c r="Z1155" s="108"/>
    </row>
    <row r="1156" ht="16.5" customHeight="1">
      <c r="A1156" s="108"/>
      <c r="B1156" s="108"/>
      <c r="C1156" s="180"/>
      <c r="D1156" s="108"/>
      <c r="E1156" s="108"/>
      <c r="F1156" s="108"/>
      <c r="G1156" s="108"/>
      <c r="H1156" s="108"/>
      <c r="I1156" s="108"/>
      <c r="J1156" s="108"/>
      <c r="K1156" s="108"/>
      <c r="L1156" s="108"/>
      <c r="M1156" s="108"/>
      <c r="N1156" s="108"/>
      <c r="O1156" s="108"/>
      <c r="P1156" s="108"/>
      <c r="Q1156" s="108"/>
      <c r="R1156" s="108"/>
      <c r="S1156" s="108"/>
      <c r="T1156" s="108"/>
      <c r="U1156" s="108"/>
      <c r="V1156" s="108"/>
      <c r="W1156" s="108"/>
      <c r="X1156" s="108"/>
      <c r="Y1156" s="108"/>
      <c r="Z1156" s="108"/>
    </row>
    <row r="1157" ht="16.5" customHeight="1">
      <c r="A1157" s="108"/>
      <c r="B1157" s="108"/>
      <c r="C1157" s="180"/>
      <c r="D1157" s="108"/>
      <c r="E1157" s="108"/>
      <c r="F1157" s="108"/>
      <c r="G1157" s="108"/>
      <c r="H1157" s="108"/>
      <c r="I1157" s="108"/>
      <c r="J1157" s="108"/>
      <c r="K1157" s="108"/>
      <c r="L1157" s="108"/>
      <c r="M1157" s="108"/>
      <c r="N1157" s="108"/>
      <c r="O1157" s="108"/>
      <c r="P1157" s="108"/>
      <c r="Q1157" s="108"/>
      <c r="R1157" s="108"/>
      <c r="S1157" s="108"/>
      <c r="T1157" s="108"/>
      <c r="U1157" s="108"/>
      <c r="V1157" s="108"/>
      <c r="W1157" s="108"/>
      <c r="X1157" s="108"/>
      <c r="Y1157" s="108"/>
      <c r="Z1157" s="108"/>
    </row>
    <row r="1158" ht="16.5" customHeight="1">
      <c r="A1158" s="108"/>
      <c r="B1158" s="108"/>
      <c r="C1158" s="180"/>
      <c r="D1158" s="108"/>
      <c r="E1158" s="108"/>
      <c r="F1158" s="108"/>
      <c r="G1158" s="108"/>
      <c r="H1158" s="108"/>
      <c r="I1158" s="108"/>
      <c r="J1158" s="108"/>
      <c r="K1158" s="108"/>
      <c r="L1158" s="108"/>
      <c r="M1158" s="108"/>
      <c r="N1158" s="108"/>
      <c r="O1158" s="108"/>
      <c r="P1158" s="108"/>
      <c r="Q1158" s="108"/>
      <c r="R1158" s="108"/>
      <c r="S1158" s="108"/>
      <c r="T1158" s="108"/>
      <c r="U1158" s="108"/>
      <c r="V1158" s="108"/>
      <c r="W1158" s="108"/>
      <c r="X1158" s="108"/>
      <c r="Y1158" s="108"/>
      <c r="Z1158" s="108"/>
    </row>
    <row r="1159" ht="16.5" customHeight="1">
      <c r="A1159" s="108"/>
      <c r="B1159" s="108"/>
      <c r="C1159" s="180"/>
      <c r="D1159" s="108"/>
      <c r="E1159" s="108"/>
      <c r="F1159" s="108"/>
      <c r="G1159" s="108"/>
      <c r="H1159" s="108"/>
      <c r="I1159" s="108"/>
      <c r="J1159" s="108"/>
      <c r="K1159" s="108"/>
      <c r="L1159" s="108"/>
      <c r="M1159" s="108"/>
      <c r="N1159" s="108"/>
      <c r="O1159" s="108"/>
      <c r="P1159" s="108"/>
      <c r="Q1159" s="108"/>
      <c r="R1159" s="108"/>
      <c r="S1159" s="108"/>
      <c r="T1159" s="108"/>
      <c r="U1159" s="108"/>
      <c r="V1159" s="108"/>
      <c r="W1159" s="108"/>
      <c r="X1159" s="108"/>
      <c r="Y1159" s="108"/>
      <c r="Z1159" s="108"/>
    </row>
    <row r="1160" ht="16.5" customHeight="1">
      <c r="A1160" s="108"/>
      <c r="B1160" s="108"/>
      <c r="C1160" s="180"/>
      <c r="D1160" s="108"/>
      <c r="E1160" s="108"/>
      <c r="F1160" s="108"/>
      <c r="G1160" s="108"/>
      <c r="H1160" s="108"/>
      <c r="I1160" s="108"/>
      <c r="J1160" s="108"/>
      <c r="K1160" s="108"/>
      <c r="L1160" s="108"/>
      <c r="M1160" s="108"/>
      <c r="N1160" s="108"/>
      <c r="O1160" s="108"/>
      <c r="P1160" s="108"/>
      <c r="Q1160" s="108"/>
      <c r="R1160" s="108"/>
      <c r="S1160" s="108"/>
      <c r="T1160" s="108"/>
      <c r="U1160" s="108"/>
      <c r="V1160" s="108"/>
      <c r="W1160" s="108"/>
      <c r="X1160" s="108"/>
      <c r="Y1160" s="108"/>
      <c r="Z1160" s="108"/>
    </row>
    <row r="1161" ht="16.5" customHeight="1">
      <c r="A1161" s="108"/>
      <c r="B1161" s="108"/>
      <c r="C1161" s="180"/>
      <c r="D1161" s="108"/>
      <c r="E1161" s="108"/>
      <c r="F1161" s="108"/>
      <c r="G1161" s="108"/>
      <c r="H1161" s="108"/>
      <c r="I1161" s="108"/>
      <c r="J1161" s="108"/>
      <c r="K1161" s="108"/>
      <c r="L1161" s="108"/>
      <c r="M1161" s="108"/>
      <c r="N1161" s="108"/>
      <c r="O1161" s="108"/>
      <c r="P1161" s="108"/>
      <c r="Q1161" s="108"/>
      <c r="R1161" s="108"/>
      <c r="S1161" s="108"/>
      <c r="T1161" s="108"/>
      <c r="U1161" s="108"/>
      <c r="V1161" s="108"/>
      <c r="W1161" s="108"/>
      <c r="X1161" s="108"/>
      <c r="Y1161" s="108"/>
      <c r="Z1161" s="108"/>
    </row>
    <row r="1162" ht="16.5" customHeight="1">
      <c r="A1162" s="108"/>
      <c r="B1162" s="108"/>
      <c r="C1162" s="180"/>
      <c r="D1162" s="108"/>
      <c r="E1162" s="108"/>
      <c r="F1162" s="108"/>
      <c r="G1162" s="108"/>
      <c r="H1162" s="108"/>
      <c r="I1162" s="108"/>
      <c r="J1162" s="108"/>
      <c r="K1162" s="108"/>
      <c r="L1162" s="108"/>
      <c r="M1162" s="108"/>
      <c r="N1162" s="108"/>
      <c r="O1162" s="108"/>
      <c r="P1162" s="108"/>
      <c r="Q1162" s="108"/>
      <c r="R1162" s="108"/>
      <c r="S1162" s="108"/>
      <c r="T1162" s="108"/>
      <c r="U1162" s="108"/>
      <c r="V1162" s="108"/>
      <c r="W1162" s="108"/>
      <c r="X1162" s="108"/>
      <c r="Y1162" s="108"/>
      <c r="Z1162" s="108"/>
    </row>
    <row r="1163" ht="16.5" customHeight="1">
      <c r="A1163" s="108"/>
      <c r="B1163" s="108"/>
      <c r="C1163" s="180"/>
      <c r="D1163" s="108"/>
      <c r="E1163" s="108"/>
      <c r="F1163" s="108"/>
      <c r="G1163" s="108"/>
      <c r="H1163" s="108"/>
      <c r="I1163" s="108"/>
      <c r="J1163" s="108"/>
      <c r="K1163" s="108"/>
      <c r="L1163" s="108"/>
      <c r="M1163" s="108"/>
      <c r="N1163" s="108"/>
      <c r="O1163" s="108"/>
      <c r="P1163" s="108"/>
      <c r="Q1163" s="108"/>
      <c r="R1163" s="108"/>
      <c r="S1163" s="108"/>
      <c r="T1163" s="108"/>
      <c r="U1163" s="108"/>
      <c r="V1163" s="108"/>
      <c r="W1163" s="108"/>
      <c r="X1163" s="108"/>
      <c r="Y1163" s="108"/>
      <c r="Z1163" s="108"/>
    </row>
    <row r="1164" ht="16.5" customHeight="1">
      <c r="A1164" s="108"/>
      <c r="B1164" s="108"/>
      <c r="C1164" s="180"/>
      <c r="D1164" s="108"/>
      <c r="E1164" s="108"/>
      <c r="F1164" s="108"/>
      <c r="G1164" s="108"/>
      <c r="H1164" s="108"/>
      <c r="I1164" s="108"/>
      <c r="J1164" s="108"/>
      <c r="K1164" s="108"/>
      <c r="L1164" s="108"/>
      <c r="M1164" s="108"/>
      <c r="N1164" s="108"/>
      <c r="O1164" s="108"/>
      <c r="P1164" s="108"/>
      <c r="Q1164" s="108"/>
      <c r="R1164" s="108"/>
      <c r="S1164" s="108"/>
      <c r="T1164" s="108"/>
      <c r="U1164" s="108"/>
      <c r="V1164" s="108"/>
      <c r="W1164" s="108"/>
      <c r="X1164" s="108"/>
      <c r="Y1164" s="108"/>
      <c r="Z1164" s="108"/>
    </row>
    <row r="1165" ht="16.5" customHeight="1">
      <c r="A1165" s="108"/>
      <c r="B1165" s="108"/>
      <c r="C1165" s="180"/>
      <c r="D1165" s="108"/>
      <c r="E1165" s="108"/>
      <c r="F1165" s="108"/>
      <c r="G1165" s="108"/>
      <c r="H1165" s="108"/>
      <c r="I1165" s="108"/>
      <c r="J1165" s="108"/>
      <c r="K1165" s="108"/>
      <c r="L1165" s="108"/>
      <c r="M1165" s="108"/>
      <c r="N1165" s="108"/>
      <c r="O1165" s="108"/>
      <c r="P1165" s="108"/>
      <c r="Q1165" s="108"/>
      <c r="R1165" s="108"/>
      <c r="S1165" s="108"/>
      <c r="T1165" s="108"/>
      <c r="U1165" s="108"/>
      <c r="V1165" s="108"/>
      <c r="W1165" s="108"/>
      <c r="X1165" s="108"/>
      <c r="Y1165" s="108"/>
      <c r="Z1165" s="108"/>
    </row>
    <row r="1166" ht="16.5" customHeight="1">
      <c r="A1166" s="108"/>
      <c r="B1166" s="108"/>
      <c r="C1166" s="180"/>
      <c r="D1166" s="108"/>
      <c r="E1166" s="108"/>
      <c r="F1166" s="108"/>
      <c r="G1166" s="108"/>
      <c r="H1166" s="108"/>
      <c r="I1166" s="108"/>
      <c r="J1166" s="108"/>
      <c r="K1166" s="108"/>
      <c r="L1166" s="108"/>
      <c r="M1166" s="108"/>
      <c r="N1166" s="108"/>
      <c r="O1166" s="108"/>
      <c r="P1166" s="108"/>
      <c r="Q1166" s="108"/>
      <c r="R1166" s="108"/>
      <c r="S1166" s="108"/>
      <c r="T1166" s="108"/>
      <c r="U1166" s="108"/>
      <c r="V1166" s="108"/>
      <c r="W1166" s="108"/>
      <c r="X1166" s="108"/>
      <c r="Y1166" s="108"/>
      <c r="Z1166" s="108"/>
    </row>
    <row r="1167" ht="16.5" customHeight="1">
      <c r="A1167" s="108"/>
      <c r="B1167" s="108"/>
      <c r="C1167" s="180"/>
      <c r="D1167" s="108"/>
      <c r="E1167" s="108"/>
      <c r="F1167" s="108"/>
      <c r="G1167" s="108"/>
      <c r="H1167" s="108"/>
      <c r="I1167" s="108"/>
      <c r="J1167" s="108"/>
      <c r="K1167" s="108"/>
      <c r="L1167" s="108"/>
      <c r="M1167" s="108"/>
      <c r="N1167" s="108"/>
      <c r="O1167" s="108"/>
      <c r="P1167" s="108"/>
      <c r="Q1167" s="108"/>
      <c r="R1167" s="108"/>
      <c r="S1167" s="108"/>
      <c r="T1167" s="108"/>
      <c r="U1167" s="108"/>
      <c r="V1167" s="108"/>
      <c r="W1167" s="108"/>
      <c r="X1167" s="108"/>
      <c r="Y1167" s="108"/>
      <c r="Z1167" s="108"/>
    </row>
    <row r="1168" ht="16.5" customHeight="1">
      <c r="A1168" s="108"/>
      <c r="B1168" s="108"/>
      <c r="C1168" s="180"/>
      <c r="D1168" s="108"/>
      <c r="E1168" s="108"/>
      <c r="F1168" s="108"/>
      <c r="G1168" s="108"/>
      <c r="H1168" s="108"/>
      <c r="I1168" s="108"/>
      <c r="J1168" s="108"/>
      <c r="K1168" s="108"/>
      <c r="L1168" s="108"/>
      <c r="M1168" s="108"/>
      <c r="N1168" s="108"/>
      <c r="O1168" s="108"/>
      <c r="P1168" s="108"/>
      <c r="Q1168" s="108"/>
      <c r="R1168" s="108"/>
      <c r="S1168" s="108"/>
      <c r="T1168" s="108"/>
      <c r="U1168" s="108"/>
      <c r="V1168" s="108"/>
      <c r="W1168" s="108"/>
      <c r="X1168" s="108"/>
      <c r="Y1168" s="108"/>
      <c r="Z1168" s="108"/>
    </row>
    <row r="1169" ht="16.5" customHeight="1">
      <c r="A1169" s="108"/>
      <c r="B1169" s="108"/>
      <c r="C1169" s="180"/>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row>
    <row r="1170" ht="16.5" customHeight="1">
      <c r="A1170" s="108"/>
      <c r="B1170" s="108"/>
      <c r="C1170" s="180"/>
      <c r="D1170" s="108"/>
      <c r="E1170" s="108"/>
      <c r="F1170" s="108"/>
      <c r="G1170" s="108"/>
      <c r="H1170" s="108"/>
      <c r="I1170" s="108"/>
      <c r="J1170" s="108"/>
      <c r="K1170" s="108"/>
      <c r="L1170" s="108"/>
      <c r="M1170" s="108"/>
      <c r="N1170" s="108"/>
      <c r="O1170" s="108"/>
      <c r="P1170" s="108"/>
      <c r="Q1170" s="108"/>
      <c r="R1170" s="108"/>
      <c r="S1170" s="108"/>
      <c r="T1170" s="108"/>
      <c r="U1170" s="108"/>
      <c r="V1170" s="108"/>
      <c r="W1170" s="108"/>
      <c r="X1170" s="108"/>
      <c r="Y1170" s="108"/>
      <c r="Z1170" s="108"/>
    </row>
    <row r="1171" ht="16.5" customHeight="1">
      <c r="A1171" s="108"/>
      <c r="B1171" s="108"/>
      <c r="C1171" s="180"/>
      <c r="D1171" s="108"/>
      <c r="E1171" s="108"/>
      <c r="F1171" s="108"/>
      <c r="G1171" s="108"/>
      <c r="H1171" s="108"/>
      <c r="I1171" s="108"/>
      <c r="J1171" s="108"/>
      <c r="K1171" s="108"/>
      <c r="L1171" s="108"/>
      <c r="M1171" s="108"/>
      <c r="N1171" s="108"/>
      <c r="O1171" s="108"/>
      <c r="P1171" s="108"/>
      <c r="Q1171" s="108"/>
      <c r="R1171" s="108"/>
      <c r="S1171" s="108"/>
      <c r="T1171" s="108"/>
      <c r="U1171" s="108"/>
      <c r="V1171" s="108"/>
      <c r="W1171" s="108"/>
      <c r="X1171" s="108"/>
      <c r="Y1171" s="108"/>
      <c r="Z1171" s="108"/>
    </row>
    <row r="1172" ht="16.5" customHeight="1">
      <c r="A1172" s="108"/>
      <c r="B1172" s="108"/>
      <c r="C1172" s="180"/>
      <c r="D1172" s="108"/>
      <c r="E1172" s="108"/>
      <c r="F1172" s="108"/>
      <c r="G1172" s="108"/>
      <c r="H1172" s="108"/>
      <c r="I1172" s="108"/>
      <c r="J1172" s="108"/>
      <c r="K1172" s="108"/>
      <c r="L1172" s="108"/>
      <c r="M1172" s="108"/>
      <c r="N1172" s="108"/>
      <c r="O1172" s="108"/>
      <c r="P1172" s="108"/>
      <c r="Q1172" s="108"/>
      <c r="R1172" s="108"/>
      <c r="S1172" s="108"/>
      <c r="T1172" s="108"/>
      <c r="U1172" s="108"/>
      <c r="V1172" s="108"/>
      <c r="W1172" s="108"/>
      <c r="X1172" s="108"/>
      <c r="Y1172" s="108"/>
      <c r="Z1172" s="108"/>
    </row>
    <row r="1173" ht="16.5" customHeight="1">
      <c r="A1173" s="108"/>
      <c r="B1173" s="108"/>
      <c r="C1173" s="180"/>
      <c r="D1173" s="108"/>
      <c r="E1173" s="108"/>
      <c r="F1173" s="108"/>
      <c r="G1173" s="108"/>
      <c r="H1173" s="108"/>
      <c r="I1173" s="108"/>
      <c r="J1173" s="108"/>
      <c r="K1173" s="108"/>
      <c r="L1173" s="108"/>
      <c r="M1173" s="108"/>
      <c r="N1173" s="108"/>
      <c r="O1173" s="108"/>
      <c r="P1173" s="108"/>
      <c r="Q1173" s="108"/>
      <c r="R1173" s="108"/>
      <c r="S1173" s="108"/>
      <c r="T1173" s="108"/>
      <c r="U1173" s="108"/>
      <c r="V1173" s="108"/>
      <c r="W1173" s="108"/>
      <c r="X1173" s="108"/>
      <c r="Y1173" s="108"/>
      <c r="Z1173" s="108"/>
    </row>
    <row r="1174" ht="16.5" customHeight="1">
      <c r="A1174" s="108"/>
      <c r="B1174" s="108"/>
      <c r="C1174" s="180"/>
      <c r="D1174" s="108"/>
      <c r="E1174" s="108"/>
      <c r="F1174" s="108"/>
      <c r="G1174" s="108"/>
      <c r="H1174" s="108"/>
      <c r="I1174" s="108"/>
      <c r="J1174" s="108"/>
      <c r="K1174" s="108"/>
      <c r="L1174" s="108"/>
      <c r="M1174" s="108"/>
      <c r="N1174" s="108"/>
      <c r="O1174" s="108"/>
      <c r="P1174" s="108"/>
      <c r="Q1174" s="108"/>
      <c r="R1174" s="108"/>
      <c r="S1174" s="108"/>
      <c r="T1174" s="108"/>
      <c r="U1174" s="108"/>
      <c r="V1174" s="108"/>
      <c r="W1174" s="108"/>
      <c r="X1174" s="108"/>
      <c r="Y1174" s="108"/>
      <c r="Z1174" s="108"/>
    </row>
    <row r="1175" ht="16.5" customHeight="1">
      <c r="A1175" s="108"/>
      <c r="B1175" s="108"/>
      <c r="C1175" s="180"/>
      <c r="D1175" s="108"/>
      <c r="E1175" s="108"/>
      <c r="F1175" s="108"/>
      <c r="G1175" s="108"/>
      <c r="H1175" s="108"/>
      <c r="I1175" s="108"/>
      <c r="J1175" s="108"/>
      <c r="K1175" s="108"/>
      <c r="L1175" s="108"/>
      <c r="M1175" s="108"/>
      <c r="N1175" s="108"/>
      <c r="O1175" s="108"/>
      <c r="P1175" s="108"/>
      <c r="Q1175" s="108"/>
      <c r="R1175" s="108"/>
      <c r="S1175" s="108"/>
      <c r="T1175" s="108"/>
      <c r="U1175" s="108"/>
      <c r="V1175" s="108"/>
      <c r="W1175" s="108"/>
      <c r="X1175" s="108"/>
      <c r="Y1175" s="108"/>
      <c r="Z1175" s="108"/>
    </row>
    <row r="1176" ht="16.5" customHeight="1">
      <c r="A1176" s="108"/>
      <c r="B1176" s="108"/>
      <c r="C1176" s="180"/>
      <c r="D1176" s="108"/>
      <c r="E1176" s="108"/>
      <c r="F1176" s="108"/>
      <c r="G1176" s="108"/>
      <c r="H1176" s="108"/>
      <c r="I1176" s="108"/>
      <c r="J1176" s="108"/>
      <c r="K1176" s="108"/>
      <c r="L1176" s="108"/>
      <c r="M1176" s="108"/>
      <c r="N1176" s="108"/>
      <c r="O1176" s="108"/>
      <c r="P1176" s="108"/>
      <c r="Q1176" s="108"/>
      <c r="R1176" s="108"/>
      <c r="S1176" s="108"/>
      <c r="T1176" s="108"/>
      <c r="U1176" s="108"/>
      <c r="V1176" s="108"/>
      <c r="W1176" s="108"/>
      <c r="X1176" s="108"/>
      <c r="Y1176" s="108"/>
      <c r="Z1176" s="108"/>
    </row>
    <row r="1177" ht="16.5" customHeight="1">
      <c r="A1177" s="108"/>
      <c r="B1177" s="108"/>
      <c r="C1177" s="180"/>
      <c r="D1177" s="108"/>
      <c r="E1177" s="108"/>
      <c r="F1177" s="108"/>
      <c r="G1177" s="108"/>
      <c r="H1177" s="108"/>
      <c r="I1177" s="108"/>
      <c r="J1177" s="108"/>
      <c r="K1177" s="108"/>
      <c r="L1177" s="108"/>
      <c r="M1177" s="108"/>
      <c r="N1177" s="108"/>
      <c r="O1177" s="108"/>
      <c r="P1177" s="108"/>
      <c r="Q1177" s="108"/>
      <c r="R1177" s="108"/>
      <c r="S1177" s="108"/>
      <c r="T1177" s="108"/>
      <c r="U1177" s="108"/>
      <c r="V1177" s="108"/>
      <c r="W1177" s="108"/>
      <c r="X1177" s="108"/>
      <c r="Y1177" s="108"/>
      <c r="Z1177" s="108"/>
    </row>
    <row r="1178" ht="16.5" customHeight="1">
      <c r="A1178" s="108"/>
      <c r="B1178" s="108"/>
      <c r="C1178" s="180"/>
      <c r="D1178" s="108"/>
      <c r="E1178" s="108"/>
      <c r="F1178" s="108"/>
      <c r="G1178" s="108"/>
      <c r="H1178" s="108"/>
      <c r="I1178" s="108"/>
      <c r="J1178" s="108"/>
      <c r="K1178" s="108"/>
      <c r="L1178" s="108"/>
      <c r="M1178" s="108"/>
      <c r="N1178" s="108"/>
      <c r="O1178" s="108"/>
      <c r="P1178" s="108"/>
      <c r="Q1178" s="108"/>
      <c r="R1178" s="108"/>
      <c r="S1178" s="108"/>
      <c r="T1178" s="108"/>
      <c r="U1178" s="108"/>
      <c r="V1178" s="108"/>
      <c r="W1178" s="108"/>
      <c r="X1178" s="108"/>
      <c r="Y1178" s="108"/>
      <c r="Z1178" s="108"/>
    </row>
    <row r="1179" ht="16.5" customHeight="1">
      <c r="A1179" s="108"/>
      <c r="B1179" s="108"/>
      <c r="C1179" s="180"/>
      <c r="D1179" s="108"/>
      <c r="E1179" s="108"/>
      <c r="F1179" s="108"/>
      <c r="G1179" s="108"/>
      <c r="H1179" s="108"/>
      <c r="I1179" s="108"/>
      <c r="J1179" s="108"/>
      <c r="K1179" s="108"/>
      <c r="L1179" s="108"/>
      <c r="M1179" s="108"/>
      <c r="N1179" s="108"/>
      <c r="O1179" s="108"/>
      <c r="P1179" s="108"/>
      <c r="Q1179" s="108"/>
      <c r="R1179" s="108"/>
      <c r="S1179" s="108"/>
      <c r="T1179" s="108"/>
      <c r="U1179" s="108"/>
      <c r="V1179" s="108"/>
      <c r="W1179" s="108"/>
      <c r="X1179" s="108"/>
      <c r="Y1179" s="108"/>
      <c r="Z1179" s="108"/>
    </row>
    <row r="1180" ht="16.5" customHeight="1">
      <c r="A1180" s="108"/>
      <c r="B1180" s="108"/>
      <c r="C1180" s="180"/>
      <c r="D1180" s="108"/>
      <c r="E1180" s="108"/>
      <c r="F1180" s="108"/>
      <c r="G1180" s="108"/>
      <c r="H1180" s="108"/>
      <c r="I1180" s="108"/>
      <c r="J1180" s="108"/>
      <c r="K1180" s="108"/>
      <c r="L1180" s="108"/>
      <c r="M1180" s="108"/>
      <c r="N1180" s="108"/>
      <c r="O1180" s="108"/>
      <c r="P1180" s="108"/>
      <c r="Q1180" s="108"/>
      <c r="R1180" s="108"/>
      <c r="S1180" s="108"/>
      <c r="T1180" s="108"/>
      <c r="U1180" s="108"/>
      <c r="V1180" s="108"/>
      <c r="W1180" s="108"/>
      <c r="X1180" s="108"/>
      <c r="Y1180" s="108"/>
      <c r="Z1180" s="108"/>
    </row>
    <row r="1181" ht="16.5" customHeight="1">
      <c r="A1181" s="108"/>
      <c r="B1181" s="108"/>
      <c r="C1181" s="180"/>
      <c r="D1181" s="108"/>
      <c r="E1181" s="108"/>
      <c r="F1181" s="108"/>
      <c r="G1181" s="108"/>
      <c r="H1181" s="108"/>
      <c r="I1181" s="108"/>
      <c r="J1181" s="108"/>
      <c r="K1181" s="108"/>
      <c r="L1181" s="108"/>
      <c r="M1181" s="108"/>
      <c r="N1181" s="108"/>
      <c r="O1181" s="108"/>
      <c r="P1181" s="108"/>
      <c r="Q1181" s="108"/>
      <c r="R1181" s="108"/>
      <c r="S1181" s="108"/>
      <c r="T1181" s="108"/>
      <c r="U1181" s="108"/>
      <c r="V1181" s="108"/>
      <c r="W1181" s="108"/>
      <c r="X1181" s="108"/>
      <c r="Y1181" s="108"/>
      <c r="Z1181" s="108"/>
    </row>
    <row r="1182" ht="16.5" customHeight="1">
      <c r="A1182" s="108"/>
      <c r="B1182" s="108"/>
      <c r="C1182" s="180"/>
      <c r="D1182" s="108"/>
      <c r="E1182" s="108"/>
      <c r="F1182" s="108"/>
      <c r="G1182" s="108"/>
      <c r="H1182" s="108"/>
      <c r="I1182" s="108"/>
      <c r="J1182" s="108"/>
      <c r="K1182" s="108"/>
      <c r="L1182" s="108"/>
      <c r="M1182" s="108"/>
      <c r="N1182" s="108"/>
      <c r="O1182" s="108"/>
      <c r="P1182" s="108"/>
      <c r="Q1182" s="108"/>
      <c r="R1182" s="108"/>
      <c r="S1182" s="108"/>
      <c r="T1182" s="108"/>
      <c r="U1182" s="108"/>
      <c r="V1182" s="108"/>
      <c r="W1182" s="108"/>
      <c r="X1182" s="108"/>
      <c r="Y1182" s="108"/>
      <c r="Z1182" s="108"/>
    </row>
    <row r="1183" ht="16.5" customHeight="1">
      <c r="A1183" s="108"/>
      <c r="B1183" s="108"/>
      <c r="C1183" s="180"/>
      <c r="D1183" s="108"/>
      <c r="E1183" s="108"/>
      <c r="F1183" s="108"/>
      <c r="G1183" s="108"/>
      <c r="H1183" s="108"/>
      <c r="I1183" s="108"/>
      <c r="J1183" s="108"/>
      <c r="K1183" s="108"/>
      <c r="L1183" s="108"/>
      <c r="M1183" s="108"/>
      <c r="N1183" s="108"/>
      <c r="O1183" s="108"/>
      <c r="P1183" s="108"/>
      <c r="Q1183" s="108"/>
      <c r="R1183" s="108"/>
      <c r="S1183" s="108"/>
      <c r="T1183" s="108"/>
      <c r="U1183" s="108"/>
      <c r="V1183" s="108"/>
      <c r="W1183" s="108"/>
      <c r="X1183" s="108"/>
      <c r="Y1183" s="108"/>
      <c r="Z1183" s="108"/>
    </row>
    <row r="1184" ht="16.5" customHeight="1">
      <c r="A1184" s="108"/>
      <c r="B1184" s="108"/>
      <c r="C1184" s="180"/>
      <c r="D1184" s="108"/>
      <c r="E1184" s="108"/>
      <c r="F1184" s="108"/>
      <c r="G1184" s="108"/>
      <c r="H1184" s="108"/>
      <c r="I1184" s="108"/>
      <c r="J1184" s="108"/>
      <c r="K1184" s="108"/>
      <c r="L1184" s="108"/>
      <c r="M1184" s="108"/>
      <c r="N1184" s="108"/>
      <c r="O1184" s="108"/>
      <c r="P1184" s="108"/>
      <c r="Q1184" s="108"/>
      <c r="R1184" s="108"/>
      <c r="S1184" s="108"/>
      <c r="T1184" s="108"/>
      <c r="U1184" s="108"/>
      <c r="V1184" s="108"/>
      <c r="W1184" s="108"/>
      <c r="X1184" s="108"/>
      <c r="Y1184" s="108"/>
      <c r="Z1184" s="108"/>
    </row>
    <row r="1185" ht="16.5" customHeight="1">
      <c r="A1185" s="108"/>
      <c r="B1185" s="108"/>
      <c r="C1185" s="180"/>
      <c r="D1185" s="108"/>
      <c r="E1185" s="108"/>
      <c r="F1185" s="108"/>
      <c r="G1185" s="108"/>
      <c r="H1185" s="108"/>
      <c r="I1185" s="108"/>
      <c r="J1185" s="108"/>
      <c r="K1185" s="108"/>
      <c r="L1185" s="108"/>
      <c r="M1185" s="108"/>
      <c r="N1185" s="108"/>
      <c r="O1185" s="108"/>
      <c r="P1185" s="108"/>
      <c r="Q1185" s="108"/>
      <c r="R1185" s="108"/>
      <c r="S1185" s="108"/>
      <c r="T1185" s="108"/>
      <c r="U1185" s="108"/>
      <c r="V1185" s="108"/>
      <c r="W1185" s="108"/>
      <c r="X1185" s="108"/>
      <c r="Y1185" s="108"/>
      <c r="Z1185" s="108"/>
    </row>
    <row r="1186" ht="16.5" customHeight="1">
      <c r="A1186" s="108"/>
      <c r="B1186" s="108"/>
      <c r="C1186" s="180"/>
      <c r="D1186" s="108"/>
      <c r="E1186" s="108"/>
      <c r="F1186" s="108"/>
      <c r="G1186" s="108"/>
      <c r="H1186" s="108"/>
      <c r="I1186" s="108"/>
      <c r="J1186" s="108"/>
      <c r="K1186" s="108"/>
      <c r="L1186" s="108"/>
      <c r="M1186" s="108"/>
      <c r="N1186" s="108"/>
      <c r="O1186" s="108"/>
      <c r="P1186" s="108"/>
      <c r="Q1186" s="108"/>
      <c r="R1186" s="108"/>
      <c r="S1186" s="108"/>
      <c r="T1186" s="108"/>
      <c r="U1186" s="108"/>
      <c r="V1186" s="108"/>
      <c r="W1186" s="108"/>
      <c r="X1186" s="108"/>
      <c r="Y1186" s="108"/>
      <c r="Z1186" s="108"/>
    </row>
    <row r="1187" ht="16.5" customHeight="1">
      <c r="A1187" s="108"/>
      <c r="B1187" s="108"/>
      <c r="C1187" s="180"/>
      <c r="D1187" s="108"/>
      <c r="E1187" s="108"/>
      <c r="F1187" s="108"/>
      <c r="G1187" s="108"/>
      <c r="H1187" s="108"/>
      <c r="I1187" s="108"/>
      <c r="J1187" s="108"/>
      <c r="K1187" s="108"/>
      <c r="L1187" s="108"/>
      <c r="M1187" s="108"/>
      <c r="N1187" s="108"/>
      <c r="O1187" s="108"/>
      <c r="P1187" s="108"/>
      <c r="Q1187" s="108"/>
      <c r="R1187" s="108"/>
      <c r="S1187" s="108"/>
      <c r="T1187" s="108"/>
      <c r="U1187" s="108"/>
      <c r="V1187" s="108"/>
      <c r="W1187" s="108"/>
      <c r="X1187" s="108"/>
      <c r="Y1187" s="108"/>
      <c r="Z1187" s="108"/>
    </row>
    <row r="1188" ht="16.5" customHeight="1">
      <c r="A1188" s="108"/>
      <c r="B1188" s="108"/>
      <c r="C1188" s="180"/>
      <c r="D1188" s="108"/>
      <c r="E1188" s="108"/>
      <c r="F1188" s="108"/>
      <c r="G1188" s="108"/>
      <c r="H1188" s="108"/>
      <c r="I1188" s="108"/>
      <c r="J1188" s="108"/>
      <c r="K1188" s="108"/>
      <c r="L1188" s="108"/>
      <c r="M1188" s="108"/>
      <c r="N1188" s="108"/>
      <c r="O1188" s="108"/>
      <c r="P1188" s="108"/>
      <c r="Q1188" s="108"/>
      <c r="R1188" s="108"/>
      <c r="S1188" s="108"/>
      <c r="T1188" s="108"/>
      <c r="U1188" s="108"/>
      <c r="V1188" s="108"/>
      <c r="W1188" s="108"/>
      <c r="X1188" s="108"/>
      <c r="Y1188" s="108"/>
      <c r="Z1188" s="108"/>
    </row>
    <row r="1189" ht="16.5" customHeight="1">
      <c r="A1189" s="108"/>
      <c r="B1189" s="108"/>
      <c r="C1189" s="180"/>
      <c r="D1189" s="108"/>
      <c r="E1189" s="108"/>
      <c r="F1189" s="108"/>
      <c r="G1189" s="108"/>
      <c r="H1189" s="108"/>
      <c r="I1189" s="108"/>
      <c r="J1189" s="108"/>
      <c r="K1189" s="108"/>
      <c r="L1189" s="108"/>
      <c r="M1189" s="108"/>
      <c r="N1189" s="108"/>
      <c r="O1189" s="108"/>
      <c r="P1189" s="108"/>
      <c r="Q1189" s="108"/>
      <c r="R1189" s="108"/>
      <c r="S1189" s="108"/>
      <c r="T1189" s="108"/>
      <c r="U1189" s="108"/>
      <c r="V1189" s="108"/>
      <c r="W1189" s="108"/>
      <c r="X1189" s="108"/>
      <c r="Y1189" s="108"/>
      <c r="Z1189" s="108"/>
    </row>
    <row r="1190" ht="16.5" customHeight="1">
      <c r="A1190" s="108"/>
      <c r="B1190" s="108"/>
      <c r="C1190" s="180"/>
      <c r="D1190" s="108"/>
      <c r="E1190" s="108"/>
      <c r="F1190" s="108"/>
      <c r="G1190" s="108"/>
      <c r="H1190" s="108"/>
      <c r="I1190" s="108"/>
      <c r="J1190" s="108"/>
      <c r="K1190" s="108"/>
      <c r="L1190" s="108"/>
      <c r="M1190" s="108"/>
      <c r="N1190" s="108"/>
      <c r="O1190" s="108"/>
      <c r="P1190" s="108"/>
      <c r="Q1190" s="108"/>
      <c r="R1190" s="108"/>
      <c r="S1190" s="108"/>
      <c r="T1190" s="108"/>
      <c r="U1190" s="108"/>
      <c r="V1190" s="108"/>
      <c r="W1190" s="108"/>
      <c r="X1190" s="108"/>
      <c r="Y1190" s="108"/>
      <c r="Z1190" s="108"/>
    </row>
    <row r="1191" ht="16.5" customHeight="1">
      <c r="A1191" s="108"/>
      <c r="B1191" s="108"/>
      <c r="C1191" s="180"/>
      <c r="D1191" s="108"/>
      <c r="E1191" s="108"/>
      <c r="F1191" s="108"/>
      <c r="G1191" s="108"/>
      <c r="H1191" s="108"/>
      <c r="I1191" s="108"/>
      <c r="J1191" s="108"/>
      <c r="K1191" s="108"/>
      <c r="L1191" s="108"/>
      <c r="M1191" s="108"/>
      <c r="N1191" s="108"/>
      <c r="O1191" s="108"/>
      <c r="P1191" s="108"/>
      <c r="Q1191" s="108"/>
      <c r="R1191" s="108"/>
      <c r="S1191" s="108"/>
      <c r="T1191" s="108"/>
      <c r="U1191" s="108"/>
      <c r="V1191" s="108"/>
      <c r="W1191" s="108"/>
      <c r="X1191" s="108"/>
      <c r="Y1191" s="108"/>
      <c r="Z1191" s="108"/>
    </row>
    <row r="1192" ht="16.5" customHeight="1">
      <c r="A1192" s="108"/>
      <c r="B1192" s="108"/>
      <c r="C1192" s="180"/>
      <c r="D1192" s="108"/>
      <c r="E1192" s="108"/>
      <c r="F1192" s="108"/>
      <c r="G1192" s="108"/>
      <c r="H1192" s="108"/>
      <c r="I1192" s="108"/>
      <c r="J1192" s="108"/>
      <c r="K1192" s="108"/>
      <c r="L1192" s="108"/>
      <c r="M1192" s="108"/>
      <c r="N1192" s="108"/>
      <c r="O1192" s="108"/>
      <c r="P1192" s="108"/>
      <c r="Q1192" s="108"/>
      <c r="R1192" s="108"/>
      <c r="S1192" s="108"/>
      <c r="T1192" s="108"/>
      <c r="U1192" s="108"/>
      <c r="V1192" s="108"/>
      <c r="W1192" s="108"/>
      <c r="X1192" s="108"/>
      <c r="Y1192" s="108"/>
      <c r="Z1192" s="108"/>
    </row>
    <row r="1193" ht="16.5" customHeight="1">
      <c r="A1193" s="108"/>
      <c r="B1193" s="108"/>
      <c r="C1193" s="180"/>
      <c r="D1193" s="108"/>
      <c r="E1193" s="108"/>
      <c r="F1193" s="108"/>
      <c r="G1193" s="108"/>
      <c r="H1193" s="108"/>
      <c r="I1193" s="108"/>
      <c r="J1193" s="108"/>
      <c r="K1193" s="108"/>
      <c r="L1193" s="108"/>
      <c r="M1193" s="108"/>
      <c r="N1193" s="108"/>
      <c r="O1193" s="108"/>
      <c r="P1193" s="108"/>
      <c r="Q1193" s="108"/>
      <c r="R1193" s="108"/>
      <c r="S1193" s="108"/>
      <c r="T1193" s="108"/>
      <c r="U1193" s="108"/>
      <c r="V1193" s="108"/>
      <c r="W1193" s="108"/>
      <c r="X1193" s="108"/>
      <c r="Y1193" s="108"/>
      <c r="Z1193" s="108"/>
    </row>
    <row r="1194" ht="16.5" customHeight="1">
      <c r="A1194" s="108"/>
      <c r="B1194" s="108"/>
      <c r="C1194" s="180"/>
      <c r="D1194" s="108"/>
      <c r="E1194" s="108"/>
      <c r="F1194" s="108"/>
      <c r="G1194" s="108"/>
      <c r="H1194" s="108"/>
      <c r="I1194" s="108"/>
      <c r="J1194" s="108"/>
      <c r="K1194" s="108"/>
      <c r="L1194" s="108"/>
      <c r="M1194" s="108"/>
      <c r="N1194" s="108"/>
      <c r="O1194" s="108"/>
      <c r="P1194" s="108"/>
      <c r="Q1194" s="108"/>
      <c r="R1194" s="108"/>
      <c r="S1194" s="108"/>
      <c r="T1194" s="108"/>
      <c r="U1194" s="108"/>
      <c r="V1194" s="108"/>
      <c r="W1194" s="108"/>
      <c r="X1194" s="108"/>
      <c r="Y1194" s="108"/>
      <c r="Z1194" s="108"/>
    </row>
    <row r="1195" ht="16.5" customHeight="1">
      <c r="A1195" s="108"/>
      <c r="B1195" s="108"/>
      <c r="C1195" s="180"/>
      <c r="D1195" s="108"/>
      <c r="E1195" s="108"/>
      <c r="F1195" s="108"/>
      <c r="G1195" s="108"/>
      <c r="H1195" s="108"/>
      <c r="I1195" s="108"/>
      <c r="J1195" s="108"/>
      <c r="K1195" s="108"/>
      <c r="L1195" s="108"/>
      <c r="M1195" s="108"/>
      <c r="N1195" s="108"/>
      <c r="O1195" s="108"/>
      <c r="P1195" s="108"/>
      <c r="Q1195" s="108"/>
      <c r="R1195" s="108"/>
      <c r="S1195" s="108"/>
      <c r="T1195" s="108"/>
      <c r="U1195" s="108"/>
      <c r="V1195" s="108"/>
      <c r="W1195" s="108"/>
      <c r="X1195" s="108"/>
      <c r="Y1195" s="108"/>
      <c r="Z1195" s="108"/>
    </row>
    <row r="1196" ht="16.5" customHeight="1">
      <c r="A1196" s="108"/>
      <c r="B1196" s="108"/>
      <c r="C1196" s="180"/>
      <c r="D1196" s="108"/>
      <c r="E1196" s="108"/>
      <c r="F1196" s="108"/>
      <c r="G1196" s="108"/>
      <c r="H1196" s="108"/>
      <c r="I1196" s="108"/>
      <c r="J1196" s="108"/>
      <c r="K1196" s="108"/>
      <c r="L1196" s="108"/>
      <c r="M1196" s="108"/>
      <c r="N1196" s="108"/>
      <c r="O1196" s="108"/>
      <c r="P1196" s="108"/>
      <c r="Q1196" s="108"/>
      <c r="R1196" s="108"/>
      <c r="S1196" s="108"/>
      <c r="T1196" s="108"/>
      <c r="U1196" s="108"/>
      <c r="V1196" s="108"/>
      <c r="W1196" s="108"/>
      <c r="X1196" s="108"/>
      <c r="Y1196" s="108"/>
      <c r="Z1196" s="108"/>
    </row>
    <row r="1197" ht="16.5" customHeight="1">
      <c r="A1197" s="108"/>
      <c r="B1197" s="108"/>
      <c r="C1197" s="180"/>
      <c r="D1197" s="108"/>
      <c r="E1197" s="108"/>
      <c r="F1197" s="108"/>
      <c r="G1197" s="108"/>
      <c r="H1197" s="108"/>
      <c r="I1197" s="108"/>
      <c r="J1197" s="108"/>
      <c r="K1197" s="108"/>
      <c r="L1197" s="108"/>
      <c r="M1197" s="108"/>
      <c r="N1197" s="108"/>
      <c r="O1197" s="108"/>
      <c r="P1197" s="108"/>
      <c r="Q1197" s="108"/>
      <c r="R1197" s="108"/>
      <c r="S1197" s="108"/>
      <c r="T1197" s="108"/>
      <c r="U1197" s="108"/>
      <c r="V1197" s="108"/>
      <c r="W1197" s="108"/>
      <c r="X1197" s="108"/>
      <c r="Y1197" s="108"/>
      <c r="Z1197" s="108"/>
    </row>
    <row r="1198" ht="16.5" customHeight="1">
      <c r="A1198" s="108"/>
      <c r="B1198" s="108"/>
      <c r="C1198" s="180"/>
      <c r="D1198" s="108"/>
      <c r="E1198" s="108"/>
      <c r="F1198" s="108"/>
      <c r="G1198" s="108"/>
      <c r="H1198" s="108"/>
      <c r="I1198" s="108"/>
      <c r="J1198" s="108"/>
      <c r="K1198" s="108"/>
      <c r="L1198" s="108"/>
      <c r="M1198" s="108"/>
      <c r="N1198" s="108"/>
      <c r="O1198" s="108"/>
      <c r="P1198" s="108"/>
      <c r="Q1198" s="108"/>
      <c r="R1198" s="108"/>
      <c r="S1198" s="108"/>
      <c r="T1198" s="108"/>
      <c r="U1198" s="108"/>
      <c r="V1198" s="108"/>
      <c r="W1198" s="108"/>
      <c r="X1198" s="108"/>
      <c r="Y1198" s="108"/>
      <c r="Z1198" s="108"/>
    </row>
    <row r="1199" ht="16.5" customHeight="1">
      <c r="A1199" s="108"/>
      <c r="B1199" s="108"/>
      <c r="C1199" s="180"/>
      <c r="D1199" s="108"/>
      <c r="E1199" s="108"/>
      <c r="F1199" s="108"/>
      <c r="G1199" s="108"/>
      <c r="H1199" s="108"/>
      <c r="I1199" s="108"/>
      <c r="J1199" s="108"/>
      <c r="K1199" s="108"/>
      <c r="L1199" s="108"/>
      <c r="M1199" s="108"/>
      <c r="N1199" s="108"/>
      <c r="O1199" s="108"/>
      <c r="P1199" s="108"/>
      <c r="Q1199" s="108"/>
      <c r="R1199" s="108"/>
      <c r="S1199" s="108"/>
      <c r="T1199" s="108"/>
      <c r="U1199" s="108"/>
      <c r="V1199" s="108"/>
      <c r="W1199" s="108"/>
      <c r="X1199" s="108"/>
      <c r="Y1199" s="108"/>
      <c r="Z1199" s="108"/>
    </row>
    <row r="1200" ht="16.5" customHeight="1">
      <c r="A1200" s="108"/>
      <c r="B1200" s="108"/>
      <c r="C1200" s="180"/>
      <c r="D1200" s="108"/>
      <c r="E1200" s="108"/>
      <c r="F1200" s="108"/>
      <c r="G1200" s="108"/>
      <c r="H1200" s="108"/>
      <c r="I1200" s="108"/>
      <c r="J1200" s="108"/>
      <c r="K1200" s="108"/>
      <c r="L1200" s="108"/>
      <c r="M1200" s="108"/>
      <c r="N1200" s="108"/>
      <c r="O1200" s="108"/>
      <c r="P1200" s="108"/>
      <c r="Q1200" s="108"/>
      <c r="R1200" s="108"/>
      <c r="S1200" s="108"/>
      <c r="T1200" s="108"/>
      <c r="U1200" s="108"/>
      <c r="V1200" s="108"/>
      <c r="W1200" s="108"/>
      <c r="X1200" s="108"/>
      <c r="Y1200" s="108"/>
      <c r="Z1200" s="108"/>
    </row>
    <row r="1201" ht="16.5" customHeight="1">
      <c r="A1201" s="108"/>
      <c r="B1201" s="108"/>
      <c r="C1201" s="180"/>
      <c r="D1201" s="108"/>
      <c r="E1201" s="108"/>
      <c r="F1201" s="108"/>
      <c r="G1201" s="108"/>
      <c r="H1201" s="108"/>
      <c r="I1201" s="108"/>
      <c r="J1201" s="108"/>
      <c r="K1201" s="108"/>
      <c r="L1201" s="108"/>
      <c r="M1201" s="108"/>
      <c r="N1201" s="108"/>
      <c r="O1201" s="108"/>
      <c r="P1201" s="108"/>
      <c r="Q1201" s="108"/>
      <c r="R1201" s="108"/>
      <c r="S1201" s="108"/>
      <c r="T1201" s="108"/>
      <c r="U1201" s="108"/>
      <c r="V1201" s="108"/>
      <c r="W1201" s="108"/>
      <c r="X1201" s="108"/>
      <c r="Y1201" s="108"/>
      <c r="Z1201" s="108"/>
    </row>
    <row r="1202" ht="16.5" customHeight="1">
      <c r="A1202" s="108"/>
      <c r="B1202" s="108"/>
      <c r="C1202" s="180"/>
      <c r="D1202" s="108"/>
      <c r="E1202" s="108"/>
      <c r="F1202" s="108"/>
      <c r="G1202" s="108"/>
      <c r="H1202" s="108"/>
      <c r="I1202" s="108"/>
      <c r="J1202" s="108"/>
      <c r="K1202" s="108"/>
      <c r="L1202" s="108"/>
      <c r="M1202" s="108"/>
      <c r="N1202" s="108"/>
      <c r="O1202" s="108"/>
      <c r="P1202" s="108"/>
      <c r="Q1202" s="108"/>
      <c r="R1202" s="108"/>
      <c r="S1202" s="108"/>
      <c r="T1202" s="108"/>
      <c r="U1202" s="108"/>
      <c r="V1202" s="108"/>
      <c r="W1202" s="108"/>
      <c r="X1202" s="108"/>
      <c r="Y1202" s="108"/>
      <c r="Z1202" s="108"/>
    </row>
    <row r="1203" ht="16.5" customHeight="1">
      <c r="A1203" s="108"/>
      <c r="B1203" s="108"/>
      <c r="C1203" s="180"/>
      <c r="D1203" s="108"/>
      <c r="E1203" s="108"/>
      <c r="F1203" s="108"/>
      <c r="G1203" s="108"/>
      <c r="H1203" s="108"/>
      <c r="I1203" s="108"/>
      <c r="J1203" s="108"/>
      <c r="K1203" s="108"/>
      <c r="L1203" s="108"/>
      <c r="M1203" s="108"/>
      <c r="N1203" s="108"/>
      <c r="O1203" s="108"/>
      <c r="P1203" s="108"/>
      <c r="Q1203" s="108"/>
      <c r="R1203" s="108"/>
      <c r="S1203" s="108"/>
      <c r="T1203" s="108"/>
      <c r="U1203" s="108"/>
      <c r="V1203" s="108"/>
      <c r="W1203" s="108"/>
      <c r="X1203" s="108"/>
      <c r="Y1203" s="108"/>
      <c r="Z1203" s="108"/>
    </row>
    <row r="1204" ht="16.5" customHeight="1">
      <c r="A1204" s="108"/>
      <c r="B1204" s="108"/>
      <c r="C1204" s="180"/>
      <c r="D1204" s="108"/>
      <c r="E1204" s="108"/>
      <c r="F1204" s="108"/>
      <c r="G1204" s="108"/>
      <c r="H1204" s="108"/>
      <c r="I1204" s="108"/>
      <c r="J1204" s="108"/>
      <c r="K1204" s="108"/>
      <c r="L1204" s="108"/>
      <c r="M1204" s="108"/>
      <c r="N1204" s="108"/>
      <c r="O1204" s="108"/>
      <c r="P1204" s="108"/>
      <c r="Q1204" s="108"/>
      <c r="R1204" s="108"/>
      <c r="S1204" s="108"/>
      <c r="T1204" s="108"/>
      <c r="U1204" s="108"/>
      <c r="V1204" s="108"/>
      <c r="W1204" s="108"/>
      <c r="X1204" s="108"/>
      <c r="Y1204" s="108"/>
      <c r="Z1204" s="108"/>
    </row>
    <row r="1205" ht="16.5" customHeight="1">
      <c r="A1205" s="108"/>
      <c r="B1205" s="108"/>
      <c r="C1205" s="180"/>
      <c r="D1205" s="108"/>
      <c r="E1205" s="108"/>
      <c r="F1205" s="108"/>
      <c r="G1205" s="108"/>
      <c r="H1205" s="108"/>
      <c r="I1205" s="108"/>
      <c r="J1205" s="108"/>
      <c r="K1205" s="108"/>
      <c r="L1205" s="108"/>
      <c r="M1205" s="108"/>
      <c r="N1205" s="108"/>
      <c r="O1205" s="108"/>
      <c r="P1205" s="108"/>
      <c r="Q1205" s="108"/>
      <c r="R1205" s="108"/>
      <c r="S1205" s="108"/>
      <c r="T1205" s="108"/>
      <c r="U1205" s="108"/>
      <c r="V1205" s="108"/>
      <c r="W1205" s="108"/>
      <c r="X1205" s="108"/>
      <c r="Y1205" s="108"/>
      <c r="Z1205" s="108"/>
    </row>
    <row r="1206" ht="16.5" customHeight="1">
      <c r="A1206" s="108"/>
      <c r="B1206" s="108"/>
      <c r="C1206" s="180"/>
      <c r="D1206" s="108"/>
      <c r="E1206" s="108"/>
      <c r="F1206" s="108"/>
      <c r="G1206" s="108"/>
      <c r="H1206" s="108"/>
      <c r="I1206" s="108"/>
      <c r="J1206" s="108"/>
      <c r="K1206" s="108"/>
      <c r="L1206" s="108"/>
      <c r="M1206" s="108"/>
      <c r="N1206" s="108"/>
      <c r="O1206" s="108"/>
      <c r="P1206" s="108"/>
      <c r="Q1206" s="108"/>
      <c r="R1206" s="108"/>
      <c r="S1206" s="108"/>
      <c r="T1206" s="108"/>
      <c r="U1206" s="108"/>
      <c r="V1206" s="108"/>
      <c r="W1206" s="108"/>
      <c r="X1206" s="108"/>
      <c r="Y1206" s="108"/>
      <c r="Z1206" s="108"/>
    </row>
    <row r="1207" ht="16.5" customHeight="1">
      <c r="A1207" s="108"/>
      <c r="B1207" s="108"/>
      <c r="C1207" s="180"/>
      <c r="D1207" s="108"/>
      <c r="E1207" s="108"/>
      <c r="F1207" s="108"/>
      <c r="G1207" s="108"/>
      <c r="H1207" s="108"/>
      <c r="I1207" s="108"/>
      <c r="J1207" s="108"/>
      <c r="K1207" s="108"/>
      <c r="L1207" s="108"/>
      <c r="M1207" s="108"/>
      <c r="N1207" s="108"/>
      <c r="O1207" s="108"/>
      <c r="P1207" s="108"/>
      <c r="Q1207" s="108"/>
      <c r="R1207" s="108"/>
      <c r="S1207" s="108"/>
      <c r="T1207" s="108"/>
      <c r="U1207" s="108"/>
      <c r="V1207" s="108"/>
      <c r="W1207" s="108"/>
      <c r="X1207" s="108"/>
      <c r="Y1207" s="108"/>
      <c r="Z1207" s="108"/>
    </row>
    <row r="1208" ht="16.5" customHeight="1">
      <c r="A1208" s="108"/>
      <c r="B1208" s="108"/>
      <c r="C1208" s="180"/>
      <c r="D1208" s="108"/>
      <c r="E1208" s="108"/>
      <c r="F1208" s="108"/>
      <c r="G1208" s="108"/>
      <c r="H1208" s="108"/>
      <c r="I1208" s="108"/>
      <c r="J1208" s="108"/>
      <c r="K1208" s="108"/>
      <c r="L1208" s="108"/>
      <c r="M1208" s="108"/>
      <c r="N1208" s="108"/>
      <c r="O1208" s="108"/>
      <c r="P1208" s="108"/>
      <c r="Q1208" s="108"/>
      <c r="R1208" s="108"/>
      <c r="S1208" s="108"/>
      <c r="T1208" s="108"/>
      <c r="U1208" s="108"/>
      <c r="V1208" s="108"/>
      <c r="W1208" s="108"/>
      <c r="X1208" s="108"/>
      <c r="Y1208" s="108"/>
      <c r="Z1208" s="108"/>
    </row>
    <row r="1209" ht="16.5" customHeight="1">
      <c r="A1209" s="108"/>
      <c r="B1209" s="108"/>
      <c r="C1209" s="180"/>
      <c r="D1209" s="108"/>
      <c r="E1209" s="108"/>
      <c r="F1209" s="108"/>
      <c r="G1209" s="108"/>
      <c r="H1209" s="108"/>
      <c r="I1209" s="108"/>
      <c r="J1209" s="108"/>
      <c r="K1209" s="108"/>
      <c r="L1209" s="108"/>
      <c r="M1209" s="108"/>
      <c r="N1209" s="108"/>
      <c r="O1209" s="108"/>
      <c r="P1209" s="108"/>
      <c r="Q1209" s="108"/>
      <c r="R1209" s="108"/>
      <c r="S1209" s="108"/>
      <c r="T1209" s="108"/>
      <c r="U1209" s="108"/>
      <c r="V1209" s="108"/>
      <c r="W1209" s="108"/>
      <c r="X1209" s="108"/>
      <c r="Y1209" s="108"/>
      <c r="Z1209" s="108"/>
    </row>
    <row r="1210" ht="16.5" customHeight="1">
      <c r="A1210" s="108"/>
      <c r="B1210" s="108"/>
      <c r="C1210" s="180"/>
      <c r="D1210" s="108"/>
      <c r="E1210" s="108"/>
      <c r="F1210" s="108"/>
      <c r="G1210" s="108"/>
      <c r="H1210" s="108"/>
      <c r="I1210" s="108"/>
      <c r="J1210" s="108"/>
      <c r="K1210" s="108"/>
      <c r="L1210" s="108"/>
      <c r="M1210" s="108"/>
      <c r="N1210" s="108"/>
      <c r="O1210" s="108"/>
      <c r="P1210" s="108"/>
      <c r="Q1210" s="108"/>
      <c r="R1210" s="108"/>
      <c r="S1210" s="108"/>
      <c r="T1210" s="108"/>
      <c r="U1210" s="108"/>
      <c r="V1210" s="108"/>
      <c r="W1210" s="108"/>
      <c r="X1210" s="108"/>
      <c r="Y1210" s="108"/>
      <c r="Z1210" s="108"/>
    </row>
    <row r="1211" ht="16.5" customHeight="1">
      <c r="A1211" s="108"/>
      <c r="B1211" s="108"/>
      <c r="C1211" s="180"/>
      <c r="D1211" s="108"/>
      <c r="E1211" s="108"/>
      <c r="F1211" s="108"/>
      <c r="G1211" s="108"/>
      <c r="H1211" s="108"/>
      <c r="I1211" s="108"/>
      <c r="J1211" s="108"/>
      <c r="K1211" s="108"/>
      <c r="L1211" s="108"/>
      <c r="M1211" s="108"/>
      <c r="N1211" s="108"/>
      <c r="O1211" s="108"/>
      <c r="P1211" s="108"/>
      <c r="Q1211" s="108"/>
      <c r="R1211" s="108"/>
      <c r="S1211" s="108"/>
      <c r="T1211" s="108"/>
      <c r="U1211" s="108"/>
      <c r="V1211" s="108"/>
      <c r="W1211" s="108"/>
      <c r="X1211" s="108"/>
      <c r="Y1211" s="108"/>
      <c r="Z1211" s="108"/>
    </row>
    <row r="1212" ht="16.5" customHeight="1">
      <c r="A1212" s="108"/>
      <c r="B1212" s="108"/>
      <c r="C1212" s="180"/>
      <c r="D1212" s="108"/>
      <c r="E1212" s="108"/>
      <c r="F1212" s="108"/>
      <c r="G1212" s="108"/>
      <c r="H1212" s="108"/>
      <c r="I1212" s="108"/>
      <c r="J1212" s="108"/>
      <c r="K1212" s="108"/>
      <c r="L1212" s="108"/>
      <c r="M1212" s="108"/>
      <c r="N1212" s="108"/>
      <c r="O1212" s="108"/>
      <c r="P1212" s="108"/>
      <c r="Q1212" s="108"/>
      <c r="R1212" s="108"/>
      <c r="S1212" s="108"/>
      <c r="T1212" s="108"/>
      <c r="U1212" s="108"/>
      <c r="V1212" s="108"/>
      <c r="W1212" s="108"/>
      <c r="X1212" s="108"/>
      <c r="Y1212" s="108"/>
      <c r="Z1212" s="108"/>
    </row>
    <row r="1213" ht="16.5" customHeight="1">
      <c r="A1213" s="108"/>
      <c r="B1213" s="108"/>
      <c r="C1213" s="180"/>
      <c r="D1213" s="108"/>
      <c r="E1213" s="108"/>
      <c r="F1213" s="108"/>
      <c r="G1213" s="108"/>
      <c r="H1213" s="108"/>
      <c r="I1213" s="108"/>
      <c r="J1213" s="108"/>
      <c r="K1213" s="108"/>
      <c r="L1213" s="108"/>
      <c r="M1213" s="108"/>
      <c r="N1213" s="108"/>
      <c r="O1213" s="108"/>
      <c r="P1213" s="108"/>
      <c r="Q1213" s="108"/>
      <c r="R1213" s="108"/>
      <c r="S1213" s="108"/>
      <c r="T1213" s="108"/>
      <c r="U1213" s="108"/>
      <c r="V1213" s="108"/>
      <c r="W1213" s="108"/>
      <c r="X1213" s="108"/>
      <c r="Y1213" s="108"/>
      <c r="Z1213" s="108"/>
    </row>
    <row r="1214" ht="16.5" customHeight="1">
      <c r="A1214" s="108"/>
      <c r="B1214" s="108"/>
      <c r="C1214" s="180"/>
      <c r="D1214" s="108"/>
      <c r="E1214" s="108"/>
      <c r="F1214" s="108"/>
      <c r="G1214" s="108"/>
      <c r="H1214" s="108"/>
      <c r="I1214" s="108"/>
      <c r="J1214" s="108"/>
      <c r="K1214" s="108"/>
      <c r="L1214" s="108"/>
      <c r="M1214" s="108"/>
      <c r="N1214" s="108"/>
      <c r="O1214" s="108"/>
      <c r="P1214" s="108"/>
      <c r="Q1214" s="108"/>
      <c r="R1214" s="108"/>
      <c r="S1214" s="108"/>
      <c r="T1214" s="108"/>
      <c r="U1214" s="108"/>
      <c r="V1214" s="108"/>
      <c r="W1214" s="108"/>
      <c r="X1214" s="108"/>
      <c r="Y1214" s="108"/>
      <c r="Z1214" s="108"/>
    </row>
    <row r="1215" ht="16.5" customHeight="1">
      <c r="A1215" s="108"/>
      <c r="B1215" s="108"/>
      <c r="C1215" s="180"/>
      <c r="D1215" s="108"/>
      <c r="E1215" s="108"/>
      <c r="F1215" s="108"/>
      <c r="G1215" s="108"/>
      <c r="H1215" s="108"/>
      <c r="I1215" s="108"/>
      <c r="J1215" s="108"/>
      <c r="K1215" s="108"/>
      <c r="L1215" s="108"/>
      <c r="M1215" s="108"/>
      <c r="N1215" s="108"/>
      <c r="O1215" s="108"/>
      <c r="P1215" s="108"/>
      <c r="Q1215" s="108"/>
      <c r="R1215" s="108"/>
      <c r="S1215" s="108"/>
      <c r="T1215" s="108"/>
      <c r="U1215" s="108"/>
      <c r="V1215" s="108"/>
      <c r="W1215" s="108"/>
      <c r="X1215" s="108"/>
      <c r="Y1215" s="108"/>
      <c r="Z1215" s="108"/>
    </row>
    <row r="1216" ht="16.5" customHeight="1">
      <c r="A1216" s="108"/>
      <c r="B1216" s="108"/>
      <c r="C1216" s="180"/>
      <c r="D1216" s="108"/>
      <c r="E1216" s="108"/>
      <c r="F1216" s="108"/>
      <c r="G1216" s="108"/>
      <c r="H1216" s="108"/>
      <c r="I1216" s="108"/>
      <c r="J1216" s="108"/>
      <c r="K1216" s="108"/>
      <c r="L1216" s="108"/>
      <c r="M1216" s="108"/>
      <c r="N1216" s="108"/>
      <c r="O1216" s="108"/>
      <c r="P1216" s="108"/>
      <c r="Q1216" s="108"/>
      <c r="R1216" s="108"/>
      <c r="S1216" s="108"/>
      <c r="T1216" s="108"/>
      <c r="U1216" s="108"/>
      <c r="V1216" s="108"/>
      <c r="W1216" s="108"/>
      <c r="X1216" s="108"/>
      <c r="Y1216" s="108"/>
      <c r="Z1216" s="108"/>
    </row>
    <row r="1217" ht="16.5" customHeight="1">
      <c r="A1217" s="108"/>
      <c r="B1217" s="108"/>
      <c r="C1217" s="180"/>
      <c r="D1217" s="108"/>
      <c r="E1217" s="108"/>
      <c r="F1217" s="108"/>
      <c r="G1217" s="108"/>
      <c r="H1217" s="108"/>
      <c r="I1217" s="108"/>
      <c r="J1217" s="108"/>
      <c r="K1217" s="108"/>
      <c r="L1217" s="108"/>
      <c r="M1217" s="108"/>
      <c r="N1217" s="108"/>
      <c r="O1217" s="108"/>
      <c r="P1217" s="108"/>
      <c r="Q1217" s="108"/>
      <c r="R1217" s="108"/>
      <c r="S1217" s="108"/>
      <c r="T1217" s="108"/>
      <c r="U1217" s="108"/>
      <c r="V1217" s="108"/>
      <c r="W1217" s="108"/>
      <c r="X1217" s="108"/>
      <c r="Y1217" s="108"/>
      <c r="Z1217" s="108"/>
    </row>
    <row r="1218" ht="16.5" customHeight="1">
      <c r="A1218" s="108"/>
      <c r="B1218" s="108"/>
      <c r="C1218" s="180"/>
      <c r="D1218" s="108"/>
      <c r="E1218" s="108"/>
      <c r="F1218" s="108"/>
      <c r="G1218" s="108"/>
      <c r="H1218" s="108"/>
      <c r="I1218" s="108"/>
      <c r="J1218" s="108"/>
      <c r="K1218" s="108"/>
      <c r="L1218" s="108"/>
      <c r="M1218" s="108"/>
      <c r="N1218" s="108"/>
      <c r="O1218" s="108"/>
      <c r="P1218" s="108"/>
      <c r="Q1218" s="108"/>
      <c r="R1218" s="108"/>
      <c r="S1218" s="108"/>
      <c r="T1218" s="108"/>
      <c r="U1218" s="108"/>
      <c r="V1218" s="108"/>
      <c r="W1218" s="108"/>
      <c r="X1218" s="108"/>
      <c r="Y1218" s="108"/>
      <c r="Z1218" s="108"/>
    </row>
    <row r="1219" ht="16.5" customHeight="1">
      <c r="A1219" s="108"/>
      <c r="B1219" s="108"/>
      <c r="C1219" s="180"/>
      <c r="D1219" s="108"/>
      <c r="E1219" s="108"/>
      <c r="F1219" s="108"/>
      <c r="G1219" s="108"/>
      <c r="H1219" s="108"/>
      <c r="I1219" s="108"/>
      <c r="J1219" s="108"/>
      <c r="K1219" s="108"/>
      <c r="L1219" s="108"/>
      <c r="M1219" s="108"/>
      <c r="N1219" s="108"/>
      <c r="O1219" s="108"/>
      <c r="P1219" s="108"/>
      <c r="Q1219" s="108"/>
      <c r="R1219" s="108"/>
      <c r="S1219" s="108"/>
      <c r="T1219" s="108"/>
      <c r="U1219" s="108"/>
      <c r="V1219" s="108"/>
      <c r="W1219" s="108"/>
      <c r="X1219" s="108"/>
      <c r="Y1219" s="108"/>
      <c r="Z1219" s="108"/>
    </row>
    <row r="1220" ht="16.5" customHeight="1">
      <c r="A1220" s="108"/>
      <c r="B1220" s="108"/>
      <c r="C1220" s="180"/>
      <c r="D1220" s="108"/>
      <c r="E1220" s="108"/>
      <c r="F1220" s="108"/>
      <c r="G1220" s="108"/>
      <c r="H1220" s="108"/>
      <c r="I1220" s="108"/>
      <c r="J1220" s="108"/>
      <c r="K1220" s="108"/>
      <c r="L1220" s="108"/>
      <c r="M1220" s="108"/>
      <c r="N1220" s="108"/>
      <c r="O1220" s="108"/>
      <c r="P1220" s="108"/>
      <c r="Q1220" s="108"/>
      <c r="R1220" s="108"/>
      <c r="S1220" s="108"/>
      <c r="T1220" s="108"/>
      <c r="U1220" s="108"/>
      <c r="V1220" s="108"/>
      <c r="W1220" s="108"/>
      <c r="X1220" s="108"/>
      <c r="Y1220" s="108"/>
      <c r="Z1220" s="108"/>
    </row>
    <row r="1221" ht="16.5" customHeight="1">
      <c r="A1221" s="108"/>
      <c r="B1221" s="108"/>
      <c r="C1221" s="180"/>
      <c r="D1221" s="108"/>
      <c r="E1221" s="108"/>
      <c r="F1221" s="108"/>
      <c r="G1221" s="108"/>
      <c r="H1221" s="108"/>
      <c r="I1221" s="108"/>
      <c r="J1221" s="108"/>
      <c r="K1221" s="108"/>
      <c r="L1221" s="108"/>
      <c r="M1221" s="108"/>
      <c r="N1221" s="108"/>
      <c r="O1221" s="108"/>
      <c r="P1221" s="108"/>
      <c r="Q1221" s="108"/>
      <c r="R1221" s="108"/>
      <c r="S1221" s="108"/>
      <c r="T1221" s="108"/>
      <c r="U1221" s="108"/>
      <c r="V1221" s="108"/>
      <c r="W1221" s="108"/>
      <c r="X1221" s="108"/>
      <c r="Y1221" s="108"/>
      <c r="Z1221" s="108"/>
    </row>
    <row r="1222" ht="16.5" customHeight="1">
      <c r="A1222" s="108"/>
      <c r="B1222" s="108"/>
      <c r="C1222" s="180"/>
      <c r="D1222" s="108"/>
      <c r="E1222" s="108"/>
      <c r="F1222" s="108"/>
      <c r="G1222" s="108"/>
      <c r="H1222" s="108"/>
      <c r="I1222" s="108"/>
      <c r="J1222" s="108"/>
      <c r="K1222" s="108"/>
      <c r="L1222" s="108"/>
      <c r="M1222" s="108"/>
      <c r="N1222" s="108"/>
      <c r="O1222" s="108"/>
      <c r="P1222" s="108"/>
      <c r="Q1222" s="108"/>
      <c r="R1222" s="108"/>
      <c r="S1222" s="108"/>
      <c r="T1222" s="108"/>
      <c r="U1222" s="108"/>
      <c r="V1222" s="108"/>
      <c r="W1222" s="108"/>
      <c r="X1222" s="108"/>
      <c r="Y1222" s="108"/>
      <c r="Z1222" s="108"/>
    </row>
    <row r="1223" ht="16.5" customHeight="1">
      <c r="A1223" s="108"/>
      <c r="B1223" s="108"/>
      <c r="C1223" s="180"/>
      <c r="D1223" s="108"/>
      <c r="E1223" s="108"/>
      <c r="F1223" s="108"/>
      <c r="G1223" s="108"/>
      <c r="H1223" s="108"/>
      <c r="I1223" s="108"/>
      <c r="J1223" s="108"/>
      <c r="K1223" s="108"/>
      <c r="L1223" s="108"/>
      <c r="M1223" s="108"/>
      <c r="N1223" s="108"/>
      <c r="O1223" s="108"/>
      <c r="P1223" s="108"/>
      <c r="Q1223" s="108"/>
      <c r="R1223" s="108"/>
      <c r="S1223" s="108"/>
      <c r="T1223" s="108"/>
      <c r="U1223" s="108"/>
      <c r="V1223" s="108"/>
      <c r="W1223" s="108"/>
      <c r="X1223" s="108"/>
      <c r="Y1223" s="108"/>
      <c r="Z1223" s="108"/>
    </row>
    <row r="1224" ht="16.5" customHeight="1">
      <c r="A1224" s="108"/>
      <c r="B1224" s="108"/>
      <c r="C1224" s="180"/>
      <c r="D1224" s="108"/>
      <c r="E1224" s="108"/>
      <c r="F1224" s="108"/>
      <c r="G1224" s="108"/>
      <c r="H1224" s="108"/>
      <c r="I1224" s="108"/>
      <c r="J1224" s="108"/>
      <c r="K1224" s="108"/>
      <c r="L1224" s="108"/>
      <c r="M1224" s="108"/>
      <c r="N1224" s="108"/>
      <c r="O1224" s="108"/>
      <c r="P1224" s="108"/>
      <c r="Q1224" s="108"/>
      <c r="R1224" s="108"/>
      <c r="S1224" s="108"/>
      <c r="T1224" s="108"/>
      <c r="U1224" s="108"/>
      <c r="V1224" s="108"/>
      <c r="W1224" s="108"/>
      <c r="X1224" s="108"/>
      <c r="Y1224" s="108"/>
      <c r="Z1224" s="108"/>
    </row>
    <row r="1225" ht="16.5" customHeight="1">
      <c r="A1225" s="108"/>
      <c r="B1225" s="108"/>
      <c r="C1225" s="180"/>
      <c r="D1225" s="108"/>
      <c r="E1225" s="108"/>
      <c r="F1225" s="108"/>
      <c r="G1225" s="108"/>
      <c r="H1225" s="108"/>
      <c r="I1225" s="108"/>
      <c r="J1225" s="108"/>
      <c r="K1225" s="108"/>
      <c r="L1225" s="108"/>
      <c r="M1225" s="108"/>
      <c r="N1225" s="108"/>
      <c r="O1225" s="108"/>
      <c r="P1225" s="108"/>
      <c r="Q1225" s="108"/>
      <c r="R1225" s="108"/>
      <c r="S1225" s="108"/>
      <c r="T1225" s="108"/>
      <c r="U1225" s="108"/>
      <c r="V1225" s="108"/>
      <c r="W1225" s="108"/>
      <c r="X1225" s="108"/>
      <c r="Y1225" s="108"/>
      <c r="Z1225" s="108"/>
    </row>
    <row r="1226" ht="16.5" customHeight="1">
      <c r="A1226" s="108"/>
      <c r="B1226" s="108"/>
      <c r="C1226" s="180"/>
      <c r="D1226" s="108"/>
      <c r="E1226" s="108"/>
      <c r="F1226" s="108"/>
      <c r="G1226" s="108"/>
      <c r="H1226" s="108"/>
      <c r="I1226" s="108"/>
      <c r="J1226" s="108"/>
      <c r="K1226" s="108"/>
      <c r="L1226" s="108"/>
      <c r="M1226" s="108"/>
      <c r="N1226" s="108"/>
      <c r="O1226" s="108"/>
      <c r="P1226" s="108"/>
      <c r="Q1226" s="108"/>
      <c r="R1226" s="108"/>
      <c r="S1226" s="108"/>
      <c r="T1226" s="108"/>
      <c r="U1226" s="108"/>
      <c r="V1226" s="108"/>
      <c r="W1226" s="108"/>
      <c r="X1226" s="108"/>
      <c r="Y1226" s="108"/>
      <c r="Z1226" s="108"/>
    </row>
    <row r="1227" ht="16.5" customHeight="1">
      <c r="A1227" s="108"/>
      <c r="B1227" s="108"/>
      <c r="C1227" s="180"/>
      <c r="D1227" s="108"/>
      <c r="E1227" s="108"/>
      <c r="F1227" s="108"/>
      <c r="G1227" s="108"/>
      <c r="H1227" s="108"/>
      <c r="I1227" s="108"/>
      <c r="J1227" s="108"/>
      <c r="K1227" s="108"/>
      <c r="L1227" s="108"/>
      <c r="M1227" s="108"/>
      <c r="N1227" s="108"/>
      <c r="O1227" s="108"/>
      <c r="P1227" s="108"/>
      <c r="Q1227" s="108"/>
      <c r="R1227" s="108"/>
      <c r="S1227" s="108"/>
      <c r="T1227" s="108"/>
      <c r="U1227" s="108"/>
      <c r="V1227" s="108"/>
      <c r="W1227" s="108"/>
      <c r="X1227" s="108"/>
      <c r="Y1227" s="108"/>
      <c r="Z1227" s="108"/>
    </row>
    <row r="1228" ht="16.5" customHeight="1">
      <c r="A1228" s="108"/>
      <c r="B1228" s="108"/>
      <c r="C1228" s="180"/>
      <c r="D1228" s="108"/>
      <c r="E1228" s="108"/>
      <c r="F1228" s="108"/>
      <c r="G1228" s="108"/>
      <c r="H1228" s="108"/>
      <c r="I1228" s="108"/>
      <c r="J1228" s="108"/>
      <c r="K1228" s="108"/>
      <c r="L1228" s="108"/>
      <c r="M1228" s="108"/>
      <c r="N1228" s="108"/>
      <c r="O1228" s="108"/>
      <c r="P1228" s="108"/>
      <c r="Q1228" s="108"/>
      <c r="R1228" s="108"/>
      <c r="S1228" s="108"/>
      <c r="T1228" s="108"/>
      <c r="U1228" s="108"/>
      <c r="V1228" s="108"/>
      <c r="W1228" s="108"/>
      <c r="X1228" s="108"/>
      <c r="Y1228" s="108"/>
      <c r="Z1228" s="108"/>
    </row>
    <row r="1229" ht="16.5" customHeight="1">
      <c r="A1229" s="108"/>
      <c r="B1229" s="108"/>
      <c r="C1229" s="180"/>
      <c r="D1229" s="108"/>
      <c r="E1229" s="108"/>
      <c r="F1229" s="108"/>
      <c r="G1229" s="108"/>
      <c r="H1229" s="108"/>
      <c r="I1229" s="108"/>
      <c r="J1229" s="108"/>
      <c r="K1229" s="108"/>
      <c r="L1229" s="108"/>
      <c r="M1229" s="108"/>
      <c r="N1229" s="108"/>
      <c r="O1229" s="108"/>
      <c r="P1229" s="108"/>
      <c r="Q1229" s="108"/>
      <c r="R1229" s="108"/>
      <c r="S1229" s="108"/>
      <c r="T1229" s="108"/>
      <c r="U1229" s="108"/>
      <c r="V1229" s="108"/>
      <c r="W1229" s="108"/>
      <c r="X1229" s="108"/>
      <c r="Y1229" s="108"/>
      <c r="Z1229" s="108"/>
    </row>
    <row r="1230" ht="16.5" customHeight="1">
      <c r="A1230" s="108"/>
      <c r="B1230" s="108"/>
      <c r="C1230" s="180"/>
      <c r="D1230" s="108"/>
      <c r="E1230" s="108"/>
      <c r="F1230" s="108"/>
      <c r="G1230" s="108"/>
      <c r="H1230" s="108"/>
      <c r="I1230" s="108"/>
      <c r="J1230" s="108"/>
      <c r="K1230" s="108"/>
      <c r="L1230" s="108"/>
      <c r="M1230" s="108"/>
      <c r="N1230" s="108"/>
      <c r="O1230" s="108"/>
      <c r="P1230" s="108"/>
      <c r="Q1230" s="108"/>
      <c r="R1230" s="108"/>
      <c r="S1230" s="108"/>
      <c r="T1230" s="108"/>
      <c r="U1230" s="108"/>
      <c r="V1230" s="108"/>
      <c r="W1230" s="108"/>
      <c r="X1230" s="108"/>
      <c r="Y1230" s="108"/>
      <c r="Z1230" s="108"/>
    </row>
    <row r="1231" ht="16.5" customHeight="1">
      <c r="A1231" s="108"/>
      <c r="B1231" s="108"/>
      <c r="C1231" s="180"/>
      <c r="D1231" s="108"/>
      <c r="E1231" s="108"/>
      <c r="F1231" s="108"/>
      <c r="G1231" s="108"/>
      <c r="H1231" s="108"/>
      <c r="I1231" s="108"/>
      <c r="J1231" s="108"/>
      <c r="K1231" s="108"/>
      <c r="L1231" s="108"/>
      <c r="M1231" s="108"/>
      <c r="N1231" s="108"/>
      <c r="O1231" s="108"/>
      <c r="P1231" s="108"/>
      <c r="Q1231" s="108"/>
      <c r="R1231" s="108"/>
      <c r="S1231" s="108"/>
      <c r="T1231" s="108"/>
      <c r="U1231" s="108"/>
      <c r="V1231" s="108"/>
      <c r="W1231" s="108"/>
      <c r="X1231" s="108"/>
      <c r="Y1231" s="108"/>
      <c r="Z1231" s="108"/>
    </row>
    <row r="1232" ht="16.5" customHeight="1">
      <c r="A1232" s="108"/>
      <c r="B1232" s="108"/>
      <c r="C1232" s="180"/>
      <c r="D1232" s="108"/>
      <c r="E1232" s="108"/>
      <c r="F1232" s="108"/>
      <c r="G1232" s="108"/>
      <c r="H1232" s="108"/>
      <c r="I1232" s="108"/>
      <c r="J1232" s="108"/>
      <c r="K1232" s="108"/>
      <c r="L1232" s="108"/>
      <c r="M1232" s="108"/>
      <c r="N1232" s="108"/>
      <c r="O1232" s="108"/>
      <c r="P1232" s="108"/>
      <c r="Q1232" s="108"/>
      <c r="R1232" s="108"/>
      <c r="S1232" s="108"/>
      <c r="T1232" s="108"/>
      <c r="U1232" s="108"/>
      <c r="V1232" s="108"/>
      <c r="W1232" s="108"/>
      <c r="X1232" s="108"/>
      <c r="Y1232" s="108"/>
      <c r="Z1232" s="108"/>
    </row>
    <row r="1233" ht="16.5" customHeight="1">
      <c r="A1233" s="108"/>
      <c r="B1233" s="108"/>
      <c r="C1233" s="180"/>
      <c r="D1233" s="108"/>
      <c r="E1233" s="108"/>
      <c r="F1233" s="108"/>
      <c r="G1233" s="108"/>
      <c r="H1233" s="108"/>
      <c r="I1233" s="108"/>
      <c r="J1233" s="108"/>
      <c r="K1233" s="108"/>
      <c r="L1233" s="108"/>
      <c r="M1233" s="108"/>
      <c r="N1233" s="108"/>
      <c r="O1233" s="108"/>
      <c r="P1233" s="108"/>
      <c r="Q1233" s="108"/>
      <c r="R1233" s="108"/>
      <c r="S1233" s="108"/>
      <c r="T1233" s="108"/>
      <c r="U1233" s="108"/>
      <c r="V1233" s="108"/>
      <c r="W1233" s="108"/>
      <c r="X1233" s="108"/>
      <c r="Y1233" s="108"/>
      <c r="Z1233" s="108"/>
    </row>
    <row r="1234" ht="16.5" customHeight="1">
      <c r="A1234" s="108"/>
      <c r="B1234" s="108"/>
      <c r="C1234" s="180"/>
      <c r="D1234" s="108"/>
      <c r="E1234" s="108"/>
      <c r="F1234" s="108"/>
      <c r="G1234" s="108"/>
      <c r="H1234" s="108"/>
      <c r="I1234" s="108"/>
      <c r="J1234" s="108"/>
      <c r="K1234" s="108"/>
      <c r="L1234" s="108"/>
      <c r="M1234" s="108"/>
      <c r="N1234" s="108"/>
      <c r="O1234" s="108"/>
      <c r="P1234" s="108"/>
      <c r="Q1234" s="108"/>
      <c r="R1234" s="108"/>
      <c r="S1234" s="108"/>
      <c r="T1234" s="108"/>
      <c r="U1234" s="108"/>
      <c r="V1234" s="108"/>
      <c r="W1234" s="108"/>
      <c r="X1234" s="108"/>
      <c r="Y1234" s="108"/>
      <c r="Z1234" s="108"/>
    </row>
    <row r="1235" ht="16.5" customHeight="1">
      <c r="A1235" s="108"/>
      <c r="B1235" s="108"/>
      <c r="C1235" s="180"/>
      <c r="D1235" s="108"/>
      <c r="E1235" s="108"/>
      <c r="F1235" s="108"/>
      <c r="G1235" s="108"/>
      <c r="H1235" s="108"/>
      <c r="I1235" s="108"/>
      <c r="J1235" s="108"/>
      <c r="K1235" s="108"/>
      <c r="L1235" s="108"/>
      <c r="M1235" s="108"/>
      <c r="N1235" s="108"/>
      <c r="O1235" s="108"/>
      <c r="P1235" s="108"/>
      <c r="Q1235" s="108"/>
      <c r="R1235" s="108"/>
      <c r="S1235" s="108"/>
      <c r="T1235" s="108"/>
      <c r="U1235" s="108"/>
      <c r="V1235" s="108"/>
      <c r="W1235" s="108"/>
      <c r="X1235" s="108"/>
      <c r="Y1235" s="108"/>
      <c r="Z1235" s="108"/>
    </row>
    <row r="1236" ht="16.5" customHeight="1">
      <c r="A1236" s="108"/>
      <c r="B1236" s="108"/>
      <c r="C1236" s="180"/>
      <c r="D1236" s="108"/>
      <c r="E1236" s="108"/>
      <c r="F1236" s="108"/>
      <c r="G1236" s="108"/>
      <c r="H1236" s="108"/>
      <c r="I1236" s="108"/>
      <c r="J1236" s="108"/>
      <c r="K1236" s="108"/>
      <c r="L1236" s="108"/>
      <c r="M1236" s="108"/>
      <c r="N1236" s="108"/>
      <c r="O1236" s="108"/>
      <c r="P1236" s="108"/>
      <c r="Q1236" s="108"/>
      <c r="R1236" s="108"/>
      <c r="S1236" s="108"/>
      <c r="T1236" s="108"/>
      <c r="U1236" s="108"/>
      <c r="V1236" s="108"/>
      <c r="W1236" s="108"/>
      <c r="X1236" s="108"/>
      <c r="Y1236" s="108"/>
      <c r="Z1236" s="108"/>
    </row>
    <row r="1237" ht="16.5" customHeight="1">
      <c r="A1237" s="108"/>
      <c r="B1237" s="108"/>
      <c r="C1237" s="180"/>
      <c r="D1237" s="108"/>
      <c r="E1237" s="108"/>
      <c r="F1237" s="108"/>
      <c r="G1237" s="108"/>
      <c r="H1237" s="108"/>
      <c r="I1237" s="108"/>
      <c r="J1237" s="108"/>
      <c r="K1237" s="108"/>
      <c r="L1237" s="108"/>
      <c r="M1237" s="108"/>
      <c r="N1237" s="108"/>
      <c r="O1237" s="108"/>
      <c r="P1237" s="108"/>
      <c r="Q1237" s="108"/>
      <c r="R1237" s="108"/>
      <c r="S1237" s="108"/>
      <c r="T1237" s="108"/>
      <c r="U1237" s="108"/>
      <c r="V1237" s="108"/>
      <c r="W1237" s="108"/>
      <c r="X1237" s="108"/>
      <c r="Y1237" s="108"/>
      <c r="Z1237" s="108"/>
    </row>
    <row r="1238" ht="16.5" customHeight="1">
      <c r="A1238" s="108"/>
      <c r="B1238" s="108"/>
      <c r="C1238" s="180"/>
      <c r="D1238" s="108"/>
      <c r="E1238" s="108"/>
      <c r="F1238" s="108"/>
      <c r="G1238" s="108"/>
      <c r="H1238" s="108"/>
      <c r="I1238" s="108"/>
      <c r="J1238" s="108"/>
      <c r="K1238" s="108"/>
      <c r="L1238" s="108"/>
      <c r="M1238" s="108"/>
      <c r="N1238" s="108"/>
      <c r="O1238" s="108"/>
      <c r="P1238" s="108"/>
      <c r="Q1238" s="108"/>
      <c r="R1238" s="108"/>
      <c r="S1238" s="108"/>
      <c r="T1238" s="108"/>
      <c r="U1238" s="108"/>
      <c r="V1238" s="108"/>
      <c r="W1238" s="108"/>
      <c r="X1238" s="108"/>
      <c r="Y1238" s="108"/>
      <c r="Z1238" s="108"/>
    </row>
    <row r="1239" ht="16.5" customHeight="1">
      <c r="A1239" s="108"/>
      <c r="B1239" s="108"/>
      <c r="C1239" s="180"/>
      <c r="D1239" s="108"/>
      <c r="E1239" s="108"/>
      <c r="F1239" s="108"/>
      <c r="G1239" s="108"/>
      <c r="H1239" s="108"/>
      <c r="I1239" s="108"/>
      <c r="J1239" s="108"/>
      <c r="K1239" s="108"/>
      <c r="L1239" s="108"/>
      <c r="M1239" s="108"/>
      <c r="N1239" s="108"/>
      <c r="O1239" s="108"/>
      <c r="P1239" s="108"/>
      <c r="Q1239" s="108"/>
      <c r="R1239" s="108"/>
      <c r="S1239" s="108"/>
      <c r="T1239" s="108"/>
      <c r="U1239" s="108"/>
      <c r="V1239" s="108"/>
      <c r="W1239" s="108"/>
      <c r="X1239" s="108"/>
      <c r="Y1239" s="108"/>
      <c r="Z1239" s="108"/>
    </row>
    <row r="1240" ht="16.5" customHeight="1">
      <c r="A1240" s="108"/>
      <c r="B1240" s="108"/>
      <c r="C1240" s="180"/>
      <c r="D1240" s="108"/>
      <c r="E1240" s="108"/>
      <c r="F1240" s="108"/>
      <c r="G1240" s="108"/>
      <c r="H1240" s="108"/>
      <c r="I1240" s="108"/>
      <c r="J1240" s="108"/>
      <c r="K1240" s="108"/>
      <c r="L1240" s="108"/>
      <c r="M1240" s="108"/>
      <c r="N1240" s="108"/>
      <c r="O1240" s="108"/>
      <c r="P1240" s="108"/>
      <c r="Q1240" s="108"/>
      <c r="R1240" s="108"/>
      <c r="S1240" s="108"/>
      <c r="T1240" s="108"/>
      <c r="U1240" s="108"/>
      <c r="V1240" s="108"/>
      <c r="W1240" s="108"/>
      <c r="X1240" s="108"/>
      <c r="Y1240" s="108"/>
      <c r="Z1240" s="108"/>
    </row>
    <row r="1241" ht="16.5" customHeight="1">
      <c r="A1241" s="108"/>
      <c r="B1241" s="108"/>
      <c r="C1241" s="180"/>
      <c r="D1241" s="108"/>
      <c r="E1241" s="108"/>
      <c r="F1241" s="108"/>
      <c r="G1241" s="108"/>
      <c r="H1241" s="108"/>
      <c r="I1241" s="108"/>
      <c r="J1241" s="108"/>
      <c r="K1241" s="108"/>
      <c r="L1241" s="108"/>
      <c r="M1241" s="108"/>
      <c r="N1241" s="108"/>
      <c r="O1241" s="108"/>
      <c r="P1241" s="108"/>
      <c r="Q1241" s="108"/>
      <c r="R1241" s="108"/>
      <c r="S1241" s="108"/>
      <c r="T1241" s="108"/>
      <c r="U1241" s="108"/>
      <c r="V1241" s="108"/>
      <c r="W1241" s="108"/>
      <c r="X1241" s="108"/>
      <c r="Y1241" s="108"/>
      <c r="Z1241" s="108"/>
    </row>
    <row r="1242" ht="16.5" customHeight="1">
      <c r="A1242" s="108"/>
      <c r="B1242" s="108"/>
      <c r="C1242" s="180"/>
      <c r="D1242" s="108"/>
      <c r="E1242" s="108"/>
      <c r="F1242" s="108"/>
      <c r="G1242" s="108"/>
      <c r="H1242" s="108"/>
      <c r="I1242" s="108"/>
      <c r="J1242" s="108"/>
      <c r="K1242" s="108"/>
      <c r="L1242" s="108"/>
      <c r="M1242" s="108"/>
      <c r="N1242" s="108"/>
      <c r="O1242" s="108"/>
      <c r="P1242" s="108"/>
      <c r="Q1242" s="108"/>
      <c r="R1242" s="108"/>
      <c r="S1242" s="108"/>
      <c r="T1242" s="108"/>
      <c r="U1242" s="108"/>
      <c r="V1242" s="108"/>
      <c r="W1242" s="108"/>
      <c r="X1242" s="108"/>
      <c r="Y1242" s="108"/>
      <c r="Z1242" s="108"/>
    </row>
    <row r="1243" ht="16.5" customHeight="1">
      <c r="A1243" s="108"/>
      <c r="B1243" s="108"/>
      <c r="C1243" s="180"/>
      <c r="D1243" s="108"/>
      <c r="E1243" s="108"/>
      <c r="F1243" s="108"/>
      <c r="G1243" s="108"/>
      <c r="H1243" s="108"/>
      <c r="I1243" s="108"/>
      <c r="J1243" s="108"/>
      <c r="K1243" s="108"/>
      <c r="L1243" s="108"/>
      <c r="M1243" s="108"/>
      <c r="N1243" s="108"/>
      <c r="O1243" s="108"/>
      <c r="P1243" s="108"/>
      <c r="Q1243" s="108"/>
      <c r="R1243" s="108"/>
      <c r="S1243" s="108"/>
      <c r="T1243" s="108"/>
      <c r="U1243" s="108"/>
      <c r="V1243" s="108"/>
      <c r="W1243" s="108"/>
      <c r="X1243" s="108"/>
      <c r="Y1243" s="108"/>
      <c r="Z1243" s="108"/>
    </row>
    <row r="1244" ht="16.5" customHeight="1">
      <c r="A1244" s="108"/>
      <c r="B1244" s="108"/>
      <c r="C1244" s="180"/>
      <c r="D1244" s="108"/>
      <c r="E1244" s="108"/>
      <c r="F1244" s="108"/>
      <c r="G1244" s="108"/>
      <c r="H1244" s="108"/>
      <c r="I1244" s="108"/>
      <c r="J1244" s="108"/>
      <c r="K1244" s="108"/>
      <c r="L1244" s="108"/>
      <c r="M1244" s="108"/>
      <c r="N1244" s="108"/>
      <c r="O1244" s="108"/>
      <c r="P1244" s="108"/>
      <c r="Q1244" s="108"/>
      <c r="R1244" s="108"/>
      <c r="S1244" s="108"/>
      <c r="T1244" s="108"/>
      <c r="U1244" s="108"/>
      <c r="V1244" s="108"/>
      <c r="W1244" s="108"/>
      <c r="X1244" s="108"/>
      <c r="Y1244" s="108"/>
      <c r="Z1244" s="108"/>
    </row>
    <row r="1245" ht="16.5" customHeight="1">
      <c r="A1245" s="108"/>
      <c r="B1245" s="108"/>
      <c r="C1245" s="180"/>
      <c r="D1245" s="108"/>
      <c r="E1245" s="108"/>
      <c r="F1245" s="108"/>
      <c r="G1245" s="108"/>
      <c r="H1245" s="108"/>
      <c r="I1245" s="108"/>
      <c r="J1245" s="108"/>
      <c r="K1245" s="108"/>
      <c r="L1245" s="108"/>
      <c r="M1245" s="108"/>
      <c r="N1245" s="108"/>
      <c r="O1245" s="108"/>
      <c r="P1245" s="108"/>
      <c r="Q1245" s="108"/>
      <c r="R1245" s="108"/>
      <c r="S1245" s="108"/>
      <c r="T1245" s="108"/>
      <c r="U1245" s="108"/>
      <c r="V1245" s="108"/>
      <c r="W1245" s="108"/>
      <c r="X1245" s="108"/>
      <c r="Y1245" s="108"/>
      <c r="Z1245" s="108"/>
    </row>
    <row r="1246" ht="16.5" customHeight="1">
      <c r="A1246" s="108"/>
      <c r="B1246" s="108"/>
      <c r="C1246" s="180"/>
      <c r="D1246" s="108"/>
      <c r="E1246" s="108"/>
      <c r="F1246" s="108"/>
      <c r="G1246" s="108"/>
      <c r="H1246" s="108"/>
      <c r="I1246" s="108"/>
      <c r="J1246" s="108"/>
      <c r="K1246" s="108"/>
      <c r="L1246" s="108"/>
      <c r="M1246" s="108"/>
      <c r="N1246" s="108"/>
      <c r="O1246" s="108"/>
      <c r="P1246" s="108"/>
      <c r="Q1246" s="108"/>
      <c r="R1246" s="108"/>
      <c r="S1246" s="108"/>
      <c r="T1246" s="108"/>
      <c r="U1246" s="108"/>
      <c r="V1246" s="108"/>
      <c r="W1246" s="108"/>
      <c r="X1246" s="108"/>
      <c r="Y1246" s="108"/>
      <c r="Z1246" s="108"/>
    </row>
    <row r="1247" ht="16.5" customHeight="1">
      <c r="A1247" s="108"/>
      <c r="B1247" s="108"/>
      <c r="C1247" s="180"/>
      <c r="D1247" s="108"/>
      <c r="E1247" s="108"/>
      <c r="F1247" s="108"/>
      <c r="G1247" s="108"/>
      <c r="H1247" s="108"/>
      <c r="I1247" s="108"/>
      <c r="J1247" s="108"/>
      <c r="K1247" s="108"/>
      <c r="L1247" s="108"/>
      <c r="M1247" s="108"/>
      <c r="N1247" s="108"/>
      <c r="O1247" s="108"/>
      <c r="P1247" s="108"/>
      <c r="Q1247" s="108"/>
      <c r="R1247" s="108"/>
      <c r="S1247" s="108"/>
      <c r="T1247" s="108"/>
      <c r="U1247" s="108"/>
      <c r="V1247" s="108"/>
      <c r="W1247" s="108"/>
      <c r="X1247" s="108"/>
      <c r="Y1247" s="108"/>
      <c r="Z1247" s="108"/>
    </row>
    <row r="1248" ht="16.5" customHeight="1">
      <c r="A1248" s="108"/>
      <c r="B1248" s="108"/>
      <c r="C1248" s="180"/>
      <c r="D1248" s="108"/>
      <c r="E1248" s="108"/>
      <c r="F1248" s="108"/>
      <c r="G1248" s="108"/>
      <c r="H1248" s="108"/>
      <c r="I1248" s="108"/>
      <c r="J1248" s="108"/>
      <c r="K1248" s="108"/>
      <c r="L1248" s="108"/>
      <c r="M1248" s="108"/>
      <c r="N1248" s="108"/>
      <c r="O1248" s="108"/>
      <c r="P1248" s="108"/>
      <c r="Q1248" s="108"/>
      <c r="R1248" s="108"/>
      <c r="S1248" s="108"/>
      <c r="T1248" s="108"/>
      <c r="U1248" s="108"/>
      <c r="V1248" s="108"/>
      <c r="W1248" s="108"/>
      <c r="X1248" s="108"/>
      <c r="Y1248" s="108"/>
      <c r="Z1248" s="108"/>
    </row>
    <row r="1249" ht="16.5" customHeight="1">
      <c r="A1249" s="108"/>
      <c r="B1249" s="108"/>
      <c r="C1249" s="180"/>
      <c r="D1249" s="108"/>
      <c r="E1249" s="108"/>
      <c r="F1249" s="108"/>
      <c r="G1249" s="108"/>
      <c r="H1249" s="108"/>
      <c r="I1249" s="108"/>
      <c r="J1249" s="108"/>
      <c r="K1249" s="108"/>
      <c r="L1249" s="108"/>
      <c r="M1249" s="108"/>
      <c r="N1249" s="108"/>
      <c r="O1249" s="108"/>
      <c r="P1249" s="108"/>
      <c r="Q1249" s="108"/>
      <c r="R1249" s="108"/>
      <c r="S1249" s="108"/>
      <c r="T1249" s="108"/>
      <c r="U1249" s="108"/>
      <c r="V1249" s="108"/>
      <c r="W1249" s="108"/>
      <c r="X1249" s="108"/>
      <c r="Y1249" s="108"/>
      <c r="Z1249" s="108"/>
    </row>
    <row r="1250" ht="16.5" customHeight="1">
      <c r="A1250" s="108"/>
      <c r="B1250" s="108"/>
      <c r="C1250" s="180"/>
      <c r="D1250" s="108"/>
      <c r="E1250" s="108"/>
      <c r="F1250" s="108"/>
      <c r="G1250" s="108"/>
      <c r="H1250" s="108"/>
      <c r="I1250" s="108"/>
      <c r="J1250" s="108"/>
      <c r="K1250" s="108"/>
      <c r="L1250" s="108"/>
      <c r="M1250" s="108"/>
      <c r="N1250" s="108"/>
      <c r="O1250" s="108"/>
      <c r="P1250" s="108"/>
      <c r="Q1250" s="108"/>
      <c r="R1250" s="108"/>
      <c r="S1250" s="108"/>
      <c r="T1250" s="108"/>
      <c r="U1250" s="108"/>
      <c r="V1250" s="108"/>
      <c r="W1250" s="108"/>
      <c r="X1250" s="108"/>
      <c r="Y1250" s="108"/>
      <c r="Z1250" s="108"/>
    </row>
    <row r="1251" ht="16.5" customHeight="1">
      <c r="A1251" s="108"/>
      <c r="B1251" s="108"/>
      <c r="C1251" s="180"/>
      <c r="D1251" s="108"/>
      <c r="E1251" s="108"/>
      <c r="F1251" s="108"/>
      <c r="G1251" s="108"/>
      <c r="H1251" s="108"/>
      <c r="I1251" s="108"/>
      <c r="J1251" s="108"/>
      <c r="K1251" s="108"/>
      <c r="L1251" s="108"/>
      <c r="M1251" s="108"/>
      <c r="N1251" s="108"/>
      <c r="O1251" s="108"/>
      <c r="P1251" s="108"/>
      <c r="Q1251" s="108"/>
      <c r="R1251" s="108"/>
      <c r="S1251" s="108"/>
      <c r="T1251" s="108"/>
      <c r="U1251" s="108"/>
      <c r="V1251" s="108"/>
      <c r="W1251" s="108"/>
      <c r="X1251" s="108"/>
      <c r="Y1251" s="108"/>
      <c r="Z1251" s="108"/>
    </row>
    <row r="1252" ht="16.5" customHeight="1">
      <c r="A1252" s="108"/>
      <c r="B1252" s="108"/>
      <c r="C1252" s="180"/>
      <c r="D1252" s="108"/>
      <c r="E1252" s="108"/>
      <c r="F1252" s="108"/>
      <c r="G1252" s="108"/>
      <c r="H1252" s="108"/>
      <c r="I1252" s="108"/>
      <c r="J1252" s="108"/>
      <c r="K1252" s="108"/>
      <c r="L1252" s="108"/>
      <c r="M1252" s="108"/>
      <c r="N1252" s="108"/>
      <c r="O1252" s="108"/>
      <c r="P1252" s="108"/>
      <c r="Q1252" s="108"/>
      <c r="R1252" s="108"/>
      <c r="S1252" s="108"/>
      <c r="T1252" s="108"/>
      <c r="U1252" s="108"/>
      <c r="V1252" s="108"/>
      <c r="W1252" s="108"/>
      <c r="X1252" s="108"/>
      <c r="Y1252" s="108"/>
      <c r="Z1252" s="108"/>
    </row>
    <row r="1253" ht="16.5" customHeight="1">
      <c r="A1253" s="108"/>
      <c r="B1253" s="108"/>
      <c r="C1253" s="180"/>
      <c r="D1253" s="108"/>
      <c r="E1253" s="108"/>
      <c r="F1253" s="108"/>
      <c r="G1253" s="108"/>
      <c r="H1253" s="108"/>
      <c r="I1253" s="108"/>
      <c r="J1253" s="108"/>
      <c r="K1253" s="108"/>
      <c r="L1253" s="108"/>
      <c r="M1253" s="108"/>
      <c r="N1253" s="108"/>
      <c r="O1253" s="108"/>
      <c r="P1253" s="108"/>
      <c r="Q1253" s="108"/>
      <c r="R1253" s="108"/>
      <c r="S1253" s="108"/>
      <c r="T1253" s="108"/>
      <c r="U1253" s="108"/>
      <c r="V1253" s="108"/>
      <c r="W1253" s="108"/>
      <c r="X1253" s="108"/>
      <c r="Y1253" s="108"/>
      <c r="Z1253" s="108"/>
    </row>
    <row r="1254" ht="16.5" customHeight="1">
      <c r="A1254" s="108"/>
      <c r="B1254" s="108"/>
      <c r="C1254" s="180"/>
      <c r="D1254" s="108"/>
      <c r="E1254" s="108"/>
      <c r="F1254" s="108"/>
      <c r="G1254" s="108"/>
      <c r="H1254" s="108"/>
      <c r="I1254" s="108"/>
      <c r="J1254" s="108"/>
      <c r="K1254" s="108"/>
      <c r="L1254" s="108"/>
      <c r="M1254" s="108"/>
      <c r="N1254" s="108"/>
      <c r="O1254" s="108"/>
      <c r="P1254" s="108"/>
      <c r="Q1254" s="108"/>
      <c r="R1254" s="108"/>
      <c r="S1254" s="108"/>
      <c r="T1254" s="108"/>
      <c r="U1254" s="108"/>
      <c r="V1254" s="108"/>
      <c r="W1254" s="108"/>
      <c r="X1254" s="108"/>
      <c r="Y1254" s="108"/>
      <c r="Z1254" s="108"/>
    </row>
    <row r="1255" ht="16.5" customHeight="1">
      <c r="A1255" s="108"/>
      <c r="B1255" s="108"/>
      <c r="C1255" s="180"/>
      <c r="D1255" s="108"/>
      <c r="E1255" s="108"/>
      <c r="F1255" s="108"/>
      <c r="G1255" s="108"/>
      <c r="H1255" s="108"/>
      <c r="I1255" s="108"/>
      <c r="J1255" s="108"/>
      <c r="K1255" s="108"/>
      <c r="L1255" s="108"/>
      <c r="M1255" s="108"/>
      <c r="N1255" s="108"/>
      <c r="O1255" s="108"/>
      <c r="P1255" s="108"/>
      <c r="Q1255" s="108"/>
      <c r="R1255" s="108"/>
      <c r="S1255" s="108"/>
      <c r="T1255" s="108"/>
      <c r="U1255" s="108"/>
      <c r="V1255" s="108"/>
      <c r="W1255" s="108"/>
      <c r="X1255" s="108"/>
      <c r="Y1255" s="108"/>
      <c r="Z1255" s="108"/>
    </row>
    <row r="1256" ht="16.5" customHeight="1">
      <c r="A1256" s="108"/>
      <c r="B1256" s="108"/>
      <c r="C1256" s="180"/>
      <c r="D1256" s="108"/>
      <c r="E1256" s="108"/>
      <c r="F1256" s="108"/>
      <c r="G1256" s="108"/>
      <c r="H1256" s="108"/>
      <c r="I1256" s="108"/>
      <c r="J1256" s="108"/>
      <c r="K1256" s="108"/>
      <c r="L1256" s="108"/>
      <c r="M1256" s="108"/>
      <c r="N1256" s="108"/>
      <c r="O1256" s="108"/>
      <c r="P1256" s="108"/>
      <c r="Q1256" s="108"/>
      <c r="R1256" s="108"/>
      <c r="S1256" s="108"/>
      <c r="T1256" s="108"/>
      <c r="U1256" s="108"/>
      <c r="V1256" s="108"/>
      <c r="W1256" s="108"/>
      <c r="X1256" s="108"/>
      <c r="Y1256" s="108"/>
      <c r="Z1256" s="108"/>
    </row>
    <row r="1257" ht="16.5" customHeight="1">
      <c r="A1257" s="108"/>
      <c r="B1257" s="108"/>
      <c r="C1257" s="180"/>
      <c r="D1257" s="108"/>
      <c r="E1257" s="108"/>
      <c r="F1257" s="108"/>
      <c r="G1257" s="108"/>
      <c r="H1257" s="108"/>
      <c r="I1257" s="108"/>
      <c r="J1257" s="108"/>
      <c r="K1257" s="108"/>
      <c r="L1257" s="108"/>
      <c r="M1257" s="108"/>
      <c r="N1257" s="108"/>
      <c r="O1257" s="108"/>
      <c r="P1257" s="108"/>
      <c r="Q1257" s="108"/>
      <c r="R1257" s="108"/>
      <c r="S1257" s="108"/>
      <c r="T1257" s="108"/>
      <c r="U1257" s="108"/>
      <c r="V1257" s="108"/>
      <c r="W1257" s="108"/>
      <c r="X1257" s="108"/>
      <c r="Y1257" s="108"/>
      <c r="Z1257" s="108"/>
    </row>
    <row r="1258" ht="16.5" customHeight="1">
      <c r="A1258" s="108"/>
      <c r="B1258" s="108"/>
      <c r="C1258" s="180"/>
      <c r="D1258" s="108"/>
      <c r="E1258" s="108"/>
      <c r="F1258" s="108"/>
      <c r="G1258" s="108"/>
      <c r="H1258" s="108"/>
      <c r="I1258" s="108"/>
      <c r="J1258" s="108"/>
      <c r="K1258" s="108"/>
      <c r="L1258" s="108"/>
      <c r="M1258" s="108"/>
      <c r="N1258" s="108"/>
      <c r="O1258" s="108"/>
      <c r="P1258" s="108"/>
      <c r="Q1258" s="108"/>
      <c r="R1258" s="108"/>
      <c r="S1258" s="108"/>
      <c r="T1258" s="108"/>
      <c r="U1258" s="108"/>
      <c r="V1258" s="108"/>
      <c r="W1258" s="108"/>
      <c r="X1258" s="108"/>
      <c r="Y1258" s="108"/>
      <c r="Z1258" s="108"/>
    </row>
    <row r="1259" ht="16.5" customHeight="1">
      <c r="A1259" s="108"/>
      <c r="B1259" s="108"/>
      <c r="C1259" s="180"/>
      <c r="D1259" s="108"/>
      <c r="E1259" s="108"/>
      <c r="F1259" s="108"/>
      <c r="G1259" s="108"/>
      <c r="H1259" s="108"/>
      <c r="I1259" s="108"/>
      <c r="J1259" s="108"/>
      <c r="K1259" s="108"/>
      <c r="L1259" s="108"/>
      <c r="M1259" s="108"/>
      <c r="N1259" s="108"/>
      <c r="O1259" s="108"/>
      <c r="P1259" s="108"/>
      <c r="Q1259" s="108"/>
      <c r="R1259" s="108"/>
      <c r="S1259" s="108"/>
      <c r="T1259" s="108"/>
      <c r="U1259" s="108"/>
      <c r="V1259" s="108"/>
      <c r="W1259" s="108"/>
      <c r="X1259" s="108"/>
      <c r="Y1259" s="108"/>
      <c r="Z1259" s="108"/>
    </row>
    <row r="1260" ht="16.5" customHeight="1">
      <c r="A1260" s="108"/>
      <c r="B1260" s="108"/>
      <c r="C1260" s="180"/>
      <c r="D1260" s="108"/>
      <c r="E1260" s="108"/>
      <c r="F1260" s="108"/>
      <c r="G1260" s="108"/>
      <c r="H1260" s="108"/>
      <c r="I1260" s="108"/>
      <c r="J1260" s="108"/>
      <c r="K1260" s="108"/>
      <c r="L1260" s="108"/>
      <c r="M1260" s="108"/>
      <c r="N1260" s="108"/>
      <c r="O1260" s="108"/>
      <c r="P1260" s="108"/>
      <c r="Q1260" s="108"/>
      <c r="R1260" s="108"/>
      <c r="S1260" s="108"/>
      <c r="T1260" s="108"/>
      <c r="U1260" s="108"/>
      <c r="V1260" s="108"/>
      <c r="W1260" s="108"/>
      <c r="X1260" s="108"/>
      <c r="Y1260" s="108"/>
      <c r="Z1260" s="108"/>
    </row>
    <row r="1261" ht="16.5" customHeight="1">
      <c r="A1261" s="108"/>
      <c r="B1261" s="108"/>
      <c r="C1261" s="180"/>
      <c r="D1261" s="108"/>
      <c r="E1261" s="108"/>
      <c r="F1261" s="108"/>
      <c r="G1261" s="108"/>
      <c r="H1261" s="108"/>
      <c r="I1261" s="108"/>
      <c r="J1261" s="108"/>
      <c r="K1261" s="108"/>
      <c r="L1261" s="108"/>
      <c r="M1261" s="108"/>
      <c r="N1261" s="108"/>
      <c r="O1261" s="108"/>
      <c r="P1261" s="108"/>
      <c r="Q1261" s="108"/>
      <c r="R1261" s="108"/>
      <c r="S1261" s="108"/>
      <c r="T1261" s="108"/>
      <c r="U1261" s="108"/>
      <c r="V1261" s="108"/>
      <c r="W1261" s="108"/>
      <c r="X1261" s="108"/>
      <c r="Y1261" s="108"/>
      <c r="Z1261" s="108"/>
    </row>
    <row r="1262" ht="16.5" customHeight="1">
      <c r="A1262" s="108"/>
      <c r="B1262" s="108"/>
      <c r="C1262" s="180"/>
      <c r="D1262" s="108"/>
      <c r="E1262" s="108"/>
      <c r="F1262" s="108"/>
      <c r="G1262" s="108"/>
      <c r="H1262" s="108"/>
      <c r="I1262" s="108"/>
      <c r="J1262" s="108"/>
      <c r="K1262" s="108"/>
      <c r="L1262" s="108"/>
      <c r="M1262" s="108"/>
      <c r="N1262" s="108"/>
      <c r="O1262" s="108"/>
      <c r="P1262" s="108"/>
      <c r="Q1262" s="108"/>
      <c r="R1262" s="108"/>
      <c r="S1262" s="108"/>
      <c r="T1262" s="108"/>
      <c r="U1262" s="108"/>
      <c r="V1262" s="108"/>
      <c r="W1262" s="108"/>
      <c r="X1262" s="108"/>
      <c r="Y1262" s="108"/>
      <c r="Z1262" s="108"/>
    </row>
    <row r="1263" ht="16.5" customHeight="1">
      <c r="A1263" s="108"/>
      <c r="B1263" s="108"/>
      <c r="C1263" s="180"/>
      <c r="D1263" s="108"/>
      <c r="E1263" s="108"/>
      <c r="F1263" s="108"/>
      <c r="G1263" s="108"/>
      <c r="H1263" s="108"/>
      <c r="I1263" s="108"/>
      <c r="J1263" s="108"/>
      <c r="K1263" s="108"/>
      <c r="L1263" s="108"/>
      <c r="M1263" s="108"/>
      <c r="N1263" s="108"/>
      <c r="O1263" s="108"/>
      <c r="P1263" s="108"/>
      <c r="Q1263" s="108"/>
      <c r="R1263" s="108"/>
      <c r="S1263" s="108"/>
      <c r="T1263" s="108"/>
      <c r="U1263" s="108"/>
      <c r="V1263" s="108"/>
      <c r="W1263" s="108"/>
      <c r="X1263" s="108"/>
      <c r="Y1263" s="108"/>
      <c r="Z1263" s="108"/>
    </row>
    <row r="1264" ht="16.5" customHeight="1">
      <c r="A1264" s="108"/>
      <c r="B1264" s="108"/>
      <c r="C1264" s="180"/>
      <c r="D1264" s="108"/>
      <c r="E1264" s="108"/>
      <c r="F1264" s="108"/>
      <c r="G1264" s="108"/>
      <c r="H1264" s="108"/>
      <c r="I1264" s="108"/>
      <c r="J1264" s="108"/>
      <c r="K1264" s="108"/>
      <c r="L1264" s="108"/>
      <c r="M1264" s="108"/>
      <c r="N1264" s="108"/>
      <c r="O1264" s="108"/>
      <c r="P1264" s="108"/>
      <c r="Q1264" s="108"/>
      <c r="R1264" s="108"/>
      <c r="S1264" s="108"/>
      <c r="T1264" s="108"/>
      <c r="U1264" s="108"/>
      <c r="V1264" s="108"/>
      <c r="W1264" s="108"/>
      <c r="X1264" s="108"/>
      <c r="Y1264" s="108"/>
      <c r="Z1264" s="108"/>
    </row>
    <row r="1265" ht="16.5" customHeight="1">
      <c r="A1265" s="108"/>
      <c r="B1265" s="108"/>
      <c r="C1265" s="180"/>
      <c r="D1265" s="108"/>
      <c r="E1265" s="108"/>
      <c r="F1265" s="108"/>
      <c r="G1265" s="108"/>
      <c r="H1265" s="108"/>
      <c r="I1265" s="108"/>
      <c r="J1265" s="108"/>
      <c r="K1265" s="108"/>
      <c r="L1265" s="108"/>
      <c r="M1265" s="108"/>
      <c r="N1265" s="108"/>
      <c r="O1265" s="108"/>
      <c r="P1265" s="108"/>
      <c r="Q1265" s="108"/>
      <c r="R1265" s="108"/>
      <c r="S1265" s="108"/>
      <c r="T1265" s="108"/>
      <c r="U1265" s="108"/>
      <c r="V1265" s="108"/>
      <c r="W1265" s="108"/>
      <c r="X1265" s="108"/>
      <c r="Y1265" s="108"/>
      <c r="Z1265" s="108"/>
    </row>
    <row r="1266" ht="16.5" customHeight="1">
      <c r="A1266" s="108"/>
      <c r="B1266" s="108"/>
      <c r="C1266" s="180"/>
      <c r="D1266" s="108"/>
      <c r="E1266" s="108"/>
      <c r="F1266" s="108"/>
      <c r="G1266" s="108"/>
      <c r="H1266" s="108"/>
      <c r="I1266" s="108"/>
      <c r="J1266" s="108"/>
      <c r="K1266" s="108"/>
      <c r="L1266" s="108"/>
      <c r="M1266" s="108"/>
      <c r="N1266" s="108"/>
      <c r="O1266" s="108"/>
      <c r="P1266" s="108"/>
      <c r="Q1266" s="108"/>
      <c r="R1266" s="108"/>
      <c r="S1266" s="108"/>
      <c r="T1266" s="108"/>
      <c r="U1266" s="108"/>
      <c r="V1266" s="108"/>
      <c r="W1266" s="108"/>
      <c r="X1266" s="108"/>
      <c r="Y1266" s="108"/>
      <c r="Z1266" s="108"/>
    </row>
    <row r="1267" ht="16.5" customHeight="1">
      <c r="A1267" s="108"/>
      <c r="B1267" s="108"/>
      <c r="C1267" s="180"/>
      <c r="D1267" s="108"/>
      <c r="E1267" s="108"/>
      <c r="F1267" s="108"/>
      <c r="G1267" s="108"/>
      <c r="H1267" s="108"/>
      <c r="I1267" s="108"/>
      <c r="J1267" s="108"/>
      <c r="K1267" s="108"/>
      <c r="L1267" s="108"/>
      <c r="M1267" s="108"/>
      <c r="N1267" s="108"/>
      <c r="O1267" s="108"/>
      <c r="P1267" s="108"/>
      <c r="Q1267" s="108"/>
      <c r="R1267" s="108"/>
      <c r="S1267" s="108"/>
      <c r="T1267" s="108"/>
      <c r="U1267" s="108"/>
      <c r="V1267" s="108"/>
      <c r="W1267" s="108"/>
      <c r="X1267" s="108"/>
      <c r="Y1267" s="108"/>
      <c r="Z1267" s="108"/>
    </row>
    <row r="1268" ht="16.5" customHeight="1">
      <c r="A1268" s="108"/>
      <c r="B1268" s="108"/>
      <c r="C1268" s="180"/>
      <c r="D1268" s="108"/>
      <c r="E1268" s="108"/>
      <c r="F1268" s="108"/>
      <c r="G1268" s="108"/>
      <c r="H1268" s="108"/>
      <c r="I1268" s="108"/>
      <c r="J1268" s="108"/>
      <c r="K1268" s="108"/>
      <c r="L1268" s="108"/>
      <c r="M1268" s="108"/>
      <c r="N1268" s="108"/>
      <c r="O1268" s="108"/>
      <c r="P1268" s="108"/>
      <c r="Q1268" s="108"/>
      <c r="R1268" s="108"/>
      <c r="S1268" s="108"/>
      <c r="T1268" s="108"/>
      <c r="U1268" s="108"/>
      <c r="V1268" s="108"/>
      <c r="W1268" s="108"/>
      <c r="X1268" s="108"/>
      <c r="Y1268" s="108"/>
      <c r="Z1268" s="108"/>
    </row>
    <row r="1269" ht="16.5" customHeight="1">
      <c r="A1269" s="108"/>
      <c r="B1269" s="108"/>
      <c r="C1269" s="180"/>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row>
    <row r="1270" ht="16.5" customHeight="1">
      <c r="A1270" s="108"/>
      <c r="B1270" s="108"/>
      <c r="C1270" s="180"/>
      <c r="D1270" s="108"/>
      <c r="E1270" s="108"/>
      <c r="F1270" s="108"/>
      <c r="G1270" s="108"/>
      <c r="H1270" s="108"/>
      <c r="I1270" s="108"/>
      <c r="J1270" s="108"/>
      <c r="K1270" s="108"/>
      <c r="L1270" s="108"/>
      <c r="M1270" s="108"/>
      <c r="N1270" s="108"/>
      <c r="O1270" s="108"/>
      <c r="P1270" s="108"/>
      <c r="Q1270" s="108"/>
      <c r="R1270" s="108"/>
      <c r="S1270" s="108"/>
      <c r="T1270" s="108"/>
      <c r="U1270" s="108"/>
      <c r="V1270" s="108"/>
      <c r="W1270" s="108"/>
      <c r="X1270" s="108"/>
      <c r="Y1270" s="108"/>
      <c r="Z1270" s="108"/>
    </row>
    <row r="1271" ht="16.5" customHeight="1">
      <c r="A1271" s="108"/>
      <c r="B1271" s="108"/>
      <c r="C1271" s="180"/>
      <c r="D1271" s="108"/>
      <c r="E1271" s="108"/>
      <c r="F1271" s="108"/>
      <c r="G1271" s="108"/>
      <c r="H1271" s="108"/>
      <c r="I1271" s="108"/>
      <c r="J1271" s="108"/>
      <c r="K1271" s="108"/>
      <c r="L1271" s="108"/>
      <c r="M1271" s="108"/>
      <c r="N1271" s="108"/>
      <c r="O1271" s="108"/>
      <c r="P1271" s="108"/>
      <c r="Q1271" s="108"/>
      <c r="R1271" s="108"/>
      <c r="S1271" s="108"/>
      <c r="T1271" s="108"/>
      <c r="U1271" s="108"/>
      <c r="V1271" s="108"/>
      <c r="W1271" s="108"/>
      <c r="X1271" s="108"/>
      <c r="Y1271" s="108"/>
      <c r="Z1271" s="108"/>
    </row>
    <row r="1272" ht="16.5" customHeight="1">
      <c r="A1272" s="108"/>
      <c r="B1272" s="108"/>
      <c r="C1272" s="180"/>
      <c r="D1272" s="108"/>
      <c r="E1272" s="108"/>
      <c r="F1272" s="108"/>
      <c r="G1272" s="108"/>
      <c r="H1272" s="108"/>
      <c r="I1272" s="108"/>
      <c r="J1272" s="108"/>
      <c r="K1272" s="108"/>
      <c r="L1272" s="108"/>
      <c r="M1272" s="108"/>
      <c r="N1272" s="108"/>
      <c r="O1272" s="108"/>
      <c r="P1272" s="108"/>
      <c r="Q1272" s="108"/>
      <c r="R1272" s="108"/>
      <c r="S1272" s="108"/>
      <c r="T1272" s="108"/>
      <c r="U1272" s="108"/>
      <c r="V1272" s="108"/>
      <c r="W1272" s="108"/>
      <c r="X1272" s="108"/>
      <c r="Y1272" s="108"/>
      <c r="Z1272" s="108"/>
    </row>
    <row r="1273" ht="16.5" customHeight="1">
      <c r="A1273" s="108"/>
      <c r="B1273" s="108"/>
      <c r="C1273" s="180"/>
      <c r="D1273" s="108"/>
      <c r="E1273" s="108"/>
      <c r="F1273" s="108"/>
      <c r="G1273" s="108"/>
      <c r="H1273" s="108"/>
      <c r="I1273" s="108"/>
      <c r="J1273" s="108"/>
      <c r="K1273" s="108"/>
      <c r="L1273" s="108"/>
      <c r="M1273" s="108"/>
      <c r="N1273" s="108"/>
      <c r="O1273" s="108"/>
      <c r="P1273" s="108"/>
      <c r="Q1273" s="108"/>
      <c r="R1273" s="108"/>
      <c r="S1273" s="108"/>
      <c r="T1273" s="108"/>
      <c r="U1273" s="108"/>
      <c r="V1273" s="108"/>
      <c r="W1273" s="108"/>
      <c r="X1273" s="108"/>
      <c r="Y1273" s="108"/>
      <c r="Z1273" s="108"/>
    </row>
    <row r="1274" ht="16.5" customHeight="1">
      <c r="A1274" s="108"/>
      <c r="B1274" s="108"/>
      <c r="C1274" s="180"/>
      <c r="D1274" s="108"/>
      <c r="E1274" s="108"/>
      <c r="F1274" s="108"/>
      <c r="G1274" s="108"/>
      <c r="H1274" s="108"/>
      <c r="I1274" s="108"/>
      <c r="J1274" s="108"/>
      <c r="K1274" s="108"/>
      <c r="L1274" s="108"/>
      <c r="M1274" s="108"/>
      <c r="N1274" s="108"/>
      <c r="O1274" s="108"/>
      <c r="P1274" s="108"/>
      <c r="Q1274" s="108"/>
      <c r="R1274" s="108"/>
      <c r="S1274" s="108"/>
      <c r="T1274" s="108"/>
      <c r="U1274" s="108"/>
      <c r="V1274" s="108"/>
      <c r="W1274" s="108"/>
      <c r="X1274" s="108"/>
      <c r="Y1274" s="108"/>
      <c r="Z1274" s="108"/>
    </row>
    <row r="1275" ht="16.5" customHeight="1">
      <c r="A1275" s="108"/>
      <c r="B1275" s="108"/>
      <c r="C1275" s="180"/>
      <c r="D1275" s="108"/>
      <c r="E1275" s="108"/>
      <c r="F1275" s="108"/>
      <c r="G1275" s="108"/>
      <c r="H1275" s="108"/>
      <c r="I1275" s="108"/>
      <c r="J1275" s="108"/>
      <c r="K1275" s="108"/>
      <c r="L1275" s="108"/>
      <c r="M1275" s="108"/>
      <c r="N1275" s="108"/>
      <c r="O1275" s="108"/>
      <c r="P1275" s="108"/>
      <c r="Q1275" s="108"/>
      <c r="R1275" s="108"/>
      <c r="S1275" s="108"/>
      <c r="T1275" s="108"/>
      <c r="U1275" s="108"/>
      <c r="V1275" s="108"/>
      <c r="W1275" s="108"/>
      <c r="X1275" s="108"/>
      <c r="Y1275" s="108"/>
      <c r="Z1275" s="108"/>
    </row>
    <row r="1276" ht="16.5" customHeight="1">
      <c r="A1276" s="108"/>
      <c r="B1276" s="108"/>
      <c r="C1276" s="180"/>
      <c r="D1276" s="108"/>
      <c r="E1276" s="108"/>
      <c r="F1276" s="108"/>
      <c r="G1276" s="108"/>
      <c r="H1276" s="108"/>
      <c r="I1276" s="108"/>
      <c r="J1276" s="108"/>
      <c r="K1276" s="108"/>
      <c r="L1276" s="108"/>
      <c r="M1276" s="108"/>
      <c r="N1276" s="108"/>
      <c r="O1276" s="108"/>
      <c r="P1276" s="108"/>
      <c r="Q1276" s="108"/>
      <c r="R1276" s="108"/>
      <c r="S1276" s="108"/>
      <c r="T1276" s="108"/>
      <c r="U1276" s="108"/>
      <c r="V1276" s="108"/>
      <c r="W1276" s="108"/>
      <c r="X1276" s="108"/>
      <c r="Y1276" s="108"/>
      <c r="Z1276" s="108"/>
    </row>
    <row r="1277" ht="16.5" customHeight="1">
      <c r="A1277" s="108"/>
      <c r="B1277" s="108"/>
      <c r="C1277" s="180"/>
      <c r="D1277" s="108"/>
      <c r="E1277" s="108"/>
      <c r="F1277" s="108"/>
      <c r="G1277" s="108"/>
      <c r="H1277" s="108"/>
      <c r="I1277" s="108"/>
      <c r="J1277" s="108"/>
      <c r="K1277" s="108"/>
      <c r="L1277" s="108"/>
      <c r="M1277" s="108"/>
      <c r="N1277" s="108"/>
      <c r="O1277" s="108"/>
      <c r="P1277" s="108"/>
      <c r="Q1277" s="108"/>
      <c r="R1277" s="108"/>
      <c r="S1277" s="108"/>
      <c r="T1277" s="108"/>
      <c r="U1277" s="108"/>
      <c r="V1277" s="108"/>
      <c r="W1277" s="108"/>
      <c r="X1277" s="108"/>
      <c r="Y1277" s="108"/>
      <c r="Z1277" s="108"/>
    </row>
    <row r="1278" ht="16.5" customHeight="1">
      <c r="A1278" s="108"/>
      <c r="B1278" s="108"/>
      <c r="C1278" s="180"/>
      <c r="D1278" s="108"/>
      <c r="E1278" s="108"/>
      <c r="F1278" s="108"/>
      <c r="G1278" s="108"/>
      <c r="H1278" s="108"/>
      <c r="I1278" s="108"/>
      <c r="J1278" s="108"/>
      <c r="K1278" s="108"/>
      <c r="L1278" s="108"/>
      <c r="M1278" s="108"/>
      <c r="N1278" s="108"/>
      <c r="O1278" s="108"/>
      <c r="P1278" s="108"/>
      <c r="Q1278" s="108"/>
      <c r="R1278" s="108"/>
      <c r="S1278" s="108"/>
      <c r="T1278" s="108"/>
      <c r="U1278" s="108"/>
      <c r="V1278" s="108"/>
      <c r="W1278" s="108"/>
      <c r="X1278" s="108"/>
      <c r="Y1278" s="108"/>
      <c r="Z1278" s="108"/>
    </row>
    <row r="1279" ht="16.5" customHeight="1">
      <c r="A1279" s="108"/>
      <c r="B1279" s="108"/>
      <c r="C1279" s="180"/>
      <c r="D1279" s="108"/>
      <c r="E1279" s="108"/>
      <c r="F1279" s="108"/>
      <c r="G1279" s="108"/>
      <c r="H1279" s="108"/>
      <c r="I1279" s="108"/>
      <c r="J1279" s="108"/>
      <c r="K1279" s="108"/>
      <c r="L1279" s="108"/>
      <c r="M1279" s="108"/>
      <c r="N1279" s="108"/>
      <c r="O1279" s="108"/>
      <c r="P1279" s="108"/>
      <c r="Q1279" s="108"/>
      <c r="R1279" s="108"/>
      <c r="S1279" s="108"/>
      <c r="T1279" s="108"/>
      <c r="U1279" s="108"/>
      <c r="V1279" s="108"/>
      <c r="W1279" s="108"/>
      <c r="X1279" s="108"/>
      <c r="Y1279" s="108"/>
      <c r="Z1279" s="108"/>
    </row>
    <row r="1280" ht="16.5" customHeight="1">
      <c r="A1280" s="108"/>
      <c r="B1280" s="108"/>
      <c r="C1280" s="180"/>
      <c r="D1280" s="108"/>
      <c r="E1280" s="108"/>
      <c r="F1280" s="108"/>
      <c r="G1280" s="108"/>
      <c r="H1280" s="108"/>
      <c r="I1280" s="108"/>
      <c r="J1280" s="108"/>
      <c r="K1280" s="108"/>
      <c r="L1280" s="108"/>
      <c r="M1280" s="108"/>
      <c r="N1280" s="108"/>
      <c r="O1280" s="108"/>
      <c r="P1280" s="108"/>
      <c r="Q1280" s="108"/>
      <c r="R1280" s="108"/>
      <c r="S1280" s="108"/>
      <c r="T1280" s="108"/>
      <c r="U1280" s="108"/>
      <c r="V1280" s="108"/>
      <c r="W1280" s="108"/>
      <c r="X1280" s="108"/>
      <c r="Y1280" s="108"/>
      <c r="Z1280" s="108"/>
    </row>
    <row r="1281" ht="16.5" customHeight="1">
      <c r="A1281" s="108"/>
      <c r="B1281" s="108"/>
      <c r="C1281" s="180"/>
      <c r="D1281" s="108"/>
      <c r="E1281" s="108"/>
      <c r="F1281" s="108"/>
      <c r="G1281" s="108"/>
      <c r="H1281" s="108"/>
      <c r="I1281" s="108"/>
      <c r="J1281" s="108"/>
      <c r="K1281" s="108"/>
      <c r="L1281" s="108"/>
      <c r="M1281" s="108"/>
      <c r="N1281" s="108"/>
      <c r="O1281" s="108"/>
      <c r="P1281" s="108"/>
      <c r="Q1281" s="108"/>
      <c r="R1281" s="108"/>
      <c r="S1281" s="108"/>
      <c r="T1281" s="108"/>
      <c r="U1281" s="108"/>
      <c r="V1281" s="108"/>
      <c r="W1281" s="108"/>
      <c r="X1281" s="108"/>
      <c r="Y1281" s="108"/>
      <c r="Z1281" s="108"/>
    </row>
    <row r="1282" ht="16.5" customHeight="1">
      <c r="A1282" s="108"/>
      <c r="B1282" s="108"/>
      <c r="C1282" s="180"/>
      <c r="D1282" s="108"/>
      <c r="E1282" s="108"/>
      <c r="F1282" s="108"/>
      <c r="G1282" s="108"/>
      <c r="H1282" s="108"/>
      <c r="I1282" s="108"/>
      <c r="J1282" s="108"/>
      <c r="K1282" s="108"/>
      <c r="L1282" s="108"/>
      <c r="M1282" s="108"/>
      <c r="N1282" s="108"/>
      <c r="O1282" s="108"/>
      <c r="P1282" s="108"/>
      <c r="Q1282" s="108"/>
      <c r="R1282" s="108"/>
      <c r="S1282" s="108"/>
      <c r="T1282" s="108"/>
      <c r="U1282" s="108"/>
      <c r="V1282" s="108"/>
      <c r="W1282" s="108"/>
      <c r="X1282" s="108"/>
      <c r="Y1282" s="108"/>
      <c r="Z1282" s="108"/>
    </row>
    <row r="1283" ht="16.5" customHeight="1">
      <c r="A1283" s="108"/>
      <c r="B1283" s="108"/>
      <c r="C1283" s="180"/>
      <c r="D1283" s="108"/>
      <c r="E1283" s="108"/>
      <c r="F1283" s="108"/>
      <c r="G1283" s="108"/>
      <c r="H1283" s="108"/>
      <c r="I1283" s="108"/>
      <c r="J1283" s="108"/>
      <c r="K1283" s="108"/>
      <c r="L1283" s="108"/>
      <c r="M1283" s="108"/>
      <c r="N1283" s="108"/>
      <c r="O1283" s="108"/>
      <c r="P1283" s="108"/>
      <c r="Q1283" s="108"/>
      <c r="R1283" s="108"/>
      <c r="S1283" s="108"/>
      <c r="T1283" s="108"/>
      <c r="U1283" s="108"/>
      <c r="V1283" s="108"/>
      <c r="W1283" s="108"/>
      <c r="X1283" s="108"/>
      <c r="Y1283" s="108"/>
      <c r="Z1283" s="108"/>
    </row>
    <row r="1284" ht="16.5" customHeight="1">
      <c r="A1284" s="108"/>
      <c r="B1284" s="108"/>
      <c r="C1284" s="180"/>
      <c r="D1284" s="108"/>
      <c r="E1284" s="108"/>
      <c r="F1284" s="108"/>
      <c r="G1284" s="108"/>
      <c r="H1284" s="108"/>
      <c r="I1284" s="108"/>
      <c r="J1284" s="108"/>
      <c r="K1284" s="108"/>
      <c r="L1284" s="108"/>
      <c r="M1284" s="108"/>
      <c r="N1284" s="108"/>
      <c r="O1284" s="108"/>
      <c r="P1284" s="108"/>
      <c r="Q1284" s="108"/>
      <c r="R1284" s="108"/>
      <c r="S1284" s="108"/>
      <c r="T1284" s="108"/>
      <c r="U1284" s="108"/>
      <c r="V1284" s="108"/>
      <c r="W1284" s="108"/>
      <c r="X1284" s="108"/>
      <c r="Y1284" s="108"/>
      <c r="Z1284" s="108"/>
    </row>
    <row r="1285" ht="16.5" customHeight="1">
      <c r="A1285" s="108"/>
      <c r="B1285" s="108"/>
      <c r="C1285" s="180"/>
      <c r="D1285" s="108"/>
      <c r="E1285" s="108"/>
      <c r="F1285" s="108"/>
      <c r="G1285" s="108"/>
      <c r="H1285" s="108"/>
      <c r="I1285" s="108"/>
      <c r="J1285" s="108"/>
      <c r="K1285" s="108"/>
      <c r="L1285" s="108"/>
      <c r="M1285" s="108"/>
      <c r="N1285" s="108"/>
      <c r="O1285" s="108"/>
      <c r="P1285" s="108"/>
      <c r="Q1285" s="108"/>
      <c r="R1285" s="108"/>
      <c r="S1285" s="108"/>
      <c r="T1285" s="108"/>
      <c r="U1285" s="108"/>
      <c r="V1285" s="108"/>
      <c r="W1285" s="108"/>
      <c r="X1285" s="108"/>
      <c r="Y1285" s="108"/>
      <c r="Z1285" s="108"/>
    </row>
    <row r="1286" ht="16.5" customHeight="1">
      <c r="A1286" s="108"/>
      <c r="B1286" s="108"/>
      <c r="C1286" s="180"/>
      <c r="D1286" s="108"/>
      <c r="E1286" s="108"/>
      <c r="F1286" s="108"/>
      <c r="G1286" s="108"/>
      <c r="H1286" s="108"/>
      <c r="I1286" s="108"/>
      <c r="J1286" s="108"/>
      <c r="K1286" s="108"/>
      <c r="L1286" s="108"/>
      <c r="M1286" s="108"/>
      <c r="N1286" s="108"/>
      <c r="O1286" s="108"/>
      <c r="P1286" s="108"/>
      <c r="Q1286" s="108"/>
      <c r="R1286" s="108"/>
      <c r="S1286" s="108"/>
      <c r="T1286" s="108"/>
      <c r="U1286" s="108"/>
      <c r="V1286" s="108"/>
      <c r="W1286" s="108"/>
      <c r="X1286" s="108"/>
      <c r="Y1286" s="108"/>
      <c r="Z1286" s="108"/>
    </row>
    <row r="1287" ht="16.5" customHeight="1">
      <c r="A1287" s="108"/>
      <c r="B1287" s="108"/>
      <c r="C1287" s="180"/>
      <c r="D1287" s="108"/>
      <c r="E1287" s="108"/>
      <c r="F1287" s="108"/>
      <c r="G1287" s="108"/>
      <c r="H1287" s="108"/>
      <c r="I1287" s="108"/>
      <c r="J1287" s="108"/>
      <c r="K1287" s="108"/>
      <c r="L1287" s="108"/>
      <c r="M1287" s="108"/>
      <c r="N1287" s="108"/>
      <c r="O1287" s="108"/>
      <c r="P1287" s="108"/>
      <c r="Q1287" s="108"/>
      <c r="R1287" s="108"/>
      <c r="S1287" s="108"/>
      <c r="T1287" s="108"/>
      <c r="U1287" s="108"/>
      <c r="V1287" s="108"/>
      <c r="W1287" s="108"/>
      <c r="X1287" s="108"/>
      <c r="Y1287" s="108"/>
      <c r="Z1287" s="108"/>
    </row>
    <row r="1288" ht="16.5" customHeight="1">
      <c r="A1288" s="108"/>
      <c r="B1288" s="108"/>
      <c r="C1288" s="180"/>
      <c r="D1288" s="108"/>
      <c r="E1288" s="108"/>
      <c r="F1288" s="108"/>
      <c r="G1288" s="108"/>
      <c r="H1288" s="108"/>
      <c r="I1288" s="108"/>
      <c r="J1288" s="108"/>
      <c r="K1288" s="108"/>
      <c r="L1288" s="108"/>
      <c r="M1288" s="108"/>
      <c r="N1288" s="108"/>
      <c r="O1288" s="108"/>
      <c r="P1288" s="108"/>
      <c r="Q1288" s="108"/>
      <c r="R1288" s="108"/>
      <c r="S1288" s="108"/>
      <c r="T1288" s="108"/>
      <c r="U1288" s="108"/>
      <c r="V1288" s="108"/>
      <c r="W1288" s="108"/>
      <c r="X1288" s="108"/>
      <c r="Y1288" s="108"/>
      <c r="Z1288" s="108"/>
    </row>
    <row r="1289" ht="16.5" customHeight="1">
      <c r="A1289" s="108"/>
      <c r="B1289" s="108"/>
      <c r="C1289" s="180"/>
      <c r="D1289" s="108"/>
      <c r="E1289" s="108"/>
      <c r="F1289" s="108"/>
      <c r="G1289" s="108"/>
      <c r="H1289" s="108"/>
      <c r="I1289" s="108"/>
      <c r="J1289" s="108"/>
      <c r="K1289" s="108"/>
      <c r="L1289" s="108"/>
      <c r="M1289" s="108"/>
      <c r="N1289" s="108"/>
      <c r="O1289" s="108"/>
      <c r="P1289" s="108"/>
      <c r="Q1289" s="108"/>
      <c r="R1289" s="108"/>
      <c r="S1289" s="108"/>
      <c r="T1289" s="108"/>
      <c r="U1289" s="108"/>
      <c r="V1289" s="108"/>
      <c r="W1289" s="108"/>
      <c r="X1289" s="108"/>
      <c r="Y1289" s="108"/>
      <c r="Z1289" s="108"/>
    </row>
    <row r="1290" ht="16.5" customHeight="1">
      <c r="A1290" s="108"/>
      <c r="B1290" s="108"/>
      <c r="C1290" s="180"/>
      <c r="D1290" s="108"/>
      <c r="E1290" s="108"/>
      <c r="F1290" s="108"/>
      <c r="G1290" s="108"/>
      <c r="H1290" s="108"/>
      <c r="I1290" s="108"/>
      <c r="J1290" s="108"/>
      <c r="K1290" s="108"/>
      <c r="L1290" s="108"/>
      <c r="M1290" s="108"/>
      <c r="N1290" s="108"/>
      <c r="O1290" s="108"/>
      <c r="P1290" s="108"/>
      <c r="Q1290" s="108"/>
      <c r="R1290" s="108"/>
      <c r="S1290" s="108"/>
      <c r="T1290" s="108"/>
      <c r="U1290" s="108"/>
      <c r="V1290" s="108"/>
      <c r="W1290" s="108"/>
      <c r="X1290" s="108"/>
      <c r="Y1290" s="108"/>
      <c r="Z1290" s="108"/>
    </row>
    <row r="1291" ht="16.5" customHeight="1">
      <c r="A1291" s="108"/>
      <c r="B1291" s="108"/>
      <c r="C1291" s="180"/>
      <c r="D1291" s="108"/>
      <c r="E1291" s="108"/>
      <c r="F1291" s="108"/>
      <c r="G1291" s="108"/>
      <c r="H1291" s="108"/>
      <c r="I1291" s="108"/>
      <c r="J1291" s="108"/>
      <c r="K1291" s="108"/>
      <c r="L1291" s="108"/>
      <c r="M1291" s="108"/>
      <c r="N1291" s="108"/>
      <c r="O1291" s="108"/>
      <c r="P1291" s="108"/>
      <c r="Q1291" s="108"/>
      <c r="R1291" s="108"/>
      <c r="S1291" s="108"/>
      <c r="T1291" s="108"/>
      <c r="U1291" s="108"/>
      <c r="V1291" s="108"/>
      <c r="W1291" s="108"/>
      <c r="X1291" s="108"/>
      <c r="Y1291" s="108"/>
      <c r="Z1291" s="108"/>
    </row>
    <row r="1292" ht="16.5" customHeight="1">
      <c r="A1292" s="108"/>
      <c r="B1292" s="108"/>
      <c r="C1292" s="180"/>
      <c r="D1292" s="108"/>
      <c r="E1292" s="108"/>
      <c r="F1292" s="108"/>
      <c r="G1292" s="108"/>
      <c r="H1292" s="108"/>
      <c r="I1292" s="108"/>
      <c r="J1292" s="108"/>
      <c r="K1292" s="108"/>
      <c r="L1292" s="108"/>
      <c r="M1292" s="108"/>
      <c r="N1292" s="108"/>
      <c r="O1292" s="108"/>
      <c r="P1292" s="108"/>
      <c r="Q1292" s="108"/>
      <c r="R1292" s="108"/>
      <c r="S1292" s="108"/>
      <c r="T1292" s="108"/>
      <c r="U1292" s="108"/>
      <c r="V1292" s="108"/>
      <c r="W1292" s="108"/>
      <c r="X1292" s="108"/>
      <c r="Y1292" s="108"/>
      <c r="Z1292" s="108"/>
    </row>
    <row r="1293" ht="16.5" customHeight="1">
      <c r="A1293" s="108"/>
      <c r="B1293" s="108"/>
      <c r="C1293" s="180"/>
      <c r="D1293" s="108"/>
      <c r="E1293" s="108"/>
      <c r="F1293" s="108"/>
      <c r="G1293" s="108"/>
      <c r="H1293" s="108"/>
      <c r="I1293" s="108"/>
      <c r="J1293" s="108"/>
      <c r="K1293" s="108"/>
      <c r="L1293" s="108"/>
      <c r="M1293" s="108"/>
      <c r="N1293" s="108"/>
      <c r="O1293" s="108"/>
      <c r="P1293" s="108"/>
      <c r="Q1293" s="108"/>
      <c r="R1293" s="108"/>
      <c r="S1293" s="108"/>
      <c r="T1293" s="108"/>
      <c r="U1293" s="108"/>
      <c r="V1293" s="108"/>
      <c r="W1293" s="108"/>
      <c r="X1293" s="108"/>
      <c r="Y1293" s="108"/>
      <c r="Z1293" s="108"/>
    </row>
    <row r="1294" ht="16.5" customHeight="1">
      <c r="A1294" s="108"/>
      <c r="B1294" s="108"/>
      <c r="C1294" s="180"/>
      <c r="D1294" s="108"/>
      <c r="E1294" s="108"/>
      <c r="F1294" s="108"/>
      <c r="G1294" s="108"/>
      <c r="H1294" s="108"/>
      <c r="I1294" s="108"/>
      <c r="J1294" s="108"/>
      <c r="K1294" s="108"/>
      <c r="L1294" s="108"/>
      <c r="M1294" s="108"/>
      <c r="N1294" s="108"/>
      <c r="O1294" s="108"/>
      <c r="P1294" s="108"/>
      <c r="Q1294" s="108"/>
      <c r="R1294" s="108"/>
      <c r="S1294" s="108"/>
      <c r="T1294" s="108"/>
      <c r="U1294" s="108"/>
      <c r="V1294" s="108"/>
      <c r="W1294" s="108"/>
      <c r="X1294" s="108"/>
      <c r="Y1294" s="108"/>
      <c r="Z1294" s="108"/>
    </row>
    <row r="1295" ht="16.5" customHeight="1">
      <c r="A1295" s="108"/>
      <c r="B1295" s="108"/>
      <c r="C1295" s="180"/>
      <c r="D1295" s="108"/>
      <c r="E1295" s="108"/>
      <c r="F1295" s="108"/>
      <c r="G1295" s="108"/>
      <c r="H1295" s="108"/>
      <c r="I1295" s="108"/>
      <c r="J1295" s="108"/>
      <c r="K1295" s="108"/>
      <c r="L1295" s="108"/>
      <c r="M1295" s="108"/>
      <c r="N1295" s="108"/>
      <c r="O1295" s="108"/>
      <c r="P1295" s="108"/>
      <c r="Q1295" s="108"/>
      <c r="R1295" s="108"/>
      <c r="S1295" s="108"/>
      <c r="T1295" s="108"/>
      <c r="U1295" s="108"/>
      <c r="V1295" s="108"/>
      <c r="W1295" s="108"/>
      <c r="X1295" s="108"/>
      <c r="Y1295" s="108"/>
      <c r="Z1295" s="108"/>
    </row>
    <row r="1296" ht="16.5" customHeight="1">
      <c r="A1296" s="108"/>
      <c r="B1296" s="108"/>
      <c r="C1296" s="180"/>
      <c r="D1296" s="108"/>
      <c r="E1296" s="108"/>
      <c r="F1296" s="108"/>
      <c r="G1296" s="108"/>
      <c r="H1296" s="108"/>
      <c r="I1296" s="108"/>
      <c r="J1296" s="108"/>
      <c r="K1296" s="108"/>
      <c r="L1296" s="108"/>
      <c r="M1296" s="108"/>
      <c r="N1296" s="108"/>
      <c r="O1296" s="108"/>
      <c r="P1296" s="108"/>
      <c r="Q1296" s="108"/>
      <c r="R1296" s="108"/>
      <c r="S1296" s="108"/>
      <c r="T1296" s="108"/>
      <c r="U1296" s="108"/>
      <c r="V1296" s="108"/>
      <c r="W1296" s="108"/>
      <c r="X1296" s="108"/>
      <c r="Y1296" s="108"/>
      <c r="Z1296" s="108"/>
    </row>
    <row r="1297" ht="16.5" customHeight="1">
      <c r="A1297" s="108"/>
      <c r="B1297" s="108"/>
      <c r="C1297" s="180"/>
      <c r="D1297" s="108"/>
      <c r="E1297" s="108"/>
      <c r="F1297" s="108"/>
      <c r="G1297" s="108"/>
      <c r="H1297" s="108"/>
      <c r="I1297" s="108"/>
      <c r="J1297" s="108"/>
      <c r="K1297" s="108"/>
      <c r="L1297" s="108"/>
      <c r="M1297" s="108"/>
      <c r="N1297" s="108"/>
      <c r="O1297" s="108"/>
      <c r="P1297" s="108"/>
      <c r="Q1297" s="108"/>
      <c r="R1297" s="108"/>
      <c r="S1297" s="108"/>
      <c r="T1297" s="108"/>
      <c r="U1297" s="108"/>
      <c r="V1297" s="108"/>
      <c r="W1297" s="108"/>
      <c r="X1297" s="108"/>
      <c r="Y1297" s="108"/>
      <c r="Z1297" s="108"/>
    </row>
    <row r="1298" ht="16.5" customHeight="1">
      <c r="A1298" s="108"/>
      <c r="B1298" s="108"/>
      <c r="C1298" s="180"/>
      <c r="D1298" s="108"/>
      <c r="E1298" s="108"/>
      <c r="F1298" s="108"/>
      <c r="G1298" s="108"/>
      <c r="H1298" s="108"/>
      <c r="I1298" s="108"/>
      <c r="J1298" s="108"/>
      <c r="K1298" s="108"/>
      <c r="L1298" s="108"/>
      <c r="M1298" s="108"/>
      <c r="N1298" s="108"/>
      <c r="O1298" s="108"/>
      <c r="P1298" s="108"/>
      <c r="Q1298" s="108"/>
      <c r="R1298" s="108"/>
      <c r="S1298" s="108"/>
      <c r="T1298" s="108"/>
      <c r="U1298" s="108"/>
      <c r="V1298" s="108"/>
      <c r="W1298" s="108"/>
      <c r="X1298" s="108"/>
      <c r="Y1298" s="108"/>
      <c r="Z1298" s="108"/>
    </row>
    <row r="1299" ht="16.5" customHeight="1">
      <c r="A1299" s="108"/>
      <c r="B1299" s="108"/>
      <c r="C1299" s="180"/>
      <c r="D1299" s="108"/>
      <c r="E1299" s="108"/>
      <c r="F1299" s="108"/>
      <c r="G1299" s="108"/>
      <c r="H1299" s="108"/>
      <c r="I1299" s="108"/>
      <c r="J1299" s="108"/>
      <c r="K1299" s="108"/>
      <c r="L1299" s="108"/>
      <c r="M1299" s="108"/>
      <c r="N1299" s="108"/>
      <c r="O1299" s="108"/>
      <c r="P1299" s="108"/>
      <c r="Q1299" s="108"/>
      <c r="R1299" s="108"/>
      <c r="S1299" s="108"/>
      <c r="T1299" s="108"/>
      <c r="U1299" s="108"/>
      <c r="V1299" s="108"/>
      <c r="W1299" s="108"/>
      <c r="X1299" s="108"/>
      <c r="Y1299" s="108"/>
      <c r="Z1299" s="108"/>
    </row>
    <row r="1300" ht="16.5" customHeight="1">
      <c r="A1300" s="108"/>
      <c r="B1300" s="108"/>
      <c r="C1300" s="180"/>
      <c r="D1300" s="108"/>
      <c r="E1300" s="108"/>
      <c r="F1300" s="108"/>
      <c r="G1300" s="108"/>
      <c r="H1300" s="108"/>
      <c r="I1300" s="108"/>
      <c r="J1300" s="108"/>
      <c r="K1300" s="108"/>
      <c r="L1300" s="108"/>
      <c r="M1300" s="108"/>
      <c r="N1300" s="108"/>
      <c r="O1300" s="108"/>
      <c r="P1300" s="108"/>
      <c r="Q1300" s="108"/>
      <c r="R1300" s="108"/>
      <c r="S1300" s="108"/>
      <c r="T1300" s="108"/>
      <c r="U1300" s="108"/>
      <c r="V1300" s="108"/>
      <c r="W1300" s="108"/>
      <c r="X1300" s="108"/>
      <c r="Y1300" s="108"/>
      <c r="Z1300" s="108"/>
    </row>
    <row r="1301" ht="16.5" customHeight="1">
      <c r="A1301" s="108"/>
      <c r="B1301" s="108"/>
      <c r="C1301" s="180"/>
      <c r="D1301" s="108"/>
      <c r="E1301" s="108"/>
      <c r="F1301" s="108"/>
      <c r="G1301" s="108"/>
      <c r="H1301" s="108"/>
      <c r="I1301" s="108"/>
      <c r="J1301" s="108"/>
      <c r="K1301" s="108"/>
      <c r="L1301" s="108"/>
      <c r="M1301" s="108"/>
      <c r="N1301" s="108"/>
      <c r="O1301" s="108"/>
      <c r="P1301" s="108"/>
      <c r="Q1301" s="108"/>
      <c r="R1301" s="108"/>
      <c r="S1301" s="108"/>
      <c r="T1301" s="108"/>
      <c r="U1301" s="108"/>
      <c r="V1301" s="108"/>
      <c r="W1301" s="108"/>
      <c r="X1301" s="108"/>
      <c r="Y1301" s="108"/>
      <c r="Z1301" s="108"/>
    </row>
    <row r="1302" ht="16.5" customHeight="1">
      <c r="A1302" s="108"/>
      <c r="B1302" s="108"/>
      <c r="C1302" s="180"/>
      <c r="D1302" s="108"/>
      <c r="E1302" s="108"/>
      <c r="F1302" s="108"/>
      <c r="G1302" s="108"/>
      <c r="H1302" s="108"/>
      <c r="I1302" s="108"/>
      <c r="J1302" s="108"/>
      <c r="K1302" s="108"/>
      <c r="L1302" s="108"/>
      <c r="M1302" s="108"/>
      <c r="N1302" s="108"/>
      <c r="O1302" s="108"/>
      <c r="P1302" s="108"/>
      <c r="Q1302" s="108"/>
      <c r="R1302" s="108"/>
      <c r="S1302" s="108"/>
      <c r="T1302" s="108"/>
      <c r="U1302" s="108"/>
      <c r="V1302" s="108"/>
      <c r="W1302" s="108"/>
      <c r="X1302" s="108"/>
      <c r="Y1302" s="108"/>
      <c r="Z1302" s="108"/>
    </row>
    <row r="1303" ht="16.5" customHeight="1">
      <c r="A1303" s="108"/>
      <c r="B1303" s="108"/>
      <c r="C1303" s="180"/>
      <c r="D1303" s="108"/>
      <c r="E1303" s="108"/>
      <c r="F1303" s="108"/>
      <c r="G1303" s="108"/>
      <c r="H1303" s="108"/>
      <c r="I1303" s="108"/>
      <c r="J1303" s="108"/>
      <c r="K1303" s="108"/>
      <c r="L1303" s="108"/>
      <c r="M1303" s="108"/>
      <c r="N1303" s="108"/>
      <c r="O1303" s="108"/>
      <c r="P1303" s="108"/>
      <c r="Q1303" s="108"/>
      <c r="R1303" s="108"/>
      <c r="S1303" s="108"/>
      <c r="T1303" s="108"/>
      <c r="U1303" s="108"/>
      <c r="V1303" s="108"/>
      <c r="W1303" s="108"/>
      <c r="X1303" s="108"/>
      <c r="Y1303" s="108"/>
      <c r="Z1303" s="108"/>
    </row>
    <row r="1304" ht="16.5" customHeight="1">
      <c r="A1304" s="108"/>
      <c r="B1304" s="108"/>
      <c r="C1304" s="180"/>
      <c r="D1304" s="108"/>
      <c r="E1304" s="108"/>
      <c r="F1304" s="108"/>
      <c r="G1304" s="108"/>
      <c r="H1304" s="108"/>
      <c r="I1304" s="108"/>
      <c r="J1304" s="108"/>
      <c r="K1304" s="108"/>
      <c r="L1304" s="108"/>
      <c r="M1304" s="108"/>
      <c r="N1304" s="108"/>
      <c r="O1304" s="108"/>
      <c r="P1304" s="108"/>
      <c r="Q1304" s="108"/>
      <c r="R1304" s="108"/>
      <c r="S1304" s="108"/>
      <c r="T1304" s="108"/>
      <c r="U1304" s="108"/>
      <c r="V1304" s="108"/>
      <c r="W1304" s="108"/>
      <c r="X1304" s="108"/>
      <c r="Y1304" s="108"/>
      <c r="Z1304" s="108"/>
    </row>
    <row r="1305" ht="16.5" customHeight="1">
      <c r="A1305" s="108"/>
      <c r="B1305" s="108"/>
      <c r="C1305" s="180"/>
      <c r="D1305" s="108"/>
      <c r="E1305" s="108"/>
      <c r="F1305" s="108"/>
      <c r="G1305" s="108"/>
      <c r="H1305" s="108"/>
      <c r="I1305" s="108"/>
      <c r="J1305" s="108"/>
      <c r="K1305" s="108"/>
      <c r="L1305" s="108"/>
      <c r="M1305" s="108"/>
      <c r="N1305" s="108"/>
      <c r="O1305" s="108"/>
      <c r="P1305" s="108"/>
      <c r="Q1305" s="108"/>
      <c r="R1305" s="108"/>
      <c r="S1305" s="108"/>
      <c r="T1305" s="108"/>
      <c r="U1305" s="108"/>
      <c r="V1305" s="108"/>
      <c r="W1305" s="108"/>
      <c r="X1305" s="108"/>
      <c r="Y1305" s="108"/>
      <c r="Z1305" s="108"/>
    </row>
    <row r="1306" ht="16.5" customHeight="1">
      <c r="A1306" s="108"/>
      <c r="B1306" s="108"/>
      <c r="C1306" s="180"/>
      <c r="D1306" s="108"/>
      <c r="E1306" s="108"/>
      <c r="F1306" s="108"/>
      <c r="G1306" s="108"/>
      <c r="H1306" s="108"/>
      <c r="I1306" s="108"/>
      <c r="J1306" s="108"/>
      <c r="K1306" s="108"/>
      <c r="L1306" s="108"/>
      <c r="M1306" s="108"/>
      <c r="N1306" s="108"/>
      <c r="O1306" s="108"/>
      <c r="P1306" s="108"/>
      <c r="Q1306" s="108"/>
      <c r="R1306" s="108"/>
      <c r="S1306" s="108"/>
      <c r="T1306" s="108"/>
      <c r="U1306" s="108"/>
      <c r="V1306" s="108"/>
      <c r="W1306" s="108"/>
      <c r="X1306" s="108"/>
      <c r="Y1306" s="108"/>
      <c r="Z1306" s="108"/>
    </row>
    <row r="1307" ht="16.5" customHeight="1">
      <c r="A1307" s="108"/>
      <c r="B1307" s="108"/>
      <c r="C1307" s="180"/>
      <c r="D1307" s="108"/>
      <c r="E1307" s="108"/>
      <c r="F1307" s="108"/>
      <c r="G1307" s="108"/>
      <c r="H1307" s="108"/>
      <c r="I1307" s="108"/>
      <c r="J1307" s="108"/>
      <c r="K1307" s="108"/>
      <c r="L1307" s="108"/>
      <c r="M1307" s="108"/>
      <c r="N1307" s="108"/>
      <c r="O1307" s="108"/>
      <c r="P1307" s="108"/>
      <c r="Q1307" s="108"/>
      <c r="R1307" s="108"/>
      <c r="S1307" s="108"/>
      <c r="T1307" s="108"/>
      <c r="U1307" s="108"/>
      <c r="V1307" s="108"/>
      <c r="W1307" s="108"/>
      <c r="X1307" s="108"/>
      <c r="Y1307" s="108"/>
      <c r="Z1307" s="108"/>
    </row>
    <row r="1308" ht="16.5" customHeight="1">
      <c r="A1308" s="108"/>
      <c r="B1308" s="108"/>
      <c r="C1308" s="180"/>
      <c r="D1308" s="108"/>
      <c r="E1308" s="108"/>
      <c r="F1308" s="108"/>
      <c r="G1308" s="108"/>
      <c r="H1308" s="108"/>
      <c r="I1308" s="108"/>
      <c r="J1308" s="108"/>
      <c r="K1308" s="108"/>
      <c r="L1308" s="108"/>
      <c r="M1308" s="108"/>
      <c r="N1308" s="108"/>
      <c r="O1308" s="108"/>
      <c r="P1308" s="108"/>
      <c r="Q1308" s="108"/>
      <c r="R1308" s="108"/>
      <c r="S1308" s="108"/>
      <c r="T1308" s="108"/>
      <c r="U1308" s="108"/>
      <c r="V1308" s="108"/>
      <c r="W1308" s="108"/>
      <c r="X1308" s="108"/>
      <c r="Y1308" s="108"/>
      <c r="Z1308" s="108"/>
    </row>
    <row r="1309" ht="16.5" customHeight="1">
      <c r="A1309" s="108"/>
      <c r="B1309" s="108"/>
      <c r="C1309" s="180"/>
      <c r="D1309" s="108"/>
      <c r="E1309" s="108"/>
      <c r="F1309" s="108"/>
      <c r="G1309" s="108"/>
      <c r="H1309" s="108"/>
      <c r="I1309" s="108"/>
      <c r="J1309" s="108"/>
      <c r="K1309" s="108"/>
      <c r="L1309" s="108"/>
      <c r="M1309" s="108"/>
      <c r="N1309" s="108"/>
      <c r="O1309" s="108"/>
      <c r="P1309" s="108"/>
      <c r="Q1309" s="108"/>
      <c r="R1309" s="108"/>
      <c r="S1309" s="108"/>
      <c r="T1309" s="108"/>
      <c r="U1309" s="108"/>
      <c r="V1309" s="108"/>
      <c r="W1309" s="108"/>
      <c r="X1309" s="108"/>
      <c r="Y1309" s="108"/>
      <c r="Z1309" s="108"/>
    </row>
    <row r="1310" ht="16.5" customHeight="1">
      <c r="A1310" s="108"/>
      <c r="B1310" s="108"/>
      <c r="C1310" s="180"/>
      <c r="D1310" s="108"/>
      <c r="E1310" s="108"/>
      <c r="F1310" s="108"/>
      <c r="G1310" s="108"/>
      <c r="H1310" s="108"/>
      <c r="I1310" s="108"/>
      <c r="J1310" s="108"/>
      <c r="K1310" s="108"/>
      <c r="L1310" s="108"/>
      <c r="M1310" s="108"/>
      <c r="N1310" s="108"/>
      <c r="O1310" s="108"/>
      <c r="P1310" s="108"/>
      <c r="Q1310" s="108"/>
      <c r="R1310" s="108"/>
      <c r="S1310" s="108"/>
      <c r="T1310" s="108"/>
      <c r="U1310" s="108"/>
      <c r="V1310" s="108"/>
      <c r="W1310" s="108"/>
      <c r="X1310" s="108"/>
      <c r="Y1310" s="108"/>
      <c r="Z1310" s="108"/>
    </row>
    <row r="1311" ht="16.5" customHeight="1">
      <c r="A1311" s="108"/>
      <c r="B1311" s="108"/>
      <c r="C1311" s="180"/>
      <c r="D1311" s="108"/>
      <c r="E1311" s="108"/>
      <c r="F1311" s="108"/>
      <c r="G1311" s="108"/>
      <c r="H1311" s="108"/>
      <c r="I1311" s="108"/>
      <c r="J1311" s="108"/>
      <c r="K1311" s="108"/>
      <c r="L1311" s="108"/>
      <c r="M1311" s="108"/>
      <c r="N1311" s="108"/>
      <c r="O1311" s="108"/>
      <c r="P1311" s="108"/>
      <c r="Q1311" s="108"/>
      <c r="R1311" s="108"/>
      <c r="S1311" s="108"/>
      <c r="T1311" s="108"/>
      <c r="U1311" s="108"/>
      <c r="V1311" s="108"/>
      <c r="W1311" s="108"/>
      <c r="X1311" s="108"/>
      <c r="Y1311" s="108"/>
      <c r="Z1311" s="108"/>
    </row>
    <row r="1312" ht="16.5" customHeight="1">
      <c r="A1312" s="108"/>
      <c r="B1312" s="108"/>
      <c r="C1312" s="180"/>
      <c r="D1312" s="108"/>
      <c r="E1312" s="108"/>
      <c r="F1312" s="108"/>
      <c r="G1312" s="108"/>
      <c r="H1312" s="108"/>
      <c r="I1312" s="108"/>
      <c r="J1312" s="108"/>
      <c r="K1312" s="108"/>
      <c r="L1312" s="108"/>
      <c r="M1312" s="108"/>
      <c r="N1312" s="108"/>
      <c r="O1312" s="108"/>
      <c r="P1312" s="108"/>
      <c r="Q1312" s="108"/>
      <c r="R1312" s="108"/>
      <c r="S1312" s="108"/>
      <c r="T1312" s="108"/>
      <c r="U1312" s="108"/>
      <c r="V1312" s="108"/>
      <c r="W1312" s="108"/>
      <c r="X1312" s="108"/>
      <c r="Y1312" s="108"/>
      <c r="Z1312" s="108"/>
    </row>
    <row r="1313" ht="16.5" customHeight="1">
      <c r="A1313" s="108"/>
      <c r="B1313" s="108"/>
      <c r="C1313" s="180"/>
      <c r="D1313" s="108"/>
      <c r="E1313" s="108"/>
      <c r="F1313" s="108"/>
      <c r="G1313" s="108"/>
      <c r="H1313" s="108"/>
      <c r="I1313" s="108"/>
      <c r="J1313" s="108"/>
      <c r="K1313" s="108"/>
      <c r="L1313" s="108"/>
      <c r="M1313" s="108"/>
      <c r="N1313" s="108"/>
      <c r="O1313" s="108"/>
      <c r="P1313" s="108"/>
      <c r="Q1313" s="108"/>
      <c r="R1313" s="108"/>
      <c r="S1313" s="108"/>
      <c r="T1313" s="108"/>
      <c r="U1313" s="108"/>
      <c r="V1313" s="108"/>
      <c r="W1313" s="108"/>
      <c r="X1313" s="108"/>
      <c r="Y1313" s="108"/>
      <c r="Z1313" s="108"/>
    </row>
    <row r="1314" ht="16.5" customHeight="1">
      <c r="A1314" s="108"/>
      <c r="B1314" s="108"/>
      <c r="C1314" s="180"/>
      <c r="D1314" s="108"/>
      <c r="E1314" s="108"/>
      <c r="F1314" s="108"/>
      <c r="G1314" s="108"/>
      <c r="H1314" s="108"/>
      <c r="I1314" s="108"/>
      <c r="J1314" s="108"/>
      <c r="K1314" s="108"/>
      <c r="L1314" s="108"/>
      <c r="M1314" s="108"/>
      <c r="N1314" s="108"/>
      <c r="O1314" s="108"/>
      <c r="P1314" s="108"/>
      <c r="Q1314" s="108"/>
      <c r="R1314" s="108"/>
      <c r="S1314" s="108"/>
      <c r="T1314" s="108"/>
      <c r="U1314" s="108"/>
      <c r="V1314" s="108"/>
      <c r="W1314" s="108"/>
      <c r="X1314" s="108"/>
      <c r="Y1314" s="108"/>
      <c r="Z1314" s="108"/>
    </row>
    <row r="1315" ht="16.5" customHeight="1">
      <c r="A1315" s="108"/>
      <c r="B1315" s="108"/>
      <c r="C1315" s="180"/>
      <c r="D1315" s="108"/>
      <c r="E1315" s="108"/>
      <c r="F1315" s="108"/>
      <c r="G1315" s="108"/>
      <c r="H1315" s="108"/>
      <c r="I1315" s="108"/>
      <c r="J1315" s="108"/>
      <c r="K1315" s="108"/>
      <c r="L1315" s="108"/>
      <c r="M1315" s="108"/>
      <c r="N1315" s="108"/>
      <c r="O1315" s="108"/>
      <c r="P1315" s="108"/>
      <c r="Q1315" s="108"/>
      <c r="R1315" s="108"/>
      <c r="S1315" s="108"/>
      <c r="T1315" s="108"/>
      <c r="U1315" s="108"/>
      <c r="V1315" s="108"/>
      <c r="W1315" s="108"/>
      <c r="X1315" s="108"/>
      <c r="Y1315" s="108"/>
      <c r="Z1315" s="108"/>
    </row>
    <row r="1316" ht="16.5" customHeight="1">
      <c r="A1316" s="108"/>
      <c r="B1316" s="108"/>
      <c r="C1316" s="180"/>
      <c r="D1316" s="108"/>
      <c r="E1316" s="108"/>
      <c r="F1316" s="108"/>
      <c r="G1316" s="108"/>
      <c r="H1316" s="108"/>
      <c r="I1316" s="108"/>
      <c r="J1316" s="108"/>
      <c r="K1316" s="108"/>
      <c r="L1316" s="108"/>
      <c r="M1316" s="108"/>
      <c r="N1316" s="108"/>
      <c r="O1316" s="108"/>
      <c r="P1316" s="108"/>
      <c r="Q1316" s="108"/>
      <c r="R1316" s="108"/>
      <c r="S1316" s="108"/>
      <c r="T1316" s="108"/>
      <c r="U1316" s="108"/>
      <c r="V1316" s="108"/>
      <c r="W1316" s="108"/>
      <c r="X1316" s="108"/>
      <c r="Y1316" s="108"/>
      <c r="Z1316" s="108"/>
    </row>
    <row r="1317" ht="16.5" customHeight="1">
      <c r="A1317" s="108"/>
      <c r="B1317" s="108"/>
      <c r="C1317" s="180"/>
      <c r="D1317" s="108"/>
      <c r="E1317" s="108"/>
      <c r="F1317" s="108"/>
      <c r="G1317" s="108"/>
      <c r="H1317" s="108"/>
      <c r="I1317" s="108"/>
      <c r="J1317" s="108"/>
      <c r="K1317" s="108"/>
      <c r="L1317" s="108"/>
      <c r="M1317" s="108"/>
      <c r="N1317" s="108"/>
      <c r="O1317" s="108"/>
      <c r="P1317" s="108"/>
      <c r="Q1317" s="108"/>
      <c r="R1317" s="108"/>
      <c r="S1317" s="108"/>
      <c r="T1317" s="108"/>
      <c r="U1317" s="108"/>
      <c r="V1317" s="108"/>
      <c r="W1317" s="108"/>
      <c r="X1317" s="108"/>
      <c r="Y1317" s="108"/>
      <c r="Z1317" s="108"/>
    </row>
    <row r="1318" ht="16.5" customHeight="1">
      <c r="A1318" s="108"/>
      <c r="B1318" s="108"/>
      <c r="C1318" s="180"/>
      <c r="D1318" s="108"/>
      <c r="E1318" s="108"/>
      <c r="F1318" s="108"/>
      <c r="G1318" s="108"/>
      <c r="H1318" s="108"/>
      <c r="I1318" s="108"/>
      <c r="J1318" s="108"/>
      <c r="K1318" s="108"/>
      <c r="L1318" s="108"/>
      <c r="M1318" s="108"/>
      <c r="N1318" s="108"/>
      <c r="O1318" s="108"/>
      <c r="P1318" s="108"/>
      <c r="Q1318" s="108"/>
      <c r="R1318" s="108"/>
      <c r="S1318" s="108"/>
      <c r="T1318" s="108"/>
      <c r="U1318" s="108"/>
      <c r="V1318" s="108"/>
      <c r="W1318" s="108"/>
      <c r="X1318" s="108"/>
      <c r="Y1318" s="108"/>
      <c r="Z1318" s="108"/>
    </row>
    <row r="1319" ht="16.5" customHeight="1">
      <c r="A1319" s="108"/>
      <c r="B1319" s="108"/>
      <c r="C1319" s="180"/>
      <c r="D1319" s="108"/>
      <c r="E1319" s="108"/>
      <c r="F1319" s="108"/>
      <c r="G1319" s="108"/>
      <c r="H1319" s="108"/>
      <c r="I1319" s="108"/>
      <c r="J1319" s="108"/>
      <c r="K1319" s="108"/>
      <c r="L1319" s="108"/>
      <c r="M1319" s="108"/>
      <c r="N1319" s="108"/>
      <c r="O1319" s="108"/>
      <c r="P1319" s="108"/>
      <c r="Q1319" s="108"/>
      <c r="R1319" s="108"/>
      <c r="S1319" s="108"/>
      <c r="T1319" s="108"/>
      <c r="U1319" s="108"/>
      <c r="V1319" s="108"/>
      <c r="W1319" s="108"/>
      <c r="X1319" s="108"/>
      <c r="Y1319" s="108"/>
      <c r="Z1319" s="108"/>
    </row>
    <row r="1320" ht="16.5" customHeight="1">
      <c r="A1320" s="108"/>
      <c r="B1320" s="108"/>
      <c r="C1320" s="180"/>
      <c r="D1320" s="108"/>
      <c r="E1320" s="108"/>
      <c r="F1320" s="108"/>
      <c r="G1320" s="108"/>
      <c r="H1320" s="108"/>
      <c r="I1320" s="108"/>
      <c r="J1320" s="108"/>
      <c r="K1320" s="108"/>
      <c r="L1320" s="108"/>
      <c r="M1320" s="108"/>
      <c r="N1320" s="108"/>
      <c r="O1320" s="108"/>
      <c r="P1320" s="108"/>
      <c r="Q1320" s="108"/>
      <c r="R1320" s="108"/>
      <c r="S1320" s="108"/>
      <c r="T1320" s="108"/>
      <c r="U1320" s="108"/>
      <c r="V1320" s="108"/>
      <c r="W1320" s="108"/>
      <c r="X1320" s="108"/>
      <c r="Y1320" s="108"/>
      <c r="Z1320" s="108"/>
    </row>
    <row r="1321" ht="16.5" customHeight="1">
      <c r="A1321" s="108"/>
      <c r="B1321" s="108"/>
      <c r="C1321" s="180"/>
      <c r="D1321" s="108"/>
      <c r="E1321" s="108"/>
      <c r="F1321" s="108"/>
      <c r="G1321" s="108"/>
      <c r="H1321" s="108"/>
      <c r="I1321" s="108"/>
      <c r="J1321" s="108"/>
      <c r="K1321" s="108"/>
      <c r="L1321" s="108"/>
      <c r="M1321" s="108"/>
      <c r="N1321" s="108"/>
      <c r="O1321" s="108"/>
      <c r="P1321" s="108"/>
      <c r="Q1321" s="108"/>
      <c r="R1321" s="108"/>
      <c r="S1321" s="108"/>
      <c r="T1321" s="108"/>
      <c r="U1321" s="108"/>
      <c r="V1321" s="108"/>
      <c r="W1321" s="108"/>
      <c r="X1321" s="108"/>
      <c r="Y1321" s="108"/>
      <c r="Z1321" s="108"/>
    </row>
    <row r="1322" ht="16.5" customHeight="1">
      <c r="A1322" s="108"/>
      <c r="B1322" s="108"/>
      <c r="C1322" s="180"/>
      <c r="D1322" s="108"/>
      <c r="E1322" s="108"/>
      <c r="F1322" s="108"/>
      <c r="G1322" s="108"/>
      <c r="H1322" s="108"/>
      <c r="I1322" s="108"/>
      <c r="J1322" s="108"/>
      <c r="K1322" s="108"/>
      <c r="L1322" s="108"/>
      <c r="M1322" s="108"/>
      <c r="N1322" s="108"/>
      <c r="O1322" s="108"/>
      <c r="P1322" s="108"/>
      <c r="Q1322" s="108"/>
      <c r="R1322" s="108"/>
      <c r="S1322" s="108"/>
      <c r="T1322" s="108"/>
      <c r="U1322" s="108"/>
      <c r="V1322" s="108"/>
      <c r="W1322" s="108"/>
      <c r="X1322" s="108"/>
      <c r="Y1322" s="108"/>
      <c r="Z1322" s="108"/>
    </row>
    <row r="1323" ht="16.5" customHeight="1">
      <c r="A1323" s="108"/>
      <c r="B1323" s="108"/>
      <c r="C1323" s="180"/>
      <c r="D1323" s="108"/>
      <c r="E1323" s="108"/>
      <c r="F1323" s="108"/>
      <c r="G1323" s="108"/>
      <c r="H1323" s="108"/>
      <c r="I1323" s="108"/>
      <c r="J1323" s="108"/>
      <c r="K1323" s="108"/>
      <c r="L1323" s="108"/>
      <c r="M1323" s="108"/>
      <c r="N1323" s="108"/>
      <c r="O1323" s="108"/>
      <c r="P1323" s="108"/>
      <c r="Q1323" s="108"/>
      <c r="R1323" s="108"/>
      <c r="S1323" s="108"/>
      <c r="T1323" s="108"/>
      <c r="U1323" s="108"/>
      <c r="V1323" s="108"/>
      <c r="W1323" s="108"/>
      <c r="X1323" s="108"/>
      <c r="Y1323" s="108"/>
      <c r="Z1323" s="108"/>
    </row>
    <row r="1324" ht="16.5" customHeight="1">
      <c r="A1324" s="108"/>
      <c r="B1324" s="108"/>
      <c r="C1324" s="180"/>
      <c r="D1324" s="108"/>
      <c r="E1324" s="108"/>
      <c r="F1324" s="108"/>
      <c r="G1324" s="108"/>
      <c r="H1324" s="108"/>
      <c r="I1324" s="108"/>
      <c r="J1324" s="108"/>
      <c r="K1324" s="108"/>
      <c r="L1324" s="108"/>
      <c r="M1324" s="108"/>
      <c r="N1324" s="108"/>
      <c r="O1324" s="108"/>
      <c r="P1324" s="108"/>
      <c r="Q1324" s="108"/>
      <c r="R1324" s="108"/>
      <c r="S1324" s="108"/>
      <c r="T1324" s="108"/>
      <c r="U1324" s="108"/>
      <c r="V1324" s="108"/>
      <c r="W1324" s="108"/>
      <c r="X1324" s="108"/>
      <c r="Y1324" s="108"/>
      <c r="Z1324" s="108"/>
    </row>
    <row r="1325" ht="16.5" customHeight="1">
      <c r="A1325" s="108"/>
      <c r="B1325" s="108"/>
      <c r="C1325" s="180"/>
      <c r="D1325" s="108"/>
      <c r="E1325" s="108"/>
      <c r="F1325" s="108"/>
      <c r="G1325" s="108"/>
      <c r="H1325" s="108"/>
      <c r="I1325" s="108"/>
      <c r="J1325" s="108"/>
      <c r="K1325" s="108"/>
      <c r="L1325" s="108"/>
      <c r="M1325" s="108"/>
      <c r="N1325" s="108"/>
      <c r="O1325" s="108"/>
      <c r="P1325" s="108"/>
      <c r="Q1325" s="108"/>
      <c r="R1325" s="108"/>
      <c r="S1325" s="108"/>
      <c r="T1325" s="108"/>
      <c r="U1325" s="108"/>
      <c r="V1325" s="108"/>
      <c r="W1325" s="108"/>
      <c r="X1325" s="108"/>
      <c r="Y1325" s="108"/>
      <c r="Z1325" s="108"/>
    </row>
    <row r="1326" ht="16.5" customHeight="1">
      <c r="A1326" s="108"/>
      <c r="B1326" s="108"/>
      <c r="C1326" s="180"/>
      <c r="D1326" s="108"/>
      <c r="E1326" s="108"/>
      <c r="F1326" s="108"/>
      <c r="G1326" s="108"/>
      <c r="H1326" s="108"/>
      <c r="I1326" s="108"/>
      <c r="J1326" s="108"/>
      <c r="K1326" s="108"/>
      <c r="L1326" s="108"/>
      <c r="M1326" s="108"/>
      <c r="N1326" s="108"/>
      <c r="O1326" s="108"/>
      <c r="P1326" s="108"/>
      <c r="Q1326" s="108"/>
      <c r="R1326" s="108"/>
      <c r="S1326" s="108"/>
      <c r="T1326" s="108"/>
      <c r="U1326" s="108"/>
      <c r="V1326" s="108"/>
      <c r="W1326" s="108"/>
      <c r="X1326" s="108"/>
      <c r="Y1326" s="108"/>
      <c r="Z1326" s="108"/>
    </row>
    <row r="1327" ht="16.5" customHeight="1">
      <c r="A1327" s="108"/>
      <c r="B1327" s="108"/>
      <c r="C1327" s="180"/>
      <c r="D1327" s="108"/>
      <c r="E1327" s="108"/>
      <c r="F1327" s="108"/>
      <c r="G1327" s="108"/>
      <c r="H1327" s="108"/>
      <c r="I1327" s="108"/>
      <c r="J1327" s="108"/>
      <c r="K1327" s="108"/>
      <c r="L1327" s="108"/>
      <c r="M1327" s="108"/>
      <c r="N1327" s="108"/>
      <c r="O1327" s="108"/>
      <c r="P1327" s="108"/>
      <c r="Q1327" s="108"/>
      <c r="R1327" s="108"/>
      <c r="S1327" s="108"/>
      <c r="T1327" s="108"/>
      <c r="U1327" s="108"/>
      <c r="V1327" s="108"/>
      <c r="W1327" s="108"/>
      <c r="X1327" s="108"/>
      <c r="Y1327" s="108"/>
      <c r="Z1327" s="108"/>
    </row>
    <row r="1328" ht="16.5" customHeight="1">
      <c r="A1328" s="108"/>
      <c r="B1328" s="108"/>
      <c r="C1328" s="180"/>
      <c r="D1328" s="108"/>
      <c r="E1328" s="108"/>
      <c r="F1328" s="108"/>
      <c r="G1328" s="108"/>
      <c r="H1328" s="108"/>
      <c r="I1328" s="108"/>
      <c r="J1328" s="108"/>
      <c r="K1328" s="108"/>
      <c r="L1328" s="108"/>
      <c r="M1328" s="108"/>
      <c r="N1328" s="108"/>
      <c r="O1328" s="108"/>
      <c r="P1328" s="108"/>
      <c r="Q1328" s="108"/>
      <c r="R1328" s="108"/>
      <c r="S1328" s="108"/>
      <c r="T1328" s="108"/>
      <c r="U1328" s="108"/>
      <c r="V1328" s="108"/>
      <c r="W1328" s="108"/>
      <c r="X1328" s="108"/>
      <c r="Y1328" s="108"/>
      <c r="Z1328" s="108"/>
    </row>
    <row r="1329" ht="16.5" customHeight="1">
      <c r="A1329" s="108"/>
      <c r="B1329" s="108"/>
      <c r="C1329" s="180"/>
      <c r="D1329" s="108"/>
      <c r="E1329" s="108"/>
      <c r="F1329" s="108"/>
      <c r="G1329" s="108"/>
      <c r="H1329" s="108"/>
      <c r="I1329" s="108"/>
      <c r="J1329" s="108"/>
      <c r="K1329" s="108"/>
      <c r="L1329" s="108"/>
      <c r="M1329" s="108"/>
      <c r="N1329" s="108"/>
      <c r="O1329" s="108"/>
      <c r="P1329" s="108"/>
      <c r="Q1329" s="108"/>
      <c r="R1329" s="108"/>
      <c r="S1329" s="108"/>
      <c r="T1329" s="108"/>
      <c r="U1329" s="108"/>
      <c r="V1329" s="108"/>
      <c r="W1329" s="108"/>
      <c r="X1329" s="108"/>
      <c r="Y1329" s="108"/>
      <c r="Z1329" s="108"/>
    </row>
    <row r="1330" ht="16.5" customHeight="1">
      <c r="A1330" s="108"/>
      <c r="B1330" s="108"/>
      <c r="C1330" s="180"/>
      <c r="D1330" s="108"/>
      <c r="E1330" s="108"/>
      <c r="F1330" s="108"/>
      <c r="G1330" s="108"/>
      <c r="H1330" s="108"/>
      <c r="I1330" s="108"/>
      <c r="J1330" s="108"/>
      <c r="K1330" s="108"/>
      <c r="L1330" s="108"/>
      <c r="M1330" s="108"/>
      <c r="N1330" s="108"/>
      <c r="O1330" s="108"/>
      <c r="P1330" s="108"/>
      <c r="Q1330" s="108"/>
      <c r="R1330" s="108"/>
      <c r="S1330" s="108"/>
      <c r="T1330" s="108"/>
      <c r="U1330" s="108"/>
      <c r="V1330" s="108"/>
      <c r="W1330" s="108"/>
      <c r="X1330" s="108"/>
      <c r="Y1330" s="108"/>
      <c r="Z1330" s="108"/>
    </row>
    <row r="1331" ht="16.5" customHeight="1">
      <c r="A1331" s="108"/>
      <c r="B1331" s="108"/>
      <c r="C1331" s="180"/>
      <c r="D1331" s="108"/>
      <c r="E1331" s="108"/>
      <c r="F1331" s="108"/>
      <c r="G1331" s="108"/>
      <c r="H1331" s="108"/>
      <c r="I1331" s="108"/>
      <c r="J1331" s="108"/>
      <c r="K1331" s="108"/>
      <c r="L1331" s="108"/>
      <c r="M1331" s="108"/>
      <c r="N1331" s="108"/>
      <c r="O1331" s="108"/>
      <c r="P1331" s="108"/>
      <c r="Q1331" s="108"/>
      <c r="R1331" s="108"/>
      <c r="S1331" s="108"/>
      <c r="T1331" s="108"/>
      <c r="U1331" s="108"/>
      <c r="V1331" s="108"/>
      <c r="W1331" s="108"/>
      <c r="X1331" s="108"/>
      <c r="Y1331" s="108"/>
      <c r="Z1331" s="108"/>
    </row>
    <row r="1332" ht="16.5" customHeight="1">
      <c r="A1332" s="108"/>
      <c r="B1332" s="108"/>
      <c r="C1332" s="180"/>
      <c r="D1332" s="108"/>
      <c r="E1332" s="108"/>
      <c r="F1332" s="108"/>
      <c r="G1332" s="108"/>
      <c r="H1332" s="108"/>
      <c r="I1332" s="108"/>
      <c r="J1332" s="108"/>
      <c r="K1332" s="108"/>
      <c r="L1332" s="108"/>
      <c r="M1332" s="108"/>
      <c r="N1332" s="108"/>
      <c r="O1332" s="108"/>
      <c r="P1332" s="108"/>
      <c r="Q1332" s="108"/>
      <c r="R1332" s="108"/>
      <c r="S1332" s="108"/>
      <c r="T1332" s="108"/>
      <c r="U1332" s="108"/>
      <c r="V1332" s="108"/>
      <c r="W1332" s="108"/>
      <c r="X1332" s="108"/>
      <c r="Y1332" s="108"/>
      <c r="Z1332" s="108"/>
    </row>
    <row r="1333" ht="16.5" customHeight="1">
      <c r="A1333" s="108"/>
      <c r="B1333" s="108"/>
      <c r="C1333" s="180"/>
      <c r="D1333" s="108"/>
      <c r="E1333" s="108"/>
      <c r="F1333" s="108"/>
      <c r="G1333" s="108"/>
      <c r="H1333" s="108"/>
      <c r="I1333" s="108"/>
      <c r="J1333" s="108"/>
      <c r="K1333" s="108"/>
      <c r="L1333" s="108"/>
      <c r="M1333" s="108"/>
      <c r="N1333" s="108"/>
      <c r="O1333" s="108"/>
      <c r="P1333" s="108"/>
      <c r="Q1333" s="108"/>
      <c r="R1333" s="108"/>
      <c r="S1333" s="108"/>
      <c r="T1333" s="108"/>
      <c r="U1333" s="108"/>
      <c r="V1333" s="108"/>
      <c r="W1333" s="108"/>
      <c r="X1333" s="108"/>
      <c r="Y1333" s="108"/>
      <c r="Z1333" s="108"/>
    </row>
    <row r="1334" ht="16.5" customHeight="1">
      <c r="A1334" s="108"/>
      <c r="B1334" s="108"/>
      <c r="C1334" s="180"/>
      <c r="D1334" s="108"/>
      <c r="E1334" s="108"/>
      <c r="F1334" s="108"/>
      <c r="G1334" s="108"/>
      <c r="H1334" s="108"/>
      <c r="I1334" s="108"/>
      <c r="J1334" s="108"/>
      <c r="K1334" s="108"/>
      <c r="L1334" s="108"/>
      <c r="M1334" s="108"/>
      <c r="N1334" s="108"/>
      <c r="O1334" s="108"/>
      <c r="P1334" s="108"/>
      <c r="Q1334" s="108"/>
      <c r="R1334" s="108"/>
      <c r="S1334" s="108"/>
      <c r="T1334" s="108"/>
      <c r="U1334" s="108"/>
      <c r="V1334" s="108"/>
      <c r="W1334" s="108"/>
      <c r="X1334" s="108"/>
      <c r="Y1334" s="108"/>
      <c r="Z1334" s="108"/>
    </row>
    <row r="1335" ht="16.5" customHeight="1">
      <c r="A1335" s="108"/>
      <c r="B1335" s="108"/>
      <c r="C1335" s="180"/>
      <c r="D1335" s="108"/>
      <c r="E1335" s="108"/>
      <c r="F1335" s="108"/>
      <c r="G1335" s="108"/>
      <c r="H1335" s="108"/>
      <c r="I1335" s="108"/>
      <c r="J1335" s="108"/>
      <c r="K1335" s="108"/>
      <c r="L1335" s="108"/>
      <c r="M1335" s="108"/>
      <c r="N1335" s="108"/>
      <c r="O1335" s="108"/>
      <c r="P1335" s="108"/>
      <c r="Q1335" s="108"/>
      <c r="R1335" s="108"/>
      <c r="S1335" s="108"/>
      <c r="T1335" s="108"/>
      <c r="U1335" s="108"/>
      <c r="V1335" s="108"/>
      <c r="W1335" s="108"/>
      <c r="X1335" s="108"/>
      <c r="Y1335" s="108"/>
      <c r="Z1335" s="108"/>
    </row>
    <row r="1336" ht="16.5" customHeight="1">
      <c r="A1336" s="108"/>
      <c r="B1336" s="108"/>
      <c r="C1336" s="180"/>
      <c r="D1336" s="108"/>
      <c r="E1336" s="108"/>
      <c r="F1336" s="108"/>
      <c r="G1336" s="108"/>
      <c r="H1336" s="108"/>
      <c r="I1336" s="108"/>
      <c r="J1336" s="108"/>
      <c r="K1336" s="108"/>
      <c r="L1336" s="108"/>
      <c r="M1336" s="108"/>
      <c r="N1336" s="108"/>
      <c r="O1336" s="108"/>
      <c r="P1336" s="108"/>
      <c r="Q1336" s="108"/>
      <c r="R1336" s="108"/>
      <c r="S1336" s="108"/>
      <c r="T1336" s="108"/>
      <c r="U1336" s="108"/>
      <c r="V1336" s="108"/>
      <c r="W1336" s="108"/>
      <c r="X1336" s="108"/>
      <c r="Y1336" s="108"/>
      <c r="Z1336" s="108"/>
    </row>
    <row r="1337" ht="16.5" customHeight="1">
      <c r="A1337" s="108"/>
      <c r="B1337" s="108"/>
      <c r="C1337" s="180"/>
      <c r="D1337" s="108"/>
      <c r="E1337" s="108"/>
      <c r="F1337" s="108"/>
      <c r="G1337" s="108"/>
      <c r="H1337" s="108"/>
      <c r="I1337" s="108"/>
      <c r="J1337" s="108"/>
      <c r="K1337" s="108"/>
      <c r="L1337" s="108"/>
      <c r="M1337" s="108"/>
      <c r="N1337" s="108"/>
      <c r="O1337" s="108"/>
      <c r="P1337" s="108"/>
      <c r="Q1337" s="108"/>
      <c r="R1337" s="108"/>
      <c r="S1337" s="108"/>
      <c r="T1337" s="108"/>
      <c r="U1337" s="108"/>
      <c r="V1337" s="108"/>
      <c r="W1337" s="108"/>
      <c r="X1337" s="108"/>
      <c r="Y1337" s="108"/>
      <c r="Z1337" s="108"/>
    </row>
    <row r="1338" ht="16.5" customHeight="1">
      <c r="A1338" s="108"/>
      <c r="B1338" s="108"/>
      <c r="C1338" s="180"/>
      <c r="D1338" s="108"/>
      <c r="E1338" s="108"/>
      <c r="F1338" s="108"/>
      <c r="G1338" s="108"/>
      <c r="H1338" s="108"/>
      <c r="I1338" s="108"/>
      <c r="J1338" s="108"/>
      <c r="K1338" s="108"/>
      <c r="L1338" s="108"/>
      <c r="M1338" s="108"/>
      <c r="N1338" s="108"/>
      <c r="O1338" s="108"/>
      <c r="P1338" s="108"/>
      <c r="Q1338" s="108"/>
      <c r="R1338" s="108"/>
      <c r="S1338" s="108"/>
      <c r="T1338" s="108"/>
      <c r="U1338" s="108"/>
      <c r="V1338" s="108"/>
      <c r="W1338" s="108"/>
      <c r="X1338" s="108"/>
      <c r="Y1338" s="108"/>
      <c r="Z1338" s="108"/>
    </row>
    <row r="1339" ht="16.5" customHeight="1">
      <c r="A1339" s="108"/>
      <c r="B1339" s="108"/>
      <c r="C1339" s="180"/>
      <c r="D1339" s="108"/>
      <c r="E1339" s="108"/>
      <c r="F1339" s="108"/>
      <c r="G1339" s="108"/>
      <c r="H1339" s="108"/>
      <c r="I1339" s="108"/>
      <c r="J1339" s="108"/>
      <c r="K1339" s="108"/>
      <c r="L1339" s="108"/>
      <c r="M1339" s="108"/>
      <c r="N1339" s="108"/>
      <c r="O1339" s="108"/>
      <c r="P1339" s="108"/>
      <c r="Q1339" s="108"/>
      <c r="R1339" s="108"/>
      <c r="S1339" s="108"/>
      <c r="T1339" s="108"/>
      <c r="U1339" s="108"/>
      <c r="V1339" s="108"/>
      <c r="W1339" s="108"/>
      <c r="X1339" s="108"/>
      <c r="Y1339" s="108"/>
      <c r="Z1339" s="108"/>
    </row>
    <row r="1340" ht="16.5" customHeight="1">
      <c r="A1340" s="108"/>
      <c r="B1340" s="108"/>
      <c r="C1340" s="180"/>
      <c r="D1340" s="108"/>
      <c r="E1340" s="108"/>
      <c r="F1340" s="108"/>
      <c r="G1340" s="108"/>
      <c r="H1340" s="108"/>
      <c r="I1340" s="108"/>
      <c r="J1340" s="108"/>
      <c r="K1340" s="108"/>
      <c r="L1340" s="108"/>
      <c r="M1340" s="108"/>
      <c r="N1340" s="108"/>
      <c r="O1340" s="108"/>
      <c r="P1340" s="108"/>
      <c r="Q1340" s="108"/>
      <c r="R1340" s="108"/>
      <c r="S1340" s="108"/>
      <c r="T1340" s="108"/>
      <c r="U1340" s="108"/>
      <c r="V1340" s="108"/>
      <c r="W1340" s="108"/>
      <c r="X1340" s="108"/>
      <c r="Y1340" s="108"/>
      <c r="Z1340" s="108"/>
    </row>
    <row r="1341" ht="16.5" customHeight="1">
      <c r="A1341" s="108"/>
      <c r="B1341" s="108"/>
      <c r="C1341" s="180"/>
      <c r="D1341" s="108"/>
      <c r="E1341" s="108"/>
      <c r="F1341" s="108"/>
      <c r="G1341" s="108"/>
      <c r="H1341" s="108"/>
      <c r="I1341" s="108"/>
      <c r="J1341" s="108"/>
      <c r="K1341" s="108"/>
      <c r="L1341" s="108"/>
      <c r="M1341" s="108"/>
      <c r="N1341" s="108"/>
      <c r="O1341" s="108"/>
      <c r="P1341" s="108"/>
      <c r="Q1341" s="108"/>
      <c r="R1341" s="108"/>
      <c r="S1341" s="108"/>
      <c r="T1341" s="108"/>
      <c r="U1341" s="108"/>
      <c r="V1341" s="108"/>
      <c r="W1341" s="108"/>
      <c r="X1341" s="108"/>
      <c r="Y1341" s="108"/>
      <c r="Z1341" s="108"/>
    </row>
    <row r="1342" ht="16.5" customHeight="1">
      <c r="A1342" s="108"/>
      <c r="B1342" s="108"/>
      <c r="C1342" s="180"/>
      <c r="D1342" s="108"/>
      <c r="E1342" s="108"/>
      <c r="F1342" s="108"/>
      <c r="G1342" s="108"/>
      <c r="H1342" s="108"/>
      <c r="I1342" s="108"/>
      <c r="J1342" s="108"/>
      <c r="K1342" s="108"/>
      <c r="L1342" s="108"/>
      <c r="M1342" s="108"/>
      <c r="N1342" s="108"/>
      <c r="O1342" s="108"/>
      <c r="P1342" s="108"/>
      <c r="Q1342" s="108"/>
      <c r="R1342" s="108"/>
      <c r="S1342" s="108"/>
      <c r="T1342" s="108"/>
      <c r="U1342" s="108"/>
      <c r="V1342" s="108"/>
      <c r="W1342" s="108"/>
      <c r="X1342" s="108"/>
      <c r="Y1342" s="108"/>
      <c r="Z1342" s="108"/>
    </row>
    <row r="1343" ht="16.5" customHeight="1">
      <c r="A1343" s="108"/>
      <c r="B1343" s="108"/>
      <c r="C1343" s="180"/>
      <c r="D1343" s="108"/>
      <c r="E1343" s="108"/>
      <c r="F1343" s="108"/>
      <c r="G1343" s="108"/>
      <c r="H1343" s="108"/>
      <c r="I1343" s="108"/>
      <c r="J1343" s="108"/>
      <c r="K1343" s="108"/>
      <c r="L1343" s="108"/>
      <c r="M1343" s="108"/>
      <c r="N1343" s="108"/>
      <c r="O1343" s="108"/>
      <c r="P1343" s="108"/>
      <c r="Q1343" s="108"/>
      <c r="R1343" s="108"/>
      <c r="S1343" s="108"/>
      <c r="T1343" s="108"/>
      <c r="U1343" s="108"/>
      <c r="V1343" s="108"/>
      <c r="W1343" s="108"/>
      <c r="X1343" s="108"/>
      <c r="Y1343" s="108"/>
      <c r="Z1343" s="108"/>
    </row>
    <row r="1344" ht="16.5" customHeight="1">
      <c r="A1344" s="108"/>
      <c r="B1344" s="108"/>
      <c r="C1344" s="180"/>
      <c r="D1344" s="108"/>
      <c r="E1344" s="108"/>
      <c r="F1344" s="108"/>
      <c r="G1344" s="108"/>
      <c r="H1344" s="108"/>
      <c r="I1344" s="108"/>
      <c r="J1344" s="108"/>
      <c r="K1344" s="108"/>
      <c r="L1344" s="108"/>
      <c r="M1344" s="108"/>
      <c r="N1344" s="108"/>
      <c r="O1344" s="108"/>
      <c r="P1344" s="108"/>
      <c r="Q1344" s="108"/>
      <c r="R1344" s="108"/>
      <c r="S1344" s="108"/>
      <c r="T1344" s="108"/>
      <c r="U1344" s="108"/>
      <c r="V1344" s="108"/>
      <c r="W1344" s="108"/>
      <c r="X1344" s="108"/>
      <c r="Y1344" s="108"/>
      <c r="Z1344" s="108"/>
    </row>
    <row r="1345" ht="16.5" customHeight="1">
      <c r="A1345" s="108"/>
      <c r="B1345" s="108"/>
      <c r="C1345" s="180"/>
      <c r="D1345" s="108"/>
      <c r="E1345" s="108"/>
      <c r="F1345" s="108"/>
      <c r="G1345" s="108"/>
      <c r="H1345" s="108"/>
      <c r="I1345" s="108"/>
      <c r="J1345" s="108"/>
      <c r="K1345" s="108"/>
      <c r="L1345" s="108"/>
      <c r="M1345" s="108"/>
      <c r="N1345" s="108"/>
      <c r="O1345" s="108"/>
      <c r="P1345" s="108"/>
      <c r="Q1345" s="108"/>
      <c r="R1345" s="108"/>
      <c r="S1345" s="108"/>
      <c r="T1345" s="108"/>
      <c r="U1345" s="108"/>
      <c r="V1345" s="108"/>
      <c r="W1345" s="108"/>
      <c r="X1345" s="108"/>
      <c r="Y1345" s="108"/>
      <c r="Z1345" s="108"/>
    </row>
    <row r="1346" ht="16.5" customHeight="1">
      <c r="A1346" s="108"/>
      <c r="B1346" s="108"/>
      <c r="C1346" s="180"/>
      <c r="D1346" s="108"/>
      <c r="E1346" s="108"/>
      <c r="F1346" s="108"/>
      <c r="G1346" s="108"/>
      <c r="H1346" s="108"/>
      <c r="I1346" s="108"/>
      <c r="J1346" s="108"/>
      <c r="K1346" s="108"/>
      <c r="L1346" s="108"/>
      <c r="M1346" s="108"/>
      <c r="N1346" s="108"/>
      <c r="O1346" s="108"/>
      <c r="P1346" s="108"/>
      <c r="Q1346" s="108"/>
      <c r="R1346" s="108"/>
      <c r="S1346" s="108"/>
      <c r="T1346" s="108"/>
      <c r="U1346" s="108"/>
      <c r="V1346" s="108"/>
      <c r="W1346" s="108"/>
      <c r="X1346" s="108"/>
      <c r="Y1346" s="108"/>
      <c r="Z1346" s="108"/>
    </row>
    <row r="1347" ht="16.5" customHeight="1">
      <c r="A1347" s="108"/>
      <c r="B1347" s="108"/>
      <c r="C1347" s="180"/>
      <c r="D1347" s="108"/>
      <c r="E1347" s="108"/>
      <c r="F1347" s="108"/>
      <c r="G1347" s="108"/>
      <c r="H1347" s="108"/>
      <c r="I1347" s="108"/>
      <c r="J1347" s="108"/>
      <c r="K1347" s="108"/>
      <c r="L1347" s="108"/>
      <c r="M1347" s="108"/>
      <c r="N1347" s="108"/>
      <c r="O1347" s="108"/>
      <c r="P1347" s="108"/>
      <c r="Q1347" s="108"/>
      <c r="R1347" s="108"/>
      <c r="S1347" s="108"/>
      <c r="T1347" s="108"/>
      <c r="U1347" s="108"/>
      <c r="V1347" s="108"/>
      <c r="W1347" s="108"/>
      <c r="X1347" s="108"/>
      <c r="Y1347" s="108"/>
      <c r="Z1347" s="108"/>
    </row>
    <row r="1348" ht="16.5" customHeight="1">
      <c r="A1348" s="108"/>
      <c r="B1348" s="108"/>
      <c r="C1348" s="180"/>
      <c r="D1348" s="108"/>
      <c r="E1348" s="108"/>
      <c r="F1348" s="108"/>
      <c r="G1348" s="108"/>
      <c r="H1348" s="108"/>
      <c r="I1348" s="108"/>
      <c r="J1348" s="108"/>
      <c r="K1348" s="108"/>
      <c r="L1348" s="108"/>
      <c r="M1348" s="108"/>
      <c r="N1348" s="108"/>
      <c r="O1348" s="108"/>
      <c r="P1348" s="108"/>
      <c r="Q1348" s="108"/>
      <c r="R1348" s="108"/>
      <c r="S1348" s="108"/>
      <c r="T1348" s="108"/>
      <c r="U1348" s="108"/>
      <c r="V1348" s="108"/>
      <c r="W1348" s="108"/>
      <c r="X1348" s="108"/>
      <c r="Y1348" s="108"/>
      <c r="Z1348" s="108"/>
    </row>
    <row r="1349" ht="16.5" customHeight="1">
      <c r="A1349" s="108"/>
      <c r="B1349" s="108"/>
      <c r="C1349" s="180"/>
      <c r="D1349" s="108"/>
      <c r="E1349" s="108"/>
      <c r="F1349" s="108"/>
      <c r="G1349" s="108"/>
      <c r="H1349" s="108"/>
      <c r="I1349" s="108"/>
      <c r="J1349" s="108"/>
      <c r="K1349" s="108"/>
      <c r="L1349" s="108"/>
      <c r="M1349" s="108"/>
      <c r="N1349" s="108"/>
      <c r="O1349" s="108"/>
      <c r="P1349" s="108"/>
      <c r="Q1349" s="108"/>
      <c r="R1349" s="108"/>
      <c r="S1349" s="108"/>
      <c r="T1349" s="108"/>
      <c r="U1349" s="108"/>
      <c r="V1349" s="108"/>
      <c r="W1349" s="108"/>
      <c r="X1349" s="108"/>
      <c r="Y1349" s="108"/>
      <c r="Z1349" s="108"/>
    </row>
    <row r="1350" ht="16.5" customHeight="1">
      <c r="A1350" s="108"/>
      <c r="B1350" s="108"/>
      <c r="C1350" s="180"/>
      <c r="D1350" s="108"/>
      <c r="E1350" s="108"/>
      <c r="F1350" s="108"/>
      <c r="G1350" s="108"/>
      <c r="H1350" s="108"/>
      <c r="I1350" s="108"/>
      <c r="J1350" s="108"/>
      <c r="K1350" s="108"/>
      <c r="L1350" s="108"/>
      <c r="M1350" s="108"/>
      <c r="N1350" s="108"/>
      <c r="O1350" s="108"/>
      <c r="P1350" s="108"/>
      <c r="Q1350" s="108"/>
      <c r="R1350" s="108"/>
      <c r="S1350" s="108"/>
      <c r="T1350" s="108"/>
      <c r="U1350" s="108"/>
      <c r="V1350" s="108"/>
      <c r="W1350" s="108"/>
      <c r="X1350" s="108"/>
      <c r="Y1350" s="108"/>
      <c r="Z1350" s="108"/>
    </row>
    <row r="1351" ht="16.5" customHeight="1">
      <c r="A1351" s="108"/>
      <c r="B1351" s="108"/>
      <c r="C1351" s="180"/>
      <c r="D1351" s="108"/>
      <c r="E1351" s="108"/>
      <c r="F1351" s="108"/>
      <c r="G1351" s="108"/>
      <c r="H1351" s="108"/>
      <c r="I1351" s="108"/>
      <c r="J1351" s="108"/>
      <c r="K1351" s="108"/>
      <c r="L1351" s="108"/>
      <c r="M1351" s="108"/>
      <c r="N1351" s="108"/>
      <c r="O1351" s="108"/>
      <c r="P1351" s="108"/>
      <c r="Q1351" s="108"/>
      <c r="R1351" s="108"/>
      <c r="S1351" s="108"/>
      <c r="T1351" s="108"/>
      <c r="U1351" s="108"/>
      <c r="V1351" s="108"/>
      <c r="W1351" s="108"/>
      <c r="X1351" s="108"/>
      <c r="Y1351" s="108"/>
      <c r="Z1351" s="108"/>
    </row>
    <row r="1352" ht="16.5" customHeight="1">
      <c r="A1352" s="108"/>
      <c r="B1352" s="108"/>
      <c r="C1352" s="180"/>
      <c r="D1352" s="108"/>
      <c r="E1352" s="108"/>
      <c r="F1352" s="108"/>
      <c r="G1352" s="108"/>
      <c r="H1352" s="108"/>
      <c r="I1352" s="108"/>
      <c r="J1352" s="108"/>
      <c r="K1352" s="108"/>
      <c r="L1352" s="108"/>
      <c r="M1352" s="108"/>
      <c r="N1352" s="108"/>
      <c r="O1352" s="108"/>
      <c r="P1352" s="108"/>
      <c r="Q1352" s="108"/>
      <c r="R1352" s="108"/>
      <c r="S1352" s="108"/>
      <c r="T1352" s="108"/>
      <c r="U1352" s="108"/>
      <c r="V1352" s="108"/>
      <c r="W1352" s="108"/>
      <c r="X1352" s="108"/>
      <c r="Y1352" s="108"/>
      <c r="Z1352" s="108"/>
    </row>
    <row r="1353" ht="16.5" customHeight="1">
      <c r="A1353" s="108"/>
      <c r="B1353" s="108"/>
      <c r="C1353" s="180"/>
      <c r="D1353" s="108"/>
      <c r="E1353" s="108"/>
      <c r="F1353" s="108"/>
      <c r="G1353" s="108"/>
      <c r="H1353" s="108"/>
      <c r="I1353" s="108"/>
      <c r="J1353" s="108"/>
      <c r="K1353" s="108"/>
      <c r="L1353" s="108"/>
      <c r="M1353" s="108"/>
      <c r="N1353" s="108"/>
      <c r="O1353" s="108"/>
      <c r="P1353" s="108"/>
      <c r="Q1353" s="108"/>
      <c r="R1353" s="108"/>
      <c r="S1353" s="108"/>
      <c r="T1353" s="108"/>
      <c r="U1353" s="108"/>
      <c r="V1353" s="108"/>
      <c r="W1353" s="108"/>
      <c r="X1353" s="108"/>
      <c r="Y1353" s="108"/>
      <c r="Z1353" s="108"/>
    </row>
    <row r="1354" ht="16.5" customHeight="1">
      <c r="A1354" s="108"/>
      <c r="B1354" s="108"/>
      <c r="C1354" s="180"/>
      <c r="D1354" s="108"/>
      <c r="E1354" s="108"/>
      <c r="F1354" s="108"/>
      <c r="G1354" s="108"/>
      <c r="H1354" s="108"/>
      <c r="I1354" s="108"/>
      <c r="J1354" s="108"/>
      <c r="K1354" s="108"/>
      <c r="L1354" s="108"/>
      <c r="M1354" s="108"/>
      <c r="N1354" s="108"/>
      <c r="O1354" s="108"/>
      <c r="P1354" s="108"/>
      <c r="Q1354" s="108"/>
      <c r="R1354" s="108"/>
      <c r="S1354" s="108"/>
      <c r="T1354" s="108"/>
      <c r="U1354" s="108"/>
      <c r="V1354" s="108"/>
      <c r="W1354" s="108"/>
      <c r="X1354" s="108"/>
      <c r="Y1354" s="108"/>
      <c r="Z1354" s="108"/>
    </row>
    <row r="1355" ht="16.5" customHeight="1">
      <c r="A1355" s="108"/>
      <c r="B1355" s="108"/>
      <c r="C1355" s="180"/>
      <c r="D1355" s="108"/>
      <c r="E1355" s="108"/>
      <c r="F1355" s="108"/>
      <c r="G1355" s="108"/>
      <c r="H1355" s="108"/>
      <c r="I1355" s="108"/>
      <c r="J1355" s="108"/>
      <c r="K1355" s="108"/>
      <c r="L1355" s="108"/>
      <c r="M1355" s="108"/>
      <c r="N1355" s="108"/>
      <c r="O1355" s="108"/>
      <c r="P1355" s="108"/>
      <c r="Q1355" s="108"/>
      <c r="R1355" s="108"/>
      <c r="S1355" s="108"/>
      <c r="T1355" s="108"/>
      <c r="U1355" s="108"/>
      <c r="V1355" s="108"/>
      <c r="W1355" s="108"/>
      <c r="X1355" s="108"/>
      <c r="Y1355" s="108"/>
      <c r="Z1355" s="108"/>
    </row>
    <row r="1356" ht="16.5" customHeight="1">
      <c r="A1356" s="108"/>
      <c r="B1356" s="108"/>
      <c r="C1356" s="180"/>
      <c r="D1356" s="108"/>
      <c r="E1356" s="108"/>
      <c r="F1356" s="108"/>
      <c r="G1356" s="108"/>
      <c r="H1356" s="108"/>
      <c r="I1356" s="108"/>
      <c r="J1356" s="108"/>
      <c r="K1356" s="108"/>
      <c r="L1356" s="108"/>
      <c r="M1356" s="108"/>
      <c r="N1356" s="108"/>
      <c r="O1356" s="108"/>
      <c r="P1356" s="108"/>
      <c r="Q1356" s="108"/>
      <c r="R1356" s="108"/>
      <c r="S1356" s="108"/>
      <c r="T1356" s="108"/>
      <c r="U1356" s="108"/>
      <c r="V1356" s="108"/>
      <c r="W1356" s="108"/>
      <c r="X1356" s="108"/>
      <c r="Y1356" s="108"/>
      <c r="Z1356" s="108"/>
    </row>
    <row r="1357" ht="16.5" customHeight="1">
      <c r="A1357" s="108"/>
      <c r="B1357" s="108"/>
      <c r="C1357" s="180"/>
      <c r="D1357" s="108"/>
      <c r="E1357" s="108"/>
      <c r="F1357" s="108"/>
      <c r="G1357" s="108"/>
      <c r="H1357" s="108"/>
      <c r="I1357" s="108"/>
      <c r="J1357" s="108"/>
      <c r="K1357" s="108"/>
      <c r="L1357" s="108"/>
      <c r="M1357" s="108"/>
      <c r="N1357" s="108"/>
      <c r="O1357" s="108"/>
      <c r="P1357" s="108"/>
      <c r="Q1357" s="108"/>
      <c r="R1357" s="108"/>
      <c r="S1357" s="108"/>
      <c r="T1357" s="108"/>
      <c r="U1357" s="108"/>
      <c r="V1357" s="108"/>
      <c r="W1357" s="108"/>
      <c r="X1357" s="108"/>
      <c r="Y1357" s="108"/>
      <c r="Z1357" s="108"/>
    </row>
    <row r="1358" ht="16.5" customHeight="1">
      <c r="A1358" s="108"/>
      <c r="B1358" s="108"/>
      <c r="C1358" s="180"/>
      <c r="D1358" s="108"/>
      <c r="E1358" s="108"/>
      <c r="F1358" s="108"/>
      <c r="G1358" s="108"/>
      <c r="H1358" s="108"/>
      <c r="I1358" s="108"/>
      <c r="J1358" s="108"/>
      <c r="K1358" s="108"/>
      <c r="L1358" s="108"/>
      <c r="M1358" s="108"/>
      <c r="N1358" s="108"/>
      <c r="O1358" s="108"/>
      <c r="P1358" s="108"/>
      <c r="Q1358" s="108"/>
      <c r="R1358" s="108"/>
      <c r="S1358" s="108"/>
      <c r="T1358" s="108"/>
      <c r="U1358" s="108"/>
      <c r="V1358" s="108"/>
      <c r="W1358" s="108"/>
      <c r="X1358" s="108"/>
      <c r="Y1358" s="108"/>
      <c r="Z1358" s="108"/>
    </row>
    <row r="1359" ht="16.5" customHeight="1">
      <c r="A1359" s="108"/>
      <c r="B1359" s="108"/>
      <c r="C1359" s="180"/>
      <c r="D1359" s="108"/>
      <c r="E1359" s="108"/>
      <c r="F1359" s="108"/>
      <c r="G1359" s="108"/>
      <c r="H1359" s="108"/>
      <c r="I1359" s="108"/>
      <c r="J1359" s="108"/>
      <c r="K1359" s="108"/>
      <c r="L1359" s="108"/>
      <c r="M1359" s="108"/>
      <c r="N1359" s="108"/>
      <c r="O1359" s="108"/>
      <c r="P1359" s="108"/>
      <c r="Q1359" s="108"/>
      <c r="R1359" s="108"/>
      <c r="S1359" s="108"/>
      <c r="T1359" s="108"/>
      <c r="U1359" s="108"/>
      <c r="V1359" s="108"/>
      <c r="W1359" s="108"/>
      <c r="X1359" s="108"/>
      <c r="Y1359" s="108"/>
      <c r="Z1359" s="108"/>
    </row>
    <row r="1360" ht="16.5" customHeight="1">
      <c r="A1360" s="108"/>
      <c r="B1360" s="108"/>
      <c r="C1360" s="180"/>
      <c r="D1360" s="108"/>
      <c r="E1360" s="108"/>
      <c r="F1360" s="108"/>
      <c r="G1360" s="108"/>
      <c r="H1360" s="108"/>
      <c r="I1360" s="108"/>
      <c r="J1360" s="108"/>
      <c r="K1360" s="108"/>
      <c r="L1360" s="108"/>
      <c r="M1360" s="108"/>
      <c r="N1360" s="108"/>
      <c r="O1360" s="108"/>
      <c r="P1360" s="108"/>
      <c r="Q1360" s="108"/>
      <c r="R1360" s="108"/>
      <c r="S1360" s="108"/>
      <c r="T1360" s="108"/>
      <c r="U1360" s="108"/>
      <c r="V1360" s="108"/>
      <c r="W1360" s="108"/>
      <c r="X1360" s="108"/>
      <c r="Y1360" s="108"/>
      <c r="Z1360" s="108"/>
    </row>
    <row r="1361" ht="16.5" customHeight="1">
      <c r="A1361" s="108"/>
      <c r="B1361" s="108"/>
      <c r="C1361" s="180"/>
      <c r="D1361" s="108"/>
      <c r="E1361" s="108"/>
      <c r="F1361" s="108"/>
      <c r="G1361" s="108"/>
      <c r="H1361" s="108"/>
      <c r="I1361" s="108"/>
      <c r="J1361" s="108"/>
      <c r="K1361" s="108"/>
      <c r="L1361" s="108"/>
      <c r="M1361" s="108"/>
      <c r="N1361" s="108"/>
      <c r="O1361" s="108"/>
      <c r="P1361" s="108"/>
      <c r="Q1361" s="108"/>
      <c r="R1361" s="108"/>
      <c r="S1361" s="108"/>
      <c r="T1361" s="108"/>
      <c r="U1361" s="108"/>
      <c r="V1361" s="108"/>
      <c r="W1361" s="108"/>
      <c r="X1361" s="108"/>
      <c r="Y1361" s="108"/>
      <c r="Z1361" s="108"/>
    </row>
    <row r="1362" ht="16.5" customHeight="1">
      <c r="A1362" s="108"/>
      <c r="B1362" s="108"/>
      <c r="C1362" s="180"/>
      <c r="D1362" s="108"/>
      <c r="E1362" s="108"/>
      <c r="F1362" s="108"/>
      <c r="G1362" s="108"/>
      <c r="H1362" s="108"/>
      <c r="I1362" s="108"/>
      <c r="J1362" s="108"/>
      <c r="K1362" s="108"/>
      <c r="L1362" s="108"/>
      <c r="M1362" s="108"/>
      <c r="N1362" s="108"/>
      <c r="O1362" s="108"/>
      <c r="P1362" s="108"/>
      <c r="Q1362" s="108"/>
      <c r="R1362" s="108"/>
      <c r="S1362" s="108"/>
      <c r="T1362" s="108"/>
      <c r="U1362" s="108"/>
      <c r="V1362" s="108"/>
      <c r="W1362" s="108"/>
      <c r="X1362" s="108"/>
      <c r="Y1362" s="108"/>
      <c r="Z1362" s="108"/>
    </row>
    <row r="1363" ht="16.5" customHeight="1">
      <c r="A1363" s="108"/>
      <c r="B1363" s="108"/>
      <c r="C1363" s="180"/>
      <c r="D1363" s="108"/>
      <c r="E1363" s="108"/>
      <c r="F1363" s="108"/>
      <c r="G1363" s="108"/>
      <c r="H1363" s="108"/>
      <c r="I1363" s="108"/>
      <c r="J1363" s="108"/>
      <c r="K1363" s="108"/>
      <c r="L1363" s="108"/>
      <c r="M1363" s="108"/>
      <c r="N1363" s="108"/>
      <c r="O1363" s="108"/>
      <c r="P1363" s="108"/>
      <c r="Q1363" s="108"/>
      <c r="R1363" s="108"/>
      <c r="S1363" s="108"/>
      <c r="T1363" s="108"/>
      <c r="U1363" s="108"/>
      <c r="V1363" s="108"/>
      <c r="W1363" s="108"/>
      <c r="X1363" s="108"/>
      <c r="Y1363" s="108"/>
      <c r="Z1363" s="108"/>
    </row>
    <row r="1364" ht="16.5" customHeight="1">
      <c r="A1364" s="108"/>
      <c r="B1364" s="108"/>
      <c r="C1364" s="180"/>
      <c r="D1364" s="108"/>
      <c r="E1364" s="108"/>
      <c r="F1364" s="108"/>
      <c r="G1364" s="108"/>
      <c r="H1364" s="108"/>
      <c r="I1364" s="108"/>
      <c r="J1364" s="108"/>
      <c r="K1364" s="108"/>
      <c r="L1364" s="108"/>
      <c r="M1364" s="108"/>
      <c r="N1364" s="108"/>
      <c r="O1364" s="108"/>
      <c r="P1364" s="108"/>
      <c r="Q1364" s="108"/>
      <c r="R1364" s="108"/>
      <c r="S1364" s="108"/>
      <c r="T1364" s="108"/>
      <c r="U1364" s="108"/>
      <c r="V1364" s="108"/>
      <c r="W1364" s="108"/>
      <c r="X1364" s="108"/>
      <c r="Y1364" s="108"/>
      <c r="Z1364" s="108"/>
    </row>
    <row r="1365" ht="16.5" customHeight="1">
      <c r="A1365" s="108"/>
      <c r="B1365" s="108"/>
      <c r="C1365" s="180"/>
      <c r="D1365" s="108"/>
      <c r="E1365" s="108"/>
      <c r="F1365" s="108"/>
      <c r="G1365" s="108"/>
      <c r="H1365" s="108"/>
      <c r="I1365" s="108"/>
      <c r="J1365" s="108"/>
      <c r="K1365" s="108"/>
      <c r="L1365" s="108"/>
      <c r="M1365" s="108"/>
      <c r="N1365" s="108"/>
      <c r="O1365" s="108"/>
      <c r="P1365" s="108"/>
      <c r="Q1365" s="108"/>
      <c r="R1365" s="108"/>
      <c r="S1365" s="108"/>
      <c r="T1365" s="108"/>
      <c r="U1365" s="108"/>
      <c r="V1365" s="108"/>
      <c r="W1365" s="108"/>
      <c r="X1365" s="108"/>
      <c r="Y1365" s="108"/>
      <c r="Z1365" s="108"/>
    </row>
    <row r="1366" ht="16.5" customHeight="1">
      <c r="A1366" s="108"/>
      <c r="B1366" s="108"/>
      <c r="C1366" s="180"/>
      <c r="D1366" s="108"/>
      <c r="E1366" s="108"/>
      <c r="F1366" s="108"/>
      <c r="G1366" s="108"/>
      <c r="H1366" s="108"/>
      <c r="I1366" s="108"/>
      <c r="J1366" s="108"/>
      <c r="K1366" s="108"/>
      <c r="L1366" s="108"/>
      <c r="M1366" s="108"/>
      <c r="N1366" s="108"/>
      <c r="O1366" s="108"/>
      <c r="P1366" s="108"/>
      <c r="Q1366" s="108"/>
      <c r="R1366" s="108"/>
      <c r="S1366" s="108"/>
      <c r="T1366" s="108"/>
      <c r="U1366" s="108"/>
      <c r="V1366" s="108"/>
      <c r="W1366" s="108"/>
      <c r="X1366" s="108"/>
      <c r="Y1366" s="108"/>
      <c r="Z1366" s="108"/>
    </row>
    <row r="1367" ht="16.5" customHeight="1">
      <c r="A1367" s="108"/>
      <c r="B1367" s="108"/>
      <c r="C1367" s="180"/>
      <c r="D1367" s="108"/>
      <c r="E1367" s="108"/>
      <c r="F1367" s="108"/>
      <c r="G1367" s="108"/>
      <c r="H1367" s="108"/>
      <c r="I1367" s="108"/>
      <c r="J1367" s="108"/>
      <c r="K1367" s="108"/>
      <c r="L1367" s="108"/>
      <c r="M1367" s="108"/>
      <c r="N1367" s="108"/>
      <c r="O1367" s="108"/>
      <c r="P1367" s="108"/>
      <c r="Q1367" s="108"/>
      <c r="R1367" s="108"/>
      <c r="S1367" s="108"/>
      <c r="T1367" s="108"/>
      <c r="U1367" s="108"/>
      <c r="V1367" s="108"/>
      <c r="W1367" s="108"/>
      <c r="X1367" s="108"/>
      <c r="Y1367" s="108"/>
      <c r="Z1367" s="108"/>
    </row>
    <row r="1368" ht="16.5" customHeight="1">
      <c r="A1368" s="108"/>
      <c r="B1368" s="108"/>
      <c r="C1368" s="180"/>
      <c r="D1368" s="108"/>
      <c r="E1368" s="108"/>
      <c r="F1368" s="108"/>
      <c r="G1368" s="108"/>
      <c r="H1368" s="108"/>
      <c r="I1368" s="108"/>
      <c r="J1368" s="108"/>
      <c r="K1368" s="108"/>
      <c r="L1368" s="108"/>
      <c r="M1368" s="108"/>
      <c r="N1368" s="108"/>
      <c r="O1368" s="108"/>
      <c r="P1368" s="108"/>
      <c r="Q1368" s="108"/>
      <c r="R1368" s="108"/>
      <c r="S1368" s="108"/>
      <c r="T1368" s="108"/>
      <c r="U1368" s="108"/>
      <c r="V1368" s="108"/>
      <c r="W1368" s="108"/>
      <c r="X1368" s="108"/>
      <c r="Y1368" s="108"/>
      <c r="Z1368" s="108"/>
    </row>
    <row r="1369" ht="16.5" customHeight="1">
      <c r="A1369" s="108"/>
      <c r="B1369" s="108"/>
      <c r="C1369" s="180"/>
      <c r="D1369" s="108"/>
      <c r="E1369" s="108"/>
      <c r="F1369" s="108"/>
      <c r="G1369" s="108"/>
      <c r="H1369" s="108"/>
      <c r="I1369" s="108"/>
      <c r="J1369" s="108"/>
      <c r="K1369" s="108"/>
      <c r="L1369" s="108"/>
      <c r="M1369" s="108"/>
      <c r="N1369" s="108"/>
      <c r="O1369" s="108"/>
      <c r="P1369" s="108"/>
      <c r="Q1369" s="108"/>
      <c r="R1369" s="108"/>
      <c r="S1369" s="108"/>
      <c r="T1369" s="108"/>
      <c r="U1369" s="108"/>
      <c r="V1369" s="108"/>
      <c r="W1369" s="108"/>
      <c r="X1369" s="108"/>
      <c r="Y1369" s="108"/>
      <c r="Z1369" s="108"/>
    </row>
    <row r="1370" ht="16.5" customHeight="1">
      <c r="A1370" s="108"/>
      <c r="B1370" s="108"/>
      <c r="C1370" s="180"/>
      <c r="D1370" s="108"/>
      <c r="E1370" s="108"/>
      <c r="F1370" s="108"/>
      <c r="G1370" s="108"/>
      <c r="H1370" s="108"/>
      <c r="I1370" s="108"/>
      <c r="J1370" s="108"/>
      <c r="K1370" s="108"/>
      <c r="L1370" s="108"/>
      <c r="M1370" s="108"/>
      <c r="N1370" s="108"/>
      <c r="O1370" s="108"/>
      <c r="P1370" s="108"/>
      <c r="Q1370" s="108"/>
      <c r="R1370" s="108"/>
      <c r="S1370" s="108"/>
      <c r="T1370" s="108"/>
      <c r="U1370" s="108"/>
      <c r="V1370" s="108"/>
      <c r="W1370" s="108"/>
      <c r="X1370" s="108"/>
      <c r="Y1370" s="108"/>
      <c r="Z1370" s="108"/>
    </row>
    <row r="1371" ht="16.5" customHeight="1">
      <c r="A1371" s="108"/>
      <c r="B1371" s="108"/>
      <c r="C1371" s="180"/>
      <c r="D1371" s="108"/>
      <c r="E1371" s="108"/>
      <c r="F1371" s="108"/>
      <c r="G1371" s="108"/>
      <c r="H1371" s="108"/>
      <c r="I1371" s="108"/>
      <c r="J1371" s="108"/>
      <c r="K1371" s="108"/>
      <c r="L1371" s="108"/>
      <c r="M1371" s="108"/>
      <c r="N1371" s="108"/>
      <c r="O1371" s="108"/>
      <c r="P1371" s="108"/>
      <c r="Q1371" s="108"/>
      <c r="R1371" s="108"/>
      <c r="S1371" s="108"/>
      <c r="T1371" s="108"/>
      <c r="U1371" s="108"/>
      <c r="V1371" s="108"/>
      <c r="W1371" s="108"/>
      <c r="X1371" s="108"/>
      <c r="Y1371" s="108"/>
      <c r="Z1371" s="108"/>
    </row>
    <row r="1372" ht="16.5" customHeight="1">
      <c r="A1372" s="108"/>
      <c r="B1372" s="108"/>
      <c r="C1372" s="180"/>
      <c r="D1372" s="108"/>
      <c r="E1372" s="108"/>
      <c r="F1372" s="108"/>
      <c r="G1372" s="108"/>
      <c r="H1372" s="108"/>
      <c r="I1372" s="108"/>
      <c r="J1372" s="108"/>
      <c r="K1372" s="108"/>
      <c r="L1372" s="108"/>
      <c r="M1372" s="108"/>
      <c r="N1372" s="108"/>
      <c r="O1372" s="108"/>
      <c r="P1372" s="108"/>
      <c r="Q1372" s="108"/>
      <c r="R1372" s="108"/>
      <c r="S1372" s="108"/>
      <c r="T1372" s="108"/>
      <c r="U1372" s="108"/>
      <c r="V1372" s="108"/>
      <c r="W1372" s="108"/>
      <c r="X1372" s="108"/>
      <c r="Y1372" s="108"/>
      <c r="Z1372" s="108"/>
    </row>
    <row r="1373" ht="16.5" customHeight="1">
      <c r="A1373" s="108"/>
      <c r="B1373" s="108"/>
      <c r="C1373" s="180"/>
      <c r="D1373" s="108"/>
      <c r="E1373" s="108"/>
      <c r="F1373" s="108"/>
      <c r="G1373" s="108"/>
      <c r="H1373" s="108"/>
      <c r="I1373" s="108"/>
      <c r="J1373" s="108"/>
      <c r="K1373" s="108"/>
      <c r="L1373" s="108"/>
      <c r="M1373" s="108"/>
      <c r="N1373" s="108"/>
      <c r="O1373" s="108"/>
      <c r="P1373" s="108"/>
      <c r="Q1373" s="108"/>
      <c r="R1373" s="108"/>
      <c r="S1373" s="108"/>
      <c r="T1373" s="108"/>
      <c r="U1373" s="108"/>
      <c r="V1373" s="108"/>
      <c r="W1373" s="108"/>
      <c r="X1373" s="108"/>
      <c r="Y1373" s="108"/>
      <c r="Z1373" s="108"/>
    </row>
    <row r="1374" ht="16.5" customHeight="1">
      <c r="A1374" s="108"/>
      <c r="B1374" s="108"/>
      <c r="C1374" s="180"/>
      <c r="D1374" s="108"/>
      <c r="E1374" s="108"/>
      <c r="F1374" s="108"/>
      <c r="G1374" s="108"/>
      <c r="H1374" s="108"/>
      <c r="I1374" s="108"/>
      <c r="J1374" s="108"/>
      <c r="K1374" s="108"/>
      <c r="L1374" s="108"/>
      <c r="M1374" s="108"/>
      <c r="N1374" s="108"/>
      <c r="O1374" s="108"/>
      <c r="P1374" s="108"/>
      <c r="Q1374" s="108"/>
      <c r="R1374" s="108"/>
      <c r="S1374" s="108"/>
      <c r="T1374" s="108"/>
      <c r="U1374" s="108"/>
      <c r="V1374" s="108"/>
      <c r="W1374" s="108"/>
      <c r="X1374" s="108"/>
      <c r="Y1374" s="108"/>
      <c r="Z1374" s="108"/>
    </row>
    <row r="1375" ht="16.5" customHeight="1">
      <c r="A1375" s="108"/>
      <c r="B1375" s="108"/>
      <c r="C1375" s="180"/>
      <c r="D1375" s="108"/>
      <c r="E1375" s="108"/>
      <c r="F1375" s="108"/>
      <c r="G1375" s="108"/>
      <c r="H1375" s="108"/>
      <c r="I1375" s="108"/>
      <c r="J1375" s="108"/>
      <c r="K1375" s="108"/>
      <c r="L1375" s="108"/>
      <c r="M1375" s="108"/>
      <c r="N1375" s="108"/>
      <c r="O1375" s="108"/>
      <c r="P1375" s="108"/>
      <c r="Q1375" s="108"/>
      <c r="R1375" s="108"/>
      <c r="S1375" s="108"/>
      <c r="T1375" s="108"/>
      <c r="U1375" s="108"/>
      <c r="V1375" s="108"/>
      <c r="W1375" s="108"/>
      <c r="X1375" s="108"/>
      <c r="Y1375" s="108"/>
      <c r="Z1375" s="108"/>
    </row>
    <row r="1376" ht="16.5" customHeight="1">
      <c r="A1376" s="108"/>
      <c r="B1376" s="108"/>
      <c r="C1376" s="180"/>
      <c r="D1376" s="108"/>
      <c r="E1376" s="108"/>
      <c r="F1376" s="108"/>
      <c r="G1376" s="108"/>
      <c r="H1376" s="108"/>
      <c r="I1376" s="108"/>
      <c r="J1376" s="108"/>
      <c r="K1376" s="108"/>
      <c r="L1376" s="108"/>
      <c r="M1376" s="108"/>
      <c r="N1376" s="108"/>
      <c r="O1376" s="108"/>
      <c r="P1376" s="108"/>
      <c r="Q1376" s="108"/>
      <c r="R1376" s="108"/>
      <c r="S1376" s="108"/>
      <c r="T1376" s="108"/>
      <c r="U1376" s="108"/>
      <c r="V1376" s="108"/>
      <c r="W1376" s="108"/>
      <c r="X1376" s="108"/>
      <c r="Y1376" s="108"/>
      <c r="Z1376" s="108"/>
    </row>
    <row r="1377" ht="16.5" customHeight="1">
      <c r="A1377" s="108"/>
      <c r="B1377" s="108"/>
      <c r="C1377" s="180"/>
      <c r="D1377" s="108"/>
      <c r="E1377" s="108"/>
      <c r="F1377" s="108"/>
      <c r="G1377" s="108"/>
      <c r="H1377" s="108"/>
      <c r="I1377" s="108"/>
      <c r="J1377" s="108"/>
      <c r="K1377" s="108"/>
      <c r="L1377" s="108"/>
      <c r="M1377" s="108"/>
      <c r="N1377" s="108"/>
      <c r="O1377" s="108"/>
      <c r="P1377" s="108"/>
      <c r="Q1377" s="108"/>
      <c r="R1377" s="108"/>
      <c r="S1377" s="108"/>
      <c r="T1377" s="108"/>
      <c r="U1377" s="108"/>
      <c r="V1377" s="108"/>
      <c r="W1377" s="108"/>
      <c r="X1377" s="108"/>
      <c r="Y1377" s="108"/>
      <c r="Z1377" s="108"/>
    </row>
    <row r="1378" ht="16.5" customHeight="1">
      <c r="A1378" s="108"/>
      <c r="B1378" s="108"/>
      <c r="C1378" s="180"/>
      <c r="D1378" s="108"/>
      <c r="E1378" s="108"/>
      <c r="F1378" s="108"/>
      <c r="G1378" s="108"/>
      <c r="H1378" s="108"/>
      <c r="I1378" s="108"/>
      <c r="J1378" s="108"/>
      <c r="K1378" s="108"/>
      <c r="L1378" s="108"/>
      <c r="M1378" s="108"/>
      <c r="N1378" s="108"/>
      <c r="O1378" s="108"/>
      <c r="P1378" s="108"/>
      <c r="Q1378" s="108"/>
      <c r="R1378" s="108"/>
      <c r="S1378" s="108"/>
      <c r="T1378" s="108"/>
      <c r="U1378" s="108"/>
      <c r="V1378" s="108"/>
      <c r="W1378" s="108"/>
      <c r="X1378" s="108"/>
      <c r="Y1378" s="108"/>
      <c r="Z1378" s="108"/>
    </row>
    <row r="1379" ht="16.5" customHeight="1">
      <c r="A1379" s="108"/>
      <c r="B1379" s="108"/>
      <c r="C1379" s="180"/>
      <c r="D1379" s="108"/>
      <c r="E1379" s="108"/>
      <c r="F1379" s="108"/>
      <c r="G1379" s="108"/>
      <c r="H1379" s="108"/>
      <c r="I1379" s="108"/>
      <c r="J1379" s="108"/>
      <c r="K1379" s="108"/>
      <c r="L1379" s="108"/>
      <c r="M1379" s="108"/>
      <c r="N1379" s="108"/>
      <c r="O1379" s="108"/>
      <c r="P1379" s="108"/>
      <c r="Q1379" s="108"/>
      <c r="R1379" s="108"/>
      <c r="S1379" s="108"/>
      <c r="T1379" s="108"/>
      <c r="U1379" s="108"/>
      <c r="V1379" s="108"/>
      <c r="W1379" s="108"/>
      <c r="X1379" s="108"/>
      <c r="Y1379" s="108"/>
      <c r="Z1379" s="108"/>
    </row>
    <row r="1380" ht="16.5" customHeight="1">
      <c r="A1380" s="108"/>
      <c r="B1380" s="108"/>
      <c r="C1380" s="180"/>
      <c r="D1380" s="108"/>
      <c r="E1380" s="108"/>
      <c r="F1380" s="108"/>
      <c r="G1380" s="108"/>
      <c r="H1380" s="108"/>
      <c r="I1380" s="108"/>
      <c r="J1380" s="108"/>
      <c r="K1380" s="108"/>
      <c r="L1380" s="108"/>
      <c r="M1380" s="108"/>
      <c r="N1380" s="108"/>
      <c r="O1380" s="108"/>
      <c r="P1380" s="108"/>
      <c r="Q1380" s="108"/>
      <c r="R1380" s="108"/>
      <c r="S1380" s="108"/>
      <c r="T1380" s="108"/>
      <c r="U1380" s="108"/>
      <c r="V1380" s="108"/>
      <c r="W1380" s="108"/>
      <c r="X1380" s="108"/>
      <c r="Y1380" s="108"/>
      <c r="Z1380" s="108"/>
    </row>
    <row r="1381" ht="16.5" customHeight="1">
      <c r="A1381" s="108"/>
      <c r="B1381" s="108"/>
      <c r="C1381" s="180"/>
      <c r="D1381" s="108"/>
      <c r="E1381" s="108"/>
      <c r="F1381" s="108"/>
      <c r="G1381" s="108"/>
      <c r="H1381" s="108"/>
      <c r="I1381" s="108"/>
      <c r="J1381" s="108"/>
      <c r="K1381" s="108"/>
      <c r="L1381" s="108"/>
      <c r="M1381" s="108"/>
      <c r="N1381" s="108"/>
      <c r="O1381" s="108"/>
      <c r="P1381" s="108"/>
      <c r="Q1381" s="108"/>
      <c r="R1381" s="108"/>
      <c r="S1381" s="108"/>
      <c r="T1381" s="108"/>
      <c r="U1381" s="108"/>
      <c r="V1381" s="108"/>
      <c r="W1381" s="108"/>
      <c r="X1381" s="108"/>
      <c r="Y1381" s="108"/>
      <c r="Z1381" s="108"/>
    </row>
    <row r="1382" ht="16.5" customHeight="1">
      <c r="A1382" s="108"/>
      <c r="B1382" s="108"/>
      <c r="C1382" s="180"/>
      <c r="D1382" s="108"/>
      <c r="E1382" s="108"/>
      <c r="F1382" s="108"/>
      <c r="G1382" s="108"/>
      <c r="H1382" s="108"/>
      <c r="I1382" s="108"/>
      <c r="J1382" s="108"/>
      <c r="K1382" s="108"/>
      <c r="L1382" s="108"/>
      <c r="M1382" s="108"/>
      <c r="N1382" s="108"/>
      <c r="O1382" s="108"/>
      <c r="P1382" s="108"/>
      <c r="Q1382" s="108"/>
      <c r="R1382" s="108"/>
      <c r="S1382" s="108"/>
      <c r="T1382" s="108"/>
      <c r="U1382" s="108"/>
      <c r="V1382" s="108"/>
      <c r="W1382" s="108"/>
      <c r="X1382" s="108"/>
      <c r="Y1382" s="108"/>
      <c r="Z1382" s="108"/>
    </row>
    <row r="1383" ht="16.5" customHeight="1">
      <c r="A1383" s="108"/>
      <c r="B1383" s="108"/>
      <c r="C1383" s="180"/>
      <c r="D1383" s="108"/>
      <c r="E1383" s="108"/>
      <c r="F1383" s="108"/>
      <c r="G1383" s="108"/>
      <c r="H1383" s="108"/>
      <c r="I1383" s="108"/>
      <c r="J1383" s="108"/>
      <c r="K1383" s="108"/>
      <c r="L1383" s="108"/>
      <c r="M1383" s="108"/>
      <c r="N1383" s="108"/>
      <c r="O1383" s="108"/>
      <c r="P1383" s="108"/>
      <c r="Q1383" s="108"/>
      <c r="R1383" s="108"/>
      <c r="S1383" s="108"/>
      <c r="T1383" s="108"/>
      <c r="U1383" s="108"/>
      <c r="V1383" s="108"/>
      <c r="W1383" s="108"/>
      <c r="X1383" s="108"/>
      <c r="Y1383" s="108"/>
      <c r="Z1383" s="108"/>
    </row>
    <row r="1384" ht="16.5" customHeight="1">
      <c r="A1384" s="108"/>
      <c r="B1384" s="108"/>
      <c r="C1384" s="180"/>
      <c r="D1384" s="108"/>
      <c r="E1384" s="108"/>
      <c r="F1384" s="108"/>
      <c r="G1384" s="108"/>
      <c r="H1384" s="108"/>
      <c r="I1384" s="108"/>
      <c r="J1384" s="108"/>
      <c r="K1384" s="108"/>
      <c r="L1384" s="108"/>
      <c r="M1384" s="108"/>
      <c r="N1384" s="108"/>
      <c r="O1384" s="108"/>
      <c r="P1384" s="108"/>
      <c r="Q1384" s="108"/>
      <c r="R1384" s="108"/>
      <c r="S1384" s="108"/>
      <c r="T1384" s="108"/>
      <c r="U1384" s="108"/>
      <c r="V1384" s="108"/>
      <c r="W1384" s="108"/>
      <c r="X1384" s="108"/>
      <c r="Y1384" s="108"/>
      <c r="Z1384" s="108"/>
    </row>
    <row r="1385" ht="16.5" customHeight="1">
      <c r="A1385" s="108"/>
      <c r="B1385" s="108"/>
      <c r="C1385" s="180"/>
      <c r="D1385" s="108"/>
      <c r="E1385" s="108"/>
      <c r="F1385" s="108"/>
      <c r="G1385" s="108"/>
      <c r="H1385" s="108"/>
      <c r="I1385" s="108"/>
      <c r="J1385" s="108"/>
      <c r="K1385" s="108"/>
      <c r="L1385" s="108"/>
      <c r="M1385" s="108"/>
      <c r="N1385" s="108"/>
      <c r="O1385" s="108"/>
      <c r="P1385" s="108"/>
      <c r="Q1385" s="108"/>
      <c r="R1385" s="108"/>
      <c r="S1385" s="108"/>
      <c r="T1385" s="108"/>
      <c r="U1385" s="108"/>
      <c r="V1385" s="108"/>
      <c r="W1385" s="108"/>
      <c r="X1385" s="108"/>
      <c r="Y1385" s="108"/>
      <c r="Z1385" s="108"/>
    </row>
    <row r="1386" ht="16.5" customHeight="1">
      <c r="A1386" s="108"/>
      <c r="B1386" s="108"/>
      <c r="C1386" s="180"/>
      <c r="D1386" s="108"/>
      <c r="E1386" s="108"/>
      <c r="F1386" s="108"/>
      <c r="G1386" s="108"/>
      <c r="H1386" s="108"/>
      <c r="I1386" s="108"/>
      <c r="J1386" s="108"/>
      <c r="K1386" s="108"/>
      <c r="L1386" s="108"/>
      <c r="M1386" s="108"/>
      <c r="N1386" s="108"/>
      <c r="O1386" s="108"/>
      <c r="P1386" s="108"/>
      <c r="Q1386" s="108"/>
      <c r="R1386" s="108"/>
      <c r="S1386" s="108"/>
      <c r="T1386" s="108"/>
      <c r="U1386" s="108"/>
      <c r="V1386" s="108"/>
      <c r="W1386" s="108"/>
      <c r="X1386" s="108"/>
      <c r="Y1386" s="108"/>
      <c r="Z1386" s="108"/>
    </row>
    <row r="1387" ht="16.5" customHeight="1">
      <c r="A1387" s="108"/>
      <c r="B1387" s="108"/>
      <c r="C1387" s="180"/>
      <c r="D1387" s="108"/>
      <c r="E1387" s="108"/>
      <c r="F1387" s="108"/>
      <c r="G1387" s="108"/>
      <c r="H1387" s="108"/>
      <c r="I1387" s="108"/>
      <c r="J1387" s="108"/>
      <c r="K1387" s="108"/>
      <c r="L1387" s="108"/>
      <c r="M1387" s="108"/>
      <c r="N1387" s="108"/>
      <c r="O1387" s="108"/>
      <c r="P1387" s="108"/>
      <c r="Q1387" s="108"/>
      <c r="R1387" s="108"/>
      <c r="S1387" s="108"/>
      <c r="T1387" s="108"/>
      <c r="U1387" s="108"/>
      <c r="V1387" s="108"/>
      <c r="W1387" s="108"/>
      <c r="X1387" s="108"/>
      <c r="Y1387" s="108"/>
      <c r="Z1387" s="108"/>
    </row>
    <row r="1388" ht="16.5" customHeight="1">
      <c r="A1388" s="108"/>
      <c r="B1388" s="108"/>
      <c r="C1388" s="180"/>
      <c r="D1388" s="108"/>
      <c r="E1388" s="108"/>
      <c r="F1388" s="108"/>
      <c r="G1388" s="108"/>
      <c r="H1388" s="108"/>
      <c r="I1388" s="108"/>
      <c r="J1388" s="108"/>
      <c r="K1388" s="108"/>
      <c r="L1388" s="108"/>
      <c r="M1388" s="108"/>
      <c r="N1388" s="108"/>
      <c r="O1388" s="108"/>
      <c r="P1388" s="108"/>
      <c r="Q1388" s="108"/>
      <c r="R1388" s="108"/>
      <c r="S1388" s="108"/>
      <c r="T1388" s="108"/>
      <c r="U1388" s="108"/>
      <c r="V1388" s="108"/>
      <c r="W1388" s="108"/>
      <c r="X1388" s="108"/>
      <c r="Y1388" s="108"/>
      <c r="Z1388" s="108"/>
    </row>
    <row r="1389" ht="16.5" customHeight="1">
      <c r="A1389" s="108"/>
      <c r="B1389" s="108"/>
      <c r="C1389" s="180"/>
      <c r="D1389" s="108"/>
      <c r="E1389" s="108"/>
      <c r="F1389" s="108"/>
      <c r="G1389" s="108"/>
      <c r="H1389" s="108"/>
      <c r="I1389" s="108"/>
      <c r="J1389" s="108"/>
      <c r="K1389" s="108"/>
      <c r="L1389" s="108"/>
      <c r="M1389" s="108"/>
      <c r="N1389" s="108"/>
      <c r="O1389" s="108"/>
      <c r="P1389" s="108"/>
      <c r="Q1389" s="108"/>
      <c r="R1389" s="108"/>
      <c r="S1389" s="108"/>
      <c r="T1389" s="108"/>
      <c r="U1389" s="108"/>
      <c r="V1389" s="108"/>
      <c r="W1389" s="108"/>
      <c r="X1389" s="108"/>
      <c r="Y1389" s="108"/>
      <c r="Z1389" s="108"/>
    </row>
    <row r="1390" ht="16.5" customHeight="1">
      <c r="A1390" s="108"/>
      <c r="B1390" s="108"/>
      <c r="C1390" s="180"/>
      <c r="D1390" s="108"/>
      <c r="E1390" s="108"/>
      <c r="F1390" s="108"/>
      <c r="G1390" s="108"/>
      <c r="H1390" s="108"/>
      <c r="I1390" s="108"/>
      <c r="J1390" s="108"/>
      <c r="K1390" s="108"/>
      <c r="L1390" s="108"/>
      <c r="M1390" s="108"/>
      <c r="N1390" s="108"/>
      <c r="O1390" s="108"/>
      <c r="P1390" s="108"/>
      <c r="Q1390" s="108"/>
      <c r="R1390" s="108"/>
      <c r="S1390" s="108"/>
      <c r="T1390" s="108"/>
      <c r="U1390" s="108"/>
      <c r="V1390" s="108"/>
      <c r="W1390" s="108"/>
      <c r="X1390" s="108"/>
      <c r="Y1390" s="108"/>
      <c r="Z1390" s="108"/>
    </row>
    <row r="1391" ht="16.5" customHeight="1">
      <c r="A1391" s="108"/>
      <c r="B1391" s="108"/>
      <c r="C1391" s="180"/>
      <c r="D1391" s="108"/>
      <c r="E1391" s="108"/>
      <c r="F1391" s="108"/>
      <c r="G1391" s="108"/>
      <c r="H1391" s="108"/>
      <c r="I1391" s="108"/>
      <c r="J1391" s="108"/>
      <c r="K1391" s="108"/>
      <c r="L1391" s="108"/>
      <c r="M1391" s="108"/>
      <c r="N1391" s="108"/>
      <c r="O1391" s="108"/>
      <c r="P1391" s="108"/>
      <c r="Q1391" s="108"/>
      <c r="R1391" s="108"/>
      <c r="S1391" s="108"/>
      <c r="T1391" s="108"/>
      <c r="U1391" s="108"/>
      <c r="V1391" s="108"/>
      <c r="W1391" s="108"/>
      <c r="X1391" s="108"/>
      <c r="Y1391" s="108"/>
      <c r="Z1391" s="108"/>
    </row>
    <row r="1392" ht="16.5" customHeight="1">
      <c r="A1392" s="108"/>
      <c r="B1392" s="108"/>
      <c r="C1392" s="180"/>
      <c r="D1392" s="108"/>
      <c r="E1392" s="108"/>
      <c r="F1392" s="108"/>
      <c r="G1392" s="108"/>
      <c r="H1392" s="108"/>
      <c r="I1392" s="108"/>
      <c r="J1392" s="108"/>
      <c r="K1392" s="108"/>
      <c r="L1392" s="108"/>
      <c r="M1392" s="108"/>
      <c r="N1392" s="108"/>
      <c r="O1392" s="108"/>
      <c r="P1392" s="108"/>
      <c r="Q1392" s="108"/>
      <c r="R1392" s="108"/>
      <c r="S1392" s="108"/>
      <c r="T1392" s="108"/>
      <c r="U1392" s="108"/>
      <c r="V1392" s="108"/>
      <c r="W1392" s="108"/>
      <c r="X1392" s="108"/>
      <c r="Y1392" s="108"/>
      <c r="Z1392" s="108"/>
    </row>
    <row r="1393" ht="16.5" customHeight="1">
      <c r="A1393" s="108"/>
      <c r="B1393" s="108"/>
      <c r="C1393" s="180"/>
      <c r="D1393" s="108"/>
      <c r="E1393" s="108"/>
      <c r="F1393" s="108"/>
      <c r="G1393" s="108"/>
      <c r="H1393" s="108"/>
      <c r="I1393" s="108"/>
      <c r="J1393" s="108"/>
      <c r="K1393" s="108"/>
      <c r="L1393" s="108"/>
      <c r="M1393" s="108"/>
      <c r="N1393" s="108"/>
      <c r="O1393" s="108"/>
      <c r="P1393" s="108"/>
      <c r="Q1393" s="108"/>
      <c r="R1393" s="108"/>
      <c r="S1393" s="108"/>
      <c r="T1393" s="108"/>
      <c r="U1393" s="108"/>
      <c r="V1393" s="108"/>
      <c r="W1393" s="108"/>
      <c r="X1393" s="108"/>
      <c r="Y1393" s="108"/>
      <c r="Z1393" s="108"/>
    </row>
    <row r="1394" ht="16.5" customHeight="1">
      <c r="A1394" s="108"/>
      <c r="B1394" s="108"/>
      <c r="C1394" s="180"/>
      <c r="D1394" s="108"/>
      <c r="E1394" s="108"/>
      <c r="F1394" s="108"/>
      <c r="G1394" s="108"/>
      <c r="H1394" s="108"/>
      <c r="I1394" s="108"/>
      <c r="J1394" s="108"/>
      <c r="K1394" s="108"/>
      <c r="L1394" s="108"/>
      <c r="M1394" s="108"/>
      <c r="N1394" s="108"/>
      <c r="O1394" s="108"/>
      <c r="P1394" s="108"/>
      <c r="Q1394" s="108"/>
      <c r="R1394" s="108"/>
      <c r="S1394" s="108"/>
      <c r="T1394" s="108"/>
      <c r="U1394" s="108"/>
      <c r="V1394" s="108"/>
      <c r="W1394" s="108"/>
      <c r="X1394" s="108"/>
      <c r="Y1394" s="108"/>
      <c r="Z1394" s="108"/>
    </row>
    <row r="1395" ht="16.5" customHeight="1">
      <c r="A1395" s="108"/>
      <c r="B1395" s="108"/>
      <c r="C1395" s="180"/>
      <c r="D1395" s="108"/>
      <c r="E1395" s="108"/>
      <c r="F1395" s="108"/>
      <c r="G1395" s="108"/>
      <c r="H1395" s="108"/>
      <c r="I1395" s="108"/>
      <c r="J1395" s="108"/>
      <c r="K1395" s="108"/>
      <c r="L1395" s="108"/>
      <c r="M1395" s="108"/>
      <c r="N1395" s="108"/>
      <c r="O1395" s="108"/>
      <c r="P1395" s="108"/>
      <c r="Q1395" s="108"/>
      <c r="R1395" s="108"/>
      <c r="S1395" s="108"/>
      <c r="T1395" s="108"/>
      <c r="U1395" s="108"/>
      <c r="V1395" s="108"/>
      <c r="W1395" s="108"/>
      <c r="X1395" s="108"/>
      <c r="Y1395" s="108"/>
      <c r="Z1395" s="108"/>
    </row>
    <row r="1396" ht="16.5" customHeight="1">
      <c r="A1396" s="108"/>
      <c r="B1396" s="108"/>
      <c r="C1396" s="180"/>
      <c r="D1396" s="108"/>
      <c r="E1396" s="108"/>
      <c r="F1396" s="108"/>
      <c r="G1396" s="108"/>
      <c r="H1396" s="108"/>
      <c r="I1396" s="108"/>
      <c r="J1396" s="108"/>
      <c r="K1396" s="108"/>
      <c r="L1396" s="108"/>
      <c r="M1396" s="108"/>
      <c r="N1396" s="108"/>
      <c r="O1396" s="108"/>
      <c r="P1396" s="108"/>
      <c r="Q1396" s="108"/>
      <c r="R1396" s="108"/>
      <c r="S1396" s="108"/>
      <c r="T1396" s="108"/>
      <c r="U1396" s="108"/>
      <c r="V1396" s="108"/>
      <c r="W1396" s="108"/>
      <c r="X1396" s="108"/>
      <c r="Y1396" s="108"/>
      <c r="Z1396" s="108"/>
    </row>
    <row r="1397" ht="16.5" customHeight="1">
      <c r="A1397" s="108"/>
      <c r="B1397" s="108"/>
      <c r="C1397" s="180"/>
      <c r="D1397" s="108"/>
      <c r="E1397" s="108"/>
      <c r="F1397" s="108"/>
      <c r="G1397" s="108"/>
      <c r="H1397" s="108"/>
      <c r="I1397" s="108"/>
      <c r="J1397" s="108"/>
      <c r="K1397" s="108"/>
      <c r="L1397" s="108"/>
      <c r="M1397" s="108"/>
      <c r="N1397" s="108"/>
      <c r="O1397" s="108"/>
      <c r="P1397" s="108"/>
      <c r="Q1397" s="108"/>
      <c r="R1397" s="108"/>
      <c r="S1397" s="108"/>
      <c r="T1397" s="108"/>
      <c r="U1397" s="108"/>
      <c r="V1397" s="108"/>
      <c r="W1397" s="108"/>
      <c r="X1397" s="108"/>
      <c r="Y1397" s="108"/>
      <c r="Z1397" s="108"/>
    </row>
    <row r="1398" ht="16.5" customHeight="1">
      <c r="A1398" s="108"/>
      <c r="B1398" s="108"/>
      <c r="C1398" s="180"/>
      <c r="D1398" s="108"/>
      <c r="E1398" s="108"/>
      <c r="F1398" s="108"/>
      <c r="G1398" s="108"/>
      <c r="H1398" s="108"/>
      <c r="I1398" s="108"/>
      <c r="J1398" s="108"/>
      <c r="K1398" s="108"/>
      <c r="L1398" s="108"/>
      <c r="M1398" s="108"/>
      <c r="N1398" s="108"/>
      <c r="O1398" s="108"/>
      <c r="P1398" s="108"/>
      <c r="Q1398" s="108"/>
      <c r="R1398" s="108"/>
      <c r="S1398" s="108"/>
      <c r="T1398" s="108"/>
      <c r="U1398" s="108"/>
      <c r="V1398" s="108"/>
      <c r="W1398" s="108"/>
      <c r="X1398" s="108"/>
      <c r="Y1398" s="108"/>
      <c r="Z1398" s="108"/>
    </row>
    <row r="1399" ht="16.5" customHeight="1">
      <c r="A1399" s="108"/>
      <c r="B1399" s="108"/>
      <c r="C1399" s="180"/>
      <c r="D1399" s="108"/>
      <c r="E1399" s="108"/>
      <c r="F1399" s="108"/>
      <c r="G1399" s="108"/>
      <c r="H1399" s="108"/>
      <c r="I1399" s="108"/>
      <c r="J1399" s="108"/>
      <c r="K1399" s="108"/>
      <c r="L1399" s="108"/>
      <c r="M1399" s="108"/>
      <c r="N1399" s="108"/>
      <c r="O1399" s="108"/>
      <c r="P1399" s="108"/>
      <c r="Q1399" s="108"/>
      <c r="R1399" s="108"/>
      <c r="S1399" s="108"/>
      <c r="T1399" s="108"/>
      <c r="U1399" s="108"/>
      <c r="V1399" s="108"/>
      <c r="W1399" s="108"/>
      <c r="X1399" s="108"/>
      <c r="Y1399" s="108"/>
      <c r="Z1399" s="108"/>
    </row>
    <row r="1400" ht="16.5" customHeight="1">
      <c r="A1400" s="108"/>
      <c r="B1400" s="108"/>
      <c r="C1400" s="180"/>
      <c r="D1400" s="108"/>
      <c r="E1400" s="108"/>
      <c r="F1400" s="108"/>
      <c r="G1400" s="108"/>
      <c r="H1400" s="108"/>
      <c r="I1400" s="108"/>
      <c r="J1400" s="108"/>
      <c r="K1400" s="108"/>
      <c r="L1400" s="108"/>
      <c r="M1400" s="108"/>
      <c r="N1400" s="108"/>
      <c r="O1400" s="108"/>
      <c r="P1400" s="108"/>
      <c r="Q1400" s="108"/>
      <c r="R1400" s="108"/>
      <c r="S1400" s="108"/>
      <c r="T1400" s="108"/>
      <c r="U1400" s="108"/>
      <c r="V1400" s="108"/>
      <c r="W1400" s="108"/>
      <c r="X1400" s="108"/>
      <c r="Y1400" s="108"/>
      <c r="Z1400" s="108"/>
    </row>
    <row r="1401" ht="16.5" customHeight="1">
      <c r="A1401" s="108"/>
      <c r="B1401" s="108"/>
      <c r="C1401" s="180"/>
      <c r="D1401" s="108"/>
      <c r="E1401" s="108"/>
      <c r="F1401" s="108"/>
      <c r="G1401" s="108"/>
      <c r="H1401" s="108"/>
      <c r="I1401" s="108"/>
      <c r="J1401" s="108"/>
      <c r="K1401" s="108"/>
      <c r="L1401" s="108"/>
      <c r="M1401" s="108"/>
      <c r="N1401" s="108"/>
      <c r="O1401" s="108"/>
      <c r="P1401" s="108"/>
      <c r="Q1401" s="108"/>
      <c r="R1401" s="108"/>
      <c r="S1401" s="108"/>
      <c r="T1401" s="108"/>
      <c r="U1401" s="108"/>
      <c r="V1401" s="108"/>
      <c r="W1401" s="108"/>
      <c r="X1401" s="108"/>
      <c r="Y1401" s="108"/>
      <c r="Z1401" s="108"/>
    </row>
    <row r="1402" ht="16.5" customHeight="1">
      <c r="A1402" s="108"/>
      <c r="B1402" s="108"/>
      <c r="C1402" s="180"/>
      <c r="D1402" s="108"/>
      <c r="E1402" s="108"/>
      <c r="F1402" s="108"/>
      <c r="G1402" s="108"/>
      <c r="H1402" s="108"/>
      <c r="I1402" s="108"/>
      <c r="J1402" s="108"/>
      <c r="K1402" s="108"/>
      <c r="L1402" s="108"/>
      <c r="M1402" s="108"/>
      <c r="N1402" s="108"/>
      <c r="O1402" s="108"/>
      <c r="P1402" s="108"/>
      <c r="Q1402" s="108"/>
      <c r="R1402" s="108"/>
      <c r="S1402" s="108"/>
      <c r="T1402" s="108"/>
      <c r="U1402" s="108"/>
      <c r="V1402" s="108"/>
      <c r="W1402" s="108"/>
      <c r="X1402" s="108"/>
      <c r="Y1402" s="108"/>
      <c r="Z1402" s="108"/>
    </row>
    <row r="1403" ht="16.5" customHeight="1">
      <c r="A1403" s="108"/>
      <c r="B1403" s="108"/>
      <c r="C1403" s="180"/>
      <c r="D1403" s="108"/>
      <c r="E1403" s="108"/>
      <c r="F1403" s="108"/>
      <c r="G1403" s="108"/>
      <c r="H1403" s="108"/>
      <c r="I1403" s="108"/>
      <c r="J1403" s="108"/>
      <c r="K1403" s="108"/>
      <c r="L1403" s="108"/>
      <c r="M1403" s="108"/>
      <c r="N1403" s="108"/>
      <c r="O1403" s="108"/>
      <c r="P1403" s="108"/>
      <c r="Q1403" s="108"/>
      <c r="R1403" s="108"/>
      <c r="S1403" s="108"/>
      <c r="T1403" s="108"/>
      <c r="U1403" s="108"/>
      <c r="V1403" s="108"/>
      <c r="W1403" s="108"/>
      <c r="X1403" s="108"/>
      <c r="Y1403" s="108"/>
      <c r="Z1403" s="108"/>
    </row>
    <row r="1404" ht="16.5" customHeight="1">
      <c r="A1404" s="108"/>
      <c r="B1404" s="108"/>
      <c r="C1404" s="180"/>
      <c r="D1404" s="108"/>
      <c r="E1404" s="108"/>
      <c r="F1404" s="108"/>
      <c r="G1404" s="108"/>
      <c r="H1404" s="108"/>
      <c r="I1404" s="108"/>
      <c r="J1404" s="108"/>
      <c r="K1404" s="108"/>
      <c r="L1404" s="108"/>
      <c r="M1404" s="108"/>
      <c r="N1404" s="108"/>
      <c r="O1404" s="108"/>
      <c r="P1404" s="108"/>
      <c r="Q1404" s="108"/>
      <c r="R1404" s="108"/>
      <c r="S1404" s="108"/>
      <c r="T1404" s="108"/>
      <c r="U1404" s="108"/>
      <c r="V1404" s="108"/>
      <c r="W1404" s="108"/>
      <c r="X1404" s="108"/>
      <c r="Y1404" s="108"/>
      <c r="Z1404" s="108"/>
    </row>
    <row r="1405" ht="16.5" customHeight="1">
      <c r="A1405" s="108"/>
      <c r="B1405" s="108"/>
      <c r="C1405" s="180"/>
      <c r="D1405" s="108"/>
      <c r="E1405" s="108"/>
      <c r="F1405" s="108"/>
      <c r="G1405" s="108"/>
      <c r="H1405" s="108"/>
      <c r="I1405" s="108"/>
      <c r="J1405" s="108"/>
      <c r="K1405" s="108"/>
      <c r="L1405" s="108"/>
      <c r="M1405" s="108"/>
      <c r="N1405" s="108"/>
      <c r="O1405" s="108"/>
      <c r="P1405" s="108"/>
      <c r="Q1405" s="108"/>
      <c r="R1405" s="108"/>
      <c r="S1405" s="108"/>
      <c r="T1405" s="108"/>
      <c r="U1405" s="108"/>
      <c r="V1405" s="108"/>
      <c r="W1405" s="108"/>
      <c r="X1405" s="108"/>
      <c r="Y1405" s="108"/>
      <c r="Z1405" s="108"/>
    </row>
    <row r="1406" ht="16.5" customHeight="1">
      <c r="A1406" s="108"/>
      <c r="B1406" s="108"/>
      <c r="C1406" s="180"/>
      <c r="D1406" s="108"/>
      <c r="E1406" s="108"/>
      <c r="F1406" s="108"/>
      <c r="G1406" s="108"/>
      <c r="H1406" s="108"/>
      <c r="I1406" s="108"/>
      <c r="J1406" s="108"/>
      <c r="K1406" s="108"/>
      <c r="L1406" s="108"/>
      <c r="M1406" s="108"/>
      <c r="N1406" s="108"/>
      <c r="O1406" s="108"/>
      <c r="P1406" s="108"/>
      <c r="Q1406" s="108"/>
      <c r="R1406" s="108"/>
      <c r="S1406" s="108"/>
      <c r="T1406" s="108"/>
      <c r="U1406" s="108"/>
      <c r="V1406" s="108"/>
      <c r="W1406" s="108"/>
      <c r="X1406" s="108"/>
      <c r="Y1406" s="108"/>
      <c r="Z1406" s="108"/>
    </row>
    <row r="1407" ht="16.5" customHeight="1">
      <c r="A1407" s="108"/>
      <c r="B1407" s="108"/>
      <c r="C1407" s="180"/>
      <c r="D1407" s="108"/>
      <c r="E1407" s="108"/>
      <c r="F1407" s="108"/>
      <c r="G1407" s="108"/>
      <c r="H1407" s="108"/>
      <c r="I1407" s="108"/>
      <c r="J1407" s="108"/>
      <c r="K1407" s="108"/>
      <c r="L1407" s="108"/>
      <c r="M1407" s="108"/>
      <c r="N1407" s="108"/>
      <c r="O1407" s="108"/>
      <c r="P1407" s="108"/>
      <c r="Q1407" s="108"/>
      <c r="R1407" s="108"/>
      <c r="S1407" s="108"/>
      <c r="T1407" s="108"/>
      <c r="U1407" s="108"/>
      <c r="V1407" s="108"/>
      <c r="W1407" s="108"/>
      <c r="X1407" s="108"/>
      <c r="Y1407" s="108"/>
      <c r="Z1407" s="108"/>
    </row>
    <row r="1408" ht="16.5" customHeight="1">
      <c r="A1408" s="108"/>
      <c r="B1408" s="108"/>
      <c r="C1408" s="180"/>
      <c r="D1408" s="108"/>
      <c r="E1408" s="108"/>
      <c r="F1408" s="108"/>
      <c r="G1408" s="108"/>
      <c r="H1408" s="108"/>
      <c r="I1408" s="108"/>
      <c r="J1408" s="108"/>
      <c r="K1408" s="108"/>
      <c r="L1408" s="108"/>
      <c r="M1408" s="108"/>
      <c r="N1408" s="108"/>
      <c r="O1408" s="108"/>
      <c r="P1408" s="108"/>
      <c r="Q1408" s="108"/>
      <c r="R1408" s="108"/>
      <c r="S1408" s="108"/>
      <c r="T1408" s="108"/>
      <c r="U1408" s="108"/>
      <c r="V1408" s="108"/>
      <c r="W1408" s="108"/>
      <c r="X1408" s="108"/>
      <c r="Y1408" s="108"/>
      <c r="Z1408" s="108"/>
    </row>
    <row r="1409" ht="16.5" customHeight="1">
      <c r="A1409" s="108"/>
      <c r="B1409" s="108"/>
      <c r="C1409" s="180"/>
      <c r="D1409" s="108"/>
      <c r="E1409" s="108"/>
      <c r="F1409" s="108"/>
      <c r="G1409" s="108"/>
      <c r="H1409" s="108"/>
      <c r="I1409" s="108"/>
      <c r="J1409" s="108"/>
      <c r="K1409" s="108"/>
      <c r="L1409" s="108"/>
      <c r="M1409" s="108"/>
      <c r="N1409" s="108"/>
      <c r="O1409" s="108"/>
      <c r="P1409" s="108"/>
      <c r="Q1409" s="108"/>
      <c r="R1409" s="108"/>
      <c r="S1409" s="108"/>
      <c r="T1409" s="108"/>
      <c r="U1409" s="108"/>
      <c r="V1409" s="108"/>
      <c r="W1409" s="108"/>
      <c r="X1409" s="108"/>
      <c r="Y1409" s="108"/>
      <c r="Z1409" s="108"/>
    </row>
    <row r="1410" ht="16.5" customHeight="1">
      <c r="A1410" s="108"/>
      <c r="B1410" s="108"/>
      <c r="C1410" s="180"/>
      <c r="D1410" s="108"/>
      <c r="E1410" s="108"/>
      <c r="F1410" s="108"/>
      <c r="G1410" s="108"/>
      <c r="H1410" s="108"/>
      <c r="I1410" s="108"/>
      <c r="J1410" s="108"/>
      <c r="K1410" s="108"/>
      <c r="L1410" s="108"/>
      <c r="M1410" s="108"/>
      <c r="N1410" s="108"/>
      <c r="O1410" s="108"/>
      <c r="P1410" s="108"/>
      <c r="Q1410" s="108"/>
      <c r="R1410" s="108"/>
      <c r="S1410" s="108"/>
      <c r="T1410" s="108"/>
      <c r="U1410" s="108"/>
      <c r="V1410" s="108"/>
      <c r="W1410" s="108"/>
      <c r="X1410" s="108"/>
      <c r="Y1410" s="108"/>
      <c r="Z1410" s="108"/>
    </row>
    <row r="1411" ht="16.5" customHeight="1">
      <c r="A1411" s="108"/>
      <c r="B1411" s="108"/>
      <c r="C1411" s="180"/>
      <c r="D1411" s="108"/>
      <c r="E1411" s="108"/>
      <c r="F1411" s="108"/>
      <c r="G1411" s="108"/>
      <c r="H1411" s="108"/>
      <c r="I1411" s="108"/>
      <c r="J1411" s="108"/>
      <c r="K1411" s="108"/>
      <c r="L1411" s="108"/>
      <c r="M1411" s="108"/>
      <c r="N1411" s="108"/>
      <c r="O1411" s="108"/>
      <c r="P1411" s="108"/>
      <c r="Q1411" s="108"/>
      <c r="R1411" s="108"/>
      <c r="S1411" s="108"/>
      <c r="T1411" s="108"/>
      <c r="U1411" s="108"/>
      <c r="V1411" s="108"/>
      <c r="W1411" s="108"/>
      <c r="X1411" s="108"/>
      <c r="Y1411" s="108"/>
      <c r="Z1411" s="108"/>
    </row>
    <row r="1412" ht="16.5" customHeight="1">
      <c r="A1412" s="108"/>
      <c r="B1412" s="108"/>
      <c r="C1412" s="180"/>
      <c r="D1412" s="108"/>
      <c r="E1412" s="108"/>
      <c r="F1412" s="108"/>
      <c r="G1412" s="108"/>
      <c r="H1412" s="108"/>
      <c r="I1412" s="108"/>
      <c r="J1412" s="108"/>
      <c r="K1412" s="108"/>
      <c r="L1412" s="108"/>
      <c r="M1412" s="108"/>
      <c r="N1412" s="108"/>
      <c r="O1412" s="108"/>
      <c r="P1412" s="108"/>
      <c r="Q1412" s="108"/>
      <c r="R1412" s="108"/>
      <c r="S1412" s="108"/>
      <c r="T1412" s="108"/>
      <c r="U1412" s="108"/>
      <c r="V1412" s="108"/>
      <c r="W1412" s="108"/>
      <c r="X1412" s="108"/>
      <c r="Y1412" s="108"/>
      <c r="Z1412" s="108"/>
    </row>
    <row r="1413" ht="16.5" customHeight="1">
      <c r="A1413" s="108"/>
      <c r="B1413" s="108"/>
      <c r="C1413" s="180"/>
      <c r="D1413" s="108"/>
      <c r="E1413" s="108"/>
      <c r="F1413" s="108"/>
      <c r="G1413" s="108"/>
      <c r="H1413" s="108"/>
      <c r="I1413" s="108"/>
      <c r="J1413" s="108"/>
      <c r="K1413" s="108"/>
      <c r="L1413" s="108"/>
      <c r="M1413" s="108"/>
      <c r="N1413" s="108"/>
      <c r="O1413" s="108"/>
      <c r="P1413" s="108"/>
      <c r="Q1413" s="108"/>
      <c r="R1413" s="108"/>
      <c r="S1413" s="108"/>
      <c r="T1413" s="108"/>
      <c r="U1413" s="108"/>
      <c r="V1413" s="108"/>
      <c r="W1413" s="108"/>
      <c r="X1413" s="108"/>
      <c r="Y1413" s="108"/>
      <c r="Z1413" s="108"/>
    </row>
    <row r="1414" ht="16.5" customHeight="1">
      <c r="A1414" s="108"/>
      <c r="B1414" s="108"/>
      <c r="C1414" s="180"/>
      <c r="D1414" s="108"/>
      <c r="E1414" s="108"/>
      <c r="F1414" s="108"/>
      <c r="G1414" s="108"/>
      <c r="H1414" s="108"/>
      <c r="I1414" s="108"/>
      <c r="J1414" s="108"/>
      <c r="K1414" s="108"/>
      <c r="L1414" s="108"/>
      <c r="M1414" s="108"/>
      <c r="N1414" s="108"/>
      <c r="O1414" s="108"/>
      <c r="P1414" s="108"/>
      <c r="Q1414" s="108"/>
      <c r="R1414" s="108"/>
      <c r="S1414" s="108"/>
      <c r="T1414" s="108"/>
      <c r="U1414" s="108"/>
      <c r="V1414" s="108"/>
      <c r="W1414" s="108"/>
      <c r="X1414" s="108"/>
      <c r="Y1414" s="108"/>
      <c r="Z1414" s="108"/>
    </row>
    <row r="1415" ht="16.5" customHeight="1">
      <c r="A1415" s="108"/>
      <c r="B1415" s="108"/>
      <c r="C1415" s="180"/>
      <c r="D1415" s="108"/>
      <c r="E1415" s="108"/>
      <c r="F1415" s="108"/>
      <c r="G1415" s="108"/>
      <c r="H1415" s="108"/>
      <c r="I1415" s="108"/>
      <c r="J1415" s="108"/>
      <c r="K1415" s="108"/>
      <c r="L1415" s="108"/>
      <c r="M1415" s="108"/>
      <c r="N1415" s="108"/>
      <c r="O1415" s="108"/>
      <c r="P1415" s="108"/>
      <c r="Q1415" s="108"/>
      <c r="R1415" s="108"/>
      <c r="S1415" s="108"/>
      <c r="T1415" s="108"/>
      <c r="U1415" s="108"/>
      <c r="V1415" s="108"/>
      <c r="W1415" s="108"/>
      <c r="X1415" s="108"/>
      <c r="Y1415" s="108"/>
      <c r="Z1415" s="108"/>
    </row>
    <row r="1416" ht="16.5" customHeight="1">
      <c r="A1416" s="108"/>
      <c r="B1416" s="108"/>
      <c r="C1416" s="180"/>
      <c r="D1416" s="108"/>
      <c r="E1416" s="108"/>
      <c r="F1416" s="108"/>
      <c r="G1416" s="108"/>
      <c r="H1416" s="108"/>
      <c r="I1416" s="108"/>
      <c r="J1416" s="108"/>
      <c r="K1416" s="108"/>
      <c r="L1416" s="108"/>
      <c r="M1416" s="108"/>
      <c r="N1416" s="108"/>
      <c r="O1416" s="108"/>
      <c r="P1416" s="108"/>
      <c r="Q1416" s="108"/>
      <c r="R1416" s="108"/>
      <c r="S1416" s="108"/>
      <c r="T1416" s="108"/>
      <c r="U1416" s="108"/>
      <c r="V1416" s="108"/>
      <c r="W1416" s="108"/>
      <c r="X1416" s="108"/>
      <c r="Y1416" s="108"/>
      <c r="Z1416" s="108"/>
    </row>
    <row r="1417" ht="16.5" customHeight="1">
      <c r="A1417" s="108"/>
      <c r="B1417" s="108"/>
      <c r="C1417" s="180"/>
      <c r="D1417" s="108"/>
      <c r="E1417" s="108"/>
      <c r="F1417" s="108"/>
      <c r="G1417" s="108"/>
      <c r="H1417" s="108"/>
      <c r="I1417" s="108"/>
      <c r="J1417" s="108"/>
      <c r="K1417" s="108"/>
      <c r="L1417" s="108"/>
      <c r="M1417" s="108"/>
      <c r="N1417" s="108"/>
      <c r="O1417" s="108"/>
      <c r="P1417" s="108"/>
      <c r="Q1417" s="108"/>
      <c r="R1417" s="108"/>
      <c r="S1417" s="108"/>
      <c r="T1417" s="108"/>
      <c r="U1417" s="108"/>
      <c r="V1417" s="108"/>
      <c r="W1417" s="108"/>
      <c r="X1417" s="108"/>
      <c r="Y1417" s="108"/>
      <c r="Z1417" s="108"/>
    </row>
    <row r="1418" ht="16.5" customHeight="1">
      <c r="A1418" s="108"/>
      <c r="B1418" s="108"/>
      <c r="C1418" s="180"/>
      <c r="D1418" s="108"/>
      <c r="E1418" s="108"/>
      <c r="F1418" s="108"/>
      <c r="G1418" s="108"/>
      <c r="H1418" s="108"/>
      <c r="I1418" s="108"/>
      <c r="J1418" s="108"/>
      <c r="K1418" s="108"/>
      <c r="L1418" s="108"/>
      <c r="M1418" s="108"/>
      <c r="N1418" s="108"/>
      <c r="O1418" s="108"/>
      <c r="P1418" s="108"/>
      <c r="Q1418" s="108"/>
      <c r="R1418" s="108"/>
      <c r="S1418" s="108"/>
      <c r="T1418" s="108"/>
      <c r="U1418" s="108"/>
      <c r="V1418" s="108"/>
      <c r="W1418" s="108"/>
      <c r="X1418" s="108"/>
      <c r="Y1418" s="108"/>
      <c r="Z1418" s="108"/>
    </row>
    <row r="1419" ht="16.5" customHeight="1">
      <c r="A1419" s="108"/>
      <c r="B1419" s="108"/>
      <c r="C1419" s="180"/>
      <c r="D1419" s="108"/>
      <c r="E1419" s="108"/>
      <c r="F1419" s="108"/>
      <c r="G1419" s="108"/>
      <c r="H1419" s="108"/>
      <c r="I1419" s="108"/>
      <c r="J1419" s="108"/>
      <c r="K1419" s="108"/>
      <c r="L1419" s="108"/>
      <c r="M1419" s="108"/>
      <c r="N1419" s="108"/>
      <c r="O1419" s="108"/>
      <c r="P1419" s="108"/>
      <c r="Q1419" s="108"/>
      <c r="R1419" s="108"/>
      <c r="S1419" s="108"/>
      <c r="T1419" s="108"/>
      <c r="U1419" s="108"/>
      <c r="V1419" s="108"/>
      <c r="W1419" s="108"/>
      <c r="X1419" s="108"/>
      <c r="Y1419" s="108"/>
      <c r="Z1419" s="108"/>
    </row>
    <row r="1420" ht="16.5" customHeight="1">
      <c r="A1420" s="108"/>
      <c r="B1420" s="108"/>
      <c r="C1420" s="180"/>
      <c r="D1420" s="108"/>
      <c r="E1420" s="108"/>
      <c r="F1420" s="108"/>
      <c r="G1420" s="108"/>
      <c r="H1420" s="108"/>
      <c r="I1420" s="108"/>
      <c r="J1420" s="108"/>
      <c r="K1420" s="108"/>
      <c r="L1420" s="108"/>
      <c r="M1420" s="108"/>
      <c r="N1420" s="108"/>
      <c r="O1420" s="108"/>
      <c r="P1420" s="108"/>
      <c r="Q1420" s="108"/>
      <c r="R1420" s="108"/>
      <c r="S1420" s="108"/>
      <c r="T1420" s="108"/>
      <c r="U1420" s="108"/>
      <c r="V1420" s="108"/>
      <c r="W1420" s="108"/>
      <c r="X1420" s="108"/>
      <c r="Y1420" s="108"/>
      <c r="Z1420" s="108"/>
    </row>
    <row r="1421" ht="16.5" customHeight="1">
      <c r="A1421" s="108"/>
      <c r="B1421" s="108"/>
      <c r="C1421" s="180"/>
      <c r="D1421" s="108"/>
      <c r="E1421" s="108"/>
      <c r="F1421" s="108"/>
      <c r="G1421" s="108"/>
      <c r="H1421" s="108"/>
      <c r="I1421" s="108"/>
      <c r="J1421" s="108"/>
      <c r="K1421" s="108"/>
      <c r="L1421" s="108"/>
      <c r="M1421" s="108"/>
      <c r="N1421" s="108"/>
      <c r="O1421" s="108"/>
      <c r="P1421" s="108"/>
      <c r="Q1421" s="108"/>
      <c r="R1421" s="108"/>
      <c r="S1421" s="108"/>
      <c r="T1421" s="108"/>
      <c r="U1421" s="108"/>
      <c r="V1421" s="108"/>
      <c r="W1421" s="108"/>
      <c r="X1421" s="108"/>
      <c r="Y1421" s="108"/>
      <c r="Z1421" s="108"/>
    </row>
    <row r="1422" ht="16.5" customHeight="1">
      <c r="A1422" s="108"/>
      <c r="B1422" s="108"/>
      <c r="C1422" s="180"/>
      <c r="D1422" s="108"/>
      <c r="E1422" s="108"/>
      <c r="F1422" s="108"/>
      <c r="G1422" s="108"/>
      <c r="H1422" s="108"/>
      <c r="I1422" s="108"/>
      <c r="J1422" s="108"/>
      <c r="K1422" s="108"/>
      <c r="L1422" s="108"/>
      <c r="M1422" s="108"/>
      <c r="N1422" s="108"/>
      <c r="O1422" s="108"/>
      <c r="P1422" s="108"/>
      <c r="Q1422" s="108"/>
      <c r="R1422" s="108"/>
      <c r="S1422" s="108"/>
      <c r="T1422" s="108"/>
      <c r="U1422" s="108"/>
      <c r="V1422" s="108"/>
      <c r="W1422" s="108"/>
      <c r="X1422" s="108"/>
      <c r="Y1422" s="108"/>
      <c r="Z1422" s="108"/>
    </row>
    <row r="1423" ht="16.5" customHeight="1">
      <c r="A1423" s="108"/>
      <c r="B1423" s="108"/>
      <c r="C1423" s="180"/>
      <c r="D1423" s="108"/>
      <c r="E1423" s="108"/>
      <c r="F1423" s="108"/>
      <c r="G1423" s="108"/>
      <c r="H1423" s="108"/>
      <c r="I1423" s="108"/>
      <c r="J1423" s="108"/>
      <c r="K1423" s="108"/>
      <c r="L1423" s="108"/>
      <c r="M1423" s="108"/>
      <c r="N1423" s="108"/>
      <c r="O1423" s="108"/>
      <c r="P1423" s="108"/>
      <c r="Q1423" s="108"/>
      <c r="R1423" s="108"/>
      <c r="S1423" s="108"/>
      <c r="T1423" s="108"/>
      <c r="U1423" s="108"/>
      <c r="V1423" s="108"/>
      <c r="W1423" s="108"/>
      <c r="X1423" s="108"/>
      <c r="Y1423" s="108"/>
      <c r="Z1423" s="108"/>
    </row>
    <row r="1424" ht="16.5" customHeight="1">
      <c r="A1424" s="108"/>
      <c r="B1424" s="108"/>
      <c r="C1424" s="180"/>
      <c r="D1424" s="108"/>
      <c r="E1424" s="108"/>
      <c r="F1424" s="108"/>
      <c r="G1424" s="108"/>
      <c r="H1424" s="108"/>
      <c r="I1424" s="108"/>
      <c r="J1424" s="108"/>
      <c r="K1424" s="108"/>
      <c r="L1424" s="108"/>
      <c r="M1424" s="108"/>
      <c r="N1424" s="108"/>
      <c r="O1424" s="108"/>
      <c r="P1424" s="108"/>
      <c r="Q1424" s="108"/>
      <c r="R1424" s="108"/>
      <c r="S1424" s="108"/>
      <c r="T1424" s="108"/>
      <c r="U1424" s="108"/>
      <c r="V1424" s="108"/>
      <c r="W1424" s="108"/>
      <c r="X1424" s="108"/>
      <c r="Y1424" s="108"/>
      <c r="Z1424" s="108"/>
    </row>
    <row r="1425" ht="16.5" customHeight="1">
      <c r="A1425" s="108"/>
      <c r="B1425" s="108"/>
      <c r="C1425" s="180"/>
      <c r="D1425" s="108"/>
      <c r="E1425" s="108"/>
      <c r="F1425" s="108"/>
      <c r="G1425" s="108"/>
      <c r="H1425" s="108"/>
      <c r="I1425" s="108"/>
      <c r="J1425" s="108"/>
      <c r="K1425" s="108"/>
      <c r="L1425" s="108"/>
      <c r="M1425" s="108"/>
      <c r="N1425" s="108"/>
      <c r="O1425" s="108"/>
      <c r="P1425" s="108"/>
      <c r="Q1425" s="108"/>
      <c r="R1425" s="108"/>
      <c r="S1425" s="108"/>
      <c r="T1425" s="108"/>
      <c r="U1425" s="108"/>
      <c r="V1425" s="108"/>
      <c r="W1425" s="108"/>
      <c r="X1425" s="108"/>
      <c r="Y1425" s="108"/>
      <c r="Z1425" s="108"/>
    </row>
    <row r="1426" ht="16.5" customHeight="1">
      <c r="A1426" s="108"/>
      <c r="B1426" s="108"/>
      <c r="C1426" s="180"/>
      <c r="D1426" s="108"/>
      <c r="E1426" s="108"/>
      <c r="F1426" s="108"/>
      <c r="G1426" s="108"/>
      <c r="H1426" s="108"/>
      <c r="I1426" s="108"/>
      <c r="J1426" s="108"/>
      <c r="K1426" s="108"/>
      <c r="L1426" s="108"/>
      <c r="M1426" s="108"/>
      <c r="N1426" s="108"/>
      <c r="O1426" s="108"/>
      <c r="P1426" s="108"/>
      <c r="Q1426" s="108"/>
      <c r="R1426" s="108"/>
      <c r="S1426" s="108"/>
      <c r="T1426" s="108"/>
      <c r="U1426" s="108"/>
      <c r="V1426" s="108"/>
      <c r="W1426" s="108"/>
      <c r="X1426" s="108"/>
      <c r="Y1426" s="108"/>
      <c r="Z1426" s="108"/>
    </row>
    <row r="1427" ht="16.5" customHeight="1">
      <c r="A1427" s="108"/>
      <c r="B1427" s="108"/>
      <c r="C1427" s="180"/>
      <c r="D1427" s="108"/>
      <c r="E1427" s="108"/>
      <c r="F1427" s="108"/>
      <c r="G1427" s="108"/>
      <c r="H1427" s="108"/>
      <c r="I1427" s="108"/>
      <c r="J1427" s="108"/>
      <c r="K1427" s="108"/>
      <c r="L1427" s="108"/>
      <c r="M1427" s="108"/>
      <c r="N1427" s="108"/>
      <c r="O1427" s="108"/>
      <c r="P1427" s="108"/>
      <c r="Q1427" s="108"/>
      <c r="R1427" s="108"/>
      <c r="S1427" s="108"/>
      <c r="T1427" s="108"/>
      <c r="U1427" s="108"/>
      <c r="V1427" s="108"/>
      <c r="W1427" s="108"/>
      <c r="X1427" s="108"/>
      <c r="Y1427" s="108"/>
      <c r="Z1427" s="108"/>
    </row>
    <row r="1428" ht="16.5" customHeight="1">
      <c r="A1428" s="108"/>
      <c r="B1428" s="108"/>
      <c r="C1428" s="180"/>
      <c r="D1428" s="108"/>
      <c r="E1428" s="108"/>
      <c r="F1428" s="108"/>
      <c r="G1428" s="108"/>
      <c r="H1428" s="108"/>
      <c r="I1428" s="108"/>
      <c r="J1428" s="108"/>
      <c r="K1428" s="108"/>
      <c r="L1428" s="108"/>
      <c r="M1428" s="108"/>
      <c r="N1428" s="108"/>
      <c r="O1428" s="108"/>
      <c r="P1428" s="108"/>
      <c r="Q1428" s="108"/>
      <c r="R1428" s="108"/>
      <c r="S1428" s="108"/>
      <c r="T1428" s="108"/>
      <c r="U1428" s="108"/>
      <c r="V1428" s="108"/>
      <c r="W1428" s="108"/>
      <c r="X1428" s="108"/>
      <c r="Y1428" s="108"/>
      <c r="Z1428" s="108"/>
    </row>
    <row r="1429" ht="16.5" customHeight="1">
      <c r="A1429" s="108"/>
      <c r="B1429" s="108"/>
      <c r="C1429" s="180"/>
      <c r="D1429" s="108"/>
      <c r="E1429" s="108"/>
      <c r="F1429" s="108"/>
      <c r="G1429" s="108"/>
      <c r="H1429" s="108"/>
      <c r="I1429" s="108"/>
      <c r="J1429" s="108"/>
      <c r="K1429" s="108"/>
      <c r="L1429" s="108"/>
      <c r="M1429" s="108"/>
      <c r="N1429" s="108"/>
      <c r="O1429" s="108"/>
      <c r="P1429" s="108"/>
      <c r="Q1429" s="108"/>
      <c r="R1429" s="108"/>
      <c r="S1429" s="108"/>
      <c r="T1429" s="108"/>
      <c r="U1429" s="108"/>
      <c r="V1429" s="108"/>
      <c r="W1429" s="108"/>
      <c r="X1429" s="108"/>
      <c r="Y1429" s="108"/>
      <c r="Z1429" s="108"/>
    </row>
    <row r="1430" ht="16.5" customHeight="1">
      <c r="A1430" s="108"/>
      <c r="B1430" s="108"/>
      <c r="C1430" s="180"/>
      <c r="D1430" s="108"/>
      <c r="E1430" s="108"/>
      <c r="F1430" s="108"/>
      <c r="G1430" s="108"/>
      <c r="H1430" s="108"/>
      <c r="I1430" s="108"/>
      <c r="J1430" s="108"/>
      <c r="K1430" s="108"/>
      <c r="L1430" s="108"/>
      <c r="M1430" s="108"/>
      <c r="N1430" s="108"/>
      <c r="O1430" s="108"/>
      <c r="P1430" s="108"/>
      <c r="Q1430" s="108"/>
      <c r="R1430" s="108"/>
      <c r="S1430" s="108"/>
      <c r="T1430" s="108"/>
      <c r="U1430" s="108"/>
      <c r="V1430" s="108"/>
      <c r="W1430" s="108"/>
      <c r="X1430" s="108"/>
      <c r="Y1430" s="108"/>
      <c r="Z1430" s="108"/>
    </row>
    <row r="1431" ht="16.5" customHeight="1">
      <c r="A1431" s="108"/>
      <c r="B1431" s="108"/>
      <c r="C1431" s="180"/>
      <c r="D1431" s="108"/>
      <c r="E1431" s="108"/>
      <c r="F1431" s="108"/>
      <c r="G1431" s="108"/>
      <c r="H1431" s="108"/>
      <c r="I1431" s="108"/>
      <c r="J1431" s="108"/>
      <c r="K1431" s="108"/>
      <c r="L1431" s="108"/>
      <c r="M1431" s="108"/>
      <c r="N1431" s="108"/>
      <c r="O1431" s="108"/>
      <c r="P1431" s="108"/>
      <c r="Q1431" s="108"/>
      <c r="R1431" s="108"/>
      <c r="S1431" s="108"/>
      <c r="T1431" s="108"/>
      <c r="U1431" s="108"/>
      <c r="V1431" s="108"/>
      <c r="W1431" s="108"/>
      <c r="X1431" s="108"/>
      <c r="Y1431" s="108"/>
      <c r="Z1431" s="108"/>
    </row>
    <row r="1432" ht="16.5" customHeight="1">
      <c r="A1432" s="108"/>
      <c r="B1432" s="108"/>
      <c r="C1432" s="180"/>
      <c r="D1432" s="108"/>
      <c r="E1432" s="108"/>
      <c r="F1432" s="108"/>
      <c r="G1432" s="108"/>
      <c r="H1432" s="108"/>
      <c r="I1432" s="108"/>
      <c r="J1432" s="108"/>
      <c r="K1432" s="108"/>
      <c r="L1432" s="108"/>
      <c r="M1432" s="108"/>
      <c r="N1432" s="108"/>
      <c r="O1432" s="108"/>
      <c r="P1432" s="108"/>
      <c r="Q1432" s="108"/>
      <c r="R1432" s="108"/>
      <c r="S1432" s="108"/>
      <c r="T1432" s="108"/>
      <c r="U1432" s="108"/>
      <c r="V1432" s="108"/>
      <c r="W1432" s="108"/>
      <c r="X1432" s="108"/>
      <c r="Y1432" s="108"/>
      <c r="Z1432" s="108"/>
    </row>
    <row r="1433" ht="16.5" customHeight="1">
      <c r="A1433" s="108"/>
      <c r="B1433" s="108"/>
      <c r="C1433" s="180"/>
      <c r="D1433" s="108"/>
      <c r="E1433" s="108"/>
      <c r="F1433" s="108"/>
      <c r="G1433" s="108"/>
      <c r="H1433" s="108"/>
      <c r="I1433" s="108"/>
      <c r="J1433" s="108"/>
      <c r="K1433" s="108"/>
      <c r="L1433" s="108"/>
      <c r="M1433" s="108"/>
      <c r="N1433" s="108"/>
      <c r="O1433" s="108"/>
      <c r="P1433" s="108"/>
      <c r="Q1433" s="108"/>
      <c r="R1433" s="108"/>
      <c r="S1433" s="108"/>
      <c r="T1433" s="108"/>
      <c r="U1433" s="108"/>
      <c r="V1433" s="108"/>
      <c r="W1433" s="108"/>
      <c r="X1433" s="108"/>
      <c r="Y1433" s="108"/>
      <c r="Z1433" s="108"/>
    </row>
    <row r="1434" ht="16.5" customHeight="1">
      <c r="A1434" s="108"/>
      <c r="B1434" s="108"/>
      <c r="C1434" s="180"/>
      <c r="D1434" s="108"/>
      <c r="E1434" s="108"/>
      <c r="F1434" s="108"/>
      <c r="G1434" s="108"/>
      <c r="H1434" s="108"/>
      <c r="I1434" s="108"/>
      <c r="J1434" s="108"/>
      <c r="K1434" s="108"/>
      <c r="L1434" s="108"/>
      <c r="M1434" s="108"/>
      <c r="N1434" s="108"/>
      <c r="O1434" s="108"/>
      <c r="P1434" s="108"/>
      <c r="Q1434" s="108"/>
      <c r="R1434" s="108"/>
      <c r="S1434" s="108"/>
      <c r="T1434" s="108"/>
      <c r="U1434" s="108"/>
      <c r="V1434" s="108"/>
      <c r="W1434" s="108"/>
      <c r="X1434" s="108"/>
      <c r="Y1434" s="108"/>
      <c r="Z1434" s="108"/>
    </row>
    <row r="1435" ht="16.5" customHeight="1">
      <c r="A1435" s="108"/>
      <c r="B1435" s="108"/>
      <c r="C1435" s="180"/>
      <c r="D1435" s="108"/>
      <c r="E1435" s="108"/>
      <c r="F1435" s="108"/>
      <c r="G1435" s="108"/>
      <c r="H1435" s="108"/>
      <c r="I1435" s="108"/>
      <c r="J1435" s="108"/>
      <c r="K1435" s="108"/>
      <c r="L1435" s="108"/>
      <c r="M1435" s="108"/>
      <c r="N1435" s="108"/>
      <c r="O1435" s="108"/>
      <c r="P1435" s="108"/>
      <c r="Q1435" s="108"/>
      <c r="R1435" s="108"/>
      <c r="S1435" s="108"/>
      <c r="T1435" s="108"/>
      <c r="U1435" s="108"/>
      <c r="V1435" s="108"/>
      <c r="W1435" s="108"/>
      <c r="X1435" s="108"/>
      <c r="Y1435" s="108"/>
      <c r="Z1435" s="108"/>
    </row>
    <row r="1436" ht="16.5" customHeight="1">
      <c r="A1436" s="108"/>
      <c r="B1436" s="108"/>
      <c r="C1436" s="180"/>
      <c r="D1436" s="108"/>
      <c r="E1436" s="108"/>
      <c r="F1436" s="108"/>
      <c r="G1436" s="108"/>
      <c r="H1436" s="108"/>
      <c r="I1436" s="108"/>
      <c r="J1436" s="108"/>
      <c r="K1436" s="108"/>
      <c r="L1436" s="108"/>
      <c r="M1436" s="108"/>
      <c r="N1436" s="108"/>
      <c r="O1436" s="108"/>
      <c r="P1436" s="108"/>
      <c r="Q1436" s="108"/>
      <c r="R1436" s="108"/>
      <c r="S1436" s="108"/>
      <c r="T1436" s="108"/>
      <c r="U1436" s="108"/>
      <c r="V1436" s="108"/>
      <c r="W1436" s="108"/>
      <c r="X1436" s="108"/>
      <c r="Y1436" s="108"/>
      <c r="Z1436" s="108"/>
    </row>
    <row r="1437" ht="16.5" customHeight="1">
      <c r="A1437" s="108"/>
      <c r="B1437" s="108"/>
      <c r="C1437" s="180"/>
      <c r="D1437" s="108"/>
      <c r="E1437" s="108"/>
      <c r="F1437" s="108"/>
      <c r="G1437" s="108"/>
      <c r="H1437" s="108"/>
      <c r="I1437" s="108"/>
      <c r="J1437" s="108"/>
      <c r="K1437" s="108"/>
      <c r="L1437" s="108"/>
      <c r="M1437" s="108"/>
      <c r="N1437" s="108"/>
      <c r="O1437" s="108"/>
      <c r="P1437" s="108"/>
      <c r="Q1437" s="108"/>
      <c r="R1437" s="108"/>
      <c r="S1437" s="108"/>
      <c r="T1437" s="108"/>
      <c r="U1437" s="108"/>
      <c r="V1437" s="108"/>
      <c r="W1437" s="108"/>
      <c r="X1437" s="108"/>
      <c r="Y1437" s="108"/>
      <c r="Z1437" s="108"/>
    </row>
    <row r="1438" ht="16.5" customHeight="1">
      <c r="A1438" s="108"/>
      <c r="B1438" s="108"/>
      <c r="C1438" s="180"/>
      <c r="D1438" s="108"/>
      <c r="E1438" s="108"/>
      <c r="F1438" s="108"/>
      <c r="G1438" s="108"/>
      <c r="H1438" s="108"/>
      <c r="I1438" s="108"/>
      <c r="J1438" s="108"/>
      <c r="K1438" s="108"/>
      <c r="L1438" s="108"/>
      <c r="M1438" s="108"/>
      <c r="N1438" s="108"/>
      <c r="O1438" s="108"/>
      <c r="P1438" s="108"/>
      <c r="Q1438" s="108"/>
      <c r="R1438" s="108"/>
      <c r="S1438" s="108"/>
      <c r="T1438" s="108"/>
      <c r="U1438" s="108"/>
      <c r="V1438" s="108"/>
      <c r="W1438" s="108"/>
      <c r="X1438" s="108"/>
      <c r="Y1438" s="108"/>
      <c r="Z1438" s="108"/>
    </row>
    <row r="1439" ht="16.5" customHeight="1">
      <c r="A1439" s="108"/>
      <c r="B1439" s="108"/>
      <c r="C1439" s="180"/>
      <c r="D1439" s="108"/>
      <c r="E1439" s="108"/>
      <c r="F1439" s="108"/>
      <c r="G1439" s="108"/>
      <c r="H1439" s="108"/>
      <c r="I1439" s="108"/>
      <c r="J1439" s="108"/>
      <c r="K1439" s="108"/>
      <c r="L1439" s="108"/>
      <c r="M1439" s="108"/>
      <c r="N1439" s="108"/>
      <c r="O1439" s="108"/>
      <c r="P1439" s="108"/>
      <c r="Q1439" s="108"/>
      <c r="R1439" s="108"/>
      <c r="S1439" s="108"/>
      <c r="T1439" s="108"/>
      <c r="U1439" s="108"/>
      <c r="V1439" s="108"/>
      <c r="W1439" s="108"/>
      <c r="X1439" s="108"/>
      <c r="Y1439" s="108"/>
      <c r="Z1439" s="108"/>
    </row>
    <row r="1440" ht="16.5" customHeight="1">
      <c r="A1440" s="108"/>
      <c r="B1440" s="108"/>
      <c r="C1440" s="180"/>
      <c r="D1440" s="108"/>
      <c r="E1440" s="108"/>
      <c r="F1440" s="108"/>
      <c r="G1440" s="108"/>
      <c r="H1440" s="108"/>
      <c r="I1440" s="108"/>
      <c r="J1440" s="108"/>
      <c r="K1440" s="108"/>
      <c r="L1440" s="108"/>
      <c r="M1440" s="108"/>
      <c r="N1440" s="108"/>
      <c r="O1440" s="108"/>
      <c r="P1440" s="108"/>
      <c r="Q1440" s="108"/>
      <c r="R1440" s="108"/>
      <c r="S1440" s="108"/>
      <c r="T1440" s="108"/>
      <c r="U1440" s="108"/>
      <c r="V1440" s="108"/>
      <c r="W1440" s="108"/>
      <c r="X1440" s="108"/>
      <c r="Y1440" s="108"/>
      <c r="Z1440" s="108"/>
    </row>
    <row r="1441" ht="16.5" customHeight="1">
      <c r="A1441" s="108"/>
      <c r="B1441" s="108"/>
      <c r="C1441" s="180"/>
      <c r="D1441" s="108"/>
      <c r="E1441" s="108"/>
      <c r="F1441" s="108"/>
      <c r="G1441" s="108"/>
      <c r="H1441" s="108"/>
      <c r="I1441" s="108"/>
      <c r="J1441" s="108"/>
      <c r="K1441" s="108"/>
      <c r="L1441" s="108"/>
      <c r="M1441" s="108"/>
      <c r="N1441" s="108"/>
      <c r="O1441" s="108"/>
      <c r="P1441" s="108"/>
      <c r="Q1441" s="108"/>
      <c r="R1441" s="108"/>
      <c r="S1441" s="108"/>
      <c r="T1441" s="108"/>
      <c r="U1441" s="108"/>
      <c r="V1441" s="108"/>
      <c r="W1441" s="108"/>
      <c r="X1441" s="108"/>
      <c r="Y1441" s="108"/>
      <c r="Z1441" s="108"/>
    </row>
    <row r="1442" ht="16.5" customHeight="1">
      <c r="A1442" s="108"/>
      <c r="B1442" s="108"/>
      <c r="C1442" s="180"/>
      <c r="D1442" s="108"/>
      <c r="E1442" s="108"/>
      <c r="F1442" s="108"/>
      <c r="G1442" s="108"/>
      <c r="H1442" s="108"/>
      <c r="I1442" s="108"/>
      <c r="J1442" s="108"/>
      <c r="K1442" s="108"/>
      <c r="L1442" s="108"/>
      <c r="M1442" s="108"/>
      <c r="N1442" s="108"/>
      <c r="O1442" s="108"/>
      <c r="P1442" s="108"/>
      <c r="Q1442" s="108"/>
      <c r="R1442" s="108"/>
      <c r="S1442" s="108"/>
      <c r="T1442" s="108"/>
      <c r="U1442" s="108"/>
      <c r="V1442" s="108"/>
      <c r="W1442" s="108"/>
      <c r="X1442" s="108"/>
      <c r="Y1442" s="108"/>
      <c r="Z1442" s="108"/>
    </row>
    <row r="1443" ht="16.5" customHeight="1">
      <c r="A1443" s="108"/>
      <c r="B1443" s="108"/>
      <c r="C1443" s="180"/>
      <c r="D1443" s="108"/>
      <c r="E1443" s="108"/>
      <c r="F1443" s="108"/>
      <c r="G1443" s="108"/>
      <c r="H1443" s="108"/>
      <c r="I1443" s="108"/>
      <c r="J1443" s="108"/>
      <c r="K1443" s="108"/>
      <c r="L1443" s="108"/>
      <c r="M1443" s="108"/>
      <c r="N1443" s="108"/>
      <c r="O1443" s="108"/>
      <c r="P1443" s="108"/>
      <c r="Q1443" s="108"/>
      <c r="R1443" s="108"/>
      <c r="S1443" s="108"/>
      <c r="T1443" s="108"/>
      <c r="U1443" s="108"/>
      <c r="V1443" s="108"/>
      <c r="W1443" s="108"/>
      <c r="X1443" s="108"/>
      <c r="Y1443" s="108"/>
      <c r="Z1443" s="108"/>
    </row>
    <row r="1444" ht="16.5" customHeight="1">
      <c r="A1444" s="108"/>
      <c r="B1444" s="108"/>
      <c r="C1444" s="180"/>
      <c r="D1444" s="108"/>
      <c r="E1444" s="108"/>
      <c r="F1444" s="108"/>
      <c r="G1444" s="108"/>
      <c r="H1444" s="108"/>
      <c r="I1444" s="108"/>
      <c r="J1444" s="108"/>
      <c r="K1444" s="108"/>
      <c r="L1444" s="108"/>
      <c r="M1444" s="108"/>
      <c r="N1444" s="108"/>
      <c r="O1444" s="108"/>
      <c r="P1444" s="108"/>
      <c r="Q1444" s="108"/>
      <c r="R1444" s="108"/>
      <c r="S1444" s="108"/>
      <c r="T1444" s="108"/>
      <c r="U1444" s="108"/>
      <c r="V1444" s="108"/>
      <c r="W1444" s="108"/>
      <c r="X1444" s="108"/>
      <c r="Y1444" s="108"/>
      <c r="Z1444" s="108"/>
    </row>
    <row r="1445" ht="16.5" customHeight="1">
      <c r="A1445" s="108"/>
      <c r="B1445" s="108"/>
      <c r="C1445" s="180"/>
      <c r="D1445" s="108"/>
      <c r="E1445" s="108"/>
      <c r="F1445" s="108"/>
      <c r="G1445" s="108"/>
      <c r="H1445" s="108"/>
      <c r="I1445" s="108"/>
      <c r="J1445" s="108"/>
      <c r="K1445" s="108"/>
      <c r="L1445" s="108"/>
      <c r="M1445" s="108"/>
      <c r="N1445" s="108"/>
      <c r="O1445" s="108"/>
      <c r="P1445" s="108"/>
      <c r="Q1445" s="108"/>
      <c r="R1445" s="108"/>
      <c r="S1445" s="108"/>
      <c r="T1445" s="108"/>
      <c r="U1445" s="108"/>
      <c r="V1445" s="108"/>
      <c r="W1445" s="108"/>
      <c r="X1445" s="108"/>
      <c r="Y1445" s="108"/>
      <c r="Z1445" s="108"/>
    </row>
    <row r="1446" ht="16.5" customHeight="1">
      <c r="A1446" s="108"/>
      <c r="B1446" s="108"/>
      <c r="C1446" s="180"/>
      <c r="D1446" s="108"/>
      <c r="E1446" s="108"/>
      <c r="F1446" s="108"/>
      <c r="G1446" s="108"/>
      <c r="H1446" s="108"/>
      <c r="I1446" s="108"/>
      <c r="J1446" s="108"/>
      <c r="K1446" s="108"/>
      <c r="L1446" s="108"/>
      <c r="M1446" s="108"/>
      <c r="N1446" s="108"/>
      <c r="O1446" s="108"/>
      <c r="P1446" s="108"/>
      <c r="Q1446" s="108"/>
      <c r="R1446" s="108"/>
      <c r="S1446" s="108"/>
      <c r="T1446" s="108"/>
      <c r="U1446" s="108"/>
      <c r="V1446" s="108"/>
      <c r="W1446" s="108"/>
      <c r="X1446" s="108"/>
      <c r="Y1446" s="108"/>
      <c r="Z1446" s="108"/>
    </row>
    <row r="1447" ht="16.5" customHeight="1">
      <c r="A1447" s="108"/>
      <c r="B1447" s="108"/>
      <c r="C1447" s="180"/>
      <c r="D1447" s="108"/>
      <c r="E1447" s="108"/>
      <c r="F1447" s="108"/>
      <c r="G1447" s="108"/>
      <c r="H1447" s="108"/>
      <c r="I1447" s="108"/>
      <c r="J1447" s="108"/>
      <c r="K1447" s="108"/>
      <c r="L1447" s="108"/>
      <c r="M1447" s="108"/>
      <c r="N1447" s="108"/>
      <c r="O1447" s="108"/>
      <c r="P1447" s="108"/>
      <c r="Q1447" s="108"/>
      <c r="R1447" s="108"/>
      <c r="S1447" s="108"/>
      <c r="T1447" s="108"/>
      <c r="U1447" s="108"/>
      <c r="V1447" s="108"/>
      <c r="W1447" s="108"/>
      <c r="X1447" s="108"/>
      <c r="Y1447" s="108"/>
      <c r="Z1447" s="108"/>
    </row>
    <row r="1448" ht="16.5" customHeight="1">
      <c r="A1448" s="108"/>
      <c r="B1448" s="108"/>
      <c r="C1448" s="180"/>
      <c r="D1448" s="108"/>
      <c r="E1448" s="108"/>
      <c r="F1448" s="108"/>
      <c r="G1448" s="108"/>
      <c r="H1448" s="108"/>
      <c r="I1448" s="108"/>
      <c r="J1448" s="108"/>
      <c r="K1448" s="108"/>
      <c r="L1448" s="108"/>
      <c r="M1448" s="108"/>
      <c r="N1448" s="108"/>
      <c r="O1448" s="108"/>
      <c r="P1448" s="108"/>
      <c r="Q1448" s="108"/>
      <c r="R1448" s="108"/>
      <c r="S1448" s="108"/>
      <c r="T1448" s="108"/>
      <c r="U1448" s="108"/>
      <c r="V1448" s="108"/>
      <c r="W1448" s="108"/>
      <c r="X1448" s="108"/>
      <c r="Y1448" s="108"/>
      <c r="Z1448" s="108"/>
    </row>
    <row r="1449" ht="16.5" customHeight="1">
      <c r="A1449" s="108"/>
      <c r="B1449" s="108"/>
      <c r="C1449" s="180"/>
      <c r="D1449" s="108"/>
      <c r="E1449" s="108"/>
      <c r="F1449" s="108"/>
      <c r="G1449" s="108"/>
      <c r="H1449" s="108"/>
      <c r="I1449" s="108"/>
      <c r="J1449" s="108"/>
      <c r="K1449" s="108"/>
      <c r="L1449" s="108"/>
      <c r="M1449" s="108"/>
      <c r="N1449" s="108"/>
      <c r="O1449" s="108"/>
      <c r="P1449" s="108"/>
      <c r="Q1449" s="108"/>
      <c r="R1449" s="108"/>
      <c r="S1449" s="108"/>
      <c r="T1449" s="108"/>
      <c r="U1449" s="108"/>
      <c r="V1449" s="108"/>
      <c r="W1449" s="108"/>
      <c r="X1449" s="108"/>
      <c r="Y1449" s="108"/>
      <c r="Z1449" s="108"/>
    </row>
    <row r="1450" ht="16.5" customHeight="1">
      <c r="A1450" s="108"/>
      <c r="B1450" s="108"/>
      <c r="C1450" s="180"/>
      <c r="D1450" s="108"/>
      <c r="E1450" s="108"/>
      <c r="F1450" s="108"/>
      <c r="G1450" s="108"/>
      <c r="H1450" s="108"/>
      <c r="I1450" s="108"/>
      <c r="J1450" s="108"/>
      <c r="K1450" s="108"/>
      <c r="L1450" s="108"/>
      <c r="M1450" s="108"/>
      <c r="N1450" s="108"/>
      <c r="O1450" s="108"/>
      <c r="P1450" s="108"/>
      <c r="Q1450" s="108"/>
      <c r="R1450" s="108"/>
      <c r="S1450" s="108"/>
      <c r="T1450" s="108"/>
      <c r="U1450" s="108"/>
      <c r="V1450" s="108"/>
      <c r="W1450" s="108"/>
      <c r="X1450" s="108"/>
      <c r="Y1450" s="108"/>
      <c r="Z1450" s="108"/>
    </row>
    <row r="1451" ht="16.5" customHeight="1">
      <c r="A1451" s="108"/>
      <c r="B1451" s="108"/>
      <c r="C1451" s="180"/>
      <c r="D1451" s="108"/>
      <c r="E1451" s="108"/>
      <c r="F1451" s="108"/>
      <c r="G1451" s="108"/>
      <c r="H1451" s="108"/>
      <c r="I1451" s="108"/>
      <c r="J1451" s="108"/>
      <c r="K1451" s="108"/>
      <c r="L1451" s="108"/>
      <c r="M1451" s="108"/>
      <c r="N1451" s="108"/>
      <c r="O1451" s="108"/>
      <c r="P1451" s="108"/>
      <c r="Q1451" s="108"/>
      <c r="R1451" s="108"/>
      <c r="S1451" s="108"/>
      <c r="T1451" s="108"/>
      <c r="U1451" s="108"/>
      <c r="V1451" s="108"/>
      <c r="W1451" s="108"/>
      <c r="X1451" s="108"/>
      <c r="Y1451" s="108"/>
      <c r="Z1451" s="108"/>
    </row>
    <row r="1452" ht="16.5" customHeight="1">
      <c r="A1452" s="108"/>
      <c r="B1452" s="108"/>
      <c r="C1452" s="180"/>
      <c r="D1452" s="108"/>
      <c r="E1452" s="108"/>
      <c r="F1452" s="108"/>
      <c r="G1452" s="108"/>
      <c r="H1452" s="108"/>
      <c r="I1452" s="108"/>
      <c r="J1452" s="108"/>
      <c r="K1452" s="108"/>
      <c r="L1452" s="108"/>
      <c r="M1452" s="108"/>
      <c r="N1452" s="108"/>
      <c r="O1452" s="108"/>
      <c r="P1452" s="108"/>
      <c r="Q1452" s="108"/>
      <c r="R1452" s="108"/>
      <c r="S1452" s="108"/>
      <c r="T1452" s="108"/>
      <c r="U1452" s="108"/>
      <c r="V1452" s="108"/>
      <c r="W1452" s="108"/>
      <c r="X1452" s="108"/>
      <c r="Y1452" s="108"/>
      <c r="Z1452" s="108"/>
    </row>
    <row r="1453" ht="16.5" customHeight="1">
      <c r="A1453" s="108"/>
      <c r="B1453" s="108"/>
      <c r="C1453" s="180"/>
      <c r="D1453" s="108"/>
      <c r="E1453" s="108"/>
      <c r="F1453" s="108"/>
      <c r="G1453" s="108"/>
      <c r="H1453" s="108"/>
      <c r="I1453" s="108"/>
      <c r="J1453" s="108"/>
      <c r="K1453" s="108"/>
      <c r="L1453" s="108"/>
      <c r="M1453" s="108"/>
      <c r="N1453" s="108"/>
      <c r="O1453" s="108"/>
      <c r="P1453" s="108"/>
      <c r="Q1453" s="108"/>
      <c r="R1453" s="108"/>
      <c r="S1453" s="108"/>
      <c r="T1453" s="108"/>
      <c r="U1453" s="108"/>
      <c r="V1453" s="108"/>
      <c r="W1453" s="108"/>
      <c r="X1453" s="108"/>
      <c r="Y1453" s="108"/>
      <c r="Z1453" s="108"/>
    </row>
    <row r="1454" ht="16.5" customHeight="1">
      <c r="A1454" s="108"/>
      <c r="B1454" s="108"/>
      <c r="C1454" s="180"/>
      <c r="D1454" s="108"/>
      <c r="E1454" s="108"/>
      <c r="F1454" s="108"/>
      <c r="G1454" s="108"/>
      <c r="H1454" s="108"/>
      <c r="I1454" s="108"/>
      <c r="J1454" s="108"/>
      <c r="K1454" s="108"/>
      <c r="L1454" s="108"/>
      <c r="M1454" s="108"/>
      <c r="N1454" s="108"/>
      <c r="O1454" s="108"/>
      <c r="P1454" s="108"/>
      <c r="Q1454" s="108"/>
      <c r="R1454" s="108"/>
      <c r="S1454" s="108"/>
      <c r="T1454" s="108"/>
      <c r="U1454" s="108"/>
      <c r="V1454" s="108"/>
      <c r="W1454" s="108"/>
      <c r="X1454" s="108"/>
      <c r="Y1454" s="108"/>
      <c r="Z1454" s="108"/>
    </row>
    <row r="1455" ht="16.5" customHeight="1">
      <c r="A1455" s="108"/>
      <c r="B1455" s="108"/>
      <c r="C1455" s="180"/>
      <c r="D1455" s="108"/>
      <c r="E1455" s="108"/>
      <c r="F1455" s="108"/>
      <c r="G1455" s="108"/>
      <c r="H1455" s="108"/>
      <c r="I1455" s="108"/>
      <c r="J1455" s="108"/>
      <c r="K1455" s="108"/>
      <c r="L1455" s="108"/>
      <c r="M1455" s="108"/>
      <c r="N1455" s="108"/>
      <c r="O1455" s="108"/>
      <c r="P1455" s="108"/>
      <c r="Q1455" s="108"/>
      <c r="R1455" s="108"/>
      <c r="S1455" s="108"/>
      <c r="T1455" s="108"/>
      <c r="U1455" s="108"/>
      <c r="V1455" s="108"/>
      <c r="W1455" s="108"/>
      <c r="X1455" s="108"/>
      <c r="Y1455" s="108"/>
      <c r="Z1455" s="108"/>
    </row>
    <row r="1456" ht="16.5" customHeight="1">
      <c r="A1456" s="108"/>
      <c r="B1456" s="108"/>
      <c r="C1456" s="180"/>
      <c r="D1456" s="108"/>
      <c r="E1456" s="108"/>
      <c r="F1456" s="108"/>
      <c r="G1456" s="108"/>
      <c r="H1456" s="108"/>
      <c r="I1456" s="108"/>
      <c r="J1456" s="108"/>
      <c r="K1456" s="108"/>
      <c r="L1456" s="108"/>
      <c r="M1456" s="108"/>
      <c r="N1456" s="108"/>
      <c r="O1456" s="108"/>
      <c r="P1456" s="108"/>
      <c r="Q1456" s="108"/>
      <c r="R1456" s="108"/>
      <c r="S1456" s="108"/>
      <c r="T1456" s="108"/>
      <c r="U1456" s="108"/>
      <c r="V1456" s="108"/>
      <c r="W1456" s="108"/>
      <c r="X1456" s="108"/>
      <c r="Y1456" s="108"/>
      <c r="Z1456" s="108"/>
    </row>
    <row r="1457" ht="16.5" customHeight="1">
      <c r="A1457" s="108"/>
      <c r="B1457" s="108"/>
      <c r="C1457" s="180"/>
      <c r="D1457" s="108"/>
      <c r="E1457" s="108"/>
      <c r="F1457" s="108"/>
      <c r="G1457" s="108"/>
      <c r="H1457" s="108"/>
      <c r="I1457" s="108"/>
      <c r="J1457" s="108"/>
      <c r="K1457" s="108"/>
      <c r="L1457" s="108"/>
      <c r="M1457" s="108"/>
      <c r="N1457" s="108"/>
      <c r="O1457" s="108"/>
      <c r="P1457" s="108"/>
      <c r="Q1457" s="108"/>
      <c r="R1457" s="108"/>
      <c r="S1457" s="108"/>
      <c r="T1457" s="108"/>
      <c r="U1457" s="108"/>
      <c r="V1457" s="108"/>
      <c r="W1457" s="108"/>
      <c r="X1457" s="108"/>
      <c r="Y1457" s="108"/>
      <c r="Z1457" s="108"/>
    </row>
    <row r="1458" ht="16.5" customHeight="1">
      <c r="A1458" s="108"/>
      <c r="B1458" s="108"/>
      <c r="C1458" s="180"/>
      <c r="D1458" s="108"/>
      <c r="E1458" s="108"/>
      <c r="F1458" s="108"/>
      <c r="G1458" s="108"/>
      <c r="H1458" s="108"/>
      <c r="I1458" s="108"/>
      <c r="J1458" s="108"/>
      <c r="K1458" s="108"/>
      <c r="L1458" s="108"/>
      <c r="M1458" s="108"/>
      <c r="N1458" s="108"/>
      <c r="O1458" s="108"/>
      <c r="P1458" s="108"/>
      <c r="Q1458" s="108"/>
      <c r="R1458" s="108"/>
      <c r="S1458" s="108"/>
      <c r="T1458" s="108"/>
      <c r="U1458" s="108"/>
      <c r="V1458" s="108"/>
      <c r="W1458" s="108"/>
      <c r="X1458" s="108"/>
      <c r="Y1458" s="108"/>
      <c r="Z1458" s="108"/>
    </row>
    <row r="1459" ht="16.5" customHeight="1">
      <c r="A1459" s="108"/>
      <c r="B1459" s="108"/>
      <c r="C1459" s="180"/>
      <c r="D1459" s="108"/>
      <c r="E1459" s="108"/>
      <c r="F1459" s="108"/>
      <c r="G1459" s="108"/>
      <c r="H1459" s="108"/>
      <c r="I1459" s="108"/>
      <c r="J1459" s="108"/>
      <c r="K1459" s="108"/>
      <c r="L1459" s="108"/>
      <c r="M1459" s="108"/>
      <c r="N1459" s="108"/>
      <c r="O1459" s="108"/>
      <c r="P1459" s="108"/>
      <c r="Q1459" s="108"/>
      <c r="R1459" s="108"/>
      <c r="S1459" s="108"/>
      <c r="T1459" s="108"/>
      <c r="U1459" s="108"/>
      <c r="V1459" s="108"/>
      <c r="W1459" s="108"/>
      <c r="X1459" s="108"/>
      <c r="Y1459" s="108"/>
      <c r="Z1459" s="108"/>
    </row>
    <row r="1460" ht="16.5" customHeight="1">
      <c r="A1460" s="108"/>
      <c r="B1460" s="108"/>
      <c r="C1460" s="180"/>
      <c r="D1460" s="108"/>
      <c r="E1460" s="108"/>
      <c r="F1460" s="108"/>
      <c r="G1460" s="108"/>
      <c r="H1460" s="108"/>
      <c r="I1460" s="108"/>
      <c r="J1460" s="108"/>
      <c r="K1460" s="108"/>
      <c r="L1460" s="108"/>
      <c r="M1460" s="108"/>
      <c r="N1460" s="108"/>
      <c r="O1460" s="108"/>
      <c r="P1460" s="108"/>
      <c r="Q1460" s="108"/>
      <c r="R1460" s="108"/>
      <c r="S1460" s="108"/>
      <c r="T1460" s="108"/>
      <c r="U1460" s="108"/>
      <c r="V1460" s="108"/>
      <c r="W1460" s="108"/>
      <c r="X1460" s="108"/>
      <c r="Y1460" s="108"/>
      <c r="Z1460" s="108"/>
    </row>
    <row r="1461" ht="16.5" customHeight="1">
      <c r="A1461" s="108"/>
      <c r="B1461" s="108"/>
      <c r="C1461" s="180"/>
      <c r="D1461" s="108"/>
      <c r="E1461" s="108"/>
      <c r="F1461" s="108"/>
      <c r="G1461" s="108"/>
      <c r="H1461" s="108"/>
      <c r="I1461" s="108"/>
      <c r="J1461" s="108"/>
      <c r="K1461" s="108"/>
      <c r="L1461" s="108"/>
      <c r="M1461" s="108"/>
      <c r="N1461" s="108"/>
      <c r="O1461" s="108"/>
      <c r="P1461" s="108"/>
      <c r="Q1461" s="108"/>
      <c r="R1461" s="108"/>
      <c r="S1461" s="108"/>
      <c r="T1461" s="108"/>
      <c r="U1461" s="108"/>
      <c r="V1461" s="108"/>
      <c r="W1461" s="108"/>
      <c r="X1461" s="108"/>
      <c r="Y1461" s="108"/>
      <c r="Z1461" s="108"/>
    </row>
    <row r="1462" ht="16.5" customHeight="1">
      <c r="A1462" s="108"/>
      <c r="B1462" s="108"/>
      <c r="C1462" s="180"/>
      <c r="D1462" s="108"/>
      <c r="E1462" s="108"/>
      <c r="F1462" s="108"/>
      <c r="G1462" s="108"/>
      <c r="H1462" s="108"/>
      <c r="I1462" s="108"/>
      <c r="J1462" s="108"/>
      <c r="K1462" s="108"/>
      <c r="L1462" s="108"/>
      <c r="M1462" s="108"/>
      <c r="N1462" s="108"/>
      <c r="O1462" s="108"/>
      <c r="P1462" s="108"/>
      <c r="Q1462" s="108"/>
      <c r="R1462" s="108"/>
      <c r="S1462" s="108"/>
      <c r="T1462" s="108"/>
      <c r="U1462" s="108"/>
      <c r="V1462" s="108"/>
      <c r="W1462" s="108"/>
      <c r="X1462" s="108"/>
      <c r="Y1462" s="108"/>
      <c r="Z1462" s="108"/>
    </row>
    <row r="1463" ht="16.5" customHeight="1">
      <c r="A1463" s="108"/>
      <c r="B1463" s="108"/>
      <c r="C1463" s="180"/>
      <c r="D1463" s="108"/>
      <c r="E1463" s="108"/>
      <c r="F1463" s="108"/>
      <c r="G1463" s="108"/>
      <c r="H1463" s="108"/>
      <c r="I1463" s="108"/>
      <c r="J1463" s="108"/>
      <c r="K1463" s="108"/>
      <c r="L1463" s="108"/>
      <c r="M1463" s="108"/>
      <c r="N1463" s="108"/>
      <c r="O1463" s="108"/>
      <c r="P1463" s="108"/>
      <c r="Q1463" s="108"/>
      <c r="R1463" s="108"/>
      <c r="S1463" s="108"/>
      <c r="T1463" s="108"/>
      <c r="U1463" s="108"/>
      <c r="V1463" s="108"/>
      <c r="W1463" s="108"/>
      <c r="X1463" s="108"/>
      <c r="Y1463" s="108"/>
      <c r="Z1463" s="108"/>
    </row>
    <row r="1464" ht="16.5" customHeight="1">
      <c r="A1464" s="108"/>
      <c r="B1464" s="108"/>
      <c r="C1464" s="180"/>
      <c r="D1464" s="108"/>
      <c r="E1464" s="108"/>
      <c r="F1464" s="108"/>
      <c r="G1464" s="108"/>
      <c r="H1464" s="108"/>
      <c r="I1464" s="108"/>
      <c r="J1464" s="108"/>
      <c r="K1464" s="108"/>
      <c r="L1464" s="108"/>
      <c r="M1464" s="108"/>
      <c r="N1464" s="108"/>
      <c r="O1464" s="108"/>
      <c r="P1464" s="108"/>
      <c r="Q1464" s="108"/>
      <c r="R1464" s="108"/>
      <c r="S1464" s="108"/>
      <c r="T1464" s="108"/>
      <c r="U1464" s="108"/>
      <c r="V1464" s="108"/>
      <c r="W1464" s="108"/>
      <c r="X1464" s="108"/>
      <c r="Y1464" s="108"/>
      <c r="Z1464" s="108"/>
    </row>
    <row r="1465" ht="16.5" customHeight="1">
      <c r="A1465" s="108"/>
      <c r="B1465" s="108"/>
      <c r="C1465" s="180"/>
      <c r="D1465" s="108"/>
      <c r="E1465" s="108"/>
      <c r="F1465" s="108"/>
      <c r="G1465" s="108"/>
      <c r="H1465" s="108"/>
      <c r="I1465" s="108"/>
      <c r="J1465" s="108"/>
      <c r="K1465" s="108"/>
      <c r="L1465" s="108"/>
      <c r="M1465" s="108"/>
      <c r="N1465" s="108"/>
      <c r="O1465" s="108"/>
      <c r="P1465" s="108"/>
      <c r="Q1465" s="108"/>
      <c r="R1465" s="108"/>
      <c r="S1465" s="108"/>
      <c r="T1465" s="108"/>
      <c r="U1465" s="108"/>
      <c r="V1465" s="108"/>
      <c r="W1465" s="108"/>
      <c r="X1465" s="108"/>
      <c r="Y1465" s="108"/>
      <c r="Z1465" s="108"/>
    </row>
    <row r="1466" ht="16.5" customHeight="1">
      <c r="A1466" s="108"/>
      <c r="B1466" s="108"/>
      <c r="C1466" s="180"/>
      <c r="D1466" s="108"/>
      <c r="E1466" s="108"/>
      <c r="F1466" s="108"/>
      <c r="G1466" s="108"/>
      <c r="H1466" s="108"/>
      <c r="I1466" s="108"/>
      <c r="J1466" s="108"/>
      <c r="K1466" s="108"/>
      <c r="L1466" s="108"/>
      <c r="M1466" s="108"/>
      <c r="N1466" s="108"/>
      <c r="O1466" s="108"/>
      <c r="P1466" s="108"/>
      <c r="Q1466" s="108"/>
      <c r="R1466" s="108"/>
      <c r="S1466" s="108"/>
      <c r="T1466" s="108"/>
      <c r="U1466" s="108"/>
      <c r="V1466" s="108"/>
      <c r="W1466" s="108"/>
      <c r="X1466" s="108"/>
      <c r="Y1466" s="108"/>
      <c r="Z1466" s="108"/>
    </row>
    <row r="1467" ht="16.5" customHeight="1">
      <c r="A1467" s="108"/>
      <c r="B1467" s="108"/>
      <c r="C1467" s="180"/>
      <c r="D1467" s="108"/>
      <c r="E1467" s="108"/>
      <c r="F1467" s="108"/>
      <c r="G1467" s="108"/>
      <c r="H1467" s="108"/>
      <c r="I1467" s="108"/>
      <c r="J1467" s="108"/>
      <c r="K1467" s="108"/>
      <c r="L1467" s="108"/>
      <c r="M1467" s="108"/>
      <c r="N1467" s="108"/>
      <c r="O1467" s="108"/>
      <c r="P1467" s="108"/>
      <c r="Q1467" s="108"/>
      <c r="R1467" s="108"/>
      <c r="S1467" s="108"/>
      <c r="T1467" s="108"/>
      <c r="U1467" s="108"/>
      <c r="V1467" s="108"/>
      <c r="W1467" s="108"/>
      <c r="X1467" s="108"/>
      <c r="Y1467" s="108"/>
      <c r="Z1467" s="108"/>
    </row>
    <row r="1468" ht="16.5" customHeight="1">
      <c r="A1468" s="108"/>
      <c r="B1468" s="108"/>
      <c r="C1468" s="180"/>
      <c r="D1468" s="108"/>
      <c r="E1468" s="108"/>
      <c r="F1468" s="108"/>
      <c r="G1468" s="108"/>
      <c r="H1468" s="108"/>
      <c r="I1468" s="108"/>
      <c r="J1468" s="108"/>
      <c r="K1468" s="108"/>
      <c r="L1468" s="108"/>
      <c r="M1468" s="108"/>
      <c r="N1468" s="108"/>
      <c r="O1468" s="108"/>
      <c r="P1468" s="108"/>
      <c r="Q1468" s="108"/>
      <c r="R1468" s="108"/>
      <c r="S1468" s="108"/>
      <c r="T1468" s="108"/>
      <c r="U1468" s="108"/>
      <c r="V1468" s="108"/>
      <c r="W1468" s="108"/>
      <c r="X1468" s="108"/>
      <c r="Y1468" s="108"/>
      <c r="Z1468" s="108"/>
    </row>
    <row r="1469" ht="16.5" customHeight="1">
      <c r="A1469" s="108"/>
      <c r="B1469" s="108"/>
      <c r="C1469" s="180"/>
      <c r="D1469" s="108"/>
      <c r="E1469" s="108"/>
      <c r="F1469" s="108"/>
      <c r="G1469" s="108"/>
      <c r="H1469" s="108"/>
      <c r="I1469" s="108"/>
      <c r="J1469" s="108"/>
      <c r="K1469" s="108"/>
      <c r="L1469" s="108"/>
      <c r="M1469" s="108"/>
      <c r="N1469" s="108"/>
      <c r="O1469" s="108"/>
      <c r="P1469" s="108"/>
      <c r="Q1469" s="108"/>
      <c r="R1469" s="108"/>
      <c r="S1469" s="108"/>
      <c r="T1469" s="108"/>
      <c r="U1469" s="108"/>
      <c r="V1469" s="108"/>
      <c r="W1469" s="108"/>
      <c r="X1469" s="108"/>
      <c r="Y1469" s="108"/>
      <c r="Z1469" s="108"/>
    </row>
    <row r="1470" ht="16.5" customHeight="1">
      <c r="A1470" s="108"/>
      <c r="B1470" s="108"/>
      <c r="C1470" s="180"/>
      <c r="D1470" s="108"/>
      <c r="E1470" s="108"/>
      <c r="F1470" s="108"/>
      <c r="G1470" s="108"/>
      <c r="H1470" s="108"/>
      <c r="I1470" s="108"/>
      <c r="J1470" s="108"/>
      <c r="K1470" s="108"/>
      <c r="L1470" s="108"/>
      <c r="M1470" s="108"/>
      <c r="N1470" s="108"/>
      <c r="O1470" s="108"/>
      <c r="P1470" s="108"/>
      <c r="Q1470" s="108"/>
      <c r="R1470" s="108"/>
      <c r="S1470" s="108"/>
      <c r="T1470" s="108"/>
      <c r="U1470" s="108"/>
      <c r="V1470" s="108"/>
      <c r="W1470" s="108"/>
      <c r="X1470" s="108"/>
      <c r="Y1470" s="108"/>
      <c r="Z1470" s="108"/>
    </row>
    <row r="1471" ht="16.5" customHeight="1">
      <c r="A1471" s="108"/>
      <c r="B1471" s="108"/>
      <c r="C1471" s="180"/>
      <c r="D1471" s="108"/>
      <c r="E1471" s="108"/>
      <c r="F1471" s="108"/>
      <c r="G1471" s="108"/>
      <c r="H1471" s="108"/>
      <c r="I1471" s="108"/>
      <c r="J1471" s="108"/>
      <c r="K1471" s="108"/>
      <c r="L1471" s="108"/>
      <c r="M1471" s="108"/>
      <c r="N1471" s="108"/>
      <c r="O1471" s="108"/>
      <c r="P1471" s="108"/>
      <c r="Q1471" s="108"/>
      <c r="R1471" s="108"/>
      <c r="S1471" s="108"/>
      <c r="T1471" s="108"/>
      <c r="U1471" s="108"/>
      <c r="V1471" s="108"/>
      <c r="W1471" s="108"/>
      <c r="X1471" s="108"/>
      <c r="Y1471" s="108"/>
      <c r="Z1471" s="108"/>
    </row>
    <row r="1472" ht="16.5" customHeight="1">
      <c r="A1472" s="108"/>
      <c r="B1472" s="108"/>
      <c r="C1472" s="180"/>
      <c r="D1472" s="108"/>
      <c r="E1472" s="108"/>
      <c r="F1472" s="108"/>
      <c r="G1472" s="108"/>
      <c r="H1472" s="108"/>
      <c r="I1472" s="108"/>
      <c r="J1472" s="108"/>
      <c r="K1472" s="108"/>
      <c r="L1472" s="108"/>
      <c r="M1472" s="108"/>
      <c r="N1472" s="108"/>
      <c r="O1472" s="108"/>
      <c r="P1472" s="108"/>
      <c r="Q1472" s="108"/>
      <c r="R1472" s="108"/>
      <c r="S1472" s="108"/>
      <c r="T1472" s="108"/>
      <c r="U1472" s="108"/>
      <c r="V1472" s="108"/>
      <c r="W1472" s="108"/>
      <c r="X1472" s="108"/>
      <c r="Y1472" s="108"/>
      <c r="Z1472" s="108"/>
    </row>
    <row r="1473" ht="16.5" customHeight="1">
      <c r="A1473" s="108"/>
      <c r="B1473" s="108"/>
      <c r="C1473" s="180"/>
      <c r="D1473" s="108"/>
      <c r="E1473" s="108"/>
      <c r="F1473" s="108"/>
      <c r="G1473" s="108"/>
      <c r="H1473" s="108"/>
      <c r="I1473" s="108"/>
      <c r="J1473" s="108"/>
      <c r="K1473" s="108"/>
      <c r="L1473" s="108"/>
      <c r="M1473" s="108"/>
      <c r="N1473" s="108"/>
      <c r="O1473" s="108"/>
      <c r="P1473" s="108"/>
      <c r="Q1473" s="108"/>
      <c r="R1473" s="108"/>
      <c r="S1473" s="108"/>
      <c r="T1473" s="108"/>
      <c r="U1473" s="108"/>
      <c r="V1473" s="108"/>
      <c r="W1473" s="108"/>
      <c r="X1473" s="108"/>
      <c r="Y1473" s="108"/>
      <c r="Z1473" s="108"/>
    </row>
    <row r="1474" ht="16.5" customHeight="1">
      <c r="A1474" s="108"/>
      <c r="B1474" s="108"/>
      <c r="C1474" s="180"/>
      <c r="D1474" s="108"/>
      <c r="E1474" s="108"/>
      <c r="F1474" s="108"/>
      <c r="G1474" s="108"/>
      <c r="H1474" s="108"/>
      <c r="I1474" s="108"/>
      <c r="J1474" s="108"/>
      <c r="K1474" s="108"/>
      <c r="L1474" s="108"/>
      <c r="M1474" s="108"/>
      <c r="N1474" s="108"/>
      <c r="O1474" s="108"/>
      <c r="P1474" s="108"/>
      <c r="Q1474" s="108"/>
      <c r="R1474" s="108"/>
      <c r="S1474" s="108"/>
      <c r="T1474" s="108"/>
      <c r="U1474" s="108"/>
      <c r="V1474" s="108"/>
      <c r="W1474" s="108"/>
      <c r="X1474" s="108"/>
      <c r="Y1474" s="108"/>
      <c r="Z1474" s="108"/>
    </row>
    <row r="1475" ht="16.5" customHeight="1">
      <c r="A1475" s="108"/>
      <c r="B1475" s="108"/>
      <c r="C1475" s="180"/>
      <c r="D1475" s="108"/>
      <c r="E1475" s="108"/>
      <c r="F1475" s="108"/>
      <c r="G1475" s="108"/>
      <c r="H1475" s="108"/>
      <c r="I1475" s="108"/>
      <c r="J1475" s="108"/>
      <c r="K1475" s="108"/>
      <c r="L1475" s="108"/>
      <c r="M1475" s="108"/>
      <c r="N1475" s="108"/>
      <c r="O1475" s="108"/>
      <c r="P1475" s="108"/>
      <c r="Q1475" s="108"/>
      <c r="R1475" s="108"/>
      <c r="S1475" s="108"/>
      <c r="T1475" s="108"/>
      <c r="U1475" s="108"/>
      <c r="V1475" s="108"/>
      <c r="W1475" s="108"/>
      <c r="X1475" s="108"/>
      <c r="Y1475" s="108"/>
      <c r="Z1475" s="108"/>
    </row>
    <row r="1476" ht="16.5" customHeight="1">
      <c r="A1476" s="108"/>
      <c r="B1476" s="108"/>
      <c r="C1476" s="180"/>
      <c r="D1476" s="108"/>
      <c r="E1476" s="108"/>
      <c r="F1476" s="108"/>
      <c r="G1476" s="108"/>
      <c r="H1476" s="108"/>
      <c r="I1476" s="108"/>
      <c r="J1476" s="108"/>
      <c r="K1476" s="108"/>
      <c r="L1476" s="108"/>
      <c r="M1476" s="108"/>
      <c r="N1476" s="108"/>
      <c r="O1476" s="108"/>
      <c r="P1476" s="108"/>
      <c r="Q1476" s="108"/>
      <c r="R1476" s="108"/>
      <c r="S1476" s="108"/>
      <c r="T1476" s="108"/>
      <c r="U1476" s="108"/>
      <c r="V1476" s="108"/>
      <c r="W1476" s="108"/>
      <c r="X1476" s="108"/>
      <c r="Y1476" s="108"/>
      <c r="Z1476" s="108"/>
    </row>
    <row r="1477" ht="16.5" customHeight="1">
      <c r="A1477" s="108"/>
      <c r="B1477" s="108"/>
      <c r="C1477" s="180"/>
      <c r="D1477" s="108"/>
      <c r="E1477" s="108"/>
      <c r="F1477" s="108"/>
      <c r="G1477" s="108"/>
      <c r="H1477" s="108"/>
      <c r="I1477" s="108"/>
      <c r="J1477" s="108"/>
      <c r="K1477" s="108"/>
      <c r="L1477" s="108"/>
      <c r="M1477" s="108"/>
      <c r="N1477" s="108"/>
      <c r="O1477" s="108"/>
      <c r="P1477" s="108"/>
      <c r="Q1477" s="108"/>
      <c r="R1477" s="108"/>
      <c r="S1477" s="108"/>
      <c r="T1477" s="108"/>
      <c r="U1477" s="108"/>
      <c r="V1477" s="108"/>
      <c r="W1477" s="108"/>
      <c r="X1477" s="108"/>
      <c r="Y1477" s="108"/>
      <c r="Z1477" s="108"/>
    </row>
    <row r="1478" ht="16.5" customHeight="1">
      <c r="A1478" s="108"/>
      <c r="B1478" s="108"/>
      <c r="C1478" s="180"/>
      <c r="D1478" s="108"/>
      <c r="E1478" s="108"/>
      <c r="F1478" s="108"/>
      <c r="G1478" s="108"/>
      <c r="H1478" s="108"/>
      <c r="I1478" s="108"/>
      <c r="J1478" s="108"/>
      <c r="K1478" s="108"/>
      <c r="L1478" s="108"/>
      <c r="M1478" s="108"/>
      <c r="N1478" s="108"/>
      <c r="O1478" s="108"/>
      <c r="P1478" s="108"/>
      <c r="Q1478" s="108"/>
      <c r="R1478" s="108"/>
      <c r="S1478" s="108"/>
      <c r="T1478" s="108"/>
      <c r="U1478" s="108"/>
      <c r="V1478" s="108"/>
      <c r="W1478" s="108"/>
      <c r="X1478" s="108"/>
      <c r="Y1478" s="108"/>
      <c r="Z1478" s="108"/>
    </row>
    <row r="1479" ht="16.5" customHeight="1">
      <c r="A1479" s="108"/>
      <c r="B1479" s="108"/>
      <c r="C1479" s="180"/>
      <c r="D1479" s="108"/>
      <c r="E1479" s="108"/>
      <c r="F1479" s="108"/>
      <c r="G1479" s="108"/>
      <c r="H1479" s="108"/>
      <c r="I1479" s="108"/>
      <c r="J1479" s="108"/>
      <c r="K1479" s="108"/>
      <c r="L1479" s="108"/>
      <c r="M1479" s="108"/>
      <c r="N1479" s="108"/>
      <c r="O1479" s="108"/>
      <c r="P1479" s="108"/>
      <c r="Q1479" s="108"/>
      <c r="R1479" s="108"/>
      <c r="S1479" s="108"/>
      <c r="T1479" s="108"/>
      <c r="U1479" s="108"/>
      <c r="V1479" s="108"/>
      <c r="W1479" s="108"/>
      <c r="X1479" s="108"/>
      <c r="Y1479" s="108"/>
      <c r="Z1479" s="108"/>
    </row>
    <row r="1480" ht="16.5" customHeight="1">
      <c r="A1480" s="108"/>
      <c r="B1480" s="108"/>
      <c r="C1480" s="180"/>
      <c r="D1480" s="108"/>
      <c r="E1480" s="108"/>
      <c r="F1480" s="108"/>
      <c r="G1480" s="108"/>
      <c r="H1480" s="108"/>
      <c r="I1480" s="108"/>
      <c r="J1480" s="108"/>
      <c r="K1480" s="108"/>
      <c r="L1480" s="108"/>
      <c r="M1480" s="108"/>
      <c r="N1480" s="108"/>
      <c r="O1480" s="108"/>
      <c r="P1480" s="108"/>
      <c r="Q1480" s="108"/>
      <c r="R1480" s="108"/>
      <c r="S1480" s="108"/>
      <c r="T1480" s="108"/>
      <c r="U1480" s="108"/>
      <c r="V1480" s="108"/>
      <c r="W1480" s="108"/>
      <c r="X1480" s="108"/>
      <c r="Y1480" s="108"/>
      <c r="Z1480" s="108"/>
    </row>
    <row r="1481" ht="16.5" customHeight="1">
      <c r="A1481" s="108"/>
      <c r="B1481" s="108"/>
      <c r="C1481" s="180"/>
      <c r="D1481" s="108"/>
      <c r="E1481" s="108"/>
      <c r="F1481" s="108"/>
      <c r="G1481" s="108"/>
      <c r="H1481" s="108"/>
      <c r="I1481" s="108"/>
      <c r="J1481" s="108"/>
      <c r="K1481" s="108"/>
      <c r="L1481" s="108"/>
      <c r="M1481" s="108"/>
      <c r="N1481" s="108"/>
      <c r="O1481" s="108"/>
      <c r="P1481" s="108"/>
      <c r="Q1481" s="108"/>
      <c r="R1481" s="108"/>
      <c r="S1481" s="108"/>
      <c r="T1481" s="108"/>
      <c r="U1481" s="108"/>
      <c r="V1481" s="108"/>
      <c r="W1481" s="108"/>
      <c r="X1481" s="108"/>
      <c r="Y1481" s="108"/>
      <c r="Z1481" s="108"/>
    </row>
    <row r="1482" ht="16.5" customHeight="1">
      <c r="A1482" s="108"/>
      <c r="B1482" s="108"/>
      <c r="C1482" s="180"/>
      <c r="D1482" s="108"/>
      <c r="E1482" s="108"/>
      <c r="F1482" s="108"/>
      <c r="G1482" s="108"/>
      <c r="H1482" s="108"/>
      <c r="I1482" s="108"/>
      <c r="J1482" s="108"/>
      <c r="K1482" s="108"/>
      <c r="L1482" s="108"/>
      <c r="M1482" s="108"/>
      <c r="N1482" s="108"/>
      <c r="O1482" s="108"/>
      <c r="P1482" s="108"/>
      <c r="Q1482" s="108"/>
      <c r="R1482" s="108"/>
      <c r="S1482" s="108"/>
      <c r="T1482" s="108"/>
      <c r="U1482" s="108"/>
      <c r="V1482" s="108"/>
      <c r="W1482" s="108"/>
      <c r="X1482" s="108"/>
      <c r="Y1482" s="108"/>
      <c r="Z1482" s="108"/>
    </row>
    <row r="1483" ht="16.5" customHeight="1">
      <c r="A1483" s="108"/>
      <c r="B1483" s="108"/>
      <c r="C1483" s="180"/>
      <c r="D1483" s="108"/>
      <c r="E1483" s="108"/>
      <c r="F1483" s="108"/>
      <c r="G1483" s="108"/>
      <c r="H1483" s="108"/>
      <c r="I1483" s="108"/>
      <c r="J1483" s="108"/>
      <c r="K1483" s="108"/>
      <c r="L1483" s="108"/>
      <c r="M1483" s="108"/>
      <c r="N1483" s="108"/>
      <c r="O1483" s="108"/>
      <c r="P1483" s="108"/>
      <c r="Q1483" s="108"/>
      <c r="R1483" s="108"/>
      <c r="S1483" s="108"/>
      <c r="T1483" s="108"/>
      <c r="U1483" s="108"/>
      <c r="V1483" s="108"/>
      <c r="W1483" s="108"/>
      <c r="X1483" s="108"/>
      <c r="Y1483" s="108"/>
      <c r="Z1483" s="108"/>
    </row>
    <row r="1484" ht="16.5" customHeight="1">
      <c r="A1484" s="108"/>
      <c r="B1484" s="108"/>
      <c r="C1484" s="180"/>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row>
    <row r="1485" ht="16.5" customHeight="1">
      <c r="A1485" s="108"/>
      <c r="B1485" s="108"/>
      <c r="C1485" s="180"/>
      <c r="D1485" s="108"/>
      <c r="E1485" s="108"/>
      <c r="F1485" s="108"/>
      <c r="G1485" s="108"/>
      <c r="H1485" s="108"/>
      <c r="I1485" s="108"/>
      <c r="J1485" s="108"/>
      <c r="K1485" s="108"/>
      <c r="L1485" s="108"/>
      <c r="M1485" s="108"/>
      <c r="N1485" s="108"/>
      <c r="O1485" s="108"/>
      <c r="P1485" s="108"/>
      <c r="Q1485" s="108"/>
      <c r="R1485" s="108"/>
      <c r="S1485" s="108"/>
      <c r="T1485" s="108"/>
      <c r="U1485" s="108"/>
      <c r="V1485" s="108"/>
      <c r="W1485" s="108"/>
      <c r="X1485" s="108"/>
      <c r="Y1485" s="108"/>
      <c r="Z1485" s="108"/>
    </row>
    <row r="1486" ht="16.5" customHeight="1">
      <c r="A1486" s="108"/>
      <c r="B1486" s="108"/>
      <c r="C1486" s="180"/>
      <c r="D1486" s="108"/>
      <c r="E1486" s="108"/>
      <c r="F1486" s="108"/>
      <c r="G1486" s="108"/>
      <c r="H1486" s="108"/>
      <c r="I1486" s="108"/>
      <c r="J1486" s="108"/>
      <c r="K1486" s="108"/>
      <c r="L1486" s="108"/>
      <c r="M1486" s="108"/>
      <c r="N1486" s="108"/>
      <c r="O1486" s="108"/>
      <c r="P1486" s="108"/>
      <c r="Q1486" s="108"/>
      <c r="R1486" s="108"/>
      <c r="S1486" s="108"/>
      <c r="T1486" s="108"/>
      <c r="U1486" s="108"/>
      <c r="V1486" s="108"/>
      <c r="W1486" s="108"/>
      <c r="X1486" s="108"/>
      <c r="Y1486" s="108"/>
      <c r="Z1486" s="108"/>
    </row>
    <row r="1487" ht="16.5" customHeight="1">
      <c r="A1487" s="108"/>
      <c r="B1487" s="108"/>
      <c r="C1487" s="180"/>
      <c r="D1487" s="108"/>
      <c r="E1487" s="108"/>
      <c r="F1487" s="108"/>
      <c r="G1487" s="108"/>
      <c r="H1487" s="108"/>
      <c r="I1487" s="108"/>
      <c r="J1487" s="108"/>
      <c r="K1487" s="108"/>
      <c r="L1487" s="108"/>
      <c r="M1487" s="108"/>
      <c r="N1487" s="108"/>
      <c r="O1487" s="108"/>
      <c r="P1487" s="108"/>
      <c r="Q1487" s="108"/>
      <c r="R1487" s="108"/>
      <c r="S1487" s="108"/>
      <c r="T1487" s="108"/>
      <c r="U1487" s="108"/>
      <c r="V1487" s="108"/>
      <c r="W1487" s="108"/>
      <c r="X1487" s="108"/>
      <c r="Y1487" s="108"/>
      <c r="Z1487" s="108"/>
    </row>
    <row r="1488" ht="16.5" customHeight="1">
      <c r="A1488" s="108"/>
      <c r="B1488" s="108"/>
      <c r="C1488" s="180"/>
      <c r="D1488" s="108"/>
      <c r="E1488" s="108"/>
      <c r="F1488" s="108"/>
      <c r="G1488" s="108"/>
      <c r="H1488" s="108"/>
      <c r="I1488" s="108"/>
      <c r="J1488" s="108"/>
      <c r="K1488" s="108"/>
      <c r="L1488" s="108"/>
      <c r="M1488" s="108"/>
      <c r="N1488" s="108"/>
      <c r="O1488" s="108"/>
      <c r="P1488" s="108"/>
      <c r="Q1488" s="108"/>
      <c r="R1488" s="108"/>
      <c r="S1488" s="108"/>
      <c r="T1488" s="108"/>
      <c r="U1488" s="108"/>
      <c r="V1488" s="108"/>
      <c r="W1488" s="108"/>
      <c r="X1488" s="108"/>
      <c r="Y1488" s="108"/>
      <c r="Z1488" s="108"/>
    </row>
    <row r="1489" ht="16.5" customHeight="1">
      <c r="A1489" s="108"/>
      <c r="B1489" s="108"/>
      <c r="C1489" s="180"/>
      <c r="D1489" s="108"/>
      <c r="E1489" s="108"/>
      <c r="F1489" s="108"/>
      <c r="G1489" s="108"/>
      <c r="H1489" s="108"/>
      <c r="I1489" s="108"/>
      <c r="J1489" s="108"/>
      <c r="K1489" s="108"/>
      <c r="L1489" s="108"/>
      <c r="M1489" s="108"/>
      <c r="N1489" s="108"/>
      <c r="O1489" s="108"/>
      <c r="P1489" s="108"/>
      <c r="Q1489" s="108"/>
      <c r="R1489" s="108"/>
      <c r="S1489" s="108"/>
      <c r="T1489" s="108"/>
      <c r="U1489" s="108"/>
      <c r="V1489" s="108"/>
      <c r="W1489" s="108"/>
      <c r="X1489" s="108"/>
      <c r="Y1489" s="108"/>
      <c r="Z1489" s="108"/>
    </row>
    <row r="1490" ht="16.5" customHeight="1">
      <c r="A1490" s="108"/>
      <c r="B1490" s="108"/>
      <c r="C1490" s="180"/>
      <c r="D1490" s="108"/>
      <c r="E1490" s="108"/>
      <c r="F1490" s="108"/>
      <c r="G1490" s="108"/>
      <c r="H1490" s="108"/>
      <c r="I1490" s="108"/>
      <c r="J1490" s="108"/>
      <c r="K1490" s="108"/>
      <c r="L1490" s="108"/>
      <c r="M1490" s="108"/>
      <c r="N1490" s="108"/>
      <c r="O1490" s="108"/>
      <c r="P1490" s="108"/>
      <c r="Q1490" s="108"/>
      <c r="R1490" s="108"/>
      <c r="S1490" s="108"/>
      <c r="T1490" s="108"/>
      <c r="U1490" s="108"/>
      <c r="V1490" s="108"/>
      <c r="W1490" s="108"/>
      <c r="X1490" s="108"/>
      <c r="Y1490" s="108"/>
      <c r="Z1490" s="108"/>
    </row>
    <row r="1491" ht="16.5" customHeight="1">
      <c r="A1491" s="108"/>
      <c r="B1491" s="108"/>
      <c r="C1491" s="180"/>
      <c r="D1491" s="108"/>
      <c r="E1491" s="108"/>
      <c r="F1491" s="108"/>
      <c r="G1491" s="108"/>
      <c r="H1491" s="108"/>
      <c r="I1491" s="108"/>
      <c r="J1491" s="108"/>
      <c r="K1491" s="108"/>
      <c r="L1491" s="108"/>
      <c r="M1491" s="108"/>
      <c r="N1491" s="108"/>
      <c r="O1491" s="108"/>
      <c r="P1491" s="108"/>
      <c r="Q1491" s="108"/>
      <c r="R1491" s="108"/>
      <c r="S1491" s="108"/>
      <c r="T1491" s="108"/>
      <c r="U1491" s="108"/>
      <c r="V1491" s="108"/>
      <c r="W1491" s="108"/>
      <c r="X1491" s="108"/>
      <c r="Y1491" s="108"/>
      <c r="Z1491" s="108"/>
    </row>
    <row r="1492" ht="16.5" customHeight="1">
      <c r="A1492" s="108"/>
      <c r="B1492" s="108"/>
      <c r="C1492" s="180"/>
      <c r="D1492" s="108"/>
      <c r="E1492" s="108"/>
      <c r="F1492" s="108"/>
      <c r="G1492" s="108"/>
      <c r="H1492" s="108"/>
      <c r="I1492" s="108"/>
      <c r="J1492" s="108"/>
      <c r="K1492" s="108"/>
      <c r="L1492" s="108"/>
      <c r="M1492" s="108"/>
      <c r="N1492" s="108"/>
      <c r="O1492" s="108"/>
      <c r="P1492" s="108"/>
      <c r="Q1492" s="108"/>
      <c r="R1492" s="108"/>
      <c r="S1492" s="108"/>
      <c r="T1492" s="108"/>
      <c r="U1492" s="108"/>
      <c r="V1492" s="108"/>
      <c r="W1492" s="108"/>
      <c r="X1492" s="108"/>
      <c r="Y1492" s="108"/>
      <c r="Z1492" s="108"/>
    </row>
    <row r="1493" ht="16.5" customHeight="1">
      <c r="A1493" s="108"/>
      <c r="B1493" s="108"/>
      <c r="C1493" s="180"/>
      <c r="D1493" s="108"/>
      <c r="E1493" s="108"/>
      <c r="F1493" s="108"/>
      <c r="G1493" s="108"/>
      <c r="H1493" s="108"/>
      <c r="I1493" s="108"/>
      <c r="J1493" s="108"/>
      <c r="K1493" s="108"/>
      <c r="L1493" s="108"/>
      <c r="M1493" s="108"/>
      <c r="N1493" s="108"/>
      <c r="O1493" s="108"/>
      <c r="P1493" s="108"/>
      <c r="Q1493" s="108"/>
      <c r="R1493" s="108"/>
      <c r="S1493" s="108"/>
      <c r="T1493" s="108"/>
      <c r="U1493" s="108"/>
      <c r="V1493" s="108"/>
      <c r="W1493" s="108"/>
      <c r="X1493" s="108"/>
      <c r="Y1493" s="108"/>
      <c r="Z1493" s="108"/>
    </row>
    <row r="1494" ht="16.5" customHeight="1">
      <c r="A1494" s="108"/>
      <c r="B1494" s="108"/>
      <c r="C1494" s="180"/>
      <c r="D1494" s="108"/>
      <c r="E1494" s="108"/>
      <c r="F1494" s="108"/>
      <c r="G1494" s="108"/>
      <c r="H1494" s="108"/>
      <c r="I1494" s="108"/>
      <c r="J1494" s="108"/>
      <c r="K1494" s="108"/>
      <c r="L1494" s="108"/>
      <c r="M1494" s="108"/>
      <c r="N1494" s="108"/>
      <c r="O1494" s="108"/>
      <c r="P1494" s="108"/>
      <c r="Q1494" s="108"/>
      <c r="R1494" s="108"/>
      <c r="S1494" s="108"/>
      <c r="T1494" s="108"/>
      <c r="U1494" s="108"/>
      <c r="V1494" s="108"/>
      <c r="W1494" s="108"/>
      <c r="X1494" s="108"/>
      <c r="Y1494" s="108"/>
      <c r="Z1494" s="108"/>
    </row>
    <row r="1495" ht="16.5" customHeight="1">
      <c r="A1495" s="108"/>
      <c r="B1495" s="108"/>
      <c r="C1495" s="180"/>
      <c r="D1495" s="108"/>
      <c r="E1495" s="108"/>
      <c r="F1495" s="108"/>
      <c r="G1495" s="108"/>
      <c r="H1495" s="108"/>
      <c r="I1495" s="108"/>
      <c r="J1495" s="108"/>
      <c r="K1495" s="108"/>
      <c r="L1495" s="108"/>
      <c r="M1495" s="108"/>
      <c r="N1495" s="108"/>
      <c r="O1495" s="108"/>
      <c r="P1495" s="108"/>
      <c r="Q1495" s="108"/>
      <c r="R1495" s="108"/>
      <c r="S1495" s="108"/>
      <c r="T1495" s="108"/>
      <c r="U1495" s="108"/>
      <c r="V1495" s="108"/>
      <c r="W1495" s="108"/>
      <c r="X1495" s="108"/>
      <c r="Y1495" s="108"/>
      <c r="Z1495" s="108"/>
    </row>
    <row r="1496" ht="16.5" customHeight="1">
      <c r="A1496" s="108"/>
      <c r="B1496" s="108"/>
      <c r="C1496" s="180"/>
      <c r="D1496" s="108"/>
      <c r="E1496" s="108"/>
      <c r="F1496" s="108"/>
      <c r="G1496" s="108"/>
      <c r="H1496" s="108"/>
      <c r="I1496" s="108"/>
      <c r="J1496" s="108"/>
      <c r="K1496" s="108"/>
      <c r="L1496" s="108"/>
      <c r="M1496" s="108"/>
      <c r="N1496" s="108"/>
      <c r="O1496" s="108"/>
      <c r="P1496" s="108"/>
      <c r="Q1496" s="108"/>
      <c r="R1496" s="108"/>
      <c r="S1496" s="108"/>
      <c r="T1496" s="108"/>
      <c r="U1496" s="108"/>
      <c r="V1496" s="108"/>
      <c r="W1496" s="108"/>
      <c r="X1496" s="108"/>
      <c r="Y1496" s="108"/>
      <c r="Z1496" s="108"/>
    </row>
    <row r="1497" ht="16.5" customHeight="1">
      <c r="A1497" s="108"/>
      <c r="B1497" s="108"/>
      <c r="C1497" s="180"/>
      <c r="D1497" s="108"/>
      <c r="E1497" s="108"/>
      <c r="F1497" s="108"/>
      <c r="G1497" s="108"/>
      <c r="H1497" s="108"/>
      <c r="I1497" s="108"/>
      <c r="J1497" s="108"/>
      <c r="K1497" s="108"/>
      <c r="L1497" s="108"/>
      <c r="M1497" s="108"/>
      <c r="N1497" s="108"/>
      <c r="O1497" s="108"/>
      <c r="P1497" s="108"/>
      <c r="Q1497" s="108"/>
      <c r="R1497" s="108"/>
      <c r="S1497" s="108"/>
      <c r="T1497" s="108"/>
      <c r="U1497" s="108"/>
      <c r="V1497" s="108"/>
      <c r="W1497" s="108"/>
      <c r="X1497" s="108"/>
      <c r="Y1497" s="108"/>
      <c r="Z1497" s="108"/>
    </row>
    <row r="1498" ht="16.5" customHeight="1">
      <c r="A1498" s="108"/>
      <c r="B1498" s="108"/>
      <c r="C1498" s="180"/>
      <c r="D1498" s="108"/>
      <c r="E1498" s="108"/>
      <c r="F1498" s="108"/>
      <c r="G1498" s="108"/>
      <c r="H1498" s="108"/>
      <c r="I1498" s="108"/>
      <c r="J1498" s="108"/>
      <c r="K1498" s="108"/>
      <c r="L1498" s="108"/>
      <c r="M1498" s="108"/>
      <c r="N1498" s="108"/>
      <c r="O1498" s="108"/>
      <c r="P1498" s="108"/>
      <c r="Q1498" s="108"/>
      <c r="R1498" s="108"/>
      <c r="S1498" s="108"/>
      <c r="T1498" s="108"/>
      <c r="U1498" s="108"/>
      <c r="V1498" s="108"/>
      <c r="W1498" s="108"/>
      <c r="X1498" s="108"/>
      <c r="Y1498" s="108"/>
      <c r="Z1498" s="108"/>
    </row>
    <row r="1499" ht="16.5" customHeight="1">
      <c r="A1499" s="108"/>
      <c r="B1499" s="108"/>
      <c r="C1499" s="180"/>
      <c r="D1499" s="108"/>
      <c r="E1499" s="108"/>
      <c r="F1499" s="108"/>
      <c r="G1499" s="108"/>
      <c r="H1499" s="108"/>
      <c r="I1499" s="108"/>
      <c r="J1499" s="108"/>
      <c r="K1499" s="108"/>
      <c r="L1499" s="108"/>
      <c r="M1499" s="108"/>
      <c r="N1499" s="108"/>
      <c r="O1499" s="108"/>
      <c r="P1499" s="108"/>
      <c r="Q1499" s="108"/>
      <c r="R1499" s="108"/>
      <c r="S1499" s="108"/>
      <c r="T1499" s="108"/>
      <c r="U1499" s="108"/>
      <c r="V1499" s="108"/>
      <c r="W1499" s="108"/>
      <c r="X1499" s="108"/>
      <c r="Y1499" s="108"/>
      <c r="Z1499" s="108"/>
    </row>
    <row r="1500" ht="16.5" customHeight="1">
      <c r="A1500" s="108"/>
      <c r="B1500" s="108"/>
      <c r="C1500" s="180"/>
      <c r="D1500" s="108"/>
      <c r="E1500" s="108"/>
      <c r="F1500" s="108"/>
      <c r="G1500" s="108"/>
      <c r="H1500" s="108"/>
      <c r="I1500" s="108"/>
      <c r="J1500" s="108"/>
      <c r="K1500" s="108"/>
      <c r="L1500" s="108"/>
      <c r="M1500" s="108"/>
      <c r="N1500" s="108"/>
      <c r="O1500" s="108"/>
      <c r="P1500" s="108"/>
      <c r="Q1500" s="108"/>
      <c r="R1500" s="108"/>
      <c r="S1500" s="108"/>
      <c r="T1500" s="108"/>
      <c r="U1500" s="108"/>
      <c r="V1500" s="108"/>
      <c r="W1500" s="108"/>
      <c r="X1500" s="108"/>
      <c r="Y1500" s="108"/>
      <c r="Z1500" s="108"/>
    </row>
    <row r="1501" ht="16.5" customHeight="1">
      <c r="A1501" s="108"/>
      <c r="B1501" s="108"/>
      <c r="C1501" s="180"/>
      <c r="D1501" s="108"/>
      <c r="E1501" s="108"/>
      <c r="F1501" s="108"/>
      <c r="G1501" s="108"/>
      <c r="H1501" s="108"/>
      <c r="I1501" s="108"/>
      <c r="J1501" s="108"/>
      <c r="K1501" s="108"/>
      <c r="L1501" s="108"/>
      <c r="M1501" s="108"/>
      <c r="N1501" s="108"/>
      <c r="O1501" s="108"/>
      <c r="P1501" s="108"/>
      <c r="Q1501" s="108"/>
      <c r="R1501" s="108"/>
      <c r="S1501" s="108"/>
      <c r="T1501" s="108"/>
      <c r="U1501" s="108"/>
      <c r="V1501" s="108"/>
      <c r="W1501" s="108"/>
      <c r="X1501" s="108"/>
      <c r="Y1501" s="108"/>
      <c r="Z1501" s="108"/>
    </row>
    <row r="1502" ht="16.5" customHeight="1">
      <c r="A1502" s="108"/>
      <c r="B1502" s="108"/>
      <c r="C1502" s="180"/>
      <c r="D1502" s="108"/>
      <c r="E1502" s="108"/>
      <c r="F1502" s="108"/>
      <c r="G1502" s="108"/>
      <c r="H1502" s="108"/>
      <c r="I1502" s="108"/>
      <c r="J1502" s="108"/>
      <c r="K1502" s="108"/>
      <c r="L1502" s="108"/>
      <c r="M1502" s="108"/>
      <c r="N1502" s="108"/>
      <c r="O1502" s="108"/>
      <c r="P1502" s="108"/>
      <c r="Q1502" s="108"/>
      <c r="R1502" s="108"/>
      <c r="S1502" s="108"/>
      <c r="T1502" s="108"/>
      <c r="U1502" s="108"/>
      <c r="V1502" s="108"/>
      <c r="W1502" s="108"/>
      <c r="X1502" s="108"/>
      <c r="Y1502" s="108"/>
      <c r="Z1502" s="108"/>
    </row>
    <row r="1503" ht="16.5" customHeight="1">
      <c r="A1503" s="108"/>
      <c r="B1503" s="108"/>
      <c r="C1503" s="180"/>
      <c r="D1503" s="108"/>
      <c r="E1503" s="108"/>
      <c r="F1503" s="108"/>
      <c r="G1503" s="108"/>
      <c r="H1503" s="108"/>
      <c r="I1503" s="108"/>
      <c r="J1503" s="108"/>
      <c r="K1503" s="108"/>
      <c r="L1503" s="108"/>
      <c r="M1503" s="108"/>
      <c r="N1503" s="108"/>
      <c r="O1503" s="108"/>
      <c r="P1503" s="108"/>
      <c r="Q1503" s="108"/>
      <c r="R1503" s="108"/>
      <c r="S1503" s="108"/>
      <c r="T1503" s="108"/>
      <c r="U1503" s="108"/>
      <c r="V1503" s="108"/>
      <c r="W1503" s="108"/>
      <c r="X1503" s="108"/>
      <c r="Y1503" s="108"/>
      <c r="Z1503" s="108"/>
    </row>
    <row r="1504" ht="16.5" customHeight="1">
      <c r="A1504" s="108"/>
      <c r="B1504" s="108"/>
      <c r="C1504" s="180"/>
      <c r="D1504" s="108"/>
      <c r="E1504" s="108"/>
      <c r="F1504" s="108"/>
      <c r="G1504" s="108"/>
      <c r="H1504" s="108"/>
      <c r="I1504" s="108"/>
      <c r="J1504" s="108"/>
      <c r="K1504" s="108"/>
      <c r="L1504" s="108"/>
      <c r="M1504" s="108"/>
      <c r="N1504" s="108"/>
      <c r="O1504" s="108"/>
      <c r="P1504" s="108"/>
      <c r="Q1504" s="108"/>
      <c r="R1504" s="108"/>
      <c r="S1504" s="108"/>
      <c r="T1504" s="108"/>
      <c r="U1504" s="108"/>
      <c r="V1504" s="108"/>
      <c r="W1504" s="108"/>
      <c r="X1504" s="108"/>
      <c r="Y1504" s="108"/>
      <c r="Z1504" s="108"/>
    </row>
    <row r="1505" ht="16.5" customHeight="1">
      <c r="A1505" s="108"/>
      <c r="B1505" s="108"/>
      <c r="C1505" s="180"/>
      <c r="D1505" s="108"/>
      <c r="E1505" s="108"/>
      <c r="F1505" s="108"/>
      <c r="G1505" s="108"/>
      <c r="H1505" s="108"/>
      <c r="I1505" s="108"/>
      <c r="J1505" s="108"/>
      <c r="K1505" s="108"/>
      <c r="L1505" s="108"/>
      <c r="M1505" s="108"/>
      <c r="N1505" s="108"/>
      <c r="O1505" s="108"/>
      <c r="P1505" s="108"/>
      <c r="Q1505" s="108"/>
      <c r="R1505" s="108"/>
      <c r="S1505" s="108"/>
      <c r="T1505" s="108"/>
      <c r="U1505" s="108"/>
      <c r="V1505" s="108"/>
      <c r="W1505" s="108"/>
      <c r="X1505" s="108"/>
      <c r="Y1505" s="108"/>
      <c r="Z1505" s="108"/>
    </row>
    <row r="1506" ht="16.5" customHeight="1">
      <c r="A1506" s="108"/>
      <c r="B1506" s="108"/>
      <c r="C1506" s="180"/>
      <c r="D1506" s="108"/>
      <c r="E1506" s="108"/>
      <c r="F1506" s="108"/>
      <c r="G1506" s="108"/>
      <c r="H1506" s="108"/>
      <c r="I1506" s="108"/>
      <c r="J1506" s="108"/>
      <c r="K1506" s="108"/>
      <c r="L1506" s="108"/>
      <c r="M1506" s="108"/>
      <c r="N1506" s="108"/>
      <c r="O1506" s="108"/>
      <c r="P1506" s="108"/>
      <c r="Q1506" s="108"/>
      <c r="R1506" s="108"/>
      <c r="S1506" s="108"/>
      <c r="T1506" s="108"/>
      <c r="U1506" s="108"/>
      <c r="V1506" s="108"/>
      <c r="W1506" s="108"/>
      <c r="X1506" s="108"/>
      <c r="Y1506" s="108"/>
      <c r="Z1506" s="108"/>
    </row>
    <row r="1507" ht="16.5" customHeight="1">
      <c r="A1507" s="108"/>
      <c r="B1507" s="108"/>
      <c r="C1507" s="180"/>
      <c r="D1507" s="108"/>
      <c r="E1507" s="108"/>
      <c r="F1507" s="108"/>
      <c r="G1507" s="108"/>
      <c r="H1507" s="108"/>
      <c r="I1507" s="108"/>
      <c r="J1507" s="108"/>
      <c r="K1507" s="108"/>
      <c r="L1507" s="108"/>
      <c r="M1507" s="108"/>
      <c r="N1507" s="108"/>
      <c r="O1507" s="108"/>
      <c r="P1507" s="108"/>
      <c r="Q1507" s="108"/>
      <c r="R1507" s="108"/>
      <c r="S1507" s="108"/>
      <c r="T1507" s="108"/>
      <c r="U1507" s="108"/>
      <c r="V1507" s="108"/>
      <c r="W1507" s="108"/>
      <c r="X1507" s="108"/>
      <c r="Y1507" s="108"/>
      <c r="Z1507" s="108"/>
    </row>
    <row r="1508" ht="16.5" customHeight="1">
      <c r="A1508" s="108"/>
      <c r="B1508" s="108"/>
      <c r="C1508" s="180"/>
      <c r="D1508" s="108"/>
      <c r="E1508" s="108"/>
      <c r="F1508" s="108"/>
      <c r="G1508" s="108"/>
      <c r="H1508" s="108"/>
      <c r="I1508" s="108"/>
      <c r="J1508" s="108"/>
      <c r="K1508" s="108"/>
      <c r="L1508" s="108"/>
      <c r="M1508" s="108"/>
      <c r="N1508" s="108"/>
      <c r="O1508" s="108"/>
      <c r="P1508" s="108"/>
      <c r="Q1508" s="108"/>
      <c r="R1508" s="108"/>
      <c r="S1508" s="108"/>
      <c r="T1508" s="108"/>
      <c r="U1508" s="108"/>
      <c r="V1508" s="108"/>
      <c r="W1508" s="108"/>
      <c r="X1508" s="108"/>
      <c r="Y1508" s="108"/>
      <c r="Z1508" s="108"/>
    </row>
    <row r="1509" ht="16.5" customHeight="1">
      <c r="A1509" s="108"/>
      <c r="B1509" s="108"/>
      <c r="C1509" s="180"/>
      <c r="D1509" s="108"/>
      <c r="E1509" s="108"/>
      <c r="F1509" s="108"/>
      <c r="G1509" s="108"/>
      <c r="H1509" s="108"/>
      <c r="I1509" s="108"/>
      <c r="J1509" s="108"/>
      <c r="K1509" s="108"/>
      <c r="L1509" s="108"/>
      <c r="M1509" s="108"/>
      <c r="N1509" s="108"/>
      <c r="O1509" s="108"/>
      <c r="P1509" s="108"/>
      <c r="Q1509" s="108"/>
      <c r="R1509" s="108"/>
      <c r="S1509" s="108"/>
      <c r="T1509" s="108"/>
      <c r="U1509" s="108"/>
      <c r="V1509" s="108"/>
      <c r="W1509" s="108"/>
      <c r="X1509" s="108"/>
      <c r="Y1509" s="108"/>
      <c r="Z1509" s="108"/>
    </row>
    <row r="1510" ht="16.5" customHeight="1">
      <c r="A1510" s="108"/>
      <c r="B1510" s="108"/>
      <c r="C1510" s="180"/>
      <c r="D1510" s="108"/>
      <c r="E1510" s="108"/>
      <c r="F1510" s="108"/>
      <c r="G1510" s="108"/>
      <c r="H1510" s="108"/>
      <c r="I1510" s="108"/>
      <c r="J1510" s="108"/>
      <c r="K1510" s="108"/>
      <c r="L1510" s="108"/>
      <c r="M1510" s="108"/>
      <c r="N1510" s="108"/>
      <c r="O1510" s="108"/>
      <c r="P1510" s="108"/>
      <c r="Q1510" s="108"/>
      <c r="R1510" s="108"/>
      <c r="S1510" s="108"/>
      <c r="T1510" s="108"/>
      <c r="U1510" s="108"/>
      <c r="V1510" s="108"/>
      <c r="W1510" s="108"/>
      <c r="X1510" s="108"/>
      <c r="Y1510" s="108"/>
      <c r="Z1510" s="108"/>
    </row>
    <row r="1511" ht="16.5" customHeight="1">
      <c r="A1511" s="108"/>
      <c r="B1511" s="108"/>
      <c r="C1511" s="180"/>
      <c r="D1511" s="108"/>
      <c r="E1511" s="108"/>
      <c r="F1511" s="108"/>
      <c r="G1511" s="108"/>
      <c r="H1511" s="108"/>
      <c r="I1511" s="108"/>
      <c r="J1511" s="108"/>
      <c r="K1511" s="108"/>
      <c r="L1511" s="108"/>
      <c r="M1511" s="108"/>
      <c r="N1511" s="108"/>
      <c r="O1511" s="108"/>
      <c r="P1511" s="108"/>
      <c r="Q1511" s="108"/>
      <c r="R1511" s="108"/>
      <c r="S1511" s="108"/>
      <c r="T1511" s="108"/>
      <c r="U1511" s="108"/>
      <c r="V1511" s="108"/>
      <c r="W1511" s="108"/>
      <c r="X1511" s="108"/>
      <c r="Y1511" s="108"/>
      <c r="Z1511" s="108"/>
    </row>
    <row r="1512" ht="16.5" customHeight="1">
      <c r="A1512" s="108"/>
      <c r="B1512" s="108"/>
      <c r="C1512" s="180"/>
      <c r="D1512" s="108"/>
      <c r="E1512" s="108"/>
      <c r="F1512" s="108"/>
      <c r="G1512" s="108"/>
      <c r="H1512" s="108"/>
      <c r="I1512" s="108"/>
      <c r="J1512" s="108"/>
      <c r="K1512" s="108"/>
      <c r="L1512" s="108"/>
      <c r="M1512" s="108"/>
      <c r="N1512" s="108"/>
      <c r="O1512" s="108"/>
      <c r="P1512" s="108"/>
      <c r="Q1512" s="108"/>
      <c r="R1512" s="108"/>
      <c r="S1512" s="108"/>
      <c r="T1512" s="108"/>
      <c r="U1512" s="108"/>
      <c r="V1512" s="108"/>
      <c r="W1512" s="108"/>
      <c r="X1512" s="108"/>
      <c r="Y1512" s="108"/>
      <c r="Z1512" s="108"/>
    </row>
    <row r="1513" ht="16.5" customHeight="1">
      <c r="A1513" s="108"/>
      <c r="B1513" s="108"/>
      <c r="C1513" s="180"/>
      <c r="D1513" s="108"/>
      <c r="E1513" s="108"/>
      <c r="F1513" s="108"/>
      <c r="G1513" s="108"/>
      <c r="H1513" s="108"/>
      <c r="I1513" s="108"/>
      <c r="J1513" s="108"/>
      <c r="K1513" s="108"/>
      <c r="L1513" s="108"/>
      <c r="M1513" s="108"/>
      <c r="N1513" s="108"/>
      <c r="O1513" s="108"/>
      <c r="P1513" s="108"/>
      <c r="Q1513" s="108"/>
      <c r="R1513" s="108"/>
      <c r="S1513" s="108"/>
      <c r="T1513" s="108"/>
      <c r="U1513" s="108"/>
      <c r="V1513" s="108"/>
      <c r="W1513" s="108"/>
      <c r="X1513" s="108"/>
      <c r="Y1513" s="108"/>
      <c r="Z1513" s="108"/>
    </row>
    <row r="1514" ht="16.5" customHeight="1">
      <c r="A1514" s="108"/>
      <c r="B1514" s="108"/>
      <c r="C1514" s="180"/>
      <c r="D1514" s="108"/>
      <c r="E1514" s="108"/>
      <c r="F1514" s="108"/>
      <c r="G1514" s="108"/>
      <c r="H1514" s="108"/>
      <c r="I1514" s="108"/>
      <c r="J1514" s="108"/>
      <c r="K1514" s="108"/>
      <c r="L1514" s="108"/>
      <c r="M1514" s="108"/>
      <c r="N1514" s="108"/>
      <c r="O1514" s="108"/>
      <c r="P1514" s="108"/>
      <c r="Q1514" s="108"/>
      <c r="R1514" s="108"/>
      <c r="S1514" s="108"/>
      <c r="T1514" s="108"/>
      <c r="U1514" s="108"/>
      <c r="V1514" s="108"/>
      <c r="W1514" s="108"/>
      <c r="X1514" s="108"/>
      <c r="Y1514" s="108"/>
      <c r="Z1514" s="108"/>
    </row>
    <row r="1515" ht="16.5" customHeight="1">
      <c r="A1515" s="108"/>
      <c r="B1515" s="108"/>
      <c r="C1515" s="180"/>
      <c r="D1515" s="108"/>
      <c r="E1515" s="108"/>
      <c r="F1515" s="108"/>
      <c r="G1515" s="108"/>
      <c r="H1515" s="108"/>
      <c r="I1515" s="108"/>
      <c r="J1515" s="108"/>
      <c r="K1515" s="108"/>
      <c r="L1515" s="108"/>
      <c r="M1515" s="108"/>
      <c r="N1515" s="108"/>
      <c r="O1515" s="108"/>
      <c r="P1515" s="108"/>
      <c r="Q1515" s="108"/>
      <c r="R1515" s="108"/>
      <c r="S1515" s="108"/>
      <c r="T1515" s="108"/>
      <c r="U1515" s="108"/>
      <c r="V1515" s="108"/>
      <c r="W1515" s="108"/>
      <c r="X1515" s="108"/>
      <c r="Y1515" s="108"/>
      <c r="Z1515" s="108"/>
    </row>
    <row r="1516" ht="16.5" customHeight="1">
      <c r="A1516" s="108"/>
      <c r="B1516" s="108"/>
      <c r="C1516" s="180"/>
      <c r="D1516" s="108"/>
      <c r="E1516" s="108"/>
      <c r="F1516" s="108"/>
      <c r="G1516" s="108"/>
      <c r="H1516" s="108"/>
      <c r="I1516" s="108"/>
      <c r="J1516" s="108"/>
      <c r="K1516" s="108"/>
      <c r="L1516" s="108"/>
      <c r="M1516" s="108"/>
      <c r="N1516" s="108"/>
      <c r="O1516" s="108"/>
      <c r="P1516" s="108"/>
      <c r="Q1516" s="108"/>
      <c r="R1516" s="108"/>
      <c r="S1516" s="108"/>
      <c r="T1516" s="108"/>
      <c r="U1516" s="108"/>
      <c r="V1516" s="108"/>
      <c r="W1516" s="108"/>
      <c r="X1516" s="108"/>
      <c r="Y1516" s="108"/>
      <c r="Z1516" s="108"/>
    </row>
    <row r="1517" ht="16.5" customHeight="1">
      <c r="A1517" s="108"/>
      <c r="B1517" s="108"/>
      <c r="C1517" s="180"/>
      <c r="D1517" s="108"/>
      <c r="E1517" s="108"/>
      <c r="F1517" s="108"/>
      <c r="G1517" s="108"/>
      <c r="H1517" s="108"/>
      <c r="I1517" s="108"/>
      <c r="J1517" s="108"/>
      <c r="K1517" s="108"/>
      <c r="L1517" s="108"/>
      <c r="M1517" s="108"/>
      <c r="N1517" s="108"/>
      <c r="O1517" s="108"/>
      <c r="P1517" s="108"/>
      <c r="Q1517" s="108"/>
      <c r="R1517" s="108"/>
      <c r="S1517" s="108"/>
      <c r="T1517" s="108"/>
      <c r="U1517" s="108"/>
      <c r="V1517" s="108"/>
      <c r="W1517" s="108"/>
      <c r="X1517" s="108"/>
      <c r="Y1517" s="108"/>
      <c r="Z1517" s="108"/>
    </row>
    <row r="1518" ht="16.5" customHeight="1">
      <c r="A1518" s="108"/>
      <c r="B1518" s="108"/>
      <c r="C1518" s="180"/>
      <c r="D1518" s="108"/>
      <c r="E1518" s="108"/>
      <c r="F1518" s="108"/>
      <c r="G1518" s="108"/>
      <c r="H1518" s="108"/>
      <c r="I1518" s="108"/>
      <c r="J1518" s="108"/>
      <c r="K1518" s="108"/>
      <c r="L1518" s="108"/>
      <c r="M1518" s="108"/>
      <c r="N1518" s="108"/>
      <c r="O1518" s="108"/>
      <c r="P1518" s="108"/>
      <c r="Q1518" s="108"/>
      <c r="R1518" s="108"/>
      <c r="S1518" s="108"/>
      <c r="T1518" s="108"/>
      <c r="U1518" s="108"/>
      <c r="V1518" s="108"/>
      <c r="W1518" s="108"/>
      <c r="X1518" s="108"/>
      <c r="Y1518" s="108"/>
      <c r="Z1518" s="108"/>
    </row>
    <row r="1519" ht="16.5" customHeight="1">
      <c r="A1519" s="108"/>
      <c r="B1519" s="108"/>
      <c r="C1519" s="180"/>
      <c r="D1519" s="108"/>
      <c r="E1519" s="108"/>
      <c r="F1519" s="108"/>
      <c r="G1519" s="108"/>
      <c r="H1519" s="108"/>
      <c r="I1519" s="108"/>
      <c r="J1519" s="108"/>
      <c r="K1519" s="108"/>
      <c r="L1519" s="108"/>
      <c r="M1519" s="108"/>
      <c r="N1519" s="108"/>
      <c r="O1519" s="108"/>
      <c r="P1519" s="108"/>
      <c r="Q1519" s="108"/>
      <c r="R1519" s="108"/>
      <c r="S1519" s="108"/>
      <c r="T1519" s="108"/>
      <c r="U1519" s="108"/>
      <c r="V1519" s="108"/>
      <c r="W1519" s="108"/>
      <c r="X1519" s="108"/>
      <c r="Y1519" s="108"/>
      <c r="Z1519" s="108"/>
    </row>
    <row r="1520" ht="16.5" customHeight="1">
      <c r="A1520" s="108"/>
      <c r="B1520" s="108"/>
      <c r="C1520" s="180"/>
      <c r="D1520" s="108"/>
      <c r="E1520" s="108"/>
      <c r="F1520" s="108"/>
      <c r="G1520" s="108"/>
      <c r="H1520" s="108"/>
      <c r="I1520" s="108"/>
      <c r="J1520" s="108"/>
      <c r="K1520" s="108"/>
      <c r="L1520" s="108"/>
      <c r="M1520" s="108"/>
      <c r="N1520" s="108"/>
      <c r="O1520" s="108"/>
      <c r="P1520" s="108"/>
      <c r="Q1520" s="108"/>
      <c r="R1520" s="108"/>
      <c r="S1520" s="108"/>
      <c r="T1520" s="108"/>
      <c r="U1520" s="108"/>
      <c r="V1520" s="108"/>
      <c r="W1520" s="108"/>
      <c r="X1520" s="108"/>
      <c r="Y1520" s="108"/>
      <c r="Z1520" s="108"/>
    </row>
    <row r="1521" ht="16.5" customHeight="1">
      <c r="A1521" s="108"/>
      <c r="B1521" s="108"/>
      <c r="C1521" s="180"/>
      <c r="D1521" s="108"/>
      <c r="E1521" s="108"/>
      <c r="F1521" s="108"/>
      <c r="G1521" s="108"/>
      <c r="H1521" s="108"/>
      <c r="I1521" s="108"/>
      <c r="J1521" s="108"/>
      <c r="K1521" s="108"/>
      <c r="L1521" s="108"/>
      <c r="M1521" s="108"/>
      <c r="N1521" s="108"/>
      <c r="O1521" s="108"/>
      <c r="P1521" s="108"/>
      <c r="Q1521" s="108"/>
      <c r="R1521" s="108"/>
      <c r="S1521" s="108"/>
      <c r="T1521" s="108"/>
      <c r="U1521" s="108"/>
      <c r="V1521" s="108"/>
      <c r="W1521" s="108"/>
      <c r="X1521" s="108"/>
      <c r="Y1521" s="108"/>
      <c r="Z1521" s="108"/>
    </row>
    <row r="1522" ht="16.5" customHeight="1">
      <c r="A1522" s="108"/>
      <c r="B1522" s="108"/>
      <c r="C1522" s="180"/>
      <c r="D1522" s="108"/>
      <c r="E1522" s="108"/>
      <c r="F1522" s="108"/>
      <c r="G1522" s="108"/>
      <c r="H1522" s="108"/>
      <c r="I1522" s="108"/>
      <c r="J1522" s="108"/>
      <c r="K1522" s="108"/>
      <c r="L1522" s="108"/>
      <c r="M1522" s="108"/>
      <c r="N1522" s="108"/>
      <c r="O1522" s="108"/>
      <c r="P1522" s="108"/>
      <c r="Q1522" s="108"/>
      <c r="R1522" s="108"/>
      <c r="S1522" s="108"/>
      <c r="T1522" s="108"/>
      <c r="U1522" s="108"/>
      <c r="V1522" s="108"/>
      <c r="W1522" s="108"/>
      <c r="X1522" s="108"/>
      <c r="Y1522" s="108"/>
      <c r="Z1522" s="108"/>
    </row>
    <row r="1523" ht="16.5" customHeight="1">
      <c r="A1523" s="108"/>
      <c r="B1523" s="108"/>
      <c r="C1523" s="180"/>
      <c r="D1523" s="108"/>
      <c r="E1523" s="108"/>
      <c r="F1523" s="108"/>
      <c r="G1523" s="108"/>
      <c r="H1523" s="108"/>
      <c r="I1523" s="108"/>
      <c r="J1523" s="108"/>
      <c r="K1523" s="108"/>
      <c r="L1523" s="108"/>
      <c r="M1523" s="108"/>
      <c r="N1523" s="108"/>
      <c r="O1523" s="108"/>
      <c r="P1523" s="108"/>
      <c r="Q1523" s="108"/>
      <c r="R1523" s="108"/>
      <c r="S1523" s="108"/>
      <c r="T1523" s="108"/>
      <c r="U1523" s="108"/>
      <c r="V1523" s="108"/>
      <c r="W1523" s="108"/>
      <c r="X1523" s="108"/>
      <c r="Y1523" s="108"/>
      <c r="Z1523" s="108"/>
    </row>
    <row r="1524" ht="16.5" customHeight="1">
      <c r="A1524" s="108"/>
      <c r="B1524" s="108"/>
      <c r="C1524" s="180"/>
      <c r="D1524" s="108"/>
      <c r="E1524" s="108"/>
      <c r="F1524" s="108"/>
      <c r="G1524" s="108"/>
      <c r="H1524" s="108"/>
      <c r="I1524" s="108"/>
      <c r="J1524" s="108"/>
      <c r="K1524" s="108"/>
      <c r="L1524" s="108"/>
      <c r="M1524" s="108"/>
      <c r="N1524" s="108"/>
      <c r="O1524" s="108"/>
      <c r="P1524" s="108"/>
      <c r="Q1524" s="108"/>
      <c r="R1524" s="108"/>
      <c r="S1524" s="108"/>
      <c r="T1524" s="108"/>
      <c r="U1524" s="108"/>
      <c r="V1524" s="108"/>
      <c r="W1524" s="108"/>
      <c r="X1524" s="108"/>
      <c r="Y1524" s="108"/>
      <c r="Z1524" s="108"/>
    </row>
    <row r="1525" ht="16.5" customHeight="1">
      <c r="A1525" s="108"/>
      <c r="B1525" s="108"/>
      <c r="C1525" s="180"/>
      <c r="D1525" s="108"/>
      <c r="E1525" s="108"/>
      <c r="F1525" s="108"/>
      <c r="G1525" s="108"/>
      <c r="H1525" s="108"/>
      <c r="I1525" s="108"/>
      <c r="J1525" s="108"/>
      <c r="K1525" s="108"/>
      <c r="L1525" s="108"/>
      <c r="M1525" s="108"/>
      <c r="N1525" s="108"/>
      <c r="O1525" s="108"/>
      <c r="P1525" s="108"/>
      <c r="Q1525" s="108"/>
      <c r="R1525" s="108"/>
      <c r="S1525" s="108"/>
      <c r="T1525" s="108"/>
      <c r="U1525" s="108"/>
      <c r="V1525" s="108"/>
      <c r="W1525" s="108"/>
      <c r="X1525" s="108"/>
      <c r="Y1525" s="108"/>
      <c r="Z1525" s="108"/>
    </row>
    <row r="1526" ht="16.5" customHeight="1">
      <c r="A1526" s="108"/>
      <c r="B1526" s="108"/>
      <c r="C1526" s="180"/>
      <c r="D1526" s="108"/>
      <c r="E1526" s="108"/>
      <c r="F1526" s="108"/>
      <c r="G1526" s="108"/>
      <c r="H1526" s="108"/>
      <c r="I1526" s="108"/>
      <c r="J1526" s="108"/>
      <c r="K1526" s="108"/>
      <c r="L1526" s="108"/>
      <c r="M1526" s="108"/>
      <c r="N1526" s="108"/>
      <c r="O1526" s="108"/>
      <c r="P1526" s="108"/>
      <c r="Q1526" s="108"/>
      <c r="R1526" s="108"/>
      <c r="S1526" s="108"/>
      <c r="T1526" s="108"/>
      <c r="U1526" s="108"/>
      <c r="V1526" s="108"/>
      <c r="W1526" s="108"/>
      <c r="X1526" s="108"/>
      <c r="Y1526" s="108"/>
      <c r="Z1526" s="108"/>
    </row>
    <row r="1527" ht="16.5" customHeight="1">
      <c r="A1527" s="108"/>
      <c r="B1527" s="108"/>
      <c r="C1527" s="180"/>
      <c r="D1527" s="108"/>
      <c r="E1527" s="108"/>
      <c r="F1527" s="108"/>
      <c r="G1527" s="108"/>
      <c r="H1527" s="108"/>
      <c r="I1527" s="108"/>
      <c r="J1527" s="108"/>
      <c r="K1527" s="108"/>
      <c r="L1527" s="108"/>
      <c r="M1527" s="108"/>
      <c r="N1527" s="108"/>
      <c r="O1527" s="108"/>
      <c r="P1527" s="108"/>
      <c r="Q1527" s="108"/>
      <c r="R1527" s="108"/>
      <c r="S1527" s="108"/>
      <c r="T1527" s="108"/>
      <c r="U1527" s="108"/>
      <c r="V1527" s="108"/>
      <c r="W1527" s="108"/>
      <c r="X1527" s="108"/>
      <c r="Y1527" s="108"/>
      <c r="Z1527" s="108"/>
    </row>
    <row r="1528" ht="16.5" customHeight="1">
      <c r="A1528" s="108"/>
      <c r="B1528" s="108"/>
      <c r="C1528" s="180"/>
      <c r="D1528" s="108"/>
      <c r="E1528" s="108"/>
      <c r="F1528" s="108"/>
      <c r="G1528" s="108"/>
      <c r="H1528" s="108"/>
      <c r="I1528" s="108"/>
      <c r="J1528" s="108"/>
      <c r="K1528" s="108"/>
      <c r="L1528" s="108"/>
      <c r="M1528" s="108"/>
      <c r="N1528" s="108"/>
      <c r="O1528" s="108"/>
      <c r="P1528" s="108"/>
      <c r="Q1528" s="108"/>
      <c r="R1528" s="108"/>
      <c r="S1528" s="108"/>
      <c r="T1528" s="108"/>
      <c r="U1528" s="108"/>
      <c r="V1528" s="108"/>
      <c r="W1528" s="108"/>
      <c r="X1528" s="108"/>
      <c r="Y1528" s="108"/>
      <c r="Z1528" s="108"/>
    </row>
    <row r="1529" ht="16.5" customHeight="1">
      <c r="A1529" s="108"/>
      <c r="B1529" s="108"/>
      <c r="C1529" s="180"/>
      <c r="D1529" s="108"/>
      <c r="E1529" s="108"/>
      <c r="F1529" s="108"/>
      <c r="G1529" s="108"/>
      <c r="H1529" s="108"/>
      <c r="I1529" s="108"/>
      <c r="J1529" s="108"/>
      <c r="K1529" s="108"/>
      <c r="L1529" s="108"/>
      <c r="M1529" s="108"/>
      <c r="N1529" s="108"/>
      <c r="O1529" s="108"/>
      <c r="P1529" s="108"/>
      <c r="Q1529" s="108"/>
      <c r="R1529" s="108"/>
      <c r="S1529" s="108"/>
      <c r="T1529" s="108"/>
      <c r="U1529" s="108"/>
      <c r="V1529" s="108"/>
      <c r="W1529" s="108"/>
      <c r="X1529" s="108"/>
      <c r="Y1529" s="108"/>
      <c r="Z1529" s="108"/>
    </row>
    <row r="1530" ht="16.5" customHeight="1">
      <c r="A1530" s="108"/>
      <c r="B1530" s="108"/>
      <c r="C1530" s="180"/>
      <c r="D1530" s="108"/>
      <c r="E1530" s="108"/>
      <c r="F1530" s="108"/>
      <c r="G1530" s="108"/>
      <c r="H1530" s="108"/>
      <c r="I1530" s="108"/>
      <c r="J1530" s="108"/>
      <c r="K1530" s="108"/>
      <c r="L1530" s="108"/>
      <c r="M1530" s="108"/>
      <c r="N1530" s="108"/>
      <c r="O1530" s="108"/>
      <c r="P1530" s="108"/>
      <c r="Q1530" s="108"/>
      <c r="R1530" s="108"/>
      <c r="S1530" s="108"/>
      <c r="T1530" s="108"/>
      <c r="U1530" s="108"/>
      <c r="V1530" s="108"/>
      <c r="W1530" s="108"/>
      <c r="X1530" s="108"/>
      <c r="Y1530" s="108"/>
      <c r="Z1530" s="108"/>
    </row>
    <row r="1531" ht="16.5" customHeight="1">
      <c r="A1531" s="108"/>
      <c r="B1531" s="108"/>
      <c r="C1531" s="180"/>
      <c r="D1531" s="108"/>
      <c r="E1531" s="108"/>
      <c r="F1531" s="108"/>
      <c r="G1531" s="108"/>
      <c r="H1531" s="108"/>
      <c r="I1531" s="108"/>
      <c r="J1531" s="108"/>
      <c r="K1531" s="108"/>
      <c r="L1531" s="108"/>
      <c r="M1531" s="108"/>
      <c r="N1531" s="108"/>
      <c r="O1531" s="108"/>
      <c r="P1531" s="108"/>
      <c r="Q1531" s="108"/>
      <c r="R1531" s="108"/>
      <c r="S1531" s="108"/>
      <c r="T1531" s="108"/>
      <c r="U1531" s="108"/>
      <c r="V1531" s="108"/>
      <c r="W1531" s="108"/>
      <c r="X1531" s="108"/>
      <c r="Y1531" s="108"/>
      <c r="Z1531" s="108"/>
    </row>
    <row r="1532" ht="16.5" customHeight="1">
      <c r="A1532" s="108"/>
      <c r="B1532" s="108"/>
      <c r="C1532" s="180"/>
      <c r="D1532" s="108"/>
      <c r="E1532" s="108"/>
      <c r="F1532" s="108"/>
      <c r="G1532" s="108"/>
      <c r="H1532" s="108"/>
      <c r="I1532" s="108"/>
      <c r="J1532" s="108"/>
      <c r="K1532" s="108"/>
      <c r="L1532" s="108"/>
      <c r="M1532" s="108"/>
      <c r="N1532" s="108"/>
      <c r="O1532" s="108"/>
      <c r="P1532" s="108"/>
      <c r="Q1532" s="108"/>
      <c r="R1532" s="108"/>
      <c r="S1532" s="108"/>
      <c r="T1532" s="108"/>
      <c r="U1532" s="108"/>
      <c r="V1532" s="108"/>
      <c r="W1532" s="108"/>
      <c r="X1532" s="108"/>
      <c r="Y1532" s="108"/>
      <c r="Z1532" s="108"/>
    </row>
    <row r="1533" ht="16.5" customHeight="1">
      <c r="A1533" s="108"/>
      <c r="B1533" s="108"/>
      <c r="C1533" s="180"/>
      <c r="D1533" s="108"/>
      <c r="E1533" s="108"/>
      <c r="F1533" s="108"/>
      <c r="G1533" s="108"/>
      <c r="H1533" s="108"/>
      <c r="I1533" s="108"/>
      <c r="J1533" s="108"/>
      <c r="K1533" s="108"/>
      <c r="L1533" s="108"/>
      <c r="M1533" s="108"/>
      <c r="N1533" s="108"/>
      <c r="O1533" s="108"/>
      <c r="P1533" s="108"/>
      <c r="Q1533" s="108"/>
      <c r="R1533" s="108"/>
      <c r="S1533" s="108"/>
      <c r="T1533" s="108"/>
      <c r="U1533" s="108"/>
      <c r="V1533" s="108"/>
      <c r="W1533" s="108"/>
      <c r="X1533" s="108"/>
      <c r="Y1533" s="108"/>
      <c r="Z1533" s="108"/>
    </row>
    <row r="1534" ht="16.5" customHeight="1">
      <c r="A1534" s="108"/>
      <c r="B1534" s="108"/>
      <c r="C1534" s="180"/>
      <c r="D1534" s="108"/>
      <c r="E1534" s="108"/>
      <c r="F1534" s="108"/>
      <c r="G1534" s="108"/>
      <c r="H1534" s="108"/>
      <c r="I1534" s="108"/>
      <c r="J1534" s="108"/>
      <c r="K1534" s="108"/>
      <c r="L1534" s="108"/>
      <c r="M1534" s="108"/>
      <c r="N1534" s="108"/>
      <c r="O1534" s="108"/>
      <c r="P1534" s="108"/>
      <c r="Q1534" s="108"/>
      <c r="R1534" s="108"/>
      <c r="S1534" s="108"/>
      <c r="T1534" s="108"/>
      <c r="U1534" s="108"/>
      <c r="V1534" s="108"/>
      <c r="W1534" s="108"/>
      <c r="X1534" s="108"/>
      <c r="Y1534" s="108"/>
      <c r="Z1534" s="108"/>
    </row>
    <row r="1535" ht="16.5" customHeight="1">
      <c r="A1535" s="108"/>
      <c r="B1535" s="108"/>
      <c r="C1535" s="180"/>
      <c r="D1535" s="108"/>
      <c r="E1535" s="108"/>
      <c r="F1535" s="108"/>
      <c r="G1535" s="108"/>
      <c r="H1535" s="108"/>
      <c r="I1535" s="108"/>
      <c r="J1535" s="108"/>
      <c r="K1535" s="108"/>
      <c r="L1535" s="108"/>
      <c r="M1535" s="108"/>
      <c r="N1535" s="108"/>
      <c r="O1535" s="108"/>
      <c r="P1535" s="108"/>
      <c r="Q1535" s="108"/>
      <c r="R1535" s="108"/>
      <c r="S1535" s="108"/>
      <c r="T1535" s="108"/>
      <c r="U1535" s="108"/>
      <c r="V1535" s="108"/>
      <c r="W1535" s="108"/>
      <c r="X1535" s="108"/>
      <c r="Y1535" s="108"/>
      <c r="Z1535" s="108"/>
    </row>
    <row r="1536" ht="16.5" customHeight="1">
      <c r="A1536" s="108"/>
      <c r="B1536" s="108"/>
      <c r="C1536" s="180"/>
      <c r="D1536" s="108"/>
      <c r="E1536" s="108"/>
      <c r="F1536" s="108"/>
      <c r="G1536" s="108"/>
      <c r="H1536" s="108"/>
      <c r="I1536" s="108"/>
      <c r="J1536" s="108"/>
      <c r="K1536" s="108"/>
      <c r="L1536" s="108"/>
      <c r="M1536" s="108"/>
      <c r="N1536" s="108"/>
      <c r="O1536" s="108"/>
      <c r="P1536" s="108"/>
      <c r="Q1536" s="108"/>
      <c r="R1536" s="108"/>
      <c r="S1536" s="108"/>
      <c r="T1536" s="108"/>
      <c r="U1536" s="108"/>
      <c r="V1536" s="108"/>
      <c r="W1536" s="108"/>
      <c r="X1536" s="108"/>
      <c r="Y1536" s="108"/>
      <c r="Z1536" s="108"/>
    </row>
    <row r="1537" ht="16.5" customHeight="1">
      <c r="A1537" s="108"/>
      <c r="B1537" s="108"/>
      <c r="C1537" s="180"/>
      <c r="D1537" s="108"/>
      <c r="E1537" s="108"/>
      <c r="F1537" s="108"/>
      <c r="G1537" s="108"/>
      <c r="H1537" s="108"/>
      <c r="I1537" s="108"/>
      <c r="J1537" s="108"/>
      <c r="K1537" s="108"/>
      <c r="L1537" s="108"/>
      <c r="M1537" s="108"/>
      <c r="N1537" s="108"/>
      <c r="O1537" s="108"/>
      <c r="P1537" s="108"/>
      <c r="Q1537" s="108"/>
      <c r="R1537" s="108"/>
      <c r="S1537" s="108"/>
      <c r="T1537" s="108"/>
      <c r="U1537" s="108"/>
      <c r="V1537" s="108"/>
      <c r="W1537" s="108"/>
      <c r="X1537" s="108"/>
      <c r="Y1537" s="108"/>
      <c r="Z1537" s="108"/>
    </row>
    <row r="1538" ht="16.5" customHeight="1">
      <c r="A1538" s="108"/>
      <c r="B1538" s="108"/>
      <c r="C1538" s="180"/>
      <c r="D1538" s="108"/>
      <c r="E1538" s="108"/>
      <c r="F1538" s="108"/>
      <c r="G1538" s="108"/>
      <c r="H1538" s="108"/>
      <c r="I1538" s="108"/>
      <c r="J1538" s="108"/>
      <c r="K1538" s="108"/>
      <c r="L1538" s="108"/>
      <c r="M1538" s="108"/>
      <c r="N1538" s="108"/>
      <c r="O1538" s="108"/>
      <c r="P1538" s="108"/>
      <c r="Q1538" s="108"/>
      <c r="R1538" s="108"/>
      <c r="S1538" s="108"/>
      <c r="T1538" s="108"/>
      <c r="U1538" s="108"/>
      <c r="V1538" s="108"/>
      <c r="W1538" s="108"/>
      <c r="X1538" s="108"/>
      <c r="Y1538" s="108"/>
      <c r="Z1538" s="108"/>
    </row>
    <row r="1539" ht="16.5" customHeight="1">
      <c r="A1539" s="108"/>
      <c r="B1539" s="108"/>
      <c r="C1539" s="180"/>
      <c r="D1539" s="108"/>
      <c r="E1539" s="108"/>
      <c r="F1539" s="108"/>
      <c r="G1539" s="108"/>
      <c r="H1539" s="108"/>
      <c r="I1539" s="108"/>
      <c r="J1539" s="108"/>
      <c r="K1539" s="108"/>
      <c r="L1539" s="108"/>
      <c r="M1539" s="108"/>
      <c r="N1539" s="108"/>
      <c r="O1539" s="108"/>
      <c r="P1539" s="108"/>
      <c r="Q1539" s="108"/>
      <c r="R1539" s="108"/>
      <c r="S1539" s="108"/>
      <c r="T1539" s="108"/>
      <c r="U1539" s="108"/>
      <c r="V1539" s="108"/>
      <c r="W1539" s="108"/>
      <c r="X1539" s="108"/>
      <c r="Y1539" s="108"/>
      <c r="Z1539" s="108"/>
    </row>
    <row r="1540" ht="16.5" customHeight="1">
      <c r="A1540" s="108"/>
      <c r="B1540" s="108"/>
      <c r="C1540" s="180"/>
      <c r="D1540" s="108"/>
      <c r="E1540" s="108"/>
      <c r="F1540" s="108"/>
      <c r="G1540" s="108"/>
      <c r="H1540" s="108"/>
      <c r="I1540" s="108"/>
      <c r="J1540" s="108"/>
      <c r="K1540" s="108"/>
      <c r="L1540" s="108"/>
      <c r="M1540" s="108"/>
      <c r="N1540" s="108"/>
      <c r="O1540" s="108"/>
      <c r="P1540" s="108"/>
      <c r="Q1540" s="108"/>
      <c r="R1540" s="108"/>
      <c r="S1540" s="108"/>
      <c r="T1540" s="108"/>
      <c r="U1540" s="108"/>
      <c r="V1540" s="108"/>
      <c r="W1540" s="108"/>
      <c r="X1540" s="108"/>
      <c r="Y1540" s="108"/>
      <c r="Z1540" s="108"/>
    </row>
    <row r="1541" ht="16.5" customHeight="1">
      <c r="A1541" s="108"/>
      <c r="B1541" s="108"/>
      <c r="C1541" s="180"/>
      <c r="D1541" s="108"/>
      <c r="E1541" s="108"/>
      <c r="F1541" s="108"/>
      <c r="G1541" s="108"/>
      <c r="H1541" s="108"/>
      <c r="I1541" s="108"/>
      <c r="J1541" s="108"/>
      <c r="K1541" s="108"/>
      <c r="L1541" s="108"/>
      <c r="M1541" s="108"/>
      <c r="N1541" s="108"/>
      <c r="O1541" s="108"/>
      <c r="P1541" s="108"/>
      <c r="Q1541" s="108"/>
      <c r="R1541" s="108"/>
      <c r="S1541" s="108"/>
      <c r="T1541" s="108"/>
      <c r="U1541" s="108"/>
      <c r="V1541" s="108"/>
      <c r="W1541" s="108"/>
      <c r="X1541" s="108"/>
      <c r="Y1541" s="108"/>
      <c r="Z1541" s="108"/>
    </row>
    <row r="1542" ht="16.5" customHeight="1">
      <c r="A1542" s="108"/>
      <c r="B1542" s="108"/>
      <c r="C1542" s="180"/>
      <c r="D1542" s="108"/>
      <c r="E1542" s="108"/>
      <c r="F1542" s="108"/>
      <c r="G1542" s="108"/>
      <c r="H1542" s="108"/>
      <c r="I1542" s="108"/>
      <c r="J1542" s="108"/>
      <c r="K1542" s="108"/>
      <c r="L1542" s="108"/>
      <c r="M1542" s="108"/>
      <c r="N1542" s="108"/>
      <c r="O1542" s="108"/>
      <c r="P1542" s="108"/>
      <c r="Q1542" s="108"/>
      <c r="R1542" s="108"/>
      <c r="S1542" s="108"/>
      <c r="T1542" s="108"/>
      <c r="U1542" s="108"/>
      <c r="V1542" s="108"/>
      <c r="W1542" s="108"/>
      <c r="X1542" s="108"/>
      <c r="Y1542" s="108"/>
      <c r="Z1542" s="108"/>
    </row>
    <row r="1543" ht="16.5" customHeight="1">
      <c r="A1543" s="108"/>
      <c r="B1543" s="108"/>
      <c r="C1543" s="180"/>
      <c r="D1543" s="108"/>
      <c r="E1543" s="108"/>
      <c r="F1543" s="108"/>
      <c r="G1543" s="108"/>
      <c r="H1543" s="108"/>
      <c r="I1543" s="108"/>
      <c r="J1543" s="108"/>
      <c r="K1543" s="108"/>
      <c r="L1543" s="108"/>
      <c r="M1543" s="108"/>
      <c r="N1543" s="108"/>
      <c r="O1543" s="108"/>
      <c r="P1543" s="108"/>
      <c r="Q1543" s="108"/>
      <c r="R1543" s="108"/>
      <c r="S1543" s="108"/>
      <c r="T1543" s="108"/>
      <c r="U1543" s="108"/>
      <c r="V1543" s="108"/>
      <c r="W1543" s="108"/>
      <c r="X1543" s="108"/>
      <c r="Y1543" s="108"/>
      <c r="Z1543" s="108"/>
    </row>
    <row r="1544" ht="16.5" customHeight="1">
      <c r="A1544" s="108"/>
      <c r="B1544" s="108"/>
      <c r="C1544" s="180"/>
      <c r="D1544" s="108"/>
      <c r="E1544" s="108"/>
      <c r="F1544" s="108"/>
      <c r="G1544" s="108"/>
      <c r="H1544" s="108"/>
      <c r="I1544" s="108"/>
      <c r="J1544" s="108"/>
      <c r="K1544" s="108"/>
      <c r="L1544" s="108"/>
      <c r="M1544" s="108"/>
      <c r="N1544" s="108"/>
      <c r="O1544" s="108"/>
      <c r="P1544" s="108"/>
      <c r="Q1544" s="108"/>
      <c r="R1544" s="108"/>
      <c r="S1544" s="108"/>
      <c r="T1544" s="108"/>
      <c r="U1544" s="108"/>
      <c r="V1544" s="108"/>
      <c r="W1544" s="108"/>
      <c r="X1544" s="108"/>
      <c r="Y1544" s="108"/>
      <c r="Z1544" s="108"/>
    </row>
    <row r="1545" ht="16.5" customHeight="1">
      <c r="A1545" s="108"/>
      <c r="B1545" s="108"/>
      <c r="C1545" s="180"/>
      <c r="D1545" s="108"/>
      <c r="E1545" s="108"/>
      <c r="F1545" s="108"/>
      <c r="G1545" s="108"/>
      <c r="H1545" s="108"/>
      <c r="I1545" s="108"/>
      <c r="J1545" s="108"/>
      <c r="K1545" s="108"/>
      <c r="L1545" s="108"/>
      <c r="M1545" s="108"/>
      <c r="N1545" s="108"/>
      <c r="O1545" s="108"/>
      <c r="P1545" s="108"/>
      <c r="Q1545" s="108"/>
      <c r="R1545" s="108"/>
      <c r="S1545" s="108"/>
      <c r="T1545" s="108"/>
      <c r="U1545" s="108"/>
      <c r="V1545" s="108"/>
      <c r="W1545" s="108"/>
      <c r="X1545" s="108"/>
      <c r="Y1545" s="108"/>
      <c r="Z1545" s="108"/>
    </row>
    <row r="1546" ht="16.5" customHeight="1">
      <c r="A1546" s="108"/>
      <c r="B1546" s="108"/>
      <c r="C1546" s="180"/>
      <c r="D1546" s="108"/>
      <c r="E1546" s="108"/>
      <c r="F1546" s="108"/>
      <c r="G1546" s="108"/>
      <c r="H1546" s="108"/>
      <c r="I1546" s="108"/>
      <c r="J1546" s="108"/>
      <c r="K1546" s="108"/>
      <c r="L1546" s="108"/>
      <c r="M1546" s="108"/>
      <c r="N1546" s="108"/>
      <c r="O1546" s="108"/>
      <c r="P1546" s="108"/>
      <c r="Q1546" s="108"/>
      <c r="R1546" s="108"/>
      <c r="S1546" s="108"/>
      <c r="T1546" s="108"/>
      <c r="U1546" s="108"/>
      <c r="V1546" s="108"/>
      <c r="W1546" s="108"/>
      <c r="X1546" s="108"/>
      <c r="Y1546" s="108"/>
      <c r="Z1546" s="108"/>
    </row>
    <row r="1547" ht="16.5" customHeight="1">
      <c r="A1547" s="108"/>
      <c r="B1547" s="108"/>
      <c r="C1547" s="180"/>
      <c r="D1547" s="108"/>
      <c r="E1547" s="108"/>
      <c r="F1547" s="108"/>
      <c r="G1547" s="108"/>
      <c r="H1547" s="108"/>
      <c r="I1547" s="108"/>
      <c r="J1547" s="108"/>
      <c r="K1547" s="108"/>
      <c r="L1547" s="108"/>
      <c r="M1547" s="108"/>
      <c r="N1547" s="108"/>
      <c r="O1547" s="108"/>
      <c r="P1547" s="108"/>
      <c r="Q1547" s="108"/>
      <c r="R1547" s="108"/>
      <c r="S1547" s="108"/>
      <c r="T1547" s="108"/>
      <c r="U1547" s="108"/>
      <c r="V1547" s="108"/>
      <c r="W1547" s="108"/>
      <c r="X1547" s="108"/>
      <c r="Y1547" s="108"/>
      <c r="Z1547" s="108"/>
    </row>
    <row r="1548" ht="16.5" customHeight="1">
      <c r="A1548" s="108"/>
      <c r="B1548" s="108"/>
      <c r="C1548" s="180"/>
      <c r="D1548" s="108"/>
      <c r="E1548" s="108"/>
      <c r="F1548" s="108"/>
      <c r="G1548" s="108"/>
      <c r="H1548" s="108"/>
      <c r="I1548" s="108"/>
      <c r="J1548" s="108"/>
      <c r="K1548" s="108"/>
      <c r="L1548" s="108"/>
      <c r="M1548" s="108"/>
      <c r="N1548" s="108"/>
      <c r="O1548" s="108"/>
      <c r="P1548" s="108"/>
      <c r="Q1548" s="108"/>
      <c r="R1548" s="108"/>
      <c r="S1548" s="108"/>
      <c r="T1548" s="108"/>
      <c r="U1548" s="108"/>
      <c r="V1548" s="108"/>
      <c r="W1548" s="108"/>
      <c r="X1548" s="108"/>
      <c r="Y1548" s="108"/>
      <c r="Z1548" s="108"/>
    </row>
    <row r="1549" ht="16.5" customHeight="1">
      <c r="A1549" s="108"/>
      <c r="B1549" s="108"/>
      <c r="C1549" s="180"/>
      <c r="D1549" s="108"/>
      <c r="E1549" s="108"/>
      <c r="F1549" s="108"/>
      <c r="G1549" s="108"/>
      <c r="H1549" s="108"/>
      <c r="I1549" s="108"/>
      <c r="J1549" s="108"/>
      <c r="K1549" s="108"/>
      <c r="L1549" s="108"/>
      <c r="M1549" s="108"/>
      <c r="N1549" s="108"/>
      <c r="O1549" s="108"/>
      <c r="P1549" s="108"/>
      <c r="Q1549" s="108"/>
      <c r="R1549" s="108"/>
      <c r="S1549" s="108"/>
      <c r="T1549" s="108"/>
      <c r="U1549" s="108"/>
      <c r="V1549" s="108"/>
      <c r="W1549" s="108"/>
      <c r="X1549" s="108"/>
      <c r="Y1549" s="108"/>
      <c r="Z1549" s="108"/>
    </row>
    <row r="1550" ht="16.5" customHeight="1">
      <c r="A1550" s="108"/>
      <c r="B1550" s="108"/>
      <c r="C1550" s="180"/>
      <c r="D1550" s="108"/>
      <c r="E1550" s="108"/>
      <c r="F1550" s="108"/>
      <c r="G1550" s="108"/>
      <c r="H1550" s="108"/>
      <c r="I1550" s="108"/>
      <c r="J1550" s="108"/>
      <c r="K1550" s="108"/>
      <c r="L1550" s="108"/>
      <c r="M1550" s="108"/>
      <c r="N1550" s="108"/>
      <c r="O1550" s="108"/>
      <c r="P1550" s="108"/>
      <c r="Q1550" s="108"/>
      <c r="R1550" s="108"/>
      <c r="S1550" s="108"/>
      <c r="T1550" s="108"/>
      <c r="U1550" s="108"/>
      <c r="V1550" s="108"/>
      <c r="W1550" s="108"/>
      <c r="X1550" s="108"/>
      <c r="Y1550" s="108"/>
      <c r="Z1550" s="108"/>
    </row>
    <row r="1551" ht="16.5" customHeight="1">
      <c r="A1551" s="108"/>
      <c r="B1551" s="108"/>
      <c r="C1551" s="180"/>
      <c r="D1551" s="108"/>
      <c r="E1551" s="108"/>
      <c r="F1551" s="108"/>
      <c r="G1551" s="108"/>
      <c r="H1551" s="108"/>
      <c r="I1551" s="108"/>
      <c r="J1551" s="108"/>
      <c r="K1551" s="108"/>
      <c r="L1551" s="108"/>
      <c r="M1551" s="108"/>
      <c r="N1551" s="108"/>
      <c r="O1551" s="108"/>
      <c r="P1551" s="108"/>
      <c r="Q1551" s="108"/>
      <c r="R1551" s="108"/>
      <c r="S1551" s="108"/>
      <c r="T1551" s="108"/>
      <c r="U1551" s="108"/>
      <c r="V1551" s="108"/>
      <c r="W1551" s="108"/>
      <c r="X1551" s="108"/>
      <c r="Y1551" s="108"/>
      <c r="Z1551" s="108"/>
    </row>
    <row r="1552" ht="16.5" customHeight="1">
      <c r="A1552" s="108"/>
      <c r="B1552" s="108"/>
      <c r="C1552" s="180"/>
      <c r="D1552" s="108"/>
      <c r="E1552" s="108"/>
      <c r="F1552" s="108"/>
      <c r="G1552" s="108"/>
      <c r="H1552" s="108"/>
      <c r="I1552" s="108"/>
      <c r="J1552" s="108"/>
      <c r="K1552" s="108"/>
      <c r="L1552" s="108"/>
      <c r="M1552" s="108"/>
      <c r="N1552" s="108"/>
      <c r="O1552" s="108"/>
      <c r="P1552" s="108"/>
      <c r="Q1552" s="108"/>
      <c r="R1552" s="108"/>
      <c r="S1552" s="108"/>
      <c r="T1552" s="108"/>
      <c r="U1552" s="108"/>
      <c r="V1552" s="108"/>
      <c r="W1552" s="108"/>
      <c r="X1552" s="108"/>
      <c r="Y1552" s="108"/>
      <c r="Z1552" s="108"/>
    </row>
    <row r="1553" ht="16.5" customHeight="1">
      <c r="A1553" s="108"/>
      <c r="B1553" s="108"/>
      <c r="C1553" s="180"/>
      <c r="D1553" s="108"/>
      <c r="E1553" s="108"/>
      <c r="F1553" s="108"/>
      <c r="G1553" s="108"/>
      <c r="H1553" s="108"/>
      <c r="I1553" s="108"/>
      <c r="J1553" s="108"/>
      <c r="K1553" s="108"/>
      <c r="L1553" s="108"/>
      <c r="M1553" s="108"/>
      <c r="N1553" s="108"/>
      <c r="O1553" s="108"/>
      <c r="P1553" s="108"/>
      <c r="Q1553" s="108"/>
      <c r="R1553" s="108"/>
      <c r="S1553" s="108"/>
      <c r="T1553" s="108"/>
      <c r="U1553" s="108"/>
      <c r="V1553" s="108"/>
      <c r="W1553" s="108"/>
      <c r="X1553" s="108"/>
      <c r="Y1553" s="108"/>
      <c r="Z1553" s="108"/>
    </row>
    <row r="1554" ht="16.5" customHeight="1">
      <c r="A1554" s="108"/>
      <c r="B1554" s="108"/>
      <c r="C1554" s="180"/>
      <c r="D1554" s="108"/>
      <c r="E1554" s="108"/>
      <c r="F1554" s="108"/>
      <c r="G1554" s="108"/>
      <c r="H1554" s="108"/>
      <c r="I1554" s="108"/>
      <c r="J1554" s="108"/>
      <c r="K1554" s="108"/>
      <c r="L1554" s="108"/>
      <c r="M1554" s="108"/>
      <c r="N1554" s="108"/>
      <c r="O1554" s="108"/>
      <c r="P1554" s="108"/>
      <c r="Q1554" s="108"/>
      <c r="R1554" s="108"/>
      <c r="S1554" s="108"/>
      <c r="T1554" s="108"/>
      <c r="U1554" s="108"/>
      <c r="V1554" s="108"/>
      <c r="W1554" s="108"/>
      <c r="X1554" s="108"/>
      <c r="Y1554" s="108"/>
      <c r="Z1554" s="108"/>
    </row>
    <row r="1555" ht="16.5" customHeight="1">
      <c r="A1555" s="108"/>
      <c r="B1555" s="108"/>
      <c r="C1555" s="180"/>
      <c r="D1555" s="108"/>
      <c r="E1555" s="108"/>
      <c r="F1555" s="108"/>
      <c r="G1555" s="108"/>
      <c r="H1555" s="108"/>
      <c r="I1555" s="108"/>
      <c r="J1555" s="108"/>
      <c r="K1555" s="108"/>
      <c r="L1555" s="108"/>
      <c r="M1555" s="108"/>
      <c r="N1555" s="108"/>
      <c r="O1555" s="108"/>
      <c r="P1555" s="108"/>
      <c r="Q1555" s="108"/>
      <c r="R1555" s="108"/>
      <c r="S1555" s="108"/>
      <c r="T1555" s="108"/>
      <c r="U1555" s="108"/>
      <c r="V1555" s="108"/>
      <c r="W1555" s="108"/>
      <c r="X1555" s="108"/>
      <c r="Y1555" s="108"/>
      <c r="Z1555" s="108"/>
    </row>
    <row r="1556" ht="16.5" customHeight="1">
      <c r="A1556" s="108"/>
      <c r="B1556" s="108"/>
      <c r="C1556" s="180"/>
      <c r="D1556" s="108"/>
      <c r="E1556" s="108"/>
      <c r="F1556" s="108"/>
      <c r="G1556" s="108"/>
      <c r="H1556" s="108"/>
      <c r="I1556" s="108"/>
      <c r="J1556" s="108"/>
      <c r="K1556" s="108"/>
      <c r="L1556" s="108"/>
      <c r="M1556" s="108"/>
      <c r="N1556" s="108"/>
      <c r="O1556" s="108"/>
      <c r="P1556" s="108"/>
      <c r="Q1556" s="108"/>
      <c r="R1556" s="108"/>
      <c r="S1556" s="108"/>
      <c r="T1556" s="108"/>
      <c r="U1556" s="108"/>
      <c r="V1556" s="108"/>
      <c r="W1556" s="108"/>
      <c r="X1556" s="108"/>
      <c r="Y1556" s="108"/>
      <c r="Z1556" s="108"/>
    </row>
    <row r="1557" ht="16.5" customHeight="1">
      <c r="A1557" s="108"/>
      <c r="B1557" s="108"/>
      <c r="C1557" s="180"/>
      <c r="D1557" s="108"/>
      <c r="E1557" s="108"/>
      <c r="F1557" s="108"/>
      <c r="G1557" s="108"/>
      <c r="H1557" s="108"/>
      <c r="I1557" s="108"/>
      <c r="J1557" s="108"/>
      <c r="K1557" s="108"/>
      <c r="L1557" s="108"/>
      <c r="M1557" s="108"/>
      <c r="N1557" s="108"/>
      <c r="O1557" s="108"/>
      <c r="P1557" s="108"/>
      <c r="Q1557" s="108"/>
      <c r="R1557" s="108"/>
      <c r="S1557" s="108"/>
      <c r="T1557" s="108"/>
      <c r="U1557" s="108"/>
      <c r="V1557" s="108"/>
      <c r="W1557" s="108"/>
      <c r="X1557" s="108"/>
      <c r="Y1557" s="108"/>
      <c r="Z1557" s="108"/>
    </row>
    <row r="1558" ht="16.5" customHeight="1">
      <c r="A1558" s="108"/>
      <c r="B1558" s="108"/>
      <c r="C1558" s="180"/>
      <c r="D1558" s="108"/>
      <c r="E1558" s="108"/>
      <c r="F1558" s="108"/>
      <c r="G1558" s="108"/>
      <c r="H1558" s="108"/>
      <c r="I1558" s="108"/>
      <c r="J1558" s="108"/>
      <c r="K1558" s="108"/>
      <c r="L1558" s="108"/>
      <c r="M1558" s="108"/>
      <c r="N1558" s="108"/>
      <c r="O1558" s="108"/>
      <c r="P1558" s="108"/>
      <c r="Q1558" s="108"/>
      <c r="R1558" s="108"/>
      <c r="S1558" s="108"/>
      <c r="T1558" s="108"/>
      <c r="U1558" s="108"/>
      <c r="V1558" s="108"/>
      <c r="W1558" s="108"/>
      <c r="X1558" s="108"/>
      <c r="Y1558" s="108"/>
      <c r="Z1558" s="108"/>
    </row>
    <row r="1559" ht="16.5" customHeight="1">
      <c r="A1559" s="108"/>
      <c r="B1559" s="108"/>
      <c r="C1559" s="180"/>
      <c r="D1559" s="108"/>
      <c r="E1559" s="108"/>
      <c r="F1559" s="108"/>
      <c r="G1559" s="108"/>
      <c r="H1559" s="108"/>
      <c r="I1559" s="108"/>
      <c r="J1559" s="108"/>
      <c r="K1559" s="108"/>
      <c r="L1559" s="108"/>
      <c r="M1559" s="108"/>
      <c r="N1559" s="108"/>
      <c r="O1559" s="108"/>
      <c r="P1559" s="108"/>
      <c r="Q1559" s="108"/>
      <c r="R1559" s="108"/>
      <c r="S1559" s="108"/>
      <c r="T1559" s="108"/>
      <c r="U1559" s="108"/>
      <c r="V1559" s="108"/>
      <c r="W1559" s="108"/>
      <c r="X1559" s="108"/>
      <c r="Y1559" s="108"/>
      <c r="Z1559" s="108"/>
    </row>
    <row r="1560" ht="16.5" customHeight="1">
      <c r="A1560" s="108"/>
      <c r="B1560" s="108"/>
      <c r="C1560" s="180"/>
      <c r="D1560" s="108"/>
      <c r="E1560" s="108"/>
      <c r="F1560" s="108"/>
      <c r="G1560" s="108"/>
      <c r="H1560" s="108"/>
      <c r="I1560" s="108"/>
      <c r="J1560" s="108"/>
      <c r="K1560" s="108"/>
      <c r="L1560" s="108"/>
      <c r="M1560" s="108"/>
      <c r="N1560" s="108"/>
      <c r="O1560" s="108"/>
      <c r="P1560" s="108"/>
      <c r="Q1560" s="108"/>
      <c r="R1560" s="108"/>
      <c r="S1560" s="108"/>
      <c r="T1560" s="108"/>
      <c r="U1560" s="108"/>
      <c r="V1560" s="108"/>
      <c r="W1560" s="108"/>
      <c r="X1560" s="108"/>
      <c r="Y1560" s="108"/>
      <c r="Z1560" s="108"/>
    </row>
    <row r="1561" ht="16.5" customHeight="1">
      <c r="A1561" s="108"/>
      <c r="B1561" s="108"/>
      <c r="C1561" s="180"/>
      <c r="D1561" s="108"/>
      <c r="E1561" s="108"/>
      <c r="F1561" s="108"/>
      <c r="G1561" s="108"/>
      <c r="H1561" s="108"/>
      <c r="I1561" s="108"/>
      <c r="J1561" s="108"/>
      <c r="K1561" s="108"/>
      <c r="L1561" s="108"/>
      <c r="M1561" s="108"/>
      <c r="N1561" s="108"/>
      <c r="O1561" s="108"/>
      <c r="P1561" s="108"/>
      <c r="Q1561" s="108"/>
      <c r="R1561" s="108"/>
      <c r="S1561" s="108"/>
      <c r="T1561" s="108"/>
      <c r="U1561" s="108"/>
      <c r="V1561" s="108"/>
      <c r="W1561" s="108"/>
      <c r="X1561" s="108"/>
      <c r="Y1561" s="108"/>
      <c r="Z1561" s="108"/>
    </row>
    <row r="1562" ht="16.5" customHeight="1">
      <c r="A1562" s="108"/>
      <c r="B1562" s="108"/>
      <c r="C1562" s="180"/>
      <c r="D1562" s="108"/>
      <c r="E1562" s="108"/>
      <c r="F1562" s="108"/>
      <c r="G1562" s="108"/>
      <c r="H1562" s="108"/>
      <c r="I1562" s="108"/>
      <c r="J1562" s="108"/>
      <c r="K1562" s="108"/>
      <c r="L1562" s="108"/>
      <c r="M1562" s="108"/>
      <c r="N1562" s="108"/>
      <c r="O1562" s="108"/>
      <c r="P1562" s="108"/>
      <c r="Q1562" s="108"/>
      <c r="R1562" s="108"/>
      <c r="S1562" s="108"/>
      <c r="T1562" s="108"/>
      <c r="U1562" s="108"/>
      <c r="V1562" s="108"/>
      <c r="W1562" s="108"/>
      <c r="X1562" s="108"/>
      <c r="Y1562" s="108"/>
      <c r="Z1562" s="108"/>
    </row>
    <row r="1563" ht="16.5" customHeight="1">
      <c r="A1563" s="108"/>
      <c r="B1563" s="108"/>
      <c r="C1563" s="180"/>
      <c r="D1563" s="108"/>
      <c r="E1563" s="108"/>
      <c r="F1563" s="108"/>
      <c r="G1563" s="108"/>
      <c r="H1563" s="108"/>
      <c r="I1563" s="108"/>
      <c r="J1563" s="108"/>
      <c r="K1563" s="108"/>
      <c r="L1563" s="108"/>
      <c r="M1563" s="108"/>
      <c r="N1563" s="108"/>
      <c r="O1563" s="108"/>
      <c r="P1563" s="108"/>
      <c r="Q1563" s="108"/>
      <c r="R1563" s="108"/>
      <c r="S1563" s="108"/>
      <c r="T1563" s="108"/>
      <c r="U1563" s="108"/>
      <c r="V1563" s="108"/>
      <c r="W1563" s="108"/>
      <c r="X1563" s="108"/>
      <c r="Y1563" s="108"/>
      <c r="Z1563" s="108"/>
    </row>
    <row r="1564" ht="16.5" customHeight="1">
      <c r="A1564" s="108"/>
      <c r="B1564" s="108"/>
      <c r="C1564" s="180"/>
      <c r="D1564" s="108"/>
      <c r="E1564" s="108"/>
      <c r="F1564" s="108"/>
      <c r="G1564" s="108"/>
      <c r="H1564" s="108"/>
      <c r="I1564" s="108"/>
      <c r="J1564" s="108"/>
      <c r="K1564" s="108"/>
      <c r="L1564" s="108"/>
      <c r="M1564" s="108"/>
      <c r="N1564" s="108"/>
      <c r="O1564" s="108"/>
      <c r="P1564" s="108"/>
      <c r="Q1564" s="108"/>
      <c r="R1564" s="108"/>
      <c r="S1564" s="108"/>
      <c r="T1564" s="108"/>
      <c r="U1564" s="108"/>
      <c r="V1564" s="108"/>
      <c r="W1564" s="108"/>
      <c r="X1564" s="108"/>
      <c r="Y1564" s="108"/>
      <c r="Z1564" s="108"/>
    </row>
    <row r="1565" ht="16.5" customHeight="1">
      <c r="A1565" s="108"/>
      <c r="B1565" s="108"/>
      <c r="C1565" s="180"/>
      <c r="D1565" s="108"/>
      <c r="E1565" s="108"/>
      <c r="F1565" s="108"/>
      <c r="G1565" s="108"/>
      <c r="H1565" s="108"/>
      <c r="I1565" s="108"/>
      <c r="J1565" s="108"/>
      <c r="K1565" s="108"/>
      <c r="L1565" s="108"/>
      <c r="M1565" s="108"/>
      <c r="N1565" s="108"/>
      <c r="O1565" s="108"/>
      <c r="P1565" s="108"/>
      <c r="Q1565" s="108"/>
      <c r="R1565" s="108"/>
      <c r="S1565" s="108"/>
      <c r="T1565" s="108"/>
      <c r="U1565" s="108"/>
      <c r="V1565" s="108"/>
      <c r="W1565" s="108"/>
      <c r="X1565" s="108"/>
      <c r="Y1565" s="108"/>
      <c r="Z1565" s="108"/>
    </row>
    <row r="1566" ht="16.5" customHeight="1">
      <c r="A1566" s="108"/>
      <c r="B1566" s="108"/>
      <c r="C1566" s="180"/>
      <c r="D1566" s="108"/>
      <c r="E1566" s="108"/>
      <c r="F1566" s="108"/>
      <c r="G1566" s="108"/>
      <c r="H1566" s="108"/>
      <c r="I1566" s="108"/>
      <c r="J1566" s="108"/>
      <c r="K1566" s="108"/>
      <c r="L1566" s="108"/>
      <c r="M1566" s="108"/>
      <c r="N1566" s="108"/>
      <c r="O1566" s="108"/>
      <c r="P1566" s="108"/>
      <c r="Q1566" s="108"/>
      <c r="R1566" s="108"/>
      <c r="S1566" s="108"/>
      <c r="T1566" s="108"/>
      <c r="U1566" s="108"/>
      <c r="V1566" s="108"/>
      <c r="W1566" s="108"/>
      <c r="X1566" s="108"/>
      <c r="Y1566" s="108"/>
      <c r="Z1566" s="108"/>
    </row>
    <row r="1567" ht="16.5" customHeight="1">
      <c r="A1567" s="108"/>
      <c r="B1567" s="108"/>
      <c r="C1567" s="180"/>
      <c r="D1567" s="108"/>
      <c r="E1567" s="108"/>
      <c r="F1567" s="108"/>
      <c r="G1567" s="108"/>
      <c r="H1567" s="108"/>
      <c r="I1567" s="108"/>
      <c r="J1567" s="108"/>
      <c r="K1567" s="108"/>
      <c r="L1567" s="108"/>
      <c r="M1567" s="108"/>
      <c r="N1567" s="108"/>
      <c r="O1567" s="108"/>
      <c r="P1567" s="108"/>
      <c r="Q1567" s="108"/>
      <c r="R1567" s="108"/>
      <c r="S1567" s="108"/>
      <c r="T1567" s="108"/>
      <c r="U1567" s="108"/>
      <c r="V1567" s="108"/>
      <c r="W1567" s="108"/>
      <c r="X1567" s="108"/>
      <c r="Y1567" s="108"/>
      <c r="Z1567" s="108"/>
    </row>
    <row r="1568" ht="16.5" customHeight="1">
      <c r="A1568" s="108"/>
      <c r="B1568" s="108"/>
      <c r="C1568" s="180"/>
      <c r="D1568" s="108"/>
      <c r="E1568" s="108"/>
      <c r="F1568" s="108"/>
      <c r="G1568" s="108"/>
      <c r="H1568" s="108"/>
      <c r="I1568" s="108"/>
      <c r="J1568" s="108"/>
      <c r="K1568" s="108"/>
      <c r="L1568" s="108"/>
      <c r="M1568" s="108"/>
      <c r="N1568" s="108"/>
      <c r="O1568" s="108"/>
      <c r="P1568" s="108"/>
      <c r="Q1568" s="108"/>
      <c r="R1568" s="108"/>
      <c r="S1568" s="108"/>
      <c r="T1568" s="108"/>
      <c r="U1568" s="108"/>
      <c r="V1568" s="108"/>
      <c r="W1568" s="108"/>
      <c r="X1568" s="108"/>
      <c r="Y1568" s="108"/>
      <c r="Z1568" s="108"/>
    </row>
    <row r="1569" ht="16.5" customHeight="1">
      <c r="A1569" s="108"/>
      <c r="B1569" s="108"/>
      <c r="C1569" s="180"/>
      <c r="D1569" s="108"/>
      <c r="E1569" s="108"/>
      <c r="F1569" s="108"/>
      <c r="G1569" s="108"/>
      <c r="H1569" s="108"/>
      <c r="I1569" s="108"/>
      <c r="J1569" s="108"/>
      <c r="K1569" s="108"/>
      <c r="L1569" s="108"/>
      <c r="M1569" s="108"/>
      <c r="N1569" s="108"/>
      <c r="O1569" s="108"/>
      <c r="P1569" s="108"/>
      <c r="Q1569" s="108"/>
      <c r="R1569" s="108"/>
      <c r="S1569" s="108"/>
      <c r="T1569" s="108"/>
      <c r="U1569" s="108"/>
      <c r="V1569" s="108"/>
      <c r="W1569" s="108"/>
      <c r="X1569" s="108"/>
      <c r="Y1569" s="108"/>
      <c r="Z1569" s="108"/>
    </row>
    <row r="1570" ht="16.5" customHeight="1">
      <c r="A1570" s="108"/>
      <c r="B1570" s="108"/>
      <c r="C1570" s="180"/>
      <c r="D1570" s="108"/>
      <c r="E1570" s="108"/>
      <c r="F1570" s="108"/>
      <c r="G1570" s="108"/>
      <c r="H1570" s="108"/>
      <c r="I1570" s="108"/>
      <c r="J1570" s="108"/>
      <c r="K1570" s="108"/>
      <c r="L1570" s="108"/>
      <c r="M1570" s="108"/>
      <c r="N1570" s="108"/>
      <c r="O1570" s="108"/>
      <c r="P1570" s="108"/>
      <c r="Q1570" s="108"/>
      <c r="R1570" s="108"/>
      <c r="S1570" s="108"/>
      <c r="T1570" s="108"/>
      <c r="U1570" s="108"/>
      <c r="V1570" s="108"/>
      <c r="W1570" s="108"/>
      <c r="X1570" s="108"/>
      <c r="Y1570" s="108"/>
      <c r="Z1570" s="108"/>
    </row>
    <row r="1571" ht="16.5" customHeight="1">
      <c r="A1571" s="108"/>
      <c r="B1571" s="108"/>
      <c r="C1571" s="180"/>
      <c r="D1571" s="108"/>
      <c r="E1571" s="108"/>
      <c r="F1571" s="108"/>
      <c r="G1571" s="108"/>
      <c r="H1571" s="108"/>
      <c r="I1571" s="108"/>
      <c r="J1571" s="108"/>
      <c r="K1571" s="108"/>
      <c r="L1571" s="108"/>
      <c r="M1571" s="108"/>
      <c r="N1571" s="108"/>
      <c r="O1571" s="108"/>
      <c r="P1571" s="108"/>
      <c r="Q1571" s="108"/>
      <c r="R1571" s="108"/>
      <c r="S1571" s="108"/>
      <c r="T1571" s="108"/>
      <c r="U1571" s="108"/>
      <c r="V1571" s="108"/>
      <c r="W1571" s="108"/>
      <c r="X1571" s="108"/>
      <c r="Y1571" s="108"/>
      <c r="Z1571" s="108"/>
    </row>
    <row r="1572" ht="16.5" customHeight="1">
      <c r="A1572" s="108"/>
      <c r="B1572" s="108"/>
      <c r="C1572" s="180"/>
      <c r="D1572" s="108"/>
      <c r="E1572" s="108"/>
      <c r="F1572" s="108"/>
      <c r="G1572" s="108"/>
      <c r="H1572" s="108"/>
      <c r="I1572" s="108"/>
      <c r="J1572" s="108"/>
      <c r="K1572" s="108"/>
      <c r="L1572" s="108"/>
      <c r="M1572" s="108"/>
      <c r="N1572" s="108"/>
      <c r="O1572" s="108"/>
      <c r="P1572" s="108"/>
      <c r="Q1572" s="108"/>
      <c r="R1572" s="108"/>
      <c r="S1572" s="108"/>
      <c r="T1572" s="108"/>
      <c r="U1572" s="108"/>
      <c r="V1572" s="108"/>
      <c r="W1572" s="108"/>
      <c r="X1572" s="108"/>
      <c r="Y1572" s="108"/>
      <c r="Z1572" s="108"/>
    </row>
    <row r="1573" ht="16.5" customHeight="1">
      <c r="A1573" s="108"/>
      <c r="B1573" s="108"/>
      <c r="C1573" s="180"/>
      <c r="D1573" s="108"/>
      <c r="E1573" s="108"/>
      <c r="F1573" s="108"/>
      <c r="G1573" s="108"/>
      <c r="H1573" s="108"/>
      <c r="I1573" s="108"/>
      <c r="J1573" s="108"/>
      <c r="K1573" s="108"/>
      <c r="L1573" s="108"/>
      <c r="M1573" s="108"/>
      <c r="N1573" s="108"/>
      <c r="O1573" s="108"/>
      <c r="P1573" s="108"/>
      <c r="Q1573" s="108"/>
      <c r="R1573" s="108"/>
      <c r="S1573" s="108"/>
      <c r="T1573" s="108"/>
      <c r="U1573" s="108"/>
      <c r="V1573" s="108"/>
      <c r="W1573" s="108"/>
      <c r="X1573" s="108"/>
      <c r="Y1573" s="108"/>
      <c r="Z1573" s="108"/>
    </row>
    <row r="1574" ht="16.5" customHeight="1">
      <c r="A1574" s="108"/>
      <c r="B1574" s="108"/>
      <c r="C1574" s="180"/>
      <c r="D1574" s="108"/>
      <c r="E1574" s="108"/>
      <c r="F1574" s="108"/>
      <c r="G1574" s="108"/>
      <c r="H1574" s="108"/>
      <c r="I1574" s="108"/>
      <c r="J1574" s="108"/>
      <c r="K1574" s="108"/>
      <c r="L1574" s="108"/>
      <c r="M1574" s="108"/>
      <c r="N1574" s="108"/>
      <c r="O1574" s="108"/>
      <c r="P1574" s="108"/>
      <c r="Q1574" s="108"/>
      <c r="R1574" s="108"/>
      <c r="S1574" s="108"/>
      <c r="T1574" s="108"/>
      <c r="U1574" s="108"/>
      <c r="V1574" s="108"/>
      <c r="W1574" s="108"/>
      <c r="X1574" s="108"/>
      <c r="Y1574" s="108"/>
      <c r="Z1574" s="108"/>
    </row>
    <row r="1575" ht="16.5" customHeight="1">
      <c r="A1575" s="108"/>
      <c r="B1575" s="108"/>
      <c r="C1575" s="180"/>
      <c r="D1575" s="108"/>
      <c r="E1575" s="108"/>
      <c r="F1575" s="108"/>
      <c r="G1575" s="108"/>
      <c r="H1575" s="108"/>
      <c r="I1575" s="108"/>
      <c r="J1575" s="108"/>
      <c r="K1575" s="108"/>
      <c r="L1575" s="108"/>
      <c r="M1575" s="108"/>
      <c r="N1575" s="108"/>
      <c r="O1575" s="108"/>
      <c r="P1575" s="108"/>
      <c r="Q1575" s="108"/>
      <c r="R1575" s="108"/>
      <c r="S1575" s="108"/>
      <c r="T1575" s="108"/>
      <c r="U1575" s="108"/>
      <c r="V1575" s="108"/>
      <c r="W1575" s="108"/>
      <c r="X1575" s="108"/>
      <c r="Y1575" s="108"/>
      <c r="Z1575" s="108"/>
    </row>
    <row r="1576" ht="16.5" customHeight="1">
      <c r="A1576" s="108"/>
      <c r="B1576" s="108"/>
      <c r="C1576" s="180"/>
      <c r="D1576" s="108"/>
      <c r="E1576" s="108"/>
      <c r="F1576" s="108"/>
      <c r="G1576" s="108"/>
      <c r="H1576" s="108"/>
      <c r="I1576" s="108"/>
      <c r="J1576" s="108"/>
      <c r="K1576" s="108"/>
      <c r="L1576" s="108"/>
      <c r="M1576" s="108"/>
      <c r="N1576" s="108"/>
      <c r="O1576" s="108"/>
      <c r="P1576" s="108"/>
      <c r="Q1576" s="108"/>
      <c r="R1576" s="108"/>
      <c r="S1576" s="108"/>
      <c r="T1576" s="108"/>
      <c r="U1576" s="108"/>
      <c r="V1576" s="108"/>
      <c r="W1576" s="108"/>
      <c r="X1576" s="108"/>
      <c r="Y1576" s="108"/>
      <c r="Z1576" s="108"/>
    </row>
    <row r="1577" ht="16.5" customHeight="1">
      <c r="A1577" s="108"/>
      <c r="B1577" s="108"/>
      <c r="C1577" s="180"/>
      <c r="D1577" s="108"/>
      <c r="E1577" s="108"/>
      <c r="F1577" s="108"/>
      <c r="G1577" s="108"/>
      <c r="H1577" s="108"/>
      <c r="I1577" s="108"/>
      <c r="J1577" s="108"/>
      <c r="K1577" s="108"/>
      <c r="L1577" s="108"/>
      <c r="M1577" s="108"/>
      <c r="N1577" s="108"/>
      <c r="O1577" s="108"/>
      <c r="P1577" s="108"/>
      <c r="Q1577" s="108"/>
      <c r="R1577" s="108"/>
      <c r="S1577" s="108"/>
      <c r="T1577" s="108"/>
      <c r="U1577" s="108"/>
      <c r="V1577" s="108"/>
      <c r="W1577" s="108"/>
      <c r="X1577" s="108"/>
      <c r="Y1577" s="108"/>
      <c r="Z1577" s="108"/>
    </row>
    <row r="1578" ht="16.5" customHeight="1">
      <c r="A1578" s="108"/>
      <c r="B1578" s="108"/>
      <c r="C1578" s="180"/>
      <c r="D1578" s="108"/>
      <c r="E1578" s="108"/>
      <c r="F1578" s="108"/>
      <c r="G1578" s="108"/>
      <c r="H1578" s="108"/>
      <c r="I1578" s="108"/>
      <c r="J1578" s="108"/>
      <c r="K1578" s="108"/>
      <c r="L1578" s="108"/>
      <c r="M1578" s="108"/>
      <c r="N1578" s="108"/>
      <c r="O1578" s="108"/>
      <c r="P1578" s="108"/>
      <c r="Q1578" s="108"/>
      <c r="R1578" s="108"/>
      <c r="S1578" s="108"/>
      <c r="T1578" s="108"/>
      <c r="U1578" s="108"/>
      <c r="V1578" s="108"/>
      <c r="W1578" s="108"/>
      <c r="X1578" s="108"/>
      <c r="Y1578" s="108"/>
      <c r="Z1578" s="108"/>
    </row>
    <row r="1579" ht="16.5" customHeight="1">
      <c r="A1579" s="108"/>
      <c r="B1579" s="108"/>
      <c r="C1579" s="180"/>
      <c r="D1579" s="108"/>
      <c r="E1579" s="108"/>
      <c r="F1579" s="108"/>
      <c r="G1579" s="108"/>
      <c r="H1579" s="108"/>
      <c r="I1579" s="108"/>
      <c r="J1579" s="108"/>
      <c r="K1579" s="108"/>
      <c r="L1579" s="108"/>
      <c r="M1579" s="108"/>
      <c r="N1579" s="108"/>
      <c r="O1579" s="108"/>
      <c r="P1579" s="108"/>
      <c r="Q1579" s="108"/>
      <c r="R1579" s="108"/>
      <c r="S1579" s="108"/>
      <c r="T1579" s="108"/>
      <c r="U1579" s="108"/>
      <c r="V1579" s="108"/>
      <c r="W1579" s="108"/>
      <c r="X1579" s="108"/>
      <c r="Y1579" s="108"/>
      <c r="Z1579" s="108"/>
    </row>
    <row r="1580" ht="16.5" customHeight="1">
      <c r="A1580" s="108"/>
      <c r="B1580" s="108"/>
      <c r="C1580" s="180"/>
      <c r="D1580" s="108"/>
      <c r="E1580" s="108"/>
      <c r="F1580" s="108"/>
      <c r="G1580" s="108"/>
      <c r="H1580" s="108"/>
      <c r="I1580" s="108"/>
      <c r="J1580" s="108"/>
      <c r="K1580" s="108"/>
      <c r="L1580" s="108"/>
      <c r="M1580" s="108"/>
      <c r="N1580" s="108"/>
      <c r="O1580" s="108"/>
      <c r="P1580" s="108"/>
      <c r="Q1580" s="108"/>
      <c r="R1580" s="108"/>
      <c r="S1580" s="108"/>
      <c r="T1580" s="108"/>
      <c r="U1580" s="108"/>
      <c r="V1580" s="108"/>
      <c r="W1580" s="108"/>
      <c r="X1580" s="108"/>
      <c r="Y1580" s="108"/>
      <c r="Z1580" s="108"/>
    </row>
    <row r="1581" ht="16.5" customHeight="1">
      <c r="A1581" s="108"/>
      <c r="B1581" s="108"/>
      <c r="C1581" s="180"/>
      <c r="D1581" s="108"/>
      <c r="E1581" s="108"/>
      <c r="F1581" s="108"/>
      <c r="G1581" s="108"/>
      <c r="H1581" s="108"/>
      <c r="I1581" s="108"/>
      <c r="J1581" s="108"/>
      <c r="K1581" s="108"/>
      <c r="L1581" s="108"/>
      <c r="M1581" s="108"/>
      <c r="N1581" s="108"/>
      <c r="O1581" s="108"/>
      <c r="P1581" s="108"/>
      <c r="Q1581" s="108"/>
      <c r="R1581" s="108"/>
      <c r="S1581" s="108"/>
      <c r="T1581" s="108"/>
      <c r="U1581" s="108"/>
      <c r="V1581" s="108"/>
      <c r="W1581" s="108"/>
      <c r="X1581" s="108"/>
      <c r="Y1581" s="108"/>
      <c r="Z1581" s="108"/>
    </row>
    <row r="1582" ht="16.5" customHeight="1">
      <c r="A1582" s="108"/>
      <c r="B1582" s="108"/>
      <c r="C1582" s="180"/>
      <c r="D1582" s="108"/>
      <c r="E1582" s="108"/>
      <c r="F1582" s="108"/>
      <c r="G1582" s="108"/>
      <c r="H1582" s="108"/>
      <c r="I1582" s="108"/>
      <c r="J1582" s="108"/>
      <c r="K1582" s="108"/>
      <c r="L1582" s="108"/>
      <c r="M1582" s="108"/>
      <c r="N1582" s="108"/>
      <c r="O1582" s="108"/>
      <c r="P1582" s="108"/>
      <c r="Q1582" s="108"/>
      <c r="R1582" s="108"/>
      <c r="S1582" s="108"/>
      <c r="T1582" s="108"/>
      <c r="U1582" s="108"/>
      <c r="V1582" s="108"/>
      <c r="W1582" s="108"/>
      <c r="X1582" s="108"/>
      <c r="Y1582" s="108"/>
      <c r="Z1582" s="108"/>
    </row>
    <row r="1583" ht="16.5" customHeight="1">
      <c r="A1583" s="108"/>
      <c r="B1583" s="108"/>
      <c r="C1583" s="180"/>
      <c r="D1583" s="108"/>
      <c r="E1583" s="108"/>
      <c r="F1583" s="108"/>
      <c r="G1583" s="108"/>
      <c r="H1583" s="108"/>
      <c r="I1583" s="108"/>
      <c r="J1583" s="108"/>
      <c r="K1583" s="108"/>
      <c r="L1583" s="108"/>
      <c r="M1583" s="108"/>
      <c r="N1583" s="108"/>
      <c r="O1583" s="108"/>
      <c r="P1583" s="108"/>
      <c r="Q1583" s="108"/>
      <c r="R1583" s="108"/>
      <c r="S1583" s="108"/>
      <c r="T1583" s="108"/>
      <c r="U1583" s="108"/>
      <c r="V1583" s="108"/>
      <c r="W1583" s="108"/>
      <c r="X1583" s="108"/>
      <c r="Y1583" s="108"/>
      <c r="Z1583" s="108"/>
    </row>
    <row r="1584" ht="16.5" customHeight="1">
      <c r="A1584" s="108"/>
      <c r="B1584" s="108"/>
      <c r="C1584" s="180"/>
      <c r="D1584" s="108"/>
      <c r="E1584" s="108"/>
      <c r="F1584" s="108"/>
      <c r="G1584" s="108"/>
      <c r="H1584" s="108"/>
      <c r="I1584" s="108"/>
      <c r="J1584" s="108"/>
      <c r="K1584" s="108"/>
      <c r="L1584" s="108"/>
      <c r="M1584" s="108"/>
      <c r="N1584" s="108"/>
      <c r="O1584" s="108"/>
      <c r="P1584" s="108"/>
      <c r="Q1584" s="108"/>
      <c r="R1584" s="108"/>
      <c r="S1584" s="108"/>
      <c r="T1584" s="108"/>
      <c r="U1584" s="108"/>
      <c r="V1584" s="108"/>
      <c r="W1584" s="108"/>
      <c r="X1584" s="108"/>
      <c r="Y1584" s="108"/>
      <c r="Z1584" s="108"/>
    </row>
    <row r="1585" ht="16.5" customHeight="1">
      <c r="A1585" s="108"/>
      <c r="B1585" s="108"/>
      <c r="C1585" s="180"/>
      <c r="D1585" s="108"/>
      <c r="E1585" s="108"/>
      <c r="F1585" s="108"/>
      <c r="G1585" s="108"/>
      <c r="H1585" s="108"/>
      <c r="I1585" s="108"/>
      <c r="J1585" s="108"/>
      <c r="K1585" s="108"/>
      <c r="L1585" s="108"/>
      <c r="M1585" s="108"/>
      <c r="N1585" s="108"/>
      <c r="O1585" s="108"/>
      <c r="P1585" s="108"/>
      <c r="Q1585" s="108"/>
      <c r="R1585" s="108"/>
      <c r="S1585" s="108"/>
      <c r="T1585" s="108"/>
      <c r="U1585" s="108"/>
      <c r="V1585" s="108"/>
      <c r="W1585" s="108"/>
      <c r="X1585" s="108"/>
      <c r="Y1585" s="108"/>
      <c r="Z1585" s="108"/>
    </row>
    <row r="1586" ht="16.5" customHeight="1">
      <c r="A1586" s="108"/>
      <c r="B1586" s="108"/>
      <c r="C1586" s="180"/>
      <c r="D1586" s="108"/>
      <c r="E1586" s="108"/>
      <c r="F1586" s="108"/>
      <c r="G1586" s="108"/>
      <c r="H1586" s="108"/>
      <c r="I1586" s="108"/>
      <c r="J1586" s="108"/>
      <c r="K1586" s="108"/>
      <c r="L1586" s="108"/>
      <c r="M1586" s="108"/>
      <c r="N1586" s="108"/>
      <c r="O1586" s="108"/>
      <c r="P1586" s="108"/>
      <c r="Q1586" s="108"/>
      <c r="R1586" s="108"/>
      <c r="S1586" s="108"/>
      <c r="T1586" s="108"/>
      <c r="U1586" s="108"/>
      <c r="V1586" s="108"/>
      <c r="W1586" s="108"/>
      <c r="X1586" s="108"/>
      <c r="Y1586" s="108"/>
      <c r="Z1586" s="108"/>
    </row>
    <row r="1587" ht="16.5" customHeight="1">
      <c r="A1587" s="108"/>
      <c r="B1587" s="108"/>
      <c r="C1587" s="180"/>
      <c r="D1587" s="108"/>
      <c r="E1587" s="108"/>
      <c r="F1587" s="108"/>
      <c r="G1587" s="108"/>
      <c r="H1587" s="108"/>
      <c r="I1587" s="108"/>
      <c r="J1587" s="108"/>
      <c r="K1587" s="108"/>
      <c r="L1587" s="108"/>
      <c r="M1587" s="108"/>
      <c r="N1587" s="108"/>
      <c r="O1587" s="108"/>
      <c r="P1587" s="108"/>
      <c r="Q1587" s="108"/>
      <c r="R1587" s="108"/>
      <c r="S1587" s="108"/>
      <c r="T1587" s="108"/>
      <c r="U1587" s="108"/>
      <c r="V1587" s="108"/>
      <c r="W1587" s="108"/>
      <c r="X1587" s="108"/>
      <c r="Y1587" s="108"/>
      <c r="Z1587" s="108"/>
    </row>
    <row r="1588" ht="16.5" customHeight="1">
      <c r="A1588" s="108"/>
      <c r="B1588" s="108"/>
      <c r="C1588" s="180"/>
      <c r="D1588" s="108"/>
      <c r="E1588" s="108"/>
      <c r="F1588" s="108"/>
      <c r="G1588" s="108"/>
      <c r="H1588" s="108"/>
      <c r="I1588" s="108"/>
      <c r="J1588" s="108"/>
      <c r="K1588" s="108"/>
      <c r="L1588" s="108"/>
      <c r="M1588" s="108"/>
      <c r="N1588" s="108"/>
      <c r="O1588" s="108"/>
      <c r="P1588" s="108"/>
      <c r="Q1588" s="108"/>
      <c r="R1588" s="108"/>
      <c r="S1588" s="108"/>
      <c r="T1588" s="108"/>
      <c r="U1588" s="108"/>
      <c r="V1588" s="108"/>
      <c r="W1588" s="108"/>
      <c r="X1588" s="108"/>
      <c r="Y1588" s="108"/>
      <c r="Z1588" s="108"/>
    </row>
    <row r="1589" ht="16.5" customHeight="1">
      <c r="A1589" s="108"/>
      <c r="B1589" s="108"/>
      <c r="C1589" s="180"/>
      <c r="D1589" s="108"/>
      <c r="E1589" s="108"/>
      <c r="F1589" s="108"/>
      <c r="G1589" s="108"/>
      <c r="H1589" s="108"/>
      <c r="I1589" s="108"/>
      <c r="J1589" s="108"/>
      <c r="K1589" s="108"/>
      <c r="L1589" s="108"/>
      <c r="M1589" s="108"/>
      <c r="N1589" s="108"/>
      <c r="O1589" s="108"/>
      <c r="P1589" s="108"/>
      <c r="Q1589" s="108"/>
      <c r="R1589" s="108"/>
      <c r="S1589" s="108"/>
      <c r="T1589" s="108"/>
      <c r="U1589" s="108"/>
      <c r="V1589" s="108"/>
      <c r="W1589" s="108"/>
      <c r="X1589" s="108"/>
      <c r="Y1589" s="108"/>
      <c r="Z1589" s="108"/>
    </row>
    <row r="1590" ht="16.5" customHeight="1">
      <c r="A1590" s="108"/>
      <c r="B1590" s="108"/>
      <c r="C1590" s="180"/>
      <c r="D1590" s="108"/>
      <c r="E1590" s="108"/>
      <c r="F1590" s="108"/>
      <c r="G1590" s="108"/>
      <c r="H1590" s="108"/>
      <c r="I1590" s="108"/>
      <c r="J1590" s="108"/>
      <c r="K1590" s="108"/>
      <c r="L1590" s="108"/>
      <c r="M1590" s="108"/>
      <c r="N1590" s="108"/>
      <c r="O1590" s="108"/>
      <c r="P1590" s="108"/>
      <c r="Q1590" s="108"/>
      <c r="R1590" s="108"/>
      <c r="S1590" s="108"/>
      <c r="T1590" s="108"/>
      <c r="U1590" s="108"/>
      <c r="V1590" s="108"/>
      <c r="W1590" s="108"/>
      <c r="X1590" s="108"/>
      <c r="Y1590" s="108"/>
      <c r="Z1590" s="108"/>
    </row>
    <row r="1591" ht="16.5" customHeight="1">
      <c r="A1591" s="108"/>
      <c r="B1591" s="108"/>
      <c r="C1591" s="180"/>
      <c r="D1591" s="108"/>
      <c r="E1591" s="108"/>
      <c r="F1591" s="108"/>
      <c r="G1591" s="108"/>
      <c r="H1591" s="108"/>
      <c r="I1591" s="108"/>
      <c r="J1591" s="108"/>
      <c r="K1591" s="108"/>
      <c r="L1591" s="108"/>
      <c r="M1591" s="108"/>
      <c r="N1591" s="108"/>
      <c r="O1591" s="108"/>
      <c r="P1591" s="108"/>
      <c r="Q1591" s="108"/>
      <c r="R1591" s="108"/>
      <c r="S1591" s="108"/>
      <c r="T1591" s="108"/>
      <c r="U1591" s="108"/>
      <c r="V1591" s="108"/>
      <c r="W1591" s="108"/>
      <c r="X1591" s="108"/>
      <c r="Y1591" s="108"/>
      <c r="Z1591" s="108"/>
    </row>
    <row r="1592" ht="16.5" customHeight="1">
      <c r="A1592" s="108"/>
      <c r="B1592" s="108"/>
      <c r="C1592" s="180"/>
      <c r="D1592" s="108"/>
      <c r="E1592" s="108"/>
      <c r="F1592" s="108"/>
      <c r="G1592" s="108"/>
      <c r="H1592" s="108"/>
      <c r="I1592" s="108"/>
      <c r="J1592" s="108"/>
      <c r="K1592" s="108"/>
      <c r="L1592" s="108"/>
      <c r="M1592" s="108"/>
      <c r="N1592" s="108"/>
      <c r="O1592" s="108"/>
      <c r="P1592" s="108"/>
      <c r="Q1592" s="108"/>
      <c r="R1592" s="108"/>
      <c r="S1592" s="108"/>
      <c r="T1592" s="108"/>
      <c r="U1592" s="108"/>
      <c r="V1592" s="108"/>
      <c r="W1592" s="108"/>
      <c r="X1592" s="108"/>
      <c r="Y1592" s="108"/>
      <c r="Z1592" s="108"/>
    </row>
    <row r="1593" ht="16.5" customHeight="1">
      <c r="A1593" s="108"/>
      <c r="B1593" s="108"/>
      <c r="C1593" s="180"/>
      <c r="D1593" s="108"/>
      <c r="E1593" s="108"/>
      <c r="F1593" s="108"/>
      <c r="G1593" s="108"/>
      <c r="H1593" s="108"/>
      <c r="I1593" s="108"/>
      <c r="J1593" s="108"/>
      <c r="K1593" s="108"/>
      <c r="L1593" s="108"/>
      <c r="M1593" s="108"/>
      <c r="N1593" s="108"/>
      <c r="O1593" s="108"/>
      <c r="P1593" s="108"/>
      <c r="Q1593" s="108"/>
      <c r="R1593" s="108"/>
      <c r="S1593" s="108"/>
      <c r="T1593" s="108"/>
      <c r="U1593" s="108"/>
      <c r="V1593" s="108"/>
      <c r="W1593" s="108"/>
      <c r="X1593" s="108"/>
      <c r="Y1593" s="108"/>
      <c r="Z1593" s="108"/>
    </row>
    <row r="1594" ht="16.5" customHeight="1">
      <c r="A1594" s="108"/>
      <c r="B1594" s="108"/>
      <c r="C1594" s="180"/>
      <c r="D1594" s="108"/>
      <c r="E1594" s="108"/>
      <c r="F1594" s="108"/>
      <c r="G1594" s="108"/>
      <c r="H1594" s="108"/>
      <c r="I1594" s="108"/>
      <c r="J1594" s="108"/>
      <c r="K1594" s="108"/>
      <c r="L1594" s="108"/>
      <c r="M1594" s="108"/>
      <c r="N1594" s="108"/>
      <c r="O1594" s="108"/>
      <c r="P1594" s="108"/>
      <c r="Q1594" s="108"/>
      <c r="R1594" s="108"/>
      <c r="S1594" s="108"/>
      <c r="T1594" s="108"/>
      <c r="U1594" s="108"/>
      <c r="V1594" s="108"/>
      <c r="W1594" s="108"/>
      <c r="X1594" s="108"/>
      <c r="Y1594" s="108"/>
      <c r="Z1594" s="108"/>
    </row>
    <row r="1595" ht="16.5" customHeight="1">
      <c r="A1595" s="108"/>
      <c r="B1595" s="108"/>
      <c r="C1595" s="180"/>
      <c r="D1595" s="108"/>
      <c r="E1595" s="108"/>
      <c r="F1595" s="108"/>
      <c r="G1595" s="108"/>
      <c r="H1595" s="108"/>
      <c r="I1595" s="108"/>
      <c r="J1595" s="108"/>
      <c r="K1595" s="108"/>
      <c r="L1595" s="108"/>
      <c r="M1595" s="108"/>
      <c r="N1595" s="108"/>
      <c r="O1595" s="108"/>
      <c r="P1595" s="108"/>
      <c r="Q1595" s="108"/>
      <c r="R1595" s="108"/>
      <c r="S1595" s="108"/>
      <c r="T1595" s="108"/>
      <c r="U1595" s="108"/>
      <c r="V1595" s="108"/>
      <c r="W1595" s="108"/>
      <c r="X1595" s="108"/>
      <c r="Y1595" s="108"/>
      <c r="Z1595" s="108"/>
    </row>
    <row r="1596" ht="16.5" customHeight="1">
      <c r="A1596" s="108"/>
      <c r="B1596" s="108"/>
      <c r="C1596" s="180"/>
      <c r="D1596" s="108"/>
      <c r="E1596" s="108"/>
      <c r="F1596" s="108"/>
      <c r="G1596" s="108"/>
      <c r="H1596" s="108"/>
      <c r="I1596" s="108"/>
      <c r="J1596" s="108"/>
      <c r="K1596" s="108"/>
      <c r="L1596" s="108"/>
      <c r="M1596" s="108"/>
      <c r="N1596" s="108"/>
      <c r="O1596" s="108"/>
      <c r="P1596" s="108"/>
      <c r="Q1596" s="108"/>
      <c r="R1596" s="108"/>
      <c r="S1596" s="108"/>
      <c r="T1596" s="108"/>
      <c r="U1596" s="108"/>
      <c r="V1596" s="108"/>
      <c r="W1596" s="108"/>
      <c r="X1596" s="108"/>
      <c r="Y1596" s="108"/>
      <c r="Z1596" s="108"/>
    </row>
    <row r="1597" ht="16.5" customHeight="1">
      <c r="A1597" s="108"/>
      <c r="B1597" s="108"/>
      <c r="C1597" s="180"/>
      <c r="D1597" s="108"/>
      <c r="E1597" s="108"/>
      <c r="F1597" s="108"/>
      <c r="G1597" s="108"/>
      <c r="H1597" s="108"/>
      <c r="I1597" s="108"/>
      <c r="J1597" s="108"/>
      <c r="K1597" s="108"/>
      <c r="L1597" s="108"/>
      <c r="M1597" s="108"/>
      <c r="N1597" s="108"/>
      <c r="O1597" s="108"/>
      <c r="P1597" s="108"/>
      <c r="Q1597" s="108"/>
      <c r="R1597" s="108"/>
      <c r="S1597" s="108"/>
      <c r="T1597" s="108"/>
      <c r="U1597" s="108"/>
      <c r="V1597" s="108"/>
      <c r="W1597" s="108"/>
      <c r="X1597" s="108"/>
      <c r="Y1597" s="108"/>
      <c r="Z1597" s="108"/>
    </row>
    <row r="1598" ht="16.5" customHeight="1">
      <c r="A1598" s="108"/>
      <c r="B1598" s="108"/>
      <c r="C1598" s="180"/>
      <c r="D1598" s="108"/>
      <c r="E1598" s="108"/>
      <c r="F1598" s="108"/>
      <c r="G1598" s="108"/>
      <c r="H1598" s="108"/>
      <c r="I1598" s="108"/>
      <c r="J1598" s="108"/>
      <c r="K1598" s="108"/>
      <c r="L1598" s="108"/>
      <c r="M1598" s="108"/>
      <c r="N1598" s="108"/>
      <c r="O1598" s="108"/>
      <c r="P1598" s="108"/>
      <c r="Q1598" s="108"/>
      <c r="R1598" s="108"/>
      <c r="S1598" s="108"/>
      <c r="T1598" s="108"/>
      <c r="U1598" s="108"/>
      <c r="V1598" s="108"/>
      <c r="W1598" s="108"/>
      <c r="X1598" s="108"/>
      <c r="Y1598" s="108"/>
      <c r="Z1598" s="108"/>
    </row>
    <row r="1599" ht="16.5" customHeight="1">
      <c r="A1599" s="108"/>
      <c r="B1599" s="108"/>
      <c r="C1599" s="180"/>
      <c r="D1599" s="108"/>
      <c r="E1599" s="108"/>
      <c r="F1599" s="108"/>
      <c r="G1599" s="108"/>
      <c r="H1599" s="108"/>
      <c r="I1599" s="108"/>
      <c r="J1599" s="108"/>
      <c r="K1599" s="108"/>
      <c r="L1599" s="108"/>
      <c r="M1599" s="108"/>
      <c r="N1599" s="108"/>
      <c r="O1599" s="108"/>
      <c r="P1599" s="108"/>
      <c r="Q1599" s="108"/>
      <c r="R1599" s="108"/>
      <c r="S1599" s="108"/>
      <c r="T1599" s="108"/>
      <c r="U1599" s="108"/>
      <c r="V1599" s="108"/>
      <c r="W1599" s="108"/>
      <c r="X1599" s="108"/>
      <c r="Y1599" s="108"/>
      <c r="Z1599" s="108"/>
    </row>
    <row r="1600" ht="16.5" customHeight="1">
      <c r="A1600" s="108"/>
      <c r="B1600" s="108"/>
      <c r="C1600" s="180"/>
      <c r="D1600" s="108"/>
      <c r="E1600" s="108"/>
      <c r="F1600" s="108"/>
      <c r="G1600" s="108"/>
      <c r="H1600" s="108"/>
      <c r="I1600" s="108"/>
      <c r="J1600" s="108"/>
      <c r="K1600" s="108"/>
      <c r="L1600" s="108"/>
      <c r="M1600" s="108"/>
      <c r="N1600" s="108"/>
      <c r="O1600" s="108"/>
      <c r="P1600" s="108"/>
      <c r="Q1600" s="108"/>
      <c r="R1600" s="108"/>
      <c r="S1600" s="108"/>
      <c r="T1600" s="108"/>
      <c r="U1600" s="108"/>
      <c r="V1600" s="108"/>
      <c r="W1600" s="108"/>
      <c r="X1600" s="108"/>
      <c r="Y1600" s="108"/>
      <c r="Z1600" s="108"/>
    </row>
    <row r="1601" ht="16.5" customHeight="1">
      <c r="A1601" s="108"/>
      <c r="B1601" s="108"/>
      <c r="C1601" s="180"/>
      <c r="D1601" s="108"/>
      <c r="E1601" s="108"/>
      <c r="F1601" s="108"/>
      <c r="G1601" s="108"/>
      <c r="H1601" s="108"/>
      <c r="I1601" s="108"/>
      <c r="J1601" s="108"/>
      <c r="K1601" s="108"/>
      <c r="L1601" s="108"/>
      <c r="M1601" s="108"/>
      <c r="N1601" s="108"/>
      <c r="O1601" s="108"/>
      <c r="P1601" s="108"/>
      <c r="Q1601" s="108"/>
      <c r="R1601" s="108"/>
      <c r="S1601" s="108"/>
      <c r="T1601" s="108"/>
      <c r="U1601" s="108"/>
      <c r="V1601" s="108"/>
      <c r="W1601" s="108"/>
      <c r="X1601" s="108"/>
      <c r="Y1601" s="108"/>
      <c r="Z1601" s="108"/>
    </row>
    <row r="1602" ht="16.5" customHeight="1">
      <c r="A1602" s="108"/>
      <c r="B1602" s="108"/>
      <c r="C1602" s="180"/>
      <c r="D1602" s="108"/>
      <c r="E1602" s="108"/>
      <c r="F1602" s="108"/>
      <c r="G1602" s="108"/>
      <c r="H1602" s="108"/>
      <c r="I1602" s="108"/>
      <c r="J1602" s="108"/>
      <c r="K1602" s="108"/>
      <c r="L1602" s="108"/>
      <c r="M1602" s="108"/>
      <c r="N1602" s="108"/>
      <c r="O1602" s="108"/>
      <c r="P1602" s="108"/>
      <c r="Q1602" s="108"/>
      <c r="R1602" s="108"/>
      <c r="S1602" s="108"/>
      <c r="T1602" s="108"/>
      <c r="U1602" s="108"/>
      <c r="V1602" s="108"/>
      <c r="W1602" s="108"/>
      <c r="X1602" s="108"/>
      <c r="Y1602" s="108"/>
      <c r="Z1602" s="108"/>
    </row>
    <row r="1603" ht="16.5" customHeight="1">
      <c r="A1603" s="108"/>
      <c r="B1603" s="108"/>
      <c r="C1603" s="180"/>
      <c r="D1603" s="108"/>
      <c r="E1603" s="108"/>
      <c r="F1603" s="108"/>
      <c r="G1603" s="108"/>
      <c r="H1603" s="108"/>
      <c r="I1603" s="108"/>
      <c r="J1603" s="108"/>
      <c r="K1603" s="108"/>
      <c r="L1603" s="108"/>
      <c r="M1603" s="108"/>
      <c r="N1603" s="108"/>
      <c r="O1603" s="108"/>
      <c r="P1603" s="108"/>
      <c r="Q1603" s="108"/>
      <c r="R1603" s="108"/>
      <c r="S1603" s="108"/>
      <c r="T1603" s="108"/>
      <c r="U1603" s="108"/>
      <c r="V1603" s="108"/>
      <c r="W1603" s="108"/>
      <c r="X1603" s="108"/>
      <c r="Y1603" s="108"/>
      <c r="Z1603" s="108"/>
    </row>
    <row r="1604" ht="16.5" customHeight="1">
      <c r="A1604" s="108"/>
      <c r="B1604" s="108"/>
      <c r="C1604" s="180"/>
      <c r="D1604" s="108"/>
      <c r="E1604" s="108"/>
      <c r="F1604" s="108"/>
      <c r="G1604" s="108"/>
      <c r="H1604" s="108"/>
      <c r="I1604" s="108"/>
      <c r="J1604" s="108"/>
      <c r="K1604" s="108"/>
      <c r="L1604" s="108"/>
      <c r="M1604" s="108"/>
      <c r="N1604" s="108"/>
      <c r="O1604" s="108"/>
      <c r="P1604" s="108"/>
      <c r="Q1604" s="108"/>
      <c r="R1604" s="108"/>
      <c r="S1604" s="108"/>
      <c r="T1604" s="108"/>
      <c r="U1604" s="108"/>
      <c r="V1604" s="108"/>
      <c r="W1604" s="108"/>
      <c r="X1604" s="108"/>
      <c r="Y1604" s="108"/>
      <c r="Z1604" s="108"/>
    </row>
    <row r="1605" ht="16.5" customHeight="1">
      <c r="A1605" s="108"/>
      <c r="B1605" s="108"/>
      <c r="C1605" s="180"/>
      <c r="D1605" s="108"/>
      <c r="E1605" s="108"/>
      <c r="F1605" s="108"/>
      <c r="G1605" s="108"/>
      <c r="H1605" s="108"/>
      <c r="I1605" s="108"/>
      <c r="J1605" s="108"/>
      <c r="K1605" s="108"/>
      <c r="L1605" s="108"/>
      <c r="M1605" s="108"/>
      <c r="N1605" s="108"/>
      <c r="O1605" s="108"/>
      <c r="P1605" s="108"/>
      <c r="Q1605" s="108"/>
      <c r="R1605" s="108"/>
      <c r="S1605" s="108"/>
      <c r="T1605" s="108"/>
      <c r="U1605" s="108"/>
      <c r="V1605" s="108"/>
      <c r="W1605" s="108"/>
      <c r="X1605" s="108"/>
      <c r="Y1605" s="108"/>
      <c r="Z1605" s="108"/>
    </row>
    <row r="1606" ht="16.5" customHeight="1">
      <c r="A1606" s="108"/>
      <c r="B1606" s="108"/>
      <c r="C1606" s="180"/>
      <c r="D1606" s="108"/>
      <c r="E1606" s="108"/>
      <c r="F1606" s="108"/>
      <c r="G1606" s="108"/>
      <c r="H1606" s="108"/>
      <c r="I1606" s="108"/>
      <c r="J1606" s="108"/>
      <c r="K1606" s="108"/>
      <c r="L1606" s="108"/>
      <c r="M1606" s="108"/>
      <c r="N1606" s="108"/>
      <c r="O1606" s="108"/>
      <c r="P1606" s="108"/>
      <c r="Q1606" s="108"/>
      <c r="R1606" s="108"/>
      <c r="S1606" s="108"/>
      <c r="T1606" s="108"/>
      <c r="U1606" s="108"/>
      <c r="V1606" s="108"/>
      <c r="W1606" s="108"/>
      <c r="X1606" s="108"/>
      <c r="Y1606" s="108"/>
      <c r="Z1606" s="108"/>
    </row>
    <row r="1607" ht="16.5" customHeight="1">
      <c r="A1607" s="108"/>
      <c r="B1607" s="108"/>
      <c r="C1607" s="180"/>
      <c r="D1607" s="108"/>
      <c r="E1607" s="108"/>
      <c r="F1607" s="108"/>
      <c r="G1607" s="108"/>
      <c r="H1607" s="108"/>
      <c r="I1607" s="108"/>
      <c r="J1607" s="108"/>
      <c r="K1607" s="108"/>
      <c r="L1607" s="108"/>
      <c r="M1607" s="108"/>
      <c r="N1607" s="108"/>
      <c r="O1607" s="108"/>
      <c r="P1607" s="108"/>
      <c r="Q1607" s="108"/>
      <c r="R1607" s="108"/>
      <c r="S1607" s="108"/>
      <c r="T1607" s="108"/>
      <c r="U1607" s="108"/>
      <c r="V1607" s="108"/>
      <c r="W1607" s="108"/>
      <c r="X1607" s="108"/>
      <c r="Y1607" s="108"/>
      <c r="Z1607" s="108"/>
    </row>
    <row r="1608" ht="16.5" customHeight="1">
      <c r="A1608" s="108"/>
      <c r="B1608" s="108"/>
      <c r="C1608" s="180"/>
      <c r="D1608" s="108"/>
      <c r="E1608" s="108"/>
      <c r="F1608" s="108"/>
      <c r="G1608" s="108"/>
      <c r="H1608" s="108"/>
      <c r="I1608" s="108"/>
      <c r="J1608" s="108"/>
      <c r="K1608" s="108"/>
      <c r="L1608" s="108"/>
      <c r="M1608" s="108"/>
      <c r="N1608" s="108"/>
      <c r="O1608" s="108"/>
      <c r="P1608" s="108"/>
      <c r="Q1608" s="108"/>
      <c r="R1608" s="108"/>
      <c r="S1608" s="108"/>
      <c r="T1608" s="108"/>
      <c r="U1608" s="108"/>
      <c r="V1608" s="108"/>
      <c r="W1608" s="108"/>
      <c r="X1608" s="108"/>
      <c r="Y1608" s="108"/>
      <c r="Z1608" s="108"/>
    </row>
    <row r="1609" ht="16.5" customHeight="1">
      <c r="A1609" s="108"/>
      <c r="B1609" s="108"/>
      <c r="C1609" s="180"/>
      <c r="D1609" s="108"/>
      <c r="E1609" s="108"/>
      <c r="F1609" s="108"/>
      <c r="G1609" s="108"/>
      <c r="H1609" s="108"/>
      <c r="I1609" s="108"/>
      <c r="J1609" s="108"/>
      <c r="K1609" s="108"/>
      <c r="L1609" s="108"/>
      <c r="M1609" s="108"/>
      <c r="N1609" s="108"/>
      <c r="O1609" s="108"/>
      <c r="P1609" s="108"/>
      <c r="Q1609" s="108"/>
      <c r="R1609" s="108"/>
      <c r="S1609" s="108"/>
      <c r="T1609" s="108"/>
      <c r="U1609" s="108"/>
      <c r="V1609" s="108"/>
      <c r="W1609" s="108"/>
      <c r="X1609" s="108"/>
      <c r="Y1609" s="108"/>
      <c r="Z1609" s="108"/>
    </row>
    <row r="1610" ht="16.5" customHeight="1">
      <c r="A1610" s="108"/>
      <c r="B1610" s="108"/>
      <c r="C1610" s="180"/>
      <c r="D1610" s="108"/>
      <c r="E1610" s="108"/>
      <c r="F1610" s="108"/>
      <c r="G1610" s="108"/>
      <c r="H1610" s="108"/>
      <c r="I1610" s="108"/>
      <c r="J1610" s="108"/>
      <c r="K1610" s="108"/>
      <c r="L1610" s="108"/>
      <c r="M1610" s="108"/>
      <c r="N1610" s="108"/>
      <c r="O1610" s="108"/>
      <c r="P1610" s="108"/>
      <c r="Q1610" s="108"/>
      <c r="R1610" s="108"/>
      <c r="S1610" s="108"/>
      <c r="T1610" s="108"/>
      <c r="U1610" s="108"/>
      <c r="V1610" s="108"/>
      <c r="W1610" s="108"/>
      <c r="X1610" s="108"/>
      <c r="Y1610" s="108"/>
      <c r="Z1610" s="108"/>
    </row>
    <row r="1611" ht="16.5" customHeight="1">
      <c r="A1611" s="108"/>
      <c r="B1611" s="108"/>
      <c r="C1611" s="180"/>
      <c r="D1611" s="108"/>
      <c r="E1611" s="108"/>
      <c r="F1611" s="108"/>
      <c r="G1611" s="108"/>
      <c r="H1611" s="108"/>
      <c r="I1611" s="108"/>
      <c r="J1611" s="108"/>
      <c r="K1611" s="108"/>
      <c r="L1611" s="108"/>
      <c r="M1611" s="108"/>
      <c r="N1611" s="108"/>
      <c r="O1611" s="108"/>
      <c r="P1611" s="108"/>
      <c r="Q1611" s="108"/>
      <c r="R1611" s="108"/>
      <c r="S1611" s="108"/>
      <c r="T1611" s="108"/>
      <c r="U1611" s="108"/>
      <c r="V1611" s="108"/>
      <c r="W1611" s="108"/>
      <c r="X1611" s="108"/>
      <c r="Y1611" s="108"/>
      <c r="Z1611" s="108"/>
    </row>
    <row r="1612" ht="16.5" customHeight="1">
      <c r="A1612" s="108"/>
      <c r="B1612" s="108"/>
      <c r="C1612" s="180"/>
      <c r="D1612" s="108"/>
      <c r="E1612" s="108"/>
      <c r="F1612" s="108"/>
      <c r="G1612" s="108"/>
      <c r="H1612" s="108"/>
      <c r="I1612" s="108"/>
      <c r="J1612" s="108"/>
      <c r="K1612" s="108"/>
      <c r="L1612" s="108"/>
      <c r="M1612" s="108"/>
      <c r="N1612" s="108"/>
      <c r="O1612" s="108"/>
      <c r="P1612" s="108"/>
      <c r="Q1612" s="108"/>
      <c r="R1612" s="108"/>
      <c r="S1612" s="108"/>
      <c r="T1612" s="108"/>
      <c r="U1612" s="108"/>
      <c r="V1612" s="108"/>
      <c r="W1612" s="108"/>
      <c r="X1612" s="108"/>
      <c r="Y1612" s="108"/>
      <c r="Z1612" s="108"/>
    </row>
    <row r="1613" ht="16.5" customHeight="1">
      <c r="A1613" s="108"/>
      <c r="B1613" s="108"/>
      <c r="C1613" s="180"/>
      <c r="D1613" s="108"/>
      <c r="E1613" s="108"/>
      <c r="F1613" s="108"/>
      <c r="G1613" s="108"/>
      <c r="H1613" s="108"/>
      <c r="I1613" s="108"/>
      <c r="J1613" s="108"/>
      <c r="K1613" s="108"/>
      <c r="L1613" s="108"/>
      <c r="M1613" s="108"/>
      <c r="N1613" s="108"/>
      <c r="O1613" s="108"/>
      <c r="P1613" s="108"/>
      <c r="Q1613" s="108"/>
      <c r="R1613" s="108"/>
      <c r="S1613" s="108"/>
      <c r="T1613" s="108"/>
      <c r="U1613" s="108"/>
      <c r="V1613" s="108"/>
      <c r="W1613" s="108"/>
      <c r="X1613" s="108"/>
      <c r="Y1613" s="108"/>
      <c r="Z1613" s="108"/>
    </row>
    <row r="1614" ht="16.5" customHeight="1">
      <c r="A1614" s="108"/>
      <c r="B1614" s="108"/>
      <c r="C1614" s="180"/>
      <c r="D1614" s="108"/>
      <c r="E1614" s="108"/>
      <c r="F1614" s="108"/>
      <c r="G1614" s="108"/>
      <c r="H1614" s="108"/>
      <c r="I1614" s="108"/>
      <c r="J1614" s="108"/>
      <c r="K1614" s="108"/>
      <c r="L1614" s="108"/>
      <c r="M1614" s="108"/>
      <c r="N1614" s="108"/>
      <c r="O1614" s="108"/>
      <c r="P1614" s="108"/>
      <c r="Q1614" s="108"/>
      <c r="R1614" s="108"/>
      <c r="S1614" s="108"/>
      <c r="T1614" s="108"/>
      <c r="U1614" s="108"/>
      <c r="V1614" s="108"/>
      <c r="W1614" s="108"/>
      <c r="X1614" s="108"/>
      <c r="Y1614" s="108"/>
      <c r="Z1614" s="108"/>
    </row>
    <row r="1615" ht="16.5" customHeight="1">
      <c r="A1615" s="108"/>
      <c r="B1615" s="108"/>
      <c r="C1615" s="180"/>
      <c r="D1615" s="108"/>
      <c r="E1615" s="108"/>
      <c r="F1615" s="108"/>
      <c r="G1615" s="108"/>
      <c r="H1615" s="108"/>
      <c r="I1615" s="108"/>
      <c r="J1615" s="108"/>
      <c r="K1615" s="108"/>
      <c r="L1615" s="108"/>
      <c r="M1615" s="108"/>
      <c r="N1615" s="108"/>
      <c r="O1615" s="108"/>
      <c r="P1615" s="108"/>
      <c r="Q1615" s="108"/>
      <c r="R1615" s="108"/>
      <c r="S1615" s="108"/>
      <c r="T1615" s="108"/>
      <c r="U1615" s="108"/>
      <c r="V1615" s="108"/>
      <c r="W1615" s="108"/>
      <c r="X1615" s="108"/>
      <c r="Y1615" s="108"/>
      <c r="Z1615" s="108"/>
    </row>
    <row r="1616" ht="16.5" customHeight="1">
      <c r="A1616" s="108"/>
      <c r="B1616" s="108"/>
      <c r="C1616" s="180"/>
      <c r="D1616" s="108"/>
      <c r="E1616" s="108"/>
      <c r="F1616" s="108"/>
      <c r="G1616" s="108"/>
      <c r="H1616" s="108"/>
      <c r="I1616" s="108"/>
      <c r="J1616" s="108"/>
      <c r="K1616" s="108"/>
      <c r="L1616" s="108"/>
      <c r="M1616" s="108"/>
      <c r="N1616" s="108"/>
      <c r="O1616" s="108"/>
      <c r="P1616" s="108"/>
      <c r="Q1616" s="108"/>
      <c r="R1616" s="108"/>
      <c r="S1616" s="108"/>
      <c r="T1616" s="108"/>
      <c r="U1616" s="108"/>
      <c r="V1616" s="108"/>
      <c r="W1616" s="108"/>
      <c r="X1616" s="108"/>
      <c r="Y1616" s="108"/>
      <c r="Z1616" s="108"/>
    </row>
    <row r="1617" ht="16.5" customHeight="1">
      <c r="A1617" s="108"/>
      <c r="B1617" s="108"/>
      <c r="C1617" s="180"/>
      <c r="D1617" s="108"/>
      <c r="E1617" s="108"/>
      <c r="F1617" s="108"/>
      <c r="G1617" s="108"/>
      <c r="H1617" s="108"/>
      <c r="I1617" s="108"/>
      <c r="J1617" s="108"/>
      <c r="K1617" s="108"/>
      <c r="L1617" s="108"/>
      <c r="M1617" s="108"/>
      <c r="N1617" s="108"/>
      <c r="O1617" s="108"/>
      <c r="P1617" s="108"/>
      <c r="Q1617" s="108"/>
      <c r="R1617" s="108"/>
      <c r="S1617" s="108"/>
      <c r="T1617" s="108"/>
      <c r="U1617" s="108"/>
      <c r="V1617" s="108"/>
      <c r="W1617" s="108"/>
      <c r="X1617" s="108"/>
      <c r="Y1617" s="108"/>
      <c r="Z1617" s="108"/>
    </row>
    <row r="1618" ht="16.5" customHeight="1">
      <c r="A1618" s="108"/>
      <c r="B1618" s="108"/>
      <c r="C1618" s="180"/>
      <c r="D1618" s="108"/>
      <c r="E1618" s="108"/>
      <c r="F1618" s="108"/>
      <c r="G1618" s="108"/>
      <c r="H1618" s="108"/>
      <c r="I1618" s="108"/>
      <c r="J1618" s="108"/>
      <c r="K1618" s="108"/>
      <c r="L1618" s="108"/>
      <c r="M1618" s="108"/>
      <c r="N1618" s="108"/>
      <c r="O1618" s="108"/>
      <c r="P1618" s="108"/>
      <c r="Q1618" s="108"/>
      <c r="R1618" s="108"/>
      <c r="S1618" s="108"/>
      <c r="T1618" s="108"/>
      <c r="U1618" s="108"/>
      <c r="V1618" s="108"/>
      <c r="W1618" s="108"/>
      <c r="X1618" s="108"/>
      <c r="Y1618" s="108"/>
      <c r="Z1618" s="108"/>
    </row>
    <row r="1619" ht="16.5" customHeight="1">
      <c r="A1619" s="108"/>
      <c r="B1619" s="108"/>
      <c r="C1619" s="180"/>
      <c r="D1619" s="108"/>
      <c r="E1619" s="108"/>
      <c r="F1619" s="108"/>
      <c r="G1619" s="108"/>
      <c r="H1619" s="108"/>
      <c r="I1619" s="108"/>
      <c r="J1619" s="108"/>
      <c r="K1619" s="108"/>
      <c r="L1619" s="108"/>
      <c r="M1619" s="108"/>
      <c r="N1619" s="108"/>
      <c r="O1619" s="108"/>
      <c r="P1619" s="108"/>
      <c r="Q1619" s="108"/>
      <c r="R1619" s="108"/>
      <c r="S1619" s="108"/>
      <c r="T1619" s="108"/>
      <c r="U1619" s="108"/>
      <c r="V1619" s="108"/>
      <c r="W1619" s="108"/>
      <c r="X1619" s="108"/>
      <c r="Y1619" s="108"/>
      <c r="Z1619" s="108"/>
    </row>
    <row r="1620" ht="16.5" customHeight="1">
      <c r="A1620" s="108"/>
      <c r="B1620" s="108"/>
      <c r="C1620" s="180"/>
      <c r="D1620" s="108"/>
      <c r="E1620" s="108"/>
      <c r="F1620" s="108"/>
      <c r="G1620" s="108"/>
      <c r="H1620" s="108"/>
      <c r="I1620" s="108"/>
      <c r="J1620" s="108"/>
      <c r="K1620" s="108"/>
      <c r="L1620" s="108"/>
      <c r="M1620" s="108"/>
      <c r="N1620" s="108"/>
      <c r="O1620" s="108"/>
      <c r="P1620" s="108"/>
      <c r="Q1620" s="108"/>
      <c r="R1620" s="108"/>
      <c r="S1620" s="108"/>
      <c r="T1620" s="108"/>
      <c r="U1620" s="108"/>
      <c r="V1620" s="108"/>
      <c r="W1620" s="108"/>
      <c r="X1620" s="108"/>
      <c r="Y1620" s="108"/>
      <c r="Z1620" s="108"/>
    </row>
    <row r="1621" ht="16.5" customHeight="1">
      <c r="A1621" s="108"/>
      <c r="B1621" s="108"/>
      <c r="C1621" s="180"/>
      <c r="D1621" s="108"/>
      <c r="E1621" s="108"/>
      <c r="F1621" s="108"/>
      <c r="G1621" s="108"/>
      <c r="H1621" s="108"/>
      <c r="I1621" s="108"/>
      <c r="J1621" s="108"/>
      <c r="K1621" s="108"/>
      <c r="L1621" s="108"/>
      <c r="M1621" s="108"/>
      <c r="N1621" s="108"/>
      <c r="O1621" s="108"/>
      <c r="P1621" s="108"/>
      <c r="Q1621" s="108"/>
      <c r="R1621" s="108"/>
      <c r="S1621" s="108"/>
      <c r="T1621" s="108"/>
      <c r="U1621" s="108"/>
      <c r="V1621" s="108"/>
      <c r="W1621" s="108"/>
      <c r="X1621" s="108"/>
      <c r="Y1621" s="108"/>
      <c r="Z1621" s="108"/>
    </row>
    <row r="1622" ht="16.5" customHeight="1">
      <c r="A1622" s="108"/>
      <c r="B1622" s="108"/>
      <c r="C1622" s="180"/>
      <c r="D1622" s="108"/>
      <c r="E1622" s="108"/>
      <c r="F1622" s="108"/>
      <c r="G1622" s="108"/>
      <c r="H1622" s="108"/>
      <c r="I1622" s="108"/>
      <c r="J1622" s="108"/>
      <c r="K1622" s="108"/>
      <c r="L1622" s="108"/>
      <c r="M1622" s="108"/>
      <c r="N1622" s="108"/>
      <c r="O1622" s="108"/>
      <c r="P1622" s="108"/>
      <c r="Q1622" s="108"/>
      <c r="R1622" s="108"/>
      <c r="S1622" s="108"/>
      <c r="T1622" s="108"/>
      <c r="U1622" s="108"/>
      <c r="V1622" s="108"/>
      <c r="W1622" s="108"/>
      <c r="X1622" s="108"/>
      <c r="Y1622" s="108"/>
      <c r="Z1622" s="108"/>
    </row>
    <row r="1623" ht="16.5" customHeight="1">
      <c r="A1623" s="108"/>
      <c r="B1623" s="108"/>
      <c r="C1623" s="180"/>
      <c r="D1623" s="108"/>
      <c r="E1623" s="108"/>
      <c r="F1623" s="108"/>
      <c r="G1623" s="108"/>
      <c r="H1623" s="108"/>
      <c r="I1623" s="108"/>
      <c r="J1623" s="108"/>
      <c r="K1623" s="108"/>
      <c r="L1623" s="108"/>
      <c r="M1623" s="108"/>
      <c r="N1623" s="108"/>
      <c r="O1623" s="108"/>
      <c r="P1623" s="108"/>
      <c r="Q1623" s="108"/>
      <c r="R1623" s="108"/>
      <c r="S1623" s="108"/>
      <c r="T1623" s="108"/>
      <c r="U1623" s="108"/>
      <c r="V1623" s="108"/>
      <c r="W1623" s="108"/>
      <c r="X1623" s="108"/>
      <c r="Y1623" s="108"/>
      <c r="Z1623" s="108"/>
    </row>
    <row r="1624" ht="16.5" customHeight="1">
      <c r="A1624" s="108"/>
      <c r="B1624" s="108"/>
      <c r="C1624" s="180"/>
      <c r="D1624" s="108"/>
      <c r="E1624" s="108"/>
      <c r="F1624" s="108"/>
      <c r="G1624" s="108"/>
      <c r="H1624" s="108"/>
      <c r="I1624" s="108"/>
      <c r="J1624" s="108"/>
      <c r="K1624" s="108"/>
      <c r="L1624" s="108"/>
      <c r="M1624" s="108"/>
      <c r="N1624" s="108"/>
      <c r="O1624" s="108"/>
      <c r="P1624" s="108"/>
      <c r="Q1624" s="108"/>
      <c r="R1624" s="108"/>
      <c r="S1624" s="108"/>
      <c r="T1624" s="108"/>
      <c r="U1624" s="108"/>
      <c r="V1624" s="108"/>
      <c r="W1624" s="108"/>
      <c r="X1624" s="108"/>
      <c r="Y1624" s="108"/>
      <c r="Z1624" s="108"/>
    </row>
    <row r="1625" ht="16.5" customHeight="1">
      <c r="A1625" s="108"/>
      <c r="B1625" s="108"/>
      <c r="C1625" s="180"/>
      <c r="D1625" s="108"/>
      <c r="E1625" s="108"/>
      <c r="F1625" s="108"/>
      <c r="G1625" s="108"/>
      <c r="H1625" s="108"/>
      <c r="I1625" s="108"/>
      <c r="J1625" s="108"/>
      <c r="K1625" s="108"/>
      <c r="L1625" s="108"/>
      <c r="M1625" s="108"/>
      <c r="N1625" s="108"/>
      <c r="O1625" s="108"/>
      <c r="P1625" s="108"/>
      <c r="Q1625" s="108"/>
      <c r="R1625" s="108"/>
      <c r="S1625" s="108"/>
      <c r="T1625" s="108"/>
      <c r="U1625" s="108"/>
      <c r="V1625" s="108"/>
      <c r="W1625" s="108"/>
      <c r="X1625" s="108"/>
      <c r="Y1625" s="108"/>
      <c r="Z1625" s="108"/>
    </row>
    <row r="1626" ht="16.5" customHeight="1">
      <c r="A1626" s="108"/>
      <c r="B1626" s="108"/>
      <c r="C1626" s="180"/>
      <c r="D1626" s="108"/>
      <c r="E1626" s="108"/>
      <c r="F1626" s="108"/>
      <c r="G1626" s="108"/>
      <c r="H1626" s="108"/>
      <c r="I1626" s="108"/>
      <c r="J1626" s="108"/>
      <c r="K1626" s="108"/>
      <c r="L1626" s="108"/>
      <c r="M1626" s="108"/>
      <c r="N1626" s="108"/>
      <c r="O1626" s="108"/>
      <c r="P1626" s="108"/>
      <c r="Q1626" s="108"/>
      <c r="R1626" s="108"/>
      <c r="S1626" s="108"/>
      <c r="T1626" s="108"/>
      <c r="U1626" s="108"/>
      <c r="V1626" s="108"/>
      <c r="W1626" s="108"/>
      <c r="X1626" s="108"/>
      <c r="Y1626" s="108"/>
      <c r="Z1626" s="108"/>
    </row>
    <row r="1627" ht="16.5" customHeight="1">
      <c r="A1627" s="108"/>
      <c r="B1627" s="108"/>
      <c r="C1627" s="180"/>
      <c r="D1627" s="108"/>
      <c r="E1627" s="108"/>
      <c r="F1627" s="108"/>
      <c r="G1627" s="108"/>
      <c r="H1627" s="108"/>
      <c r="I1627" s="108"/>
      <c r="J1627" s="108"/>
      <c r="K1627" s="108"/>
      <c r="L1627" s="108"/>
      <c r="M1627" s="108"/>
      <c r="N1627" s="108"/>
      <c r="O1627" s="108"/>
      <c r="P1627" s="108"/>
      <c r="Q1627" s="108"/>
      <c r="R1627" s="108"/>
      <c r="S1627" s="108"/>
      <c r="T1627" s="108"/>
      <c r="U1627" s="108"/>
      <c r="V1627" s="108"/>
      <c r="W1627" s="108"/>
      <c r="X1627" s="108"/>
      <c r="Y1627" s="108"/>
      <c r="Z1627" s="108"/>
    </row>
    <row r="1628" ht="16.5" customHeight="1">
      <c r="A1628" s="108"/>
      <c r="B1628" s="108"/>
      <c r="C1628" s="180"/>
      <c r="D1628" s="108"/>
      <c r="E1628" s="108"/>
      <c r="F1628" s="108"/>
      <c r="G1628" s="108"/>
      <c r="H1628" s="108"/>
      <c r="I1628" s="108"/>
      <c r="J1628" s="108"/>
      <c r="K1628" s="108"/>
      <c r="L1628" s="108"/>
      <c r="M1628" s="108"/>
      <c r="N1628" s="108"/>
      <c r="O1628" s="108"/>
      <c r="P1628" s="108"/>
      <c r="Q1628" s="108"/>
      <c r="R1628" s="108"/>
      <c r="S1628" s="108"/>
      <c r="T1628" s="108"/>
      <c r="U1628" s="108"/>
      <c r="V1628" s="108"/>
      <c r="W1628" s="108"/>
      <c r="X1628" s="108"/>
      <c r="Y1628" s="108"/>
      <c r="Z1628" s="108"/>
    </row>
    <row r="1629" ht="16.5" customHeight="1">
      <c r="A1629" s="108"/>
      <c r="B1629" s="108"/>
      <c r="C1629" s="180"/>
      <c r="D1629" s="108"/>
      <c r="E1629" s="108"/>
      <c r="F1629" s="108"/>
      <c r="G1629" s="108"/>
      <c r="H1629" s="108"/>
      <c r="I1629" s="108"/>
      <c r="J1629" s="108"/>
      <c r="K1629" s="108"/>
      <c r="L1629" s="108"/>
      <c r="M1629" s="108"/>
      <c r="N1629" s="108"/>
      <c r="O1629" s="108"/>
      <c r="P1629" s="108"/>
      <c r="Q1629" s="108"/>
      <c r="R1629" s="108"/>
      <c r="S1629" s="108"/>
      <c r="T1629" s="108"/>
      <c r="U1629" s="108"/>
      <c r="V1629" s="108"/>
      <c r="W1629" s="108"/>
      <c r="X1629" s="108"/>
      <c r="Y1629" s="108"/>
      <c r="Z1629" s="108"/>
    </row>
    <row r="1630" ht="16.5" customHeight="1">
      <c r="A1630" s="108"/>
      <c r="B1630" s="108"/>
      <c r="C1630" s="180"/>
      <c r="D1630" s="108"/>
      <c r="E1630" s="108"/>
      <c r="F1630" s="108"/>
      <c r="G1630" s="108"/>
      <c r="H1630" s="108"/>
      <c r="I1630" s="108"/>
      <c r="J1630" s="108"/>
      <c r="K1630" s="108"/>
      <c r="L1630" s="108"/>
      <c r="M1630" s="108"/>
      <c r="N1630" s="108"/>
      <c r="O1630" s="108"/>
      <c r="P1630" s="108"/>
      <c r="Q1630" s="108"/>
      <c r="R1630" s="108"/>
      <c r="S1630" s="108"/>
      <c r="T1630" s="108"/>
      <c r="U1630" s="108"/>
      <c r="V1630" s="108"/>
      <c r="W1630" s="108"/>
      <c r="X1630" s="108"/>
      <c r="Y1630" s="108"/>
      <c r="Z1630" s="108"/>
    </row>
    <row r="1631" ht="16.5" customHeight="1">
      <c r="A1631" s="108"/>
      <c r="B1631" s="108"/>
      <c r="C1631" s="180"/>
      <c r="D1631" s="108"/>
      <c r="E1631" s="108"/>
      <c r="F1631" s="108"/>
      <c r="G1631" s="108"/>
      <c r="H1631" s="108"/>
      <c r="I1631" s="108"/>
      <c r="J1631" s="108"/>
      <c r="K1631" s="108"/>
      <c r="L1631" s="108"/>
      <c r="M1631" s="108"/>
      <c r="N1631" s="108"/>
      <c r="O1631" s="108"/>
      <c r="P1631" s="108"/>
      <c r="Q1631" s="108"/>
      <c r="R1631" s="108"/>
      <c r="S1631" s="108"/>
      <c r="T1631" s="108"/>
      <c r="U1631" s="108"/>
      <c r="V1631" s="108"/>
      <c r="W1631" s="108"/>
      <c r="X1631" s="108"/>
      <c r="Y1631" s="108"/>
      <c r="Z1631" s="108"/>
    </row>
    <row r="1632" ht="16.5" customHeight="1">
      <c r="A1632" s="108"/>
      <c r="B1632" s="108"/>
      <c r="C1632" s="180"/>
      <c r="D1632" s="108"/>
      <c r="E1632" s="108"/>
      <c r="F1632" s="108"/>
      <c r="G1632" s="108"/>
      <c r="H1632" s="108"/>
      <c r="I1632" s="108"/>
      <c r="J1632" s="108"/>
      <c r="K1632" s="108"/>
      <c r="L1632" s="108"/>
      <c r="M1632" s="108"/>
      <c r="N1632" s="108"/>
      <c r="O1632" s="108"/>
      <c r="P1632" s="108"/>
      <c r="Q1632" s="108"/>
      <c r="R1632" s="108"/>
      <c r="S1632" s="108"/>
      <c r="T1632" s="108"/>
      <c r="U1632" s="108"/>
      <c r="V1632" s="108"/>
      <c r="W1632" s="108"/>
      <c r="X1632" s="108"/>
      <c r="Y1632" s="108"/>
      <c r="Z1632" s="108"/>
    </row>
    <row r="1633" ht="16.5" customHeight="1">
      <c r="A1633" s="108"/>
      <c r="B1633" s="108"/>
      <c r="C1633" s="180"/>
      <c r="D1633" s="108"/>
      <c r="E1633" s="108"/>
      <c r="F1633" s="108"/>
      <c r="G1633" s="108"/>
      <c r="H1633" s="108"/>
      <c r="I1633" s="108"/>
      <c r="J1633" s="108"/>
      <c r="K1633" s="108"/>
      <c r="L1633" s="108"/>
      <c r="M1633" s="108"/>
      <c r="N1633" s="108"/>
      <c r="O1633" s="108"/>
      <c r="P1633" s="108"/>
      <c r="Q1633" s="108"/>
      <c r="R1633" s="108"/>
      <c r="S1633" s="108"/>
      <c r="T1633" s="108"/>
      <c r="U1633" s="108"/>
      <c r="V1633" s="108"/>
      <c r="W1633" s="108"/>
      <c r="X1633" s="108"/>
      <c r="Y1633" s="108"/>
      <c r="Z1633" s="108"/>
    </row>
    <row r="1634" ht="16.5" customHeight="1">
      <c r="A1634" s="108"/>
      <c r="B1634" s="108"/>
      <c r="C1634" s="180"/>
      <c r="D1634" s="108"/>
      <c r="E1634" s="108"/>
      <c r="F1634" s="108"/>
      <c r="G1634" s="108"/>
      <c r="H1634" s="108"/>
      <c r="I1634" s="108"/>
      <c r="J1634" s="108"/>
      <c r="K1634" s="108"/>
      <c r="L1634" s="108"/>
      <c r="M1634" s="108"/>
      <c r="N1634" s="108"/>
      <c r="O1634" s="108"/>
      <c r="P1634" s="108"/>
      <c r="Q1634" s="108"/>
      <c r="R1634" s="108"/>
      <c r="S1634" s="108"/>
      <c r="T1634" s="108"/>
      <c r="U1634" s="108"/>
      <c r="V1634" s="108"/>
      <c r="W1634" s="108"/>
      <c r="X1634" s="108"/>
      <c r="Y1634" s="108"/>
      <c r="Z1634" s="108"/>
    </row>
    <row r="1635" ht="16.5" customHeight="1">
      <c r="A1635" s="108"/>
      <c r="B1635" s="108"/>
      <c r="C1635" s="180"/>
      <c r="D1635" s="108"/>
      <c r="E1635" s="108"/>
      <c r="F1635" s="108"/>
      <c r="G1635" s="108"/>
      <c r="H1635" s="108"/>
      <c r="I1635" s="108"/>
      <c r="J1635" s="108"/>
      <c r="K1635" s="108"/>
      <c r="L1635" s="108"/>
      <c r="M1635" s="108"/>
      <c r="N1635" s="108"/>
      <c r="O1635" s="108"/>
      <c r="P1635" s="108"/>
      <c r="Q1635" s="108"/>
      <c r="R1635" s="108"/>
      <c r="S1635" s="108"/>
      <c r="T1635" s="108"/>
      <c r="U1635" s="108"/>
      <c r="V1635" s="108"/>
      <c r="W1635" s="108"/>
      <c r="X1635" s="108"/>
      <c r="Y1635" s="108"/>
      <c r="Z1635" s="108"/>
    </row>
    <row r="1636" ht="16.5" customHeight="1">
      <c r="A1636" s="108"/>
      <c r="B1636" s="108"/>
      <c r="C1636" s="180"/>
      <c r="D1636" s="108"/>
      <c r="E1636" s="108"/>
      <c r="F1636" s="108"/>
      <c r="G1636" s="108"/>
      <c r="H1636" s="108"/>
      <c r="I1636" s="108"/>
      <c r="J1636" s="108"/>
      <c r="K1636" s="108"/>
      <c r="L1636" s="108"/>
      <c r="M1636" s="108"/>
      <c r="N1636" s="108"/>
      <c r="O1636" s="108"/>
      <c r="P1636" s="108"/>
      <c r="Q1636" s="108"/>
      <c r="R1636" s="108"/>
      <c r="S1636" s="108"/>
      <c r="T1636" s="108"/>
      <c r="U1636" s="108"/>
      <c r="V1636" s="108"/>
      <c r="W1636" s="108"/>
      <c r="X1636" s="108"/>
      <c r="Y1636" s="108"/>
      <c r="Z1636" s="108"/>
    </row>
    <row r="1637" ht="16.5" customHeight="1">
      <c r="A1637" s="108"/>
      <c r="B1637" s="108"/>
      <c r="C1637" s="180"/>
      <c r="D1637" s="108"/>
      <c r="E1637" s="108"/>
      <c r="F1637" s="108"/>
      <c r="G1637" s="108"/>
      <c r="H1637" s="108"/>
      <c r="I1637" s="108"/>
      <c r="J1637" s="108"/>
      <c r="K1637" s="108"/>
      <c r="L1637" s="108"/>
      <c r="M1637" s="108"/>
      <c r="N1637" s="108"/>
      <c r="O1637" s="108"/>
      <c r="P1637" s="108"/>
      <c r="Q1637" s="108"/>
      <c r="R1637" s="108"/>
      <c r="S1637" s="108"/>
      <c r="T1637" s="108"/>
      <c r="U1637" s="108"/>
      <c r="V1637" s="108"/>
      <c r="W1637" s="108"/>
      <c r="X1637" s="108"/>
      <c r="Y1637" s="108"/>
      <c r="Z1637" s="108"/>
    </row>
    <row r="1638" ht="16.5" customHeight="1">
      <c r="A1638" s="108"/>
      <c r="B1638" s="108"/>
      <c r="C1638" s="180"/>
      <c r="D1638" s="108"/>
      <c r="E1638" s="108"/>
      <c r="F1638" s="108"/>
      <c r="G1638" s="108"/>
      <c r="H1638" s="108"/>
      <c r="I1638" s="108"/>
      <c r="J1638" s="108"/>
      <c r="K1638" s="108"/>
      <c r="L1638" s="108"/>
      <c r="M1638" s="108"/>
      <c r="N1638" s="108"/>
      <c r="O1638" s="108"/>
      <c r="P1638" s="108"/>
      <c r="Q1638" s="108"/>
      <c r="R1638" s="108"/>
      <c r="S1638" s="108"/>
      <c r="T1638" s="108"/>
      <c r="U1638" s="108"/>
      <c r="V1638" s="108"/>
      <c r="W1638" s="108"/>
      <c r="X1638" s="108"/>
      <c r="Y1638" s="108"/>
      <c r="Z1638" s="108"/>
    </row>
    <row r="1639" ht="16.5" customHeight="1">
      <c r="A1639" s="108"/>
      <c r="B1639" s="108"/>
      <c r="C1639" s="180"/>
      <c r="D1639" s="108"/>
      <c r="E1639" s="108"/>
      <c r="F1639" s="108"/>
      <c r="G1639" s="108"/>
      <c r="H1639" s="108"/>
      <c r="I1639" s="108"/>
      <c r="J1639" s="108"/>
      <c r="K1639" s="108"/>
      <c r="L1639" s="108"/>
      <c r="M1639" s="108"/>
      <c r="N1639" s="108"/>
      <c r="O1639" s="108"/>
      <c r="P1639" s="108"/>
      <c r="Q1639" s="108"/>
      <c r="R1639" s="108"/>
      <c r="S1639" s="108"/>
      <c r="T1639" s="108"/>
      <c r="U1639" s="108"/>
      <c r="V1639" s="108"/>
      <c r="W1639" s="108"/>
      <c r="X1639" s="108"/>
      <c r="Y1639" s="108"/>
      <c r="Z1639" s="108"/>
    </row>
    <row r="1640" ht="16.5" customHeight="1">
      <c r="A1640" s="108"/>
      <c r="B1640" s="108"/>
      <c r="C1640" s="180"/>
      <c r="D1640" s="108"/>
      <c r="E1640" s="108"/>
      <c r="F1640" s="108"/>
      <c r="G1640" s="108"/>
      <c r="H1640" s="108"/>
      <c r="I1640" s="108"/>
      <c r="J1640" s="108"/>
      <c r="K1640" s="108"/>
      <c r="L1640" s="108"/>
      <c r="M1640" s="108"/>
      <c r="N1640" s="108"/>
      <c r="O1640" s="108"/>
      <c r="P1640" s="108"/>
      <c r="Q1640" s="108"/>
      <c r="R1640" s="108"/>
      <c r="S1640" s="108"/>
      <c r="T1640" s="108"/>
      <c r="U1640" s="108"/>
      <c r="V1640" s="108"/>
      <c r="W1640" s="108"/>
      <c r="X1640" s="108"/>
      <c r="Y1640" s="108"/>
      <c r="Z1640" s="108"/>
    </row>
    <row r="1641" ht="16.5" customHeight="1">
      <c r="A1641" s="108"/>
      <c r="B1641" s="108"/>
      <c r="C1641" s="180"/>
      <c r="D1641" s="108"/>
      <c r="E1641" s="108"/>
      <c r="F1641" s="108"/>
      <c r="G1641" s="108"/>
      <c r="H1641" s="108"/>
      <c r="I1641" s="108"/>
      <c r="J1641" s="108"/>
      <c r="K1641" s="108"/>
      <c r="L1641" s="108"/>
      <c r="M1641" s="108"/>
      <c r="N1641" s="108"/>
      <c r="O1641" s="108"/>
      <c r="P1641" s="108"/>
      <c r="Q1641" s="108"/>
      <c r="R1641" s="108"/>
      <c r="S1641" s="108"/>
      <c r="T1641" s="108"/>
      <c r="U1641" s="108"/>
      <c r="V1641" s="108"/>
      <c r="W1641" s="108"/>
      <c r="X1641" s="108"/>
      <c r="Y1641" s="108"/>
      <c r="Z1641" s="108"/>
    </row>
    <row r="1642" ht="16.5" customHeight="1">
      <c r="A1642" s="108"/>
      <c r="B1642" s="108"/>
      <c r="C1642" s="180"/>
      <c r="D1642" s="108"/>
      <c r="E1642" s="108"/>
      <c r="F1642" s="108"/>
      <c r="G1642" s="108"/>
      <c r="H1642" s="108"/>
      <c r="I1642" s="108"/>
      <c r="J1642" s="108"/>
      <c r="K1642" s="108"/>
      <c r="L1642" s="108"/>
      <c r="M1642" s="108"/>
      <c r="N1642" s="108"/>
      <c r="O1642" s="108"/>
      <c r="P1642" s="108"/>
      <c r="Q1642" s="108"/>
      <c r="R1642" s="108"/>
      <c r="S1642" s="108"/>
      <c r="T1642" s="108"/>
      <c r="U1642" s="108"/>
      <c r="V1642" s="108"/>
      <c r="W1642" s="108"/>
      <c r="X1642" s="108"/>
      <c r="Y1642" s="108"/>
      <c r="Z1642" s="108"/>
    </row>
    <row r="1643" ht="16.5" customHeight="1">
      <c r="A1643" s="108"/>
      <c r="B1643" s="108"/>
      <c r="C1643" s="180"/>
      <c r="D1643" s="108"/>
      <c r="E1643" s="108"/>
      <c r="F1643" s="108"/>
      <c r="G1643" s="108"/>
      <c r="H1643" s="108"/>
      <c r="I1643" s="108"/>
      <c r="J1643" s="108"/>
      <c r="K1643" s="108"/>
      <c r="L1643" s="108"/>
      <c r="M1643" s="108"/>
      <c r="N1643" s="108"/>
      <c r="O1643" s="108"/>
      <c r="P1643" s="108"/>
      <c r="Q1643" s="108"/>
      <c r="R1643" s="108"/>
      <c r="S1643" s="108"/>
      <c r="T1643" s="108"/>
      <c r="U1643" s="108"/>
      <c r="V1643" s="108"/>
      <c r="W1643" s="108"/>
      <c r="X1643" s="108"/>
      <c r="Y1643" s="108"/>
      <c r="Z1643" s="108"/>
    </row>
    <row r="1644" ht="16.5" customHeight="1">
      <c r="A1644" s="108"/>
      <c r="B1644" s="108"/>
      <c r="C1644" s="180"/>
      <c r="D1644" s="108"/>
      <c r="E1644" s="108"/>
      <c r="F1644" s="108"/>
      <c r="G1644" s="108"/>
      <c r="H1644" s="108"/>
      <c r="I1644" s="108"/>
      <c r="J1644" s="108"/>
      <c r="K1644" s="108"/>
      <c r="L1644" s="108"/>
      <c r="M1644" s="108"/>
      <c r="N1644" s="108"/>
      <c r="O1644" s="108"/>
      <c r="P1644" s="108"/>
      <c r="Q1644" s="108"/>
      <c r="R1644" s="108"/>
      <c r="S1644" s="108"/>
      <c r="T1644" s="108"/>
      <c r="U1644" s="108"/>
      <c r="V1644" s="108"/>
      <c r="W1644" s="108"/>
      <c r="X1644" s="108"/>
      <c r="Y1644" s="108"/>
      <c r="Z1644" s="108"/>
    </row>
    <row r="1645" ht="16.5" customHeight="1">
      <c r="A1645" s="108"/>
      <c r="B1645" s="108"/>
      <c r="C1645" s="180"/>
      <c r="D1645" s="108"/>
      <c r="E1645" s="108"/>
      <c r="F1645" s="108"/>
      <c r="G1645" s="108"/>
      <c r="H1645" s="108"/>
      <c r="I1645" s="108"/>
      <c r="J1645" s="108"/>
      <c r="K1645" s="108"/>
      <c r="L1645" s="108"/>
      <c r="M1645" s="108"/>
      <c r="N1645" s="108"/>
      <c r="O1645" s="108"/>
      <c r="P1645" s="108"/>
      <c r="Q1645" s="108"/>
      <c r="R1645" s="108"/>
      <c r="S1645" s="108"/>
      <c r="T1645" s="108"/>
      <c r="U1645" s="108"/>
      <c r="V1645" s="108"/>
      <c r="W1645" s="108"/>
      <c r="X1645" s="108"/>
      <c r="Y1645" s="108"/>
      <c r="Z1645" s="108"/>
    </row>
    <row r="1646" ht="16.5" customHeight="1">
      <c r="A1646" s="108"/>
      <c r="B1646" s="108"/>
      <c r="C1646" s="180"/>
      <c r="D1646" s="108"/>
      <c r="E1646" s="108"/>
      <c r="F1646" s="108"/>
      <c r="G1646" s="108"/>
      <c r="H1646" s="108"/>
      <c r="I1646" s="108"/>
      <c r="J1646" s="108"/>
      <c r="K1646" s="108"/>
      <c r="L1646" s="108"/>
      <c r="M1646" s="108"/>
      <c r="N1646" s="108"/>
      <c r="O1646" s="108"/>
      <c r="P1646" s="108"/>
      <c r="Q1646" s="108"/>
      <c r="R1646" s="108"/>
      <c r="S1646" s="108"/>
      <c r="T1646" s="108"/>
      <c r="U1646" s="108"/>
      <c r="V1646" s="108"/>
      <c r="W1646" s="108"/>
      <c r="X1646" s="108"/>
      <c r="Y1646" s="108"/>
      <c r="Z1646" s="108"/>
    </row>
    <row r="1647" ht="16.5" customHeight="1">
      <c r="A1647" s="108"/>
      <c r="B1647" s="108"/>
      <c r="C1647" s="180"/>
      <c r="D1647" s="108"/>
      <c r="E1647" s="108"/>
      <c r="F1647" s="108"/>
      <c r="G1647" s="108"/>
      <c r="H1647" s="108"/>
      <c r="I1647" s="108"/>
      <c r="J1647" s="108"/>
      <c r="K1647" s="108"/>
      <c r="L1647" s="108"/>
      <c r="M1647" s="108"/>
      <c r="N1647" s="108"/>
      <c r="O1647" s="108"/>
      <c r="P1647" s="108"/>
      <c r="Q1647" s="108"/>
      <c r="R1647" s="108"/>
      <c r="S1647" s="108"/>
      <c r="T1647" s="108"/>
      <c r="U1647" s="108"/>
      <c r="V1647" s="108"/>
      <c r="W1647" s="108"/>
      <c r="X1647" s="108"/>
      <c r="Y1647" s="108"/>
      <c r="Z1647" s="108"/>
    </row>
    <row r="1648" ht="16.5" customHeight="1">
      <c r="A1648" s="108"/>
      <c r="B1648" s="108"/>
      <c r="C1648" s="180"/>
      <c r="D1648" s="108"/>
      <c r="E1648" s="108"/>
      <c r="F1648" s="108"/>
      <c r="G1648" s="108"/>
      <c r="H1648" s="108"/>
      <c r="I1648" s="108"/>
      <c r="J1648" s="108"/>
      <c r="K1648" s="108"/>
      <c r="L1648" s="108"/>
      <c r="M1648" s="108"/>
      <c r="N1648" s="108"/>
      <c r="O1648" s="108"/>
      <c r="P1648" s="108"/>
      <c r="Q1648" s="108"/>
      <c r="R1648" s="108"/>
      <c r="S1648" s="108"/>
      <c r="T1648" s="108"/>
      <c r="U1648" s="108"/>
      <c r="V1648" s="108"/>
      <c r="W1648" s="108"/>
      <c r="X1648" s="108"/>
      <c r="Y1648" s="108"/>
      <c r="Z1648" s="108"/>
    </row>
    <row r="1649" ht="16.5" customHeight="1">
      <c r="A1649" s="108"/>
      <c r="B1649" s="108"/>
      <c r="C1649" s="180"/>
      <c r="D1649" s="108"/>
      <c r="E1649" s="108"/>
      <c r="F1649" s="108"/>
      <c r="G1649" s="108"/>
      <c r="H1649" s="108"/>
      <c r="I1649" s="108"/>
      <c r="J1649" s="108"/>
      <c r="K1649" s="108"/>
      <c r="L1649" s="108"/>
      <c r="M1649" s="108"/>
      <c r="N1649" s="108"/>
      <c r="O1649" s="108"/>
      <c r="P1649" s="108"/>
      <c r="Q1649" s="108"/>
      <c r="R1649" s="108"/>
      <c r="S1649" s="108"/>
      <c r="T1649" s="108"/>
      <c r="U1649" s="108"/>
      <c r="V1649" s="108"/>
      <c r="W1649" s="108"/>
      <c r="X1649" s="108"/>
      <c r="Y1649" s="108"/>
      <c r="Z1649" s="108"/>
    </row>
    <row r="1650" ht="16.5" customHeight="1">
      <c r="A1650" s="108"/>
      <c r="B1650" s="108"/>
      <c r="C1650" s="180"/>
      <c r="D1650" s="108"/>
      <c r="E1650" s="108"/>
      <c r="F1650" s="108"/>
      <c r="G1650" s="108"/>
      <c r="H1650" s="108"/>
      <c r="I1650" s="108"/>
      <c r="J1650" s="108"/>
      <c r="K1650" s="108"/>
      <c r="L1650" s="108"/>
      <c r="M1650" s="108"/>
      <c r="N1650" s="108"/>
      <c r="O1650" s="108"/>
      <c r="P1650" s="108"/>
      <c r="Q1650" s="108"/>
      <c r="R1650" s="108"/>
      <c r="S1650" s="108"/>
      <c r="T1650" s="108"/>
      <c r="U1650" s="108"/>
      <c r="V1650" s="108"/>
      <c r="W1650" s="108"/>
      <c r="X1650" s="108"/>
      <c r="Y1650" s="108"/>
      <c r="Z1650" s="108"/>
    </row>
    <row r="1651" ht="16.5" customHeight="1">
      <c r="A1651" s="108"/>
      <c r="B1651" s="108"/>
      <c r="C1651" s="180"/>
      <c r="D1651" s="108"/>
      <c r="E1651" s="108"/>
      <c r="F1651" s="108"/>
      <c r="G1651" s="108"/>
      <c r="H1651" s="108"/>
      <c r="I1651" s="108"/>
      <c r="J1651" s="108"/>
      <c r="K1651" s="108"/>
      <c r="L1651" s="108"/>
      <c r="M1651" s="108"/>
      <c r="N1651" s="108"/>
      <c r="O1651" s="108"/>
      <c r="P1651" s="108"/>
      <c r="Q1651" s="108"/>
      <c r="R1651" s="108"/>
      <c r="S1651" s="108"/>
      <c r="T1651" s="108"/>
      <c r="U1651" s="108"/>
      <c r="V1651" s="108"/>
      <c r="W1651" s="108"/>
      <c r="X1651" s="108"/>
      <c r="Y1651" s="108"/>
      <c r="Z1651" s="108"/>
    </row>
    <row r="1652" ht="16.5" customHeight="1">
      <c r="A1652" s="108"/>
      <c r="B1652" s="108"/>
      <c r="C1652" s="180"/>
      <c r="D1652" s="108"/>
      <c r="E1652" s="108"/>
      <c r="F1652" s="108"/>
      <c r="G1652" s="108"/>
      <c r="H1652" s="108"/>
      <c r="I1652" s="108"/>
      <c r="J1652" s="108"/>
      <c r="K1652" s="108"/>
      <c r="L1652" s="108"/>
      <c r="M1652" s="108"/>
      <c r="N1652" s="108"/>
      <c r="O1652" s="108"/>
      <c r="P1652" s="108"/>
      <c r="Q1652" s="108"/>
      <c r="R1652" s="108"/>
      <c r="S1652" s="108"/>
      <c r="T1652" s="108"/>
      <c r="U1652" s="108"/>
      <c r="V1652" s="108"/>
      <c r="W1652" s="108"/>
      <c r="X1652" s="108"/>
      <c r="Y1652" s="108"/>
      <c r="Z1652" s="108"/>
    </row>
    <row r="1653" ht="16.5" customHeight="1">
      <c r="A1653" s="108"/>
      <c r="B1653" s="108"/>
      <c r="C1653" s="180"/>
      <c r="D1653" s="108"/>
      <c r="E1653" s="108"/>
      <c r="F1653" s="108"/>
      <c r="G1653" s="108"/>
      <c r="H1653" s="108"/>
      <c r="I1653" s="108"/>
      <c r="J1653" s="108"/>
      <c r="K1653" s="108"/>
      <c r="L1653" s="108"/>
      <c r="M1653" s="108"/>
      <c r="N1653" s="108"/>
      <c r="O1653" s="108"/>
      <c r="P1653" s="108"/>
      <c r="Q1653" s="108"/>
      <c r="R1653" s="108"/>
      <c r="S1653" s="108"/>
      <c r="T1653" s="108"/>
      <c r="U1653" s="108"/>
      <c r="V1653" s="108"/>
      <c r="W1653" s="108"/>
      <c r="X1653" s="108"/>
      <c r="Y1653" s="108"/>
      <c r="Z1653" s="108"/>
    </row>
    <row r="1654" ht="16.5" customHeight="1">
      <c r="A1654" s="108"/>
      <c r="B1654" s="108"/>
      <c r="C1654" s="180"/>
      <c r="D1654" s="108"/>
      <c r="E1654" s="108"/>
      <c r="F1654" s="108"/>
      <c r="G1654" s="108"/>
      <c r="H1654" s="108"/>
      <c r="I1654" s="108"/>
      <c r="J1654" s="108"/>
      <c r="K1654" s="108"/>
      <c r="L1654" s="108"/>
      <c r="M1654" s="108"/>
      <c r="N1654" s="108"/>
      <c r="O1654" s="108"/>
      <c r="P1654" s="108"/>
      <c r="Q1654" s="108"/>
      <c r="R1654" s="108"/>
      <c r="S1654" s="108"/>
      <c r="T1654" s="108"/>
      <c r="U1654" s="108"/>
      <c r="V1654" s="108"/>
      <c r="W1654" s="108"/>
      <c r="X1654" s="108"/>
      <c r="Y1654" s="108"/>
      <c r="Z1654" s="108"/>
    </row>
    <row r="1655" ht="16.5" customHeight="1">
      <c r="A1655" s="108"/>
      <c r="B1655" s="108"/>
      <c r="C1655" s="180"/>
      <c r="D1655" s="108"/>
      <c r="E1655" s="108"/>
      <c r="F1655" s="108"/>
      <c r="G1655" s="108"/>
      <c r="H1655" s="108"/>
      <c r="I1655" s="108"/>
      <c r="J1655" s="108"/>
      <c r="K1655" s="108"/>
      <c r="L1655" s="108"/>
      <c r="M1655" s="108"/>
      <c r="N1655" s="108"/>
      <c r="O1655" s="108"/>
      <c r="P1655" s="108"/>
      <c r="Q1655" s="108"/>
      <c r="R1655" s="108"/>
      <c r="S1655" s="108"/>
      <c r="T1655" s="108"/>
      <c r="U1655" s="108"/>
      <c r="V1655" s="108"/>
      <c r="W1655" s="108"/>
      <c r="X1655" s="108"/>
      <c r="Y1655" s="108"/>
      <c r="Z1655" s="108"/>
    </row>
    <row r="1656" ht="16.5" customHeight="1">
      <c r="A1656" s="108"/>
      <c r="B1656" s="108"/>
      <c r="C1656" s="180"/>
      <c r="D1656" s="108"/>
      <c r="E1656" s="108"/>
      <c r="F1656" s="108"/>
      <c r="G1656" s="108"/>
      <c r="H1656" s="108"/>
      <c r="I1656" s="108"/>
      <c r="J1656" s="108"/>
      <c r="K1656" s="108"/>
      <c r="L1656" s="108"/>
      <c r="M1656" s="108"/>
      <c r="N1656" s="108"/>
      <c r="O1656" s="108"/>
      <c r="P1656" s="108"/>
      <c r="Q1656" s="108"/>
      <c r="R1656" s="108"/>
      <c r="S1656" s="108"/>
      <c r="T1656" s="108"/>
      <c r="U1656" s="108"/>
      <c r="V1656" s="108"/>
      <c r="W1656" s="108"/>
      <c r="X1656" s="108"/>
      <c r="Y1656" s="108"/>
      <c r="Z1656" s="108"/>
    </row>
    <row r="1657" ht="16.5" customHeight="1">
      <c r="A1657" s="108"/>
      <c r="B1657" s="108"/>
      <c r="C1657" s="180"/>
      <c r="D1657" s="108"/>
      <c r="E1657" s="108"/>
      <c r="F1657" s="108"/>
      <c r="G1657" s="108"/>
      <c r="H1657" s="108"/>
      <c r="I1657" s="108"/>
      <c r="J1657" s="108"/>
      <c r="K1657" s="108"/>
      <c r="L1657" s="108"/>
      <c r="M1657" s="108"/>
      <c r="N1657" s="108"/>
      <c r="O1657" s="108"/>
      <c r="P1657" s="108"/>
      <c r="Q1657" s="108"/>
      <c r="R1657" s="108"/>
      <c r="S1657" s="108"/>
      <c r="T1657" s="108"/>
      <c r="U1657" s="108"/>
      <c r="V1657" s="108"/>
      <c r="W1657" s="108"/>
      <c r="X1657" s="108"/>
      <c r="Y1657" s="108"/>
      <c r="Z1657" s="108"/>
    </row>
    <row r="1658" ht="16.5" customHeight="1">
      <c r="A1658" s="108"/>
      <c r="B1658" s="108"/>
      <c r="C1658" s="180"/>
      <c r="D1658" s="108"/>
      <c r="E1658" s="108"/>
      <c r="F1658" s="108"/>
      <c r="G1658" s="108"/>
      <c r="H1658" s="108"/>
      <c r="I1658" s="108"/>
      <c r="J1658" s="108"/>
      <c r="K1658" s="108"/>
      <c r="L1658" s="108"/>
      <c r="M1658" s="108"/>
      <c r="N1658" s="108"/>
      <c r="O1658" s="108"/>
      <c r="P1658" s="108"/>
      <c r="Q1658" s="108"/>
      <c r="R1658" s="108"/>
      <c r="S1658" s="108"/>
      <c r="T1658" s="108"/>
      <c r="U1658" s="108"/>
      <c r="V1658" s="108"/>
      <c r="W1658" s="108"/>
      <c r="X1658" s="108"/>
      <c r="Y1658" s="108"/>
      <c r="Z1658" s="108"/>
    </row>
    <row r="1659" ht="16.5" customHeight="1">
      <c r="A1659" s="108"/>
      <c r="B1659" s="108"/>
      <c r="C1659" s="180"/>
      <c r="D1659" s="108"/>
      <c r="E1659" s="108"/>
      <c r="F1659" s="108"/>
      <c r="G1659" s="108"/>
      <c r="H1659" s="108"/>
      <c r="I1659" s="108"/>
      <c r="J1659" s="108"/>
      <c r="K1659" s="108"/>
      <c r="L1659" s="108"/>
      <c r="M1659" s="108"/>
      <c r="N1659" s="108"/>
      <c r="O1659" s="108"/>
      <c r="P1659" s="108"/>
      <c r="Q1659" s="108"/>
      <c r="R1659" s="108"/>
      <c r="S1659" s="108"/>
      <c r="T1659" s="108"/>
      <c r="U1659" s="108"/>
      <c r="V1659" s="108"/>
      <c r="W1659" s="108"/>
      <c r="X1659" s="108"/>
      <c r="Y1659" s="108"/>
      <c r="Z1659" s="108"/>
    </row>
    <row r="1660" ht="16.5" customHeight="1">
      <c r="A1660" s="108"/>
      <c r="B1660" s="108"/>
      <c r="C1660" s="180"/>
      <c r="D1660" s="108"/>
      <c r="E1660" s="108"/>
      <c r="F1660" s="108"/>
      <c r="G1660" s="108"/>
      <c r="H1660" s="108"/>
      <c r="I1660" s="108"/>
      <c r="J1660" s="108"/>
      <c r="K1660" s="108"/>
      <c r="L1660" s="108"/>
      <c r="M1660" s="108"/>
      <c r="N1660" s="108"/>
      <c r="O1660" s="108"/>
      <c r="P1660" s="108"/>
      <c r="Q1660" s="108"/>
      <c r="R1660" s="108"/>
      <c r="S1660" s="108"/>
      <c r="T1660" s="108"/>
      <c r="U1660" s="108"/>
      <c r="V1660" s="108"/>
      <c r="W1660" s="108"/>
      <c r="X1660" s="108"/>
      <c r="Y1660" s="108"/>
      <c r="Z1660" s="108"/>
    </row>
    <row r="1661" ht="16.5" customHeight="1">
      <c r="A1661" s="108"/>
      <c r="B1661" s="108"/>
      <c r="C1661" s="180"/>
      <c r="D1661" s="108"/>
      <c r="E1661" s="108"/>
      <c r="F1661" s="108"/>
      <c r="G1661" s="108"/>
      <c r="H1661" s="108"/>
      <c r="I1661" s="108"/>
      <c r="J1661" s="108"/>
      <c r="K1661" s="108"/>
      <c r="L1661" s="108"/>
      <c r="M1661" s="108"/>
      <c r="N1661" s="108"/>
      <c r="O1661" s="108"/>
      <c r="P1661" s="108"/>
      <c r="Q1661" s="108"/>
      <c r="R1661" s="108"/>
      <c r="S1661" s="108"/>
      <c r="T1661" s="108"/>
      <c r="U1661" s="108"/>
      <c r="V1661" s="108"/>
      <c r="W1661" s="108"/>
      <c r="X1661" s="108"/>
      <c r="Y1661" s="108"/>
      <c r="Z1661" s="108"/>
    </row>
    <row r="1662" ht="16.5" customHeight="1">
      <c r="A1662" s="108"/>
      <c r="B1662" s="108"/>
      <c r="C1662" s="180"/>
      <c r="D1662" s="108"/>
      <c r="E1662" s="108"/>
      <c r="F1662" s="108"/>
      <c r="G1662" s="108"/>
      <c r="H1662" s="108"/>
      <c r="I1662" s="108"/>
      <c r="J1662" s="108"/>
      <c r="K1662" s="108"/>
      <c r="L1662" s="108"/>
      <c r="M1662" s="108"/>
      <c r="N1662" s="108"/>
      <c r="O1662" s="108"/>
      <c r="P1662" s="108"/>
      <c r="Q1662" s="108"/>
      <c r="R1662" s="108"/>
      <c r="S1662" s="108"/>
      <c r="T1662" s="108"/>
      <c r="U1662" s="108"/>
      <c r="V1662" s="108"/>
      <c r="W1662" s="108"/>
      <c r="X1662" s="108"/>
      <c r="Y1662" s="108"/>
      <c r="Z1662" s="108"/>
    </row>
    <row r="1663" ht="16.5" customHeight="1">
      <c r="A1663" s="108"/>
      <c r="B1663" s="108"/>
      <c r="C1663" s="180"/>
      <c r="D1663" s="108"/>
      <c r="E1663" s="108"/>
      <c r="F1663" s="108"/>
      <c r="G1663" s="108"/>
      <c r="H1663" s="108"/>
      <c r="I1663" s="108"/>
      <c r="J1663" s="108"/>
      <c r="K1663" s="108"/>
      <c r="L1663" s="108"/>
      <c r="M1663" s="108"/>
      <c r="N1663" s="108"/>
      <c r="O1663" s="108"/>
      <c r="P1663" s="108"/>
      <c r="Q1663" s="108"/>
      <c r="R1663" s="108"/>
      <c r="S1663" s="108"/>
      <c r="T1663" s="108"/>
      <c r="U1663" s="108"/>
      <c r="V1663" s="108"/>
      <c r="W1663" s="108"/>
      <c r="X1663" s="108"/>
      <c r="Y1663" s="108"/>
      <c r="Z1663" s="108"/>
    </row>
    <row r="1664" ht="16.5" customHeight="1">
      <c r="A1664" s="108"/>
      <c r="B1664" s="108"/>
      <c r="C1664" s="180"/>
      <c r="D1664" s="108"/>
      <c r="E1664" s="108"/>
      <c r="F1664" s="108"/>
      <c r="G1664" s="108"/>
      <c r="H1664" s="108"/>
      <c r="I1664" s="108"/>
      <c r="J1664" s="108"/>
      <c r="K1664" s="108"/>
      <c r="L1664" s="108"/>
      <c r="M1664" s="108"/>
      <c r="N1664" s="108"/>
      <c r="O1664" s="108"/>
      <c r="P1664" s="108"/>
      <c r="Q1664" s="108"/>
      <c r="R1664" s="108"/>
      <c r="S1664" s="108"/>
      <c r="T1664" s="108"/>
      <c r="U1664" s="108"/>
      <c r="V1664" s="108"/>
      <c r="W1664" s="108"/>
      <c r="X1664" s="108"/>
      <c r="Y1664" s="108"/>
      <c r="Z1664" s="108"/>
    </row>
    <row r="1665" ht="16.5" customHeight="1">
      <c r="A1665" s="108"/>
      <c r="B1665" s="108"/>
      <c r="C1665" s="180"/>
      <c r="D1665" s="108"/>
      <c r="E1665" s="108"/>
      <c r="F1665" s="108"/>
      <c r="G1665" s="108"/>
      <c r="H1665" s="108"/>
      <c r="I1665" s="108"/>
      <c r="J1665" s="108"/>
      <c r="K1665" s="108"/>
      <c r="L1665" s="108"/>
      <c r="M1665" s="108"/>
      <c r="N1665" s="108"/>
      <c r="O1665" s="108"/>
      <c r="P1665" s="108"/>
      <c r="Q1665" s="108"/>
      <c r="R1665" s="108"/>
      <c r="S1665" s="108"/>
      <c r="T1665" s="108"/>
      <c r="U1665" s="108"/>
      <c r="V1665" s="108"/>
      <c r="W1665" s="108"/>
      <c r="X1665" s="108"/>
      <c r="Y1665" s="108"/>
      <c r="Z1665" s="108"/>
    </row>
    <row r="1666" ht="16.5" customHeight="1">
      <c r="A1666" s="108"/>
      <c r="B1666" s="108"/>
      <c r="C1666" s="180"/>
      <c r="D1666" s="108"/>
      <c r="E1666" s="108"/>
      <c r="F1666" s="108"/>
      <c r="G1666" s="108"/>
      <c r="H1666" s="108"/>
      <c r="I1666" s="108"/>
      <c r="J1666" s="108"/>
      <c r="K1666" s="108"/>
      <c r="L1666" s="108"/>
      <c r="M1666" s="108"/>
      <c r="N1666" s="108"/>
      <c r="O1666" s="108"/>
      <c r="P1666" s="108"/>
      <c r="Q1666" s="108"/>
      <c r="R1666" s="108"/>
      <c r="S1666" s="108"/>
      <c r="T1666" s="108"/>
      <c r="U1666" s="108"/>
      <c r="V1666" s="108"/>
      <c r="W1666" s="108"/>
      <c r="X1666" s="108"/>
      <c r="Y1666" s="108"/>
      <c r="Z1666" s="108"/>
    </row>
    <row r="1667" ht="16.5" customHeight="1">
      <c r="A1667" s="108"/>
      <c r="B1667" s="108"/>
      <c r="C1667" s="180"/>
      <c r="D1667" s="108"/>
      <c r="E1667" s="108"/>
      <c r="F1667" s="108"/>
      <c r="G1667" s="108"/>
      <c r="H1667" s="108"/>
      <c r="I1667" s="108"/>
      <c r="J1667" s="108"/>
      <c r="K1667" s="108"/>
      <c r="L1667" s="108"/>
      <c r="M1667" s="108"/>
      <c r="N1667" s="108"/>
      <c r="O1667" s="108"/>
      <c r="P1667" s="108"/>
      <c r="Q1667" s="108"/>
      <c r="R1667" s="108"/>
      <c r="S1667" s="108"/>
      <c r="T1667" s="108"/>
      <c r="U1667" s="108"/>
      <c r="V1667" s="108"/>
      <c r="W1667" s="108"/>
      <c r="X1667" s="108"/>
      <c r="Y1667" s="108"/>
      <c r="Z1667" s="108"/>
    </row>
    <row r="1668" ht="16.5" customHeight="1">
      <c r="A1668" s="108"/>
      <c r="B1668" s="108"/>
      <c r="C1668" s="180"/>
      <c r="D1668" s="108"/>
      <c r="E1668" s="108"/>
      <c r="F1668" s="108"/>
      <c r="G1668" s="108"/>
      <c r="H1668" s="108"/>
      <c r="I1668" s="108"/>
      <c r="J1668" s="108"/>
      <c r="K1668" s="108"/>
      <c r="L1668" s="108"/>
      <c r="M1668" s="108"/>
      <c r="N1668" s="108"/>
      <c r="O1668" s="108"/>
      <c r="P1668" s="108"/>
      <c r="Q1668" s="108"/>
      <c r="R1668" s="108"/>
      <c r="S1668" s="108"/>
      <c r="T1668" s="108"/>
      <c r="U1668" s="108"/>
      <c r="V1668" s="108"/>
      <c r="W1668" s="108"/>
      <c r="X1668" s="108"/>
      <c r="Y1668" s="108"/>
      <c r="Z1668" s="108"/>
    </row>
    <row r="1669" ht="16.5" customHeight="1">
      <c r="A1669" s="108"/>
      <c r="B1669" s="108"/>
      <c r="C1669" s="180"/>
      <c r="D1669" s="108"/>
      <c r="E1669" s="108"/>
      <c r="F1669" s="108"/>
      <c r="G1669" s="108"/>
      <c r="H1669" s="108"/>
      <c r="I1669" s="108"/>
      <c r="J1669" s="108"/>
      <c r="K1669" s="108"/>
      <c r="L1669" s="108"/>
      <c r="M1669" s="108"/>
      <c r="N1669" s="108"/>
      <c r="O1669" s="108"/>
      <c r="P1669" s="108"/>
      <c r="Q1669" s="108"/>
      <c r="R1669" s="108"/>
      <c r="S1669" s="108"/>
      <c r="T1669" s="108"/>
      <c r="U1669" s="108"/>
      <c r="V1669" s="108"/>
      <c r="W1669" s="108"/>
      <c r="X1669" s="108"/>
      <c r="Y1669" s="108"/>
      <c r="Z1669" s="108"/>
    </row>
    <row r="1670" ht="16.5" customHeight="1">
      <c r="A1670" s="108"/>
      <c r="B1670" s="108"/>
      <c r="C1670" s="180"/>
      <c r="D1670" s="108"/>
      <c r="E1670" s="108"/>
      <c r="F1670" s="108"/>
      <c r="G1670" s="108"/>
      <c r="H1670" s="108"/>
      <c r="I1670" s="108"/>
      <c r="J1670" s="108"/>
      <c r="K1670" s="108"/>
      <c r="L1670" s="108"/>
      <c r="M1670" s="108"/>
      <c r="N1670" s="108"/>
      <c r="O1670" s="108"/>
      <c r="P1670" s="108"/>
      <c r="Q1670" s="108"/>
      <c r="R1670" s="108"/>
      <c r="S1670" s="108"/>
      <c r="T1670" s="108"/>
      <c r="U1670" s="108"/>
      <c r="V1670" s="108"/>
      <c r="W1670" s="108"/>
      <c r="X1670" s="108"/>
      <c r="Y1670" s="108"/>
      <c r="Z1670" s="108"/>
    </row>
    <row r="1671" ht="16.5" customHeight="1">
      <c r="A1671" s="108"/>
      <c r="B1671" s="108"/>
      <c r="C1671" s="180"/>
      <c r="D1671" s="108"/>
      <c r="E1671" s="108"/>
      <c r="F1671" s="108"/>
      <c r="G1671" s="108"/>
      <c r="H1671" s="108"/>
      <c r="I1671" s="108"/>
      <c r="J1671" s="108"/>
      <c r="K1671" s="108"/>
      <c r="L1671" s="108"/>
      <c r="M1671" s="108"/>
      <c r="N1671" s="108"/>
      <c r="O1671" s="108"/>
      <c r="P1671" s="108"/>
      <c r="Q1671" s="108"/>
      <c r="R1671" s="108"/>
      <c r="S1671" s="108"/>
      <c r="T1671" s="108"/>
      <c r="U1671" s="108"/>
      <c r="V1671" s="108"/>
      <c r="W1671" s="108"/>
      <c r="X1671" s="108"/>
      <c r="Y1671" s="108"/>
      <c r="Z1671" s="108"/>
    </row>
    <row r="1672" ht="16.5" customHeight="1">
      <c r="A1672" s="108"/>
      <c r="B1672" s="108"/>
      <c r="C1672" s="180"/>
      <c r="D1672" s="108"/>
      <c r="E1672" s="108"/>
      <c r="F1672" s="108"/>
      <c r="G1672" s="108"/>
      <c r="H1672" s="108"/>
      <c r="I1672" s="108"/>
      <c r="J1672" s="108"/>
      <c r="K1672" s="108"/>
      <c r="L1672" s="108"/>
      <c r="M1672" s="108"/>
      <c r="N1672" s="108"/>
      <c r="O1672" s="108"/>
      <c r="P1672" s="108"/>
      <c r="Q1672" s="108"/>
      <c r="R1672" s="108"/>
      <c r="S1672" s="108"/>
      <c r="T1672" s="108"/>
      <c r="U1672" s="108"/>
      <c r="V1672" s="108"/>
      <c r="W1672" s="108"/>
      <c r="X1672" s="108"/>
      <c r="Y1672" s="108"/>
      <c r="Z1672" s="108"/>
    </row>
    <row r="1673" ht="16.5" customHeight="1">
      <c r="A1673" s="108"/>
      <c r="B1673" s="108"/>
      <c r="C1673" s="180"/>
      <c r="D1673" s="108"/>
      <c r="E1673" s="108"/>
      <c r="F1673" s="108"/>
      <c r="G1673" s="108"/>
      <c r="H1673" s="108"/>
      <c r="I1673" s="108"/>
      <c r="J1673" s="108"/>
      <c r="K1673" s="108"/>
      <c r="L1673" s="108"/>
      <c r="M1673" s="108"/>
      <c r="N1673" s="108"/>
      <c r="O1673" s="108"/>
      <c r="P1673" s="108"/>
      <c r="Q1673" s="108"/>
      <c r="R1673" s="108"/>
      <c r="S1673" s="108"/>
      <c r="T1673" s="108"/>
      <c r="U1673" s="108"/>
      <c r="V1673" s="108"/>
      <c r="W1673" s="108"/>
      <c r="X1673" s="108"/>
      <c r="Y1673" s="108"/>
      <c r="Z1673" s="108"/>
    </row>
    <row r="1674" ht="16.5" customHeight="1">
      <c r="A1674" s="108"/>
      <c r="B1674" s="108"/>
      <c r="C1674" s="180"/>
      <c r="D1674" s="108"/>
      <c r="E1674" s="108"/>
      <c r="F1674" s="108"/>
      <c r="G1674" s="108"/>
      <c r="H1674" s="108"/>
      <c r="I1674" s="108"/>
      <c r="J1674" s="108"/>
      <c r="K1674" s="108"/>
      <c r="L1674" s="108"/>
      <c r="M1674" s="108"/>
      <c r="N1674" s="108"/>
      <c r="O1674" s="108"/>
      <c r="P1674" s="108"/>
      <c r="Q1674" s="108"/>
      <c r="R1674" s="108"/>
      <c r="S1674" s="108"/>
      <c r="T1674" s="108"/>
      <c r="U1674" s="108"/>
      <c r="V1674" s="108"/>
      <c r="W1674" s="108"/>
      <c r="X1674" s="108"/>
      <c r="Y1674" s="108"/>
      <c r="Z1674" s="108"/>
    </row>
    <row r="1675" ht="16.5" customHeight="1">
      <c r="A1675" s="108"/>
      <c r="B1675" s="108"/>
      <c r="C1675" s="180"/>
      <c r="D1675" s="108"/>
      <c r="E1675" s="108"/>
      <c r="F1675" s="108"/>
      <c r="G1675" s="108"/>
      <c r="H1675" s="108"/>
      <c r="I1675" s="108"/>
      <c r="J1675" s="108"/>
      <c r="K1675" s="108"/>
      <c r="L1675" s="108"/>
      <c r="M1675" s="108"/>
      <c r="N1675" s="108"/>
      <c r="O1675" s="108"/>
      <c r="P1675" s="108"/>
      <c r="Q1675" s="108"/>
      <c r="R1675" s="108"/>
      <c r="S1675" s="108"/>
      <c r="T1675" s="108"/>
      <c r="U1675" s="108"/>
      <c r="V1675" s="108"/>
      <c r="W1675" s="108"/>
      <c r="X1675" s="108"/>
      <c r="Y1675" s="108"/>
      <c r="Z1675" s="108"/>
    </row>
    <row r="1676" ht="16.5" customHeight="1">
      <c r="A1676" s="108"/>
      <c r="B1676" s="108"/>
      <c r="C1676" s="180"/>
      <c r="D1676" s="108"/>
      <c r="E1676" s="108"/>
      <c r="F1676" s="108"/>
      <c r="G1676" s="108"/>
      <c r="H1676" s="108"/>
      <c r="I1676" s="108"/>
      <c r="J1676" s="108"/>
      <c r="K1676" s="108"/>
      <c r="L1676" s="108"/>
      <c r="M1676" s="108"/>
      <c r="N1676" s="108"/>
      <c r="O1676" s="108"/>
      <c r="P1676" s="108"/>
      <c r="Q1676" s="108"/>
      <c r="R1676" s="108"/>
      <c r="S1676" s="108"/>
      <c r="T1676" s="108"/>
      <c r="U1676" s="108"/>
      <c r="V1676" s="108"/>
      <c r="W1676" s="108"/>
      <c r="X1676" s="108"/>
      <c r="Y1676" s="108"/>
      <c r="Z1676" s="108"/>
    </row>
    <row r="1677" ht="16.5" customHeight="1">
      <c r="A1677" s="108"/>
      <c r="B1677" s="108"/>
      <c r="C1677" s="180"/>
      <c r="D1677" s="108"/>
      <c r="E1677" s="108"/>
      <c r="F1677" s="108"/>
      <c r="G1677" s="108"/>
      <c r="H1677" s="108"/>
      <c r="I1677" s="108"/>
      <c r="J1677" s="108"/>
      <c r="K1677" s="108"/>
      <c r="L1677" s="108"/>
      <c r="M1677" s="108"/>
      <c r="N1677" s="108"/>
      <c r="O1677" s="108"/>
      <c r="P1677" s="108"/>
      <c r="Q1677" s="108"/>
      <c r="R1677" s="108"/>
      <c r="S1677" s="108"/>
      <c r="T1677" s="108"/>
      <c r="U1677" s="108"/>
      <c r="V1677" s="108"/>
      <c r="W1677" s="108"/>
      <c r="X1677" s="108"/>
      <c r="Y1677" s="108"/>
      <c r="Z1677" s="108"/>
    </row>
    <row r="1678" ht="16.5" customHeight="1">
      <c r="A1678" s="108"/>
      <c r="B1678" s="108"/>
      <c r="C1678" s="180"/>
      <c r="D1678" s="108"/>
      <c r="E1678" s="108"/>
      <c r="F1678" s="108"/>
      <c r="G1678" s="108"/>
      <c r="H1678" s="108"/>
      <c r="I1678" s="108"/>
      <c r="J1678" s="108"/>
      <c r="K1678" s="108"/>
      <c r="L1678" s="108"/>
      <c r="M1678" s="108"/>
      <c r="N1678" s="108"/>
      <c r="O1678" s="108"/>
      <c r="P1678" s="108"/>
      <c r="Q1678" s="108"/>
      <c r="R1678" s="108"/>
      <c r="S1678" s="108"/>
      <c r="T1678" s="108"/>
      <c r="U1678" s="108"/>
      <c r="V1678" s="108"/>
      <c r="W1678" s="108"/>
      <c r="X1678" s="108"/>
      <c r="Y1678" s="108"/>
      <c r="Z1678" s="108"/>
    </row>
    <row r="1679" ht="16.5" customHeight="1">
      <c r="A1679" s="108"/>
      <c r="B1679" s="108"/>
      <c r="C1679" s="180"/>
      <c r="D1679" s="108"/>
      <c r="E1679" s="108"/>
      <c r="F1679" s="108"/>
      <c r="G1679" s="108"/>
      <c r="H1679" s="108"/>
      <c r="I1679" s="108"/>
      <c r="J1679" s="108"/>
      <c r="K1679" s="108"/>
      <c r="L1679" s="108"/>
      <c r="M1679" s="108"/>
      <c r="N1679" s="108"/>
      <c r="O1679" s="108"/>
      <c r="P1679" s="108"/>
      <c r="Q1679" s="108"/>
      <c r="R1679" s="108"/>
      <c r="S1679" s="108"/>
      <c r="T1679" s="108"/>
      <c r="U1679" s="108"/>
      <c r="V1679" s="108"/>
      <c r="W1679" s="108"/>
      <c r="X1679" s="108"/>
      <c r="Y1679" s="108"/>
      <c r="Z1679" s="108"/>
    </row>
    <row r="1680" ht="16.5" customHeight="1">
      <c r="A1680" s="108"/>
      <c r="B1680" s="108"/>
      <c r="C1680" s="180"/>
      <c r="D1680" s="108"/>
      <c r="E1680" s="108"/>
      <c r="F1680" s="108"/>
      <c r="G1680" s="108"/>
      <c r="H1680" s="108"/>
      <c r="I1680" s="108"/>
      <c r="J1680" s="108"/>
      <c r="K1680" s="108"/>
      <c r="L1680" s="108"/>
      <c r="M1680" s="108"/>
      <c r="N1680" s="108"/>
      <c r="O1680" s="108"/>
      <c r="P1680" s="108"/>
      <c r="Q1680" s="108"/>
      <c r="R1680" s="108"/>
      <c r="S1680" s="108"/>
      <c r="T1680" s="108"/>
      <c r="U1680" s="108"/>
      <c r="V1680" s="108"/>
      <c r="W1680" s="108"/>
      <c r="X1680" s="108"/>
      <c r="Y1680" s="108"/>
      <c r="Z1680" s="108"/>
    </row>
    <row r="1681" ht="16.5" customHeight="1">
      <c r="A1681" s="108"/>
      <c r="B1681" s="108"/>
      <c r="C1681" s="180"/>
      <c r="D1681" s="108"/>
      <c r="E1681" s="108"/>
      <c r="F1681" s="108"/>
      <c r="G1681" s="108"/>
      <c r="H1681" s="108"/>
      <c r="I1681" s="108"/>
      <c r="J1681" s="108"/>
      <c r="K1681" s="108"/>
      <c r="L1681" s="108"/>
      <c r="M1681" s="108"/>
      <c r="N1681" s="108"/>
      <c r="O1681" s="108"/>
      <c r="P1681" s="108"/>
      <c r="Q1681" s="108"/>
      <c r="R1681" s="108"/>
      <c r="S1681" s="108"/>
      <c r="T1681" s="108"/>
      <c r="U1681" s="108"/>
      <c r="V1681" s="108"/>
      <c r="W1681" s="108"/>
      <c r="X1681" s="108"/>
      <c r="Y1681" s="108"/>
      <c r="Z1681" s="108"/>
    </row>
    <row r="1682" ht="16.5" customHeight="1">
      <c r="A1682" s="108"/>
      <c r="B1682" s="108"/>
      <c r="C1682" s="180"/>
      <c r="D1682" s="108"/>
      <c r="E1682" s="108"/>
      <c r="F1682" s="108"/>
      <c r="G1682" s="108"/>
      <c r="H1682" s="108"/>
      <c r="I1682" s="108"/>
      <c r="J1682" s="108"/>
      <c r="K1682" s="108"/>
      <c r="L1682" s="108"/>
      <c r="M1682" s="108"/>
      <c r="N1682" s="108"/>
      <c r="O1682" s="108"/>
      <c r="P1682" s="108"/>
      <c r="Q1682" s="108"/>
      <c r="R1682" s="108"/>
      <c r="S1682" s="108"/>
      <c r="T1682" s="108"/>
      <c r="U1682" s="108"/>
      <c r="V1682" s="108"/>
      <c r="W1682" s="108"/>
      <c r="X1682" s="108"/>
      <c r="Y1682" s="108"/>
      <c r="Z1682" s="108"/>
    </row>
    <row r="1683" ht="16.5" customHeight="1">
      <c r="A1683" s="108"/>
      <c r="B1683" s="108"/>
      <c r="C1683" s="180"/>
      <c r="D1683" s="108"/>
      <c r="E1683" s="108"/>
      <c r="F1683" s="108"/>
      <c r="G1683" s="108"/>
      <c r="H1683" s="108"/>
      <c r="I1683" s="108"/>
      <c r="J1683" s="108"/>
      <c r="K1683" s="108"/>
      <c r="L1683" s="108"/>
      <c r="M1683" s="108"/>
      <c r="N1683" s="108"/>
      <c r="O1683" s="108"/>
      <c r="P1683" s="108"/>
      <c r="Q1683" s="108"/>
      <c r="R1683" s="108"/>
      <c r="S1683" s="108"/>
      <c r="T1683" s="108"/>
      <c r="U1683" s="108"/>
      <c r="V1683" s="108"/>
      <c r="W1683" s="108"/>
      <c r="X1683" s="108"/>
      <c r="Y1683" s="108"/>
      <c r="Z1683" s="108"/>
    </row>
    <row r="1684" ht="16.5" customHeight="1">
      <c r="A1684" s="108"/>
      <c r="B1684" s="108"/>
      <c r="C1684" s="180"/>
      <c r="D1684" s="108"/>
      <c r="E1684" s="108"/>
      <c r="F1684" s="108"/>
      <c r="G1684" s="108"/>
      <c r="H1684" s="108"/>
      <c r="I1684" s="108"/>
      <c r="J1684" s="108"/>
      <c r="K1684" s="108"/>
      <c r="L1684" s="108"/>
      <c r="M1684" s="108"/>
      <c r="N1684" s="108"/>
      <c r="O1684" s="108"/>
      <c r="P1684" s="108"/>
      <c r="Q1684" s="108"/>
      <c r="R1684" s="108"/>
      <c r="S1684" s="108"/>
      <c r="T1684" s="108"/>
      <c r="U1684" s="108"/>
      <c r="V1684" s="108"/>
      <c r="W1684" s="108"/>
      <c r="X1684" s="108"/>
      <c r="Y1684" s="108"/>
      <c r="Z1684" s="108"/>
    </row>
    <row r="1685" ht="16.5" customHeight="1">
      <c r="A1685" s="108"/>
      <c r="B1685" s="108"/>
      <c r="C1685" s="180"/>
      <c r="D1685" s="108"/>
      <c r="E1685" s="108"/>
      <c r="F1685" s="108"/>
      <c r="G1685" s="108"/>
      <c r="H1685" s="108"/>
      <c r="I1685" s="108"/>
      <c r="J1685" s="108"/>
      <c r="K1685" s="108"/>
      <c r="L1685" s="108"/>
      <c r="M1685" s="108"/>
      <c r="N1685" s="108"/>
      <c r="O1685" s="108"/>
      <c r="P1685" s="108"/>
      <c r="Q1685" s="108"/>
      <c r="R1685" s="108"/>
      <c r="S1685" s="108"/>
      <c r="T1685" s="108"/>
      <c r="U1685" s="108"/>
      <c r="V1685" s="108"/>
      <c r="W1685" s="108"/>
      <c r="X1685" s="108"/>
      <c r="Y1685" s="108"/>
      <c r="Z1685" s="108"/>
    </row>
    <row r="1686" ht="16.5" customHeight="1">
      <c r="A1686" s="108"/>
      <c r="B1686" s="108"/>
      <c r="C1686" s="180"/>
      <c r="D1686" s="108"/>
      <c r="E1686" s="108"/>
      <c r="F1686" s="108"/>
      <c r="G1686" s="108"/>
      <c r="H1686" s="108"/>
      <c r="I1686" s="108"/>
      <c r="J1686" s="108"/>
      <c r="K1686" s="108"/>
      <c r="L1686" s="108"/>
      <c r="M1686" s="108"/>
      <c r="N1686" s="108"/>
      <c r="O1686" s="108"/>
      <c r="P1686" s="108"/>
      <c r="Q1686" s="108"/>
      <c r="R1686" s="108"/>
      <c r="S1686" s="108"/>
      <c r="T1686" s="108"/>
      <c r="U1686" s="108"/>
      <c r="V1686" s="108"/>
      <c r="W1686" s="108"/>
      <c r="X1686" s="108"/>
      <c r="Y1686" s="108"/>
      <c r="Z1686" s="108"/>
    </row>
    <row r="1687" ht="16.5" customHeight="1">
      <c r="A1687" s="108"/>
      <c r="B1687" s="108"/>
      <c r="C1687" s="180"/>
      <c r="D1687" s="108"/>
      <c r="E1687" s="108"/>
      <c r="F1687" s="108"/>
      <c r="G1687" s="108"/>
      <c r="H1687" s="108"/>
      <c r="I1687" s="108"/>
      <c r="J1687" s="108"/>
      <c r="K1687" s="108"/>
      <c r="L1687" s="108"/>
      <c r="M1687" s="108"/>
      <c r="N1687" s="108"/>
      <c r="O1687" s="108"/>
      <c r="P1687" s="108"/>
      <c r="Q1687" s="108"/>
      <c r="R1687" s="108"/>
      <c r="S1687" s="108"/>
      <c r="T1687" s="108"/>
      <c r="U1687" s="108"/>
      <c r="V1687" s="108"/>
      <c r="W1687" s="108"/>
      <c r="X1687" s="108"/>
      <c r="Y1687" s="108"/>
      <c r="Z1687" s="108"/>
    </row>
    <row r="1688" ht="16.5" customHeight="1">
      <c r="A1688" s="108"/>
      <c r="B1688" s="108"/>
      <c r="C1688" s="180"/>
      <c r="D1688" s="108"/>
      <c r="E1688" s="108"/>
      <c r="F1688" s="108"/>
      <c r="G1688" s="108"/>
      <c r="H1688" s="108"/>
      <c r="I1688" s="108"/>
      <c r="J1688" s="108"/>
      <c r="K1688" s="108"/>
      <c r="L1688" s="108"/>
      <c r="M1688" s="108"/>
      <c r="N1688" s="108"/>
      <c r="O1688" s="108"/>
      <c r="P1688" s="108"/>
      <c r="Q1688" s="108"/>
      <c r="R1688" s="108"/>
      <c r="S1688" s="108"/>
      <c r="T1688" s="108"/>
      <c r="U1688" s="108"/>
      <c r="V1688" s="108"/>
      <c r="W1688" s="108"/>
      <c r="X1688" s="108"/>
      <c r="Y1688" s="108"/>
      <c r="Z1688" s="108"/>
    </row>
    <row r="1689" ht="16.5" customHeight="1">
      <c r="A1689" s="108"/>
      <c r="B1689" s="108"/>
      <c r="C1689" s="180"/>
      <c r="D1689" s="108"/>
      <c r="E1689" s="108"/>
      <c r="F1689" s="108"/>
      <c r="G1689" s="108"/>
      <c r="H1689" s="108"/>
      <c r="I1689" s="108"/>
      <c r="J1689" s="108"/>
      <c r="K1689" s="108"/>
      <c r="L1689" s="108"/>
      <c r="M1689" s="108"/>
      <c r="N1689" s="108"/>
      <c r="O1689" s="108"/>
      <c r="P1689" s="108"/>
      <c r="Q1689" s="108"/>
      <c r="R1689" s="108"/>
      <c r="S1689" s="108"/>
      <c r="T1689" s="108"/>
      <c r="U1689" s="108"/>
      <c r="V1689" s="108"/>
      <c r="W1689" s="108"/>
      <c r="X1689" s="108"/>
      <c r="Y1689" s="108"/>
      <c r="Z1689" s="108"/>
    </row>
    <row r="1690" ht="16.5" customHeight="1">
      <c r="A1690" s="108"/>
      <c r="B1690" s="108"/>
      <c r="C1690" s="180"/>
      <c r="D1690" s="108"/>
      <c r="E1690" s="108"/>
      <c r="F1690" s="108"/>
      <c r="G1690" s="108"/>
      <c r="H1690" s="108"/>
      <c r="I1690" s="108"/>
      <c r="J1690" s="108"/>
      <c r="K1690" s="108"/>
      <c r="L1690" s="108"/>
      <c r="M1690" s="108"/>
      <c r="N1690" s="108"/>
      <c r="O1690" s="108"/>
      <c r="P1690" s="108"/>
      <c r="Q1690" s="108"/>
      <c r="R1690" s="108"/>
      <c r="S1690" s="108"/>
      <c r="T1690" s="108"/>
      <c r="U1690" s="108"/>
      <c r="V1690" s="108"/>
      <c r="W1690" s="108"/>
      <c r="X1690" s="108"/>
      <c r="Y1690" s="108"/>
      <c r="Z1690" s="108"/>
    </row>
    <row r="1691" ht="16.5" customHeight="1">
      <c r="A1691" s="108"/>
      <c r="B1691" s="108"/>
      <c r="C1691" s="180"/>
      <c r="D1691" s="108"/>
      <c r="E1691" s="108"/>
      <c r="F1691" s="108"/>
      <c r="G1691" s="108"/>
      <c r="H1691" s="108"/>
      <c r="I1691" s="108"/>
      <c r="J1691" s="108"/>
      <c r="K1691" s="108"/>
      <c r="L1691" s="108"/>
      <c r="M1691" s="108"/>
      <c r="N1691" s="108"/>
      <c r="O1691" s="108"/>
      <c r="P1691" s="108"/>
      <c r="Q1691" s="108"/>
      <c r="R1691" s="108"/>
      <c r="S1691" s="108"/>
      <c r="T1691" s="108"/>
      <c r="U1691" s="108"/>
      <c r="V1691" s="108"/>
      <c r="W1691" s="108"/>
      <c r="X1691" s="108"/>
      <c r="Y1691" s="108"/>
      <c r="Z1691" s="108"/>
    </row>
    <row r="1692" ht="16.5" customHeight="1">
      <c r="A1692" s="108"/>
      <c r="B1692" s="108"/>
      <c r="C1692" s="180"/>
      <c r="D1692" s="108"/>
      <c r="E1692" s="108"/>
      <c r="F1692" s="108"/>
      <c r="G1692" s="108"/>
      <c r="H1692" s="108"/>
      <c r="I1692" s="108"/>
      <c r="J1692" s="108"/>
      <c r="K1692" s="108"/>
      <c r="L1692" s="108"/>
      <c r="M1692" s="108"/>
      <c r="N1692" s="108"/>
      <c r="O1692" s="108"/>
      <c r="P1692" s="108"/>
      <c r="Q1692" s="108"/>
      <c r="R1692" s="108"/>
      <c r="S1692" s="108"/>
      <c r="T1692" s="108"/>
      <c r="U1692" s="108"/>
      <c r="V1692" s="108"/>
      <c r="W1692" s="108"/>
      <c r="X1692" s="108"/>
      <c r="Y1692" s="108"/>
      <c r="Z1692" s="108"/>
    </row>
    <row r="1693" ht="16.5" customHeight="1">
      <c r="A1693" s="108"/>
      <c r="B1693" s="108"/>
      <c r="C1693" s="180"/>
      <c r="D1693" s="108"/>
      <c r="E1693" s="108"/>
      <c r="F1693" s="108"/>
      <c r="G1693" s="108"/>
      <c r="H1693" s="108"/>
      <c r="I1693" s="108"/>
      <c r="J1693" s="108"/>
      <c r="K1693" s="108"/>
      <c r="L1693" s="108"/>
      <c r="M1693" s="108"/>
      <c r="N1693" s="108"/>
      <c r="O1693" s="108"/>
      <c r="P1693" s="108"/>
      <c r="Q1693" s="108"/>
      <c r="R1693" s="108"/>
      <c r="S1693" s="108"/>
      <c r="T1693" s="108"/>
      <c r="U1693" s="108"/>
      <c r="V1693" s="108"/>
      <c r="W1693" s="108"/>
      <c r="X1693" s="108"/>
      <c r="Y1693" s="108"/>
      <c r="Z1693" s="108"/>
    </row>
    <row r="1694" ht="16.5" customHeight="1">
      <c r="A1694" s="108"/>
      <c r="B1694" s="108"/>
      <c r="C1694" s="180"/>
      <c r="D1694" s="108"/>
      <c r="E1694" s="108"/>
      <c r="F1694" s="108"/>
      <c r="G1694" s="108"/>
      <c r="H1694" s="108"/>
      <c r="I1694" s="108"/>
      <c r="J1694" s="108"/>
      <c r="K1694" s="108"/>
      <c r="L1694" s="108"/>
      <c r="M1694" s="108"/>
      <c r="N1694" s="108"/>
      <c r="O1694" s="108"/>
      <c r="P1694" s="108"/>
      <c r="Q1694" s="108"/>
      <c r="R1694" s="108"/>
      <c r="S1694" s="108"/>
      <c r="T1694" s="108"/>
      <c r="U1694" s="108"/>
      <c r="V1694" s="108"/>
      <c r="W1694" s="108"/>
      <c r="X1694" s="108"/>
      <c r="Y1694" s="108"/>
      <c r="Z1694" s="108"/>
    </row>
    <row r="1695" ht="16.5" customHeight="1">
      <c r="A1695" s="108"/>
      <c r="B1695" s="108"/>
      <c r="C1695" s="180"/>
      <c r="D1695" s="108"/>
      <c r="E1695" s="108"/>
      <c r="F1695" s="108"/>
      <c r="G1695" s="108"/>
      <c r="H1695" s="108"/>
      <c r="I1695" s="108"/>
      <c r="J1695" s="108"/>
      <c r="K1695" s="108"/>
      <c r="L1695" s="108"/>
      <c r="M1695" s="108"/>
      <c r="N1695" s="108"/>
      <c r="O1695" s="108"/>
      <c r="P1695" s="108"/>
      <c r="Q1695" s="108"/>
      <c r="R1695" s="108"/>
      <c r="S1695" s="108"/>
      <c r="T1695" s="108"/>
      <c r="U1695" s="108"/>
      <c r="V1695" s="108"/>
      <c r="W1695" s="108"/>
      <c r="X1695" s="108"/>
      <c r="Y1695" s="108"/>
      <c r="Z1695" s="108"/>
    </row>
    <row r="1696" ht="16.5" customHeight="1">
      <c r="A1696" s="108"/>
      <c r="B1696" s="108"/>
      <c r="C1696" s="180"/>
      <c r="D1696" s="108"/>
      <c r="E1696" s="108"/>
      <c r="F1696" s="108"/>
      <c r="G1696" s="108"/>
      <c r="H1696" s="108"/>
      <c r="I1696" s="108"/>
      <c r="J1696" s="108"/>
      <c r="K1696" s="108"/>
      <c r="L1696" s="108"/>
      <c r="M1696" s="108"/>
      <c r="N1696" s="108"/>
      <c r="O1696" s="108"/>
      <c r="P1696" s="108"/>
      <c r="Q1696" s="108"/>
      <c r="R1696" s="108"/>
      <c r="S1696" s="108"/>
      <c r="T1696" s="108"/>
      <c r="U1696" s="108"/>
      <c r="V1696" s="108"/>
      <c r="W1696" s="108"/>
      <c r="X1696" s="108"/>
      <c r="Y1696" s="108"/>
      <c r="Z1696" s="108"/>
    </row>
    <row r="1697" ht="16.5" customHeight="1">
      <c r="A1697" s="108"/>
      <c r="B1697" s="108"/>
      <c r="C1697" s="180"/>
      <c r="D1697" s="108"/>
      <c r="E1697" s="108"/>
      <c r="F1697" s="108"/>
      <c r="G1697" s="108"/>
      <c r="H1697" s="108"/>
      <c r="I1697" s="108"/>
      <c r="J1697" s="108"/>
      <c r="K1697" s="108"/>
      <c r="L1697" s="108"/>
      <c r="M1697" s="108"/>
      <c r="N1697" s="108"/>
      <c r="O1697" s="108"/>
      <c r="P1697" s="108"/>
      <c r="Q1697" s="108"/>
      <c r="R1697" s="108"/>
      <c r="S1697" s="108"/>
      <c r="T1697" s="108"/>
      <c r="U1697" s="108"/>
      <c r="V1697" s="108"/>
      <c r="W1697" s="108"/>
      <c r="X1697" s="108"/>
      <c r="Y1697" s="108"/>
      <c r="Z1697" s="108"/>
    </row>
    <row r="1698" ht="16.5" customHeight="1">
      <c r="A1698" s="108"/>
      <c r="B1698" s="108"/>
      <c r="C1698" s="180"/>
      <c r="D1698" s="108"/>
      <c r="E1698" s="108"/>
      <c r="F1698" s="108"/>
      <c r="G1698" s="108"/>
      <c r="H1698" s="108"/>
      <c r="I1698" s="108"/>
      <c r="J1698" s="108"/>
      <c r="K1698" s="108"/>
      <c r="L1698" s="108"/>
      <c r="M1698" s="108"/>
      <c r="N1698" s="108"/>
      <c r="O1698" s="108"/>
      <c r="P1698" s="108"/>
      <c r="Q1698" s="108"/>
      <c r="R1698" s="108"/>
      <c r="S1698" s="108"/>
      <c r="T1698" s="108"/>
      <c r="U1698" s="108"/>
      <c r="V1698" s="108"/>
      <c r="W1698" s="108"/>
      <c r="X1698" s="108"/>
      <c r="Y1698" s="108"/>
      <c r="Z1698" s="108"/>
    </row>
    <row r="1699" ht="16.5" customHeight="1">
      <c r="A1699" s="108"/>
      <c r="B1699" s="108"/>
      <c r="C1699" s="180"/>
      <c r="D1699" s="108"/>
      <c r="E1699" s="108"/>
      <c r="F1699" s="108"/>
      <c r="G1699" s="108"/>
      <c r="H1699" s="108"/>
      <c r="I1699" s="108"/>
      <c r="J1699" s="108"/>
      <c r="K1699" s="108"/>
      <c r="L1699" s="108"/>
      <c r="M1699" s="108"/>
      <c r="N1699" s="108"/>
      <c r="O1699" s="108"/>
      <c r="P1699" s="108"/>
      <c r="Q1699" s="108"/>
      <c r="R1699" s="108"/>
      <c r="S1699" s="108"/>
      <c r="T1699" s="108"/>
      <c r="U1699" s="108"/>
      <c r="V1699" s="108"/>
      <c r="W1699" s="108"/>
      <c r="X1699" s="108"/>
      <c r="Y1699" s="108"/>
      <c r="Z1699" s="108"/>
    </row>
    <row r="1700" ht="16.5" customHeight="1">
      <c r="A1700" s="108"/>
      <c r="B1700" s="108"/>
      <c r="C1700" s="180"/>
      <c r="D1700" s="108"/>
      <c r="E1700" s="108"/>
      <c r="F1700" s="108"/>
      <c r="G1700" s="108"/>
      <c r="H1700" s="108"/>
      <c r="I1700" s="108"/>
      <c r="J1700" s="108"/>
      <c r="K1700" s="108"/>
      <c r="L1700" s="108"/>
      <c r="M1700" s="108"/>
      <c r="N1700" s="108"/>
      <c r="O1700" s="108"/>
      <c r="P1700" s="108"/>
      <c r="Q1700" s="108"/>
      <c r="R1700" s="108"/>
      <c r="S1700" s="108"/>
      <c r="T1700" s="108"/>
      <c r="U1700" s="108"/>
      <c r="V1700" s="108"/>
      <c r="W1700" s="108"/>
      <c r="X1700" s="108"/>
      <c r="Y1700" s="108"/>
      <c r="Z1700" s="108"/>
    </row>
    <row r="1701" ht="16.5" customHeight="1">
      <c r="A1701" s="108"/>
      <c r="B1701" s="108"/>
      <c r="C1701" s="180"/>
      <c r="D1701" s="108"/>
      <c r="E1701" s="108"/>
      <c r="F1701" s="108"/>
      <c r="G1701" s="108"/>
      <c r="H1701" s="108"/>
      <c r="I1701" s="108"/>
      <c r="J1701" s="108"/>
      <c r="K1701" s="108"/>
      <c r="L1701" s="108"/>
      <c r="M1701" s="108"/>
      <c r="N1701" s="108"/>
      <c r="O1701" s="108"/>
      <c r="P1701" s="108"/>
      <c r="Q1701" s="108"/>
      <c r="R1701" s="108"/>
      <c r="S1701" s="108"/>
      <c r="T1701" s="108"/>
      <c r="U1701" s="108"/>
      <c r="V1701" s="108"/>
      <c r="W1701" s="108"/>
      <c r="X1701" s="108"/>
      <c r="Y1701" s="108"/>
      <c r="Z1701" s="108"/>
    </row>
    <row r="1702" ht="16.5" customHeight="1">
      <c r="A1702" s="108"/>
      <c r="B1702" s="108"/>
      <c r="C1702" s="180"/>
      <c r="D1702" s="108"/>
      <c r="E1702" s="108"/>
      <c r="F1702" s="108"/>
      <c r="G1702" s="108"/>
      <c r="H1702" s="108"/>
      <c r="I1702" s="108"/>
      <c r="J1702" s="108"/>
      <c r="K1702" s="108"/>
      <c r="L1702" s="108"/>
      <c r="M1702" s="108"/>
      <c r="N1702" s="108"/>
      <c r="O1702" s="108"/>
      <c r="P1702" s="108"/>
      <c r="Q1702" s="108"/>
      <c r="R1702" s="108"/>
      <c r="S1702" s="108"/>
      <c r="T1702" s="108"/>
      <c r="U1702" s="108"/>
      <c r="V1702" s="108"/>
      <c r="W1702" s="108"/>
      <c r="X1702" s="108"/>
      <c r="Y1702" s="108"/>
      <c r="Z1702" s="108"/>
    </row>
    <row r="1703" ht="16.5" customHeight="1">
      <c r="A1703" s="108"/>
      <c r="B1703" s="108"/>
      <c r="C1703" s="180"/>
      <c r="D1703" s="108"/>
      <c r="E1703" s="108"/>
      <c r="F1703" s="108"/>
      <c r="G1703" s="108"/>
      <c r="H1703" s="108"/>
      <c r="I1703" s="108"/>
      <c r="J1703" s="108"/>
      <c r="K1703" s="108"/>
      <c r="L1703" s="108"/>
      <c r="M1703" s="108"/>
      <c r="N1703" s="108"/>
      <c r="O1703" s="108"/>
      <c r="P1703" s="108"/>
      <c r="Q1703" s="108"/>
      <c r="R1703" s="108"/>
      <c r="S1703" s="108"/>
      <c r="T1703" s="108"/>
      <c r="U1703" s="108"/>
      <c r="V1703" s="108"/>
      <c r="W1703" s="108"/>
      <c r="X1703" s="108"/>
      <c r="Y1703" s="108"/>
      <c r="Z1703" s="108"/>
    </row>
    <row r="1704" ht="16.5" customHeight="1">
      <c r="A1704" s="108"/>
      <c r="B1704" s="108"/>
      <c r="C1704" s="180"/>
      <c r="D1704" s="108"/>
      <c r="E1704" s="108"/>
      <c r="F1704" s="108"/>
      <c r="G1704" s="108"/>
      <c r="H1704" s="108"/>
      <c r="I1704" s="108"/>
      <c r="J1704" s="108"/>
      <c r="K1704" s="108"/>
      <c r="L1704" s="108"/>
      <c r="M1704" s="108"/>
      <c r="N1704" s="108"/>
      <c r="O1704" s="108"/>
      <c r="P1704" s="108"/>
      <c r="Q1704" s="108"/>
      <c r="R1704" s="108"/>
      <c r="S1704" s="108"/>
      <c r="T1704" s="108"/>
      <c r="U1704" s="108"/>
      <c r="V1704" s="108"/>
      <c r="W1704" s="108"/>
      <c r="X1704" s="108"/>
      <c r="Y1704" s="108"/>
      <c r="Z1704" s="108"/>
    </row>
    <row r="1705" ht="16.5" customHeight="1">
      <c r="A1705" s="108"/>
      <c r="B1705" s="108"/>
      <c r="C1705" s="180"/>
      <c r="D1705" s="108"/>
      <c r="E1705" s="108"/>
      <c r="F1705" s="108"/>
      <c r="G1705" s="108"/>
      <c r="H1705" s="108"/>
      <c r="I1705" s="108"/>
      <c r="J1705" s="108"/>
      <c r="K1705" s="108"/>
      <c r="L1705" s="108"/>
      <c r="M1705" s="108"/>
      <c r="N1705" s="108"/>
      <c r="O1705" s="108"/>
      <c r="P1705" s="108"/>
      <c r="Q1705" s="108"/>
      <c r="R1705" s="108"/>
      <c r="S1705" s="108"/>
      <c r="T1705" s="108"/>
      <c r="U1705" s="108"/>
      <c r="V1705" s="108"/>
      <c r="W1705" s="108"/>
      <c r="X1705" s="108"/>
      <c r="Y1705" s="108"/>
      <c r="Z1705" s="108"/>
    </row>
    <row r="1706" ht="16.5" customHeight="1">
      <c r="A1706" s="108"/>
      <c r="B1706" s="108"/>
      <c r="C1706" s="180"/>
      <c r="D1706" s="108"/>
      <c r="E1706" s="108"/>
      <c r="F1706" s="108"/>
      <c r="G1706" s="108"/>
      <c r="H1706" s="108"/>
      <c r="I1706" s="108"/>
      <c r="J1706" s="108"/>
      <c r="K1706" s="108"/>
      <c r="L1706" s="108"/>
      <c r="M1706" s="108"/>
      <c r="N1706" s="108"/>
      <c r="O1706" s="108"/>
      <c r="P1706" s="108"/>
      <c r="Q1706" s="108"/>
      <c r="R1706" s="108"/>
      <c r="S1706" s="108"/>
      <c r="T1706" s="108"/>
      <c r="U1706" s="108"/>
      <c r="V1706" s="108"/>
      <c r="W1706" s="108"/>
      <c r="X1706" s="108"/>
      <c r="Y1706" s="108"/>
      <c r="Z1706" s="108"/>
    </row>
    <row r="1707" ht="16.5" customHeight="1">
      <c r="A1707" s="108"/>
      <c r="B1707" s="108"/>
      <c r="C1707" s="180"/>
      <c r="D1707" s="108"/>
      <c r="E1707" s="108"/>
      <c r="F1707" s="108"/>
      <c r="G1707" s="108"/>
      <c r="H1707" s="108"/>
      <c r="I1707" s="108"/>
      <c r="J1707" s="108"/>
      <c r="K1707" s="108"/>
      <c r="L1707" s="108"/>
      <c r="M1707" s="108"/>
      <c r="N1707" s="108"/>
      <c r="O1707" s="108"/>
      <c r="P1707" s="108"/>
      <c r="Q1707" s="108"/>
      <c r="R1707" s="108"/>
      <c r="S1707" s="108"/>
      <c r="T1707" s="108"/>
      <c r="U1707" s="108"/>
      <c r="V1707" s="108"/>
      <c r="W1707" s="108"/>
      <c r="X1707" s="108"/>
      <c r="Y1707" s="108"/>
      <c r="Z1707" s="108"/>
    </row>
    <row r="1708" ht="16.5" customHeight="1">
      <c r="A1708" s="108"/>
      <c r="B1708" s="108"/>
      <c r="C1708" s="180"/>
      <c r="D1708" s="108"/>
      <c r="E1708" s="108"/>
      <c r="F1708" s="108"/>
      <c r="G1708" s="108"/>
      <c r="H1708" s="108"/>
      <c r="I1708" s="108"/>
      <c r="J1708" s="108"/>
      <c r="K1708" s="108"/>
      <c r="L1708" s="108"/>
      <c r="M1708" s="108"/>
      <c r="N1708" s="108"/>
      <c r="O1708" s="108"/>
      <c r="P1708" s="108"/>
      <c r="Q1708" s="108"/>
      <c r="R1708" s="108"/>
      <c r="S1708" s="108"/>
      <c r="T1708" s="108"/>
      <c r="U1708" s="108"/>
      <c r="V1708" s="108"/>
      <c r="W1708" s="108"/>
      <c r="X1708" s="108"/>
      <c r="Y1708" s="108"/>
      <c r="Z1708" s="108"/>
    </row>
    <row r="1709" ht="16.5" customHeight="1">
      <c r="A1709" s="108"/>
      <c r="B1709" s="108"/>
      <c r="C1709" s="180"/>
      <c r="D1709" s="108"/>
      <c r="E1709" s="108"/>
      <c r="F1709" s="108"/>
      <c r="G1709" s="108"/>
      <c r="H1709" s="108"/>
      <c r="I1709" s="108"/>
      <c r="J1709" s="108"/>
      <c r="K1709" s="108"/>
      <c r="L1709" s="108"/>
      <c r="M1709" s="108"/>
      <c r="N1709" s="108"/>
      <c r="O1709" s="108"/>
      <c r="P1709" s="108"/>
      <c r="Q1709" s="108"/>
      <c r="R1709" s="108"/>
      <c r="S1709" s="108"/>
      <c r="T1709" s="108"/>
      <c r="U1709" s="108"/>
      <c r="V1709" s="108"/>
      <c r="W1709" s="108"/>
      <c r="X1709" s="108"/>
      <c r="Y1709" s="108"/>
      <c r="Z1709" s="108"/>
    </row>
    <row r="1710" ht="16.5" customHeight="1">
      <c r="A1710" s="108"/>
      <c r="B1710" s="108"/>
      <c r="C1710" s="180"/>
      <c r="D1710" s="108"/>
      <c r="E1710" s="108"/>
      <c r="F1710" s="108"/>
      <c r="G1710" s="108"/>
      <c r="H1710" s="108"/>
      <c r="I1710" s="108"/>
      <c r="J1710" s="108"/>
      <c r="K1710" s="108"/>
      <c r="L1710" s="108"/>
      <c r="M1710" s="108"/>
      <c r="N1710" s="108"/>
      <c r="O1710" s="108"/>
      <c r="P1710" s="108"/>
      <c r="Q1710" s="108"/>
      <c r="R1710" s="108"/>
      <c r="S1710" s="108"/>
      <c r="T1710" s="108"/>
      <c r="U1710" s="108"/>
      <c r="V1710" s="108"/>
      <c r="W1710" s="108"/>
      <c r="X1710" s="108"/>
      <c r="Y1710" s="108"/>
      <c r="Z1710" s="108"/>
    </row>
    <row r="1711" ht="16.5" customHeight="1">
      <c r="A1711" s="108"/>
      <c r="B1711" s="108"/>
      <c r="C1711" s="180"/>
      <c r="D1711" s="108"/>
      <c r="E1711" s="108"/>
      <c r="F1711" s="108"/>
      <c r="G1711" s="108"/>
      <c r="H1711" s="108"/>
      <c r="I1711" s="108"/>
      <c r="J1711" s="108"/>
      <c r="K1711" s="108"/>
      <c r="L1711" s="108"/>
      <c r="M1711" s="108"/>
      <c r="N1711" s="108"/>
      <c r="O1711" s="108"/>
      <c r="P1711" s="108"/>
      <c r="Q1711" s="108"/>
      <c r="R1711" s="108"/>
      <c r="S1711" s="108"/>
      <c r="T1711" s="108"/>
      <c r="U1711" s="108"/>
      <c r="V1711" s="108"/>
      <c r="W1711" s="108"/>
      <c r="X1711" s="108"/>
      <c r="Y1711" s="108"/>
      <c r="Z1711" s="108"/>
    </row>
    <row r="1712" ht="16.5" customHeight="1">
      <c r="A1712" s="108"/>
      <c r="B1712" s="108"/>
      <c r="C1712" s="180"/>
      <c r="D1712" s="108"/>
      <c r="E1712" s="108"/>
      <c r="F1712" s="108"/>
      <c r="G1712" s="108"/>
      <c r="H1712" s="108"/>
      <c r="I1712" s="108"/>
      <c r="J1712" s="108"/>
      <c r="K1712" s="108"/>
      <c r="L1712" s="108"/>
      <c r="M1712" s="108"/>
      <c r="N1712" s="108"/>
      <c r="O1712" s="108"/>
      <c r="P1712" s="108"/>
      <c r="Q1712" s="108"/>
      <c r="R1712" s="108"/>
      <c r="S1712" s="108"/>
      <c r="T1712" s="108"/>
      <c r="U1712" s="108"/>
      <c r="V1712" s="108"/>
      <c r="W1712" s="108"/>
      <c r="X1712" s="108"/>
      <c r="Y1712" s="108"/>
      <c r="Z1712" s="108"/>
    </row>
    <row r="1713" ht="16.5" customHeight="1">
      <c r="A1713" s="108"/>
      <c r="B1713" s="108"/>
      <c r="C1713" s="180"/>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row>
    <row r="1714" ht="16.5" customHeight="1">
      <c r="A1714" s="108"/>
      <c r="B1714" s="108"/>
      <c r="C1714" s="180"/>
      <c r="D1714" s="108"/>
      <c r="E1714" s="108"/>
      <c r="F1714" s="108"/>
      <c r="G1714" s="108"/>
      <c r="H1714" s="108"/>
      <c r="I1714" s="108"/>
      <c r="J1714" s="108"/>
      <c r="K1714" s="108"/>
      <c r="L1714" s="108"/>
      <c r="M1714" s="108"/>
      <c r="N1714" s="108"/>
      <c r="O1714" s="108"/>
      <c r="P1714" s="108"/>
      <c r="Q1714" s="108"/>
      <c r="R1714" s="108"/>
      <c r="S1714" s="108"/>
      <c r="T1714" s="108"/>
      <c r="U1714" s="108"/>
      <c r="V1714" s="108"/>
      <c r="W1714" s="108"/>
      <c r="X1714" s="108"/>
      <c r="Y1714" s="108"/>
      <c r="Z1714" s="108"/>
    </row>
    <row r="1715" ht="16.5" customHeight="1">
      <c r="A1715" s="108"/>
      <c r="B1715" s="108"/>
      <c r="C1715" s="180"/>
      <c r="D1715" s="108"/>
      <c r="E1715" s="108"/>
      <c r="F1715" s="108"/>
      <c r="G1715" s="108"/>
      <c r="H1715" s="108"/>
      <c r="I1715" s="108"/>
      <c r="J1715" s="108"/>
      <c r="K1715" s="108"/>
      <c r="L1715" s="108"/>
      <c r="M1715" s="108"/>
      <c r="N1715" s="108"/>
      <c r="O1715" s="108"/>
      <c r="P1715" s="108"/>
      <c r="Q1715" s="108"/>
      <c r="R1715" s="108"/>
      <c r="S1715" s="108"/>
      <c r="T1715" s="108"/>
      <c r="U1715" s="108"/>
      <c r="V1715" s="108"/>
      <c r="W1715" s="108"/>
      <c r="X1715" s="108"/>
      <c r="Y1715" s="108"/>
      <c r="Z1715" s="108"/>
    </row>
    <row r="1716" ht="16.5" customHeight="1">
      <c r="A1716" s="108"/>
      <c r="B1716" s="108"/>
      <c r="C1716" s="180"/>
      <c r="D1716" s="108"/>
      <c r="E1716" s="108"/>
      <c r="F1716" s="108"/>
      <c r="G1716" s="108"/>
      <c r="H1716" s="108"/>
      <c r="I1716" s="108"/>
      <c r="J1716" s="108"/>
      <c r="K1716" s="108"/>
      <c r="L1716" s="108"/>
      <c r="M1716" s="108"/>
      <c r="N1716" s="108"/>
      <c r="O1716" s="108"/>
      <c r="P1716" s="108"/>
      <c r="Q1716" s="108"/>
      <c r="R1716" s="108"/>
      <c r="S1716" s="108"/>
      <c r="T1716" s="108"/>
      <c r="U1716" s="108"/>
      <c r="V1716" s="108"/>
      <c r="W1716" s="108"/>
      <c r="X1716" s="108"/>
      <c r="Y1716" s="108"/>
      <c r="Z1716" s="108"/>
    </row>
    <row r="1717" ht="16.5" customHeight="1">
      <c r="A1717" s="108"/>
      <c r="B1717" s="108"/>
      <c r="C1717" s="180"/>
      <c r="D1717" s="108"/>
      <c r="E1717" s="108"/>
      <c r="F1717" s="108"/>
      <c r="G1717" s="108"/>
      <c r="H1717" s="108"/>
      <c r="I1717" s="108"/>
      <c r="J1717" s="108"/>
      <c r="K1717" s="108"/>
      <c r="L1717" s="108"/>
      <c r="M1717" s="108"/>
      <c r="N1717" s="108"/>
      <c r="O1717" s="108"/>
      <c r="P1717" s="108"/>
      <c r="Q1717" s="108"/>
      <c r="R1717" s="108"/>
      <c r="S1717" s="108"/>
      <c r="T1717" s="108"/>
      <c r="U1717" s="108"/>
      <c r="V1717" s="108"/>
      <c r="W1717" s="108"/>
      <c r="X1717" s="108"/>
      <c r="Y1717" s="108"/>
      <c r="Z1717" s="108"/>
    </row>
    <row r="1718" ht="16.5" customHeight="1">
      <c r="A1718" s="108"/>
      <c r="B1718" s="108"/>
      <c r="C1718" s="180"/>
      <c r="D1718" s="108"/>
      <c r="E1718" s="108"/>
      <c r="F1718" s="108"/>
      <c r="G1718" s="108"/>
      <c r="H1718" s="108"/>
      <c r="I1718" s="108"/>
      <c r="J1718" s="108"/>
      <c r="K1718" s="108"/>
      <c r="L1718" s="108"/>
      <c r="M1718" s="108"/>
      <c r="N1718" s="108"/>
      <c r="O1718" s="108"/>
      <c r="P1718" s="108"/>
      <c r="Q1718" s="108"/>
      <c r="R1718" s="108"/>
      <c r="S1718" s="108"/>
      <c r="T1718" s="108"/>
      <c r="U1718" s="108"/>
      <c r="V1718" s="108"/>
      <c r="W1718" s="108"/>
      <c r="X1718" s="108"/>
      <c r="Y1718" s="108"/>
      <c r="Z1718" s="108"/>
    </row>
    <row r="1719" ht="16.5" customHeight="1">
      <c r="A1719" s="108"/>
      <c r="B1719" s="108"/>
      <c r="C1719" s="180"/>
      <c r="D1719" s="108"/>
      <c r="E1719" s="108"/>
      <c r="F1719" s="108"/>
      <c r="G1719" s="108"/>
      <c r="H1719" s="108"/>
      <c r="I1719" s="108"/>
      <c r="J1719" s="108"/>
      <c r="K1719" s="108"/>
      <c r="L1719" s="108"/>
      <c r="M1719" s="108"/>
      <c r="N1719" s="108"/>
      <c r="O1719" s="108"/>
      <c r="P1719" s="108"/>
      <c r="Q1719" s="108"/>
      <c r="R1719" s="108"/>
      <c r="S1719" s="108"/>
      <c r="T1719" s="108"/>
      <c r="U1719" s="108"/>
      <c r="V1719" s="108"/>
      <c r="W1719" s="108"/>
      <c r="X1719" s="108"/>
      <c r="Y1719" s="108"/>
      <c r="Z1719" s="108"/>
    </row>
    <row r="1720" ht="16.5" customHeight="1">
      <c r="A1720" s="108"/>
      <c r="B1720" s="108"/>
      <c r="C1720" s="180"/>
      <c r="D1720" s="108"/>
      <c r="E1720" s="108"/>
      <c r="F1720" s="108"/>
      <c r="G1720" s="108"/>
      <c r="H1720" s="108"/>
      <c r="I1720" s="108"/>
      <c r="J1720" s="108"/>
      <c r="K1720" s="108"/>
      <c r="L1720" s="108"/>
      <c r="M1720" s="108"/>
      <c r="N1720" s="108"/>
      <c r="O1720" s="108"/>
      <c r="P1720" s="108"/>
      <c r="Q1720" s="108"/>
      <c r="R1720" s="108"/>
      <c r="S1720" s="108"/>
      <c r="T1720" s="108"/>
      <c r="U1720" s="108"/>
      <c r="V1720" s="108"/>
      <c r="W1720" s="108"/>
      <c r="X1720" s="108"/>
      <c r="Y1720" s="108"/>
      <c r="Z1720" s="108"/>
    </row>
    <row r="1721" ht="16.5" customHeight="1">
      <c r="A1721" s="108"/>
      <c r="B1721" s="108"/>
      <c r="C1721" s="180"/>
      <c r="D1721" s="108"/>
      <c r="E1721" s="108"/>
      <c r="F1721" s="108"/>
      <c r="G1721" s="108"/>
      <c r="H1721" s="108"/>
      <c r="I1721" s="108"/>
      <c r="J1721" s="108"/>
      <c r="K1721" s="108"/>
      <c r="L1721" s="108"/>
      <c r="M1721" s="108"/>
      <c r="N1721" s="108"/>
      <c r="O1721" s="108"/>
      <c r="P1721" s="108"/>
      <c r="Q1721" s="108"/>
      <c r="R1721" s="108"/>
      <c r="S1721" s="108"/>
      <c r="T1721" s="108"/>
      <c r="U1721" s="108"/>
      <c r="V1721" s="108"/>
      <c r="W1721" s="108"/>
      <c r="X1721" s="108"/>
      <c r="Y1721" s="108"/>
      <c r="Z1721" s="108"/>
    </row>
    <row r="1722" ht="16.5" customHeight="1">
      <c r="A1722" s="108"/>
      <c r="B1722" s="108"/>
      <c r="C1722" s="180"/>
      <c r="D1722" s="108"/>
      <c r="E1722" s="108"/>
      <c r="F1722" s="108"/>
      <c r="G1722" s="108"/>
      <c r="H1722" s="108"/>
      <c r="I1722" s="108"/>
      <c r="J1722" s="108"/>
      <c r="K1722" s="108"/>
      <c r="L1722" s="108"/>
      <c r="M1722" s="108"/>
      <c r="N1722" s="108"/>
      <c r="O1722" s="108"/>
      <c r="P1722" s="108"/>
      <c r="Q1722" s="108"/>
      <c r="R1722" s="108"/>
      <c r="S1722" s="108"/>
      <c r="T1722" s="108"/>
      <c r="U1722" s="108"/>
      <c r="V1722" s="108"/>
      <c r="W1722" s="108"/>
      <c r="X1722" s="108"/>
      <c r="Y1722" s="108"/>
      <c r="Z1722" s="108"/>
    </row>
    <row r="1723" ht="16.5" customHeight="1">
      <c r="A1723" s="108"/>
      <c r="B1723" s="108"/>
      <c r="C1723" s="180"/>
      <c r="D1723" s="108"/>
      <c r="E1723" s="108"/>
      <c r="F1723" s="108"/>
      <c r="G1723" s="108"/>
      <c r="H1723" s="108"/>
      <c r="I1723" s="108"/>
      <c r="J1723" s="108"/>
      <c r="K1723" s="108"/>
      <c r="L1723" s="108"/>
      <c r="M1723" s="108"/>
      <c r="N1723" s="108"/>
      <c r="O1723" s="108"/>
      <c r="P1723" s="108"/>
      <c r="Q1723" s="108"/>
      <c r="R1723" s="108"/>
      <c r="S1723" s="108"/>
      <c r="T1723" s="108"/>
      <c r="U1723" s="108"/>
      <c r="V1723" s="108"/>
      <c r="W1723" s="108"/>
      <c r="X1723" s="108"/>
      <c r="Y1723" s="108"/>
      <c r="Z1723" s="108"/>
    </row>
    <row r="1724" ht="16.5" customHeight="1">
      <c r="A1724" s="108"/>
      <c r="B1724" s="108"/>
      <c r="C1724" s="180"/>
      <c r="D1724" s="108"/>
      <c r="E1724" s="108"/>
      <c r="F1724" s="108"/>
      <c r="G1724" s="108"/>
      <c r="H1724" s="108"/>
      <c r="I1724" s="108"/>
      <c r="J1724" s="108"/>
      <c r="K1724" s="108"/>
      <c r="L1724" s="108"/>
      <c r="M1724" s="108"/>
      <c r="N1724" s="108"/>
      <c r="O1724" s="108"/>
      <c r="P1724" s="108"/>
      <c r="Q1724" s="108"/>
      <c r="R1724" s="108"/>
      <c r="S1724" s="108"/>
      <c r="T1724" s="108"/>
      <c r="U1724" s="108"/>
      <c r="V1724" s="108"/>
      <c r="W1724" s="108"/>
      <c r="X1724" s="108"/>
      <c r="Y1724" s="108"/>
      <c r="Z1724" s="108"/>
    </row>
    <row r="1725" ht="16.5" customHeight="1">
      <c r="A1725" s="108"/>
      <c r="B1725" s="108"/>
      <c r="C1725" s="180"/>
      <c r="D1725" s="108"/>
      <c r="E1725" s="108"/>
      <c r="F1725" s="108"/>
      <c r="G1725" s="108"/>
      <c r="H1725" s="108"/>
      <c r="I1725" s="108"/>
      <c r="J1725" s="108"/>
      <c r="K1725" s="108"/>
      <c r="L1725" s="108"/>
      <c r="M1725" s="108"/>
      <c r="N1725" s="108"/>
      <c r="O1725" s="108"/>
      <c r="P1725" s="108"/>
      <c r="Q1725" s="108"/>
      <c r="R1725" s="108"/>
      <c r="S1725" s="108"/>
      <c r="T1725" s="108"/>
      <c r="U1725" s="108"/>
      <c r="V1725" s="108"/>
      <c r="W1725" s="108"/>
      <c r="X1725" s="108"/>
      <c r="Y1725" s="108"/>
      <c r="Z1725" s="108"/>
    </row>
    <row r="1726" ht="16.5" customHeight="1">
      <c r="A1726" s="108"/>
      <c r="B1726" s="108"/>
      <c r="C1726" s="180"/>
      <c r="D1726" s="108"/>
      <c r="E1726" s="108"/>
      <c r="F1726" s="108"/>
      <c r="G1726" s="108"/>
      <c r="H1726" s="108"/>
      <c r="I1726" s="108"/>
      <c r="J1726" s="108"/>
      <c r="K1726" s="108"/>
      <c r="L1726" s="108"/>
      <c r="M1726" s="108"/>
      <c r="N1726" s="108"/>
      <c r="O1726" s="108"/>
      <c r="P1726" s="108"/>
      <c r="Q1726" s="108"/>
      <c r="R1726" s="108"/>
      <c r="S1726" s="108"/>
      <c r="T1726" s="108"/>
      <c r="U1726" s="108"/>
      <c r="V1726" s="108"/>
      <c r="W1726" s="108"/>
      <c r="X1726" s="108"/>
      <c r="Y1726" s="108"/>
      <c r="Z1726" s="108"/>
    </row>
    <row r="1727" ht="16.5" customHeight="1">
      <c r="A1727" s="108"/>
      <c r="B1727" s="108"/>
      <c r="C1727" s="180"/>
      <c r="D1727" s="108"/>
      <c r="E1727" s="108"/>
      <c r="F1727" s="108"/>
      <c r="G1727" s="108"/>
      <c r="H1727" s="108"/>
      <c r="I1727" s="108"/>
      <c r="J1727" s="108"/>
      <c r="K1727" s="108"/>
      <c r="L1727" s="108"/>
      <c r="M1727" s="108"/>
      <c r="N1727" s="108"/>
      <c r="O1727" s="108"/>
      <c r="P1727" s="108"/>
      <c r="Q1727" s="108"/>
      <c r="R1727" s="108"/>
      <c r="S1727" s="108"/>
      <c r="T1727" s="108"/>
      <c r="U1727" s="108"/>
      <c r="V1727" s="108"/>
      <c r="W1727" s="108"/>
      <c r="X1727" s="108"/>
      <c r="Y1727" s="108"/>
      <c r="Z1727" s="108"/>
    </row>
    <row r="1728" ht="16.5" customHeight="1">
      <c r="A1728" s="108"/>
      <c r="B1728" s="108"/>
      <c r="C1728" s="180"/>
      <c r="D1728" s="108"/>
      <c r="E1728" s="108"/>
      <c r="F1728" s="108"/>
      <c r="G1728" s="108"/>
      <c r="H1728" s="108"/>
      <c r="I1728" s="108"/>
      <c r="J1728" s="108"/>
      <c r="K1728" s="108"/>
      <c r="L1728" s="108"/>
      <c r="M1728" s="108"/>
      <c r="N1728" s="108"/>
      <c r="O1728" s="108"/>
      <c r="P1728" s="108"/>
      <c r="Q1728" s="108"/>
      <c r="R1728" s="108"/>
      <c r="S1728" s="108"/>
      <c r="T1728" s="108"/>
      <c r="U1728" s="108"/>
      <c r="V1728" s="108"/>
      <c r="W1728" s="108"/>
      <c r="X1728" s="108"/>
      <c r="Y1728" s="108"/>
      <c r="Z1728" s="108"/>
    </row>
    <row r="1729" ht="16.5" customHeight="1">
      <c r="A1729" s="108"/>
      <c r="B1729" s="108"/>
      <c r="C1729" s="180"/>
      <c r="D1729" s="108"/>
      <c r="E1729" s="108"/>
      <c r="F1729" s="108"/>
      <c r="G1729" s="108"/>
      <c r="H1729" s="108"/>
      <c r="I1729" s="108"/>
      <c r="J1729" s="108"/>
      <c r="K1729" s="108"/>
      <c r="L1729" s="108"/>
      <c r="M1729" s="108"/>
      <c r="N1729" s="108"/>
      <c r="O1729" s="108"/>
      <c r="P1729" s="108"/>
      <c r="Q1729" s="108"/>
      <c r="R1729" s="108"/>
      <c r="S1729" s="108"/>
      <c r="T1729" s="108"/>
      <c r="U1729" s="108"/>
      <c r="V1729" s="108"/>
      <c r="W1729" s="108"/>
      <c r="X1729" s="108"/>
      <c r="Y1729" s="108"/>
      <c r="Z1729" s="108"/>
    </row>
    <row r="1730" ht="16.5" customHeight="1">
      <c r="A1730" s="108"/>
      <c r="B1730" s="108"/>
      <c r="C1730" s="180"/>
      <c r="D1730" s="108"/>
      <c r="E1730" s="108"/>
      <c r="F1730" s="108"/>
      <c r="G1730" s="108"/>
      <c r="H1730" s="108"/>
      <c r="I1730" s="108"/>
      <c r="J1730" s="108"/>
      <c r="K1730" s="108"/>
      <c r="L1730" s="108"/>
      <c r="M1730" s="108"/>
      <c r="N1730" s="108"/>
      <c r="O1730" s="108"/>
      <c r="P1730" s="108"/>
      <c r="Q1730" s="108"/>
      <c r="R1730" s="108"/>
      <c r="S1730" s="108"/>
      <c r="T1730" s="108"/>
      <c r="U1730" s="108"/>
      <c r="V1730" s="108"/>
      <c r="W1730" s="108"/>
      <c r="X1730" s="108"/>
      <c r="Y1730" s="108"/>
      <c r="Z1730" s="108"/>
    </row>
    <row r="1731" ht="16.5" customHeight="1">
      <c r="A1731" s="108"/>
      <c r="B1731" s="108"/>
      <c r="C1731" s="180"/>
      <c r="D1731" s="108"/>
      <c r="E1731" s="108"/>
      <c r="F1731" s="108"/>
      <c r="G1731" s="108"/>
      <c r="H1731" s="108"/>
      <c r="I1731" s="108"/>
      <c r="J1731" s="108"/>
      <c r="K1731" s="108"/>
      <c r="L1731" s="108"/>
      <c r="M1731" s="108"/>
      <c r="N1731" s="108"/>
      <c r="O1731" s="108"/>
      <c r="P1731" s="108"/>
      <c r="Q1731" s="108"/>
      <c r="R1731" s="108"/>
      <c r="S1731" s="108"/>
      <c r="T1731" s="108"/>
      <c r="U1731" s="108"/>
      <c r="V1731" s="108"/>
      <c r="W1731" s="108"/>
      <c r="X1731" s="108"/>
      <c r="Y1731" s="108"/>
      <c r="Z1731" s="108"/>
    </row>
    <row r="1732" ht="16.5" customHeight="1">
      <c r="A1732" s="108"/>
      <c r="B1732" s="108"/>
      <c r="C1732" s="180"/>
      <c r="D1732" s="108"/>
      <c r="E1732" s="108"/>
      <c r="F1732" s="108"/>
      <c r="G1732" s="108"/>
      <c r="H1732" s="108"/>
      <c r="I1732" s="108"/>
      <c r="J1732" s="108"/>
      <c r="K1732" s="108"/>
      <c r="L1732" s="108"/>
      <c r="M1732" s="108"/>
      <c r="N1732" s="108"/>
      <c r="O1732" s="108"/>
      <c r="P1732" s="108"/>
      <c r="Q1732" s="108"/>
      <c r="R1732" s="108"/>
      <c r="S1732" s="108"/>
      <c r="T1732" s="108"/>
      <c r="U1732" s="108"/>
      <c r="V1732" s="108"/>
      <c r="W1732" s="108"/>
      <c r="X1732" s="108"/>
      <c r="Y1732" s="108"/>
      <c r="Z1732" s="108"/>
    </row>
    <row r="1733" ht="16.5" customHeight="1">
      <c r="A1733" s="108"/>
      <c r="B1733" s="108"/>
      <c r="C1733" s="180"/>
      <c r="D1733" s="108"/>
      <c r="E1733" s="108"/>
      <c r="F1733" s="108"/>
      <c r="G1733" s="108"/>
      <c r="H1733" s="108"/>
      <c r="I1733" s="108"/>
      <c r="J1733" s="108"/>
      <c r="K1733" s="108"/>
      <c r="L1733" s="108"/>
      <c r="M1733" s="108"/>
      <c r="N1733" s="108"/>
      <c r="O1733" s="108"/>
      <c r="P1733" s="108"/>
      <c r="Q1733" s="108"/>
      <c r="R1733" s="108"/>
      <c r="S1733" s="108"/>
      <c r="T1733" s="108"/>
      <c r="U1733" s="108"/>
      <c r="V1733" s="108"/>
      <c r="W1733" s="108"/>
      <c r="X1733" s="108"/>
      <c r="Y1733" s="108"/>
      <c r="Z1733" s="108"/>
    </row>
    <row r="1734" ht="16.5" customHeight="1">
      <c r="A1734" s="108"/>
      <c r="B1734" s="108"/>
      <c r="C1734" s="180"/>
      <c r="D1734" s="108"/>
      <c r="E1734" s="108"/>
      <c r="F1734" s="108"/>
      <c r="G1734" s="108"/>
      <c r="H1734" s="108"/>
      <c r="I1734" s="108"/>
      <c r="J1734" s="108"/>
      <c r="K1734" s="108"/>
      <c r="L1734" s="108"/>
      <c r="M1734" s="108"/>
      <c r="N1734" s="108"/>
      <c r="O1734" s="108"/>
      <c r="P1734" s="108"/>
      <c r="Q1734" s="108"/>
      <c r="R1734" s="108"/>
      <c r="S1734" s="108"/>
      <c r="T1734" s="108"/>
      <c r="U1734" s="108"/>
      <c r="V1734" s="108"/>
      <c r="W1734" s="108"/>
      <c r="X1734" s="108"/>
      <c r="Y1734" s="108"/>
      <c r="Z1734" s="108"/>
    </row>
    <row r="1735" ht="16.5" customHeight="1">
      <c r="A1735" s="108"/>
      <c r="B1735" s="108"/>
      <c r="C1735" s="180"/>
      <c r="D1735" s="108"/>
      <c r="E1735" s="108"/>
      <c r="F1735" s="108"/>
      <c r="G1735" s="108"/>
      <c r="H1735" s="108"/>
      <c r="I1735" s="108"/>
      <c r="J1735" s="108"/>
      <c r="K1735" s="108"/>
      <c r="L1735" s="108"/>
      <c r="M1735" s="108"/>
      <c r="N1735" s="108"/>
      <c r="O1735" s="108"/>
      <c r="P1735" s="108"/>
      <c r="Q1735" s="108"/>
      <c r="R1735" s="108"/>
      <c r="S1735" s="108"/>
      <c r="T1735" s="108"/>
      <c r="U1735" s="108"/>
      <c r="V1735" s="108"/>
      <c r="W1735" s="108"/>
      <c r="X1735" s="108"/>
      <c r="Y1735" s="108"/>
      <c r="Z1735" s="108"/>
    </row>
    <row r="1736" ht="16.5" customHeight="1">
      <c r="A1736" s="108"/>
      <c r="B1736" s="108"/>
      <c r="C1736" s="180"/>
      <c r="D1736" s="108"/>
      <c r="E1736" s="108"/>
      <c r="F1736" s="108"/>
      <c r="G1736" s="108"/>
      <c r="H1736" s="108"/>
      <c r="I1736" s="108"/>
      <c r="J1736" s="108"/>
      <c r="K1736" s="108"/>
      <c r="L1736" s="108"/>
      <c r="M1736" s="108"/>
      <c r="N1736" s="108"/>
      <c r="O1736" s="108"/>
      <c r="P1736" s="108"/>
      <c r="Q1736" s="108"/>
      <c r="R1736" s="108"/>
      <c r="S1736" s="108"/>
      <c r="T1736" s="108"/>
      <c r="U1736" s="108"/>
      <c r="V1736" s="108"/>
      <c r="W1736" s="108"/>
      <c r="X1736" s="108"/>
      <c r="Y1736" s="108"/>
      <c r="Z1736" s="108"/>
    </row>
    <row r="1737" ht="16.5" customHeight="1">
      <c r="A1737" s="108"/>
      <c r="B1737" s="108"/>
      <c r="C1737" s="180"/>
      <c r="D1737" s="108"/>
      <c r="E1737" s="108"/>
      <c r="F1737" s="108"/>
      <c r="G1737" s="108"/>
      <c r="H1737" s="108"/>
      <c r="I1737" s="108"/>
      <c r="J1737" s="108"/>
      <c r="K1737" s="108"/>
      <c r="L1737" s="108"/>
      <c r="M1737" s="108"/>
      <c r="N1737" s="108"/>
      <c r="O1737" s="108"/>
      <c r="P1737" s="108"/>
      <c r="Q1737" s="108"/>
      <c r="R1737" s="108"/>
      <c r="S1737" s="108"/>
      <c r="T1737" s="108"/>
      <c r="U1737" s="108"/>
      <c r="V1737" s="108"/>
      <c r="W1737" s="108"/>
      <c r="X1737" s="108"/>
      <c r="Y1737" s="108"/>
      <c r="Z1737" s="108"/>
    </row>
    <row r="1738" ht="16.5" customHeight="1">
      <c r="A1738" s="108"/>
      <c r="B1738" s="108"/>
      <c r="C1738" s="180"/>
      <c r="D1738" s="108"/>
      <c r="E1738" s="108"/>
      <c r="F1738" s="108"/>
      <c r="G1738" s="108"/>
      <c r="H1738" s="108"/>
      <c r="I1738" s="108"/>
      <c r="J1738" s="108"/>
      <c r="K1738" s="108"/>
      <c r="L1738" s="108"/>
      <c r="M1738" s="108"/>
      <c r="N1738" s="108"/>
      <c r="O1738" s="108"/>
      <c r="P1738" s="108"/>
      <c r="Q1738" s="108"/>
      <c r="R1738" s="108"/>
      <c r="S1738" s="108"/>
      <c r="T1738" s="108"/>
      <c r="U1738" s="108"/>
      <c r="V1738" s="108"/>
      <c r="W1738" s="108"/>
      <c r="X1738" s="108"/>
      <c r="Y1738" s="108"/>
      <c r="Z1738" s="108"/>
    </row>
    <row r="1739" ht="16.5" customHeight="1">
      <c r="A1739" s="108"/>
      <c r="B1739" s="108"/>
      <c r="C1739" s="180"/>
      <c r="D1739" s="108"/>
      <c r="E1739" s="108"/>
      <c r="F1739" s="108"/>
      <c r="G1739" s="108"/>
      <c r="H1739" s="108"/>
      <c r="I1739" s="108"/>
      <c r="J1739" s="108"/>
      <c r="K1739" s="108"/>
      <c r="L1739" s="108"/>
      <c r="M1739" s="108"/>
      <c r="N1739" s="108"/>
      <c r="O1739" s="108"/>
      <c r="P1739" s="108"/>
      <c r="Q1739" s="108"/>
      <c r="R1739" s="108"/>
      <c r="S1739" s="108"/>
      <c r="T1739" s="108"/>
      <c r="U1739" s="108"/>
      <c r="V1739" s="108"/>
      <c r="W1739" s="108"/>
      <c r="X1739" s="108"/>
      <c r="Y1739" s="108"/>
      <c r="Z1739" s="108"/>
    </row>
    <row r="1740" ht="16.5" customHeight="1">
      <c r="A1740" s="108"/>
      <c r="B1740" s="108"/>
      <c r="C1740" s="180"/>
      <c r="D1740" s="108"/>
      <c r="E1740" s="108"/>
      <c r="F1740" s="108"/>
      <c r="G1740" s="108"/>
      <c r="H1740" s="108"/>
      <c r="I1740" s="108"/>
      <c r="J1740" s="108"/>
      <c r="K1740" s="108"/>
      <c r="L1740" s="108"/>
      <c r="M1740" s="108"/>
      <c r="N1740" s="108"/>
      <c r="O1740" s="108"/>
      <c r="P1740" s="108"/>
      <c r="Q1740" s="108"/>
      <c r="R1740" s="108"/>
      <c r="S1740" s="108"/>
      <c r="T1740" s="108"/>
      <c r="U1740" s="108"/>
      <c r="V1740" s="108"/>
      <c r="W1740" s="108"/>
      <c r="X1740" s="108"/>
      <c r="Y1740" s="108"/>
      <c r="Z1740" s="108"/>
    </row>
    <row r="1741" ht="16.5" customHeight="1">
      <c r="A1741" s="108"/>
      <c r="B1741" s="108"/>
      <c r="C1741" s="180"/>
      <c r="D1741" s="108"/>
      <c r="E1741" s="108"/>
      <c r="F1741" s="108"/>
      <c r="G1741" s="108"/>
      <c r="H1741" s="108"/>
      <c r="I1741" s="108"/>
      <c r="J1741" s="108"/>
      <c r="K1741" s="108"/>
      <c r="L1741" s="108"/>
      <c r="M1741" s="108"/>
      <c r="N1741" s="108"/>
      <c r="O1741" s="108"/>
      <c r="P1741" s="108"/>
      <c r="Q1741" s="108"/>
      <c r="R1741" s="108"/>
      <c r="S1741" s="108"/>
      <c r="T1741" s="108"/>
      <c r="U1741" s="108"/>
      <c r="V1741" s="108"/>
      <c r="W1741" s="108"/>
      <c r="X1741" s="108"/>
      <c r="Y1741" s="108"/>
      <c r="Z1741" s="108"/>
    </row>
    <row r="1742" ht="16.5" customHeight="1">
      <c r="A1742" s="108"/>
      <c r="B1742" s="108"/>
      <c r="C1742" s="180"/>
      <c r="D1742" s="108"/>
      <c r="E1742" s="108"/>
      <c r="F1742" s="108"/>
      <c r="G1742" s="108"/>
      <c r="H1742" s="108"/>
      <c r="I1742" s="108"/>
      <c r="J1742" s="108"/>
      <c r="K1742" s="108"/>
      <c r="L1742" s="108"/>
      <c r="M1742" s="108"/>
      <c r="N1742" s="108"/>
      <c r="O1742" s="108"/>
      <c r="P1742" s="108"/>
      <c r="Q1742" s="108"/>
      <c r="R1742" s="108"/>
      <c r="S1742" s="108"/>
      <c r="T1742" s="108"/>
      <c r="U1742" s="108"/>
      <c r="V1742" s="108"/>
      <c r="W1742" s="108"/>
      <c r="X1742" s="108"/>
      <c r="Y1742" s="108"/>
      <c r="Z1742" s="108"/>
    </row>
    <row r="1743" ht="16.5" customHeight="1">
      <c r="A1743" s="108"/>
      <c r="B1743" s="108"/>
      <c r="C1743" s="180"/>
      <c r="D1743" s="108"/>
      <c r="E1743" s="108"/>
      <c r="F1743" s="108"/>
      <c r="G1743" s="108"/>
      <c r="H1743" s="108"/>
      <c r="I1743" s="108"/>
      <c r="J1743" s="108"/>
      <c r="K1743" s="108"/>
      <c r="L1743" s="108"/>
      <c r="M1743" s="108"/>
      <c r="N1743" s="108"/>
      <c r="O1743" s="108"/>
      <c r="P1743" s="108"/>
      <c r="Q1743" s="108"/>
      <c r="R1743" s="108"/>
      <c r="S1743" s="108"/>
      <c r="T1743" s="108"/>
      <c r="U1743" s="108"/>
      <c r="V1743" s="108"/>
      <c r="W1743" s="108"/>
      <c r="X1743" s="108"/>
      <c r="Y1743" s="108"/>
      <c r="Z1743" s="108"/>
    </row>
    <row r="1744" ht="16.5" customHeight="1">
      <c r="A1744" s="108"/>
      <c r="B1744" s="108"/>
      <c r="C1744" s="180"/>
      <c r="D1744" s="108"/>
      <c r="E1744" s="108"/>
      <c r="F1744" s="108"/>
      <c r="G1744" s="108"/>
      <c r="H1744" s="108"/>
      <c r="I1744" s="108"/>
      <c r="J1744" s="108"/>
      <c r="K1744" s="108"/>
      <c r="L1744" s="108"/>
      <c r="M1744" s="108"/>
      <c r="N1744" s="108"/>
      <c r="O1744" s="108"/>
      <c r="P1744" s="108"/>
      <c r="Q1744" s="108"/>
      <c r="R1744" s="108"/>
      <c r="S1744" s="108"/>
      <c r="T1744" s="108"/>
      <c r="U1744" s="108"/>
      <c r="V1744" s="108"/>
      <c r="W1744" s="108"/>
      <c r="X1744" s="108"/>
      <c r="Y1744" s="108"/>
      <c r="Z1744" s="108"/>
    </row>
    <row r="1745" ht="16.5" customHeight="1">
      <c r="A1745" s="108"/>
      <c r="B1745" s="108"/>
      <c r="C1745" s="180"/>
      <c r="D1745" s="108"/>
      <c r="E1745" s="108"/>
      <c r="F1745" s="108"/>
      <c r="G1745" s="108"/>
      <c r="H1745" s="108"/>
      <c r="I1745" s="108"/>
      <c r="J1745" s="108"/>
      <c r="K1745" s="108"/>
      <c r="L1745" s="108"/>
      <c r="M1745" s="108"/>
      <c r="N1745" s="108"/>
      <c r="O1745" s="108"/>
      <c r="P1745" s="108"/>
      <c r="Q1745" s="108"/>
      <c r="R1745" s="108"/>
      <c r="S1745" s="108"/>
      <c r="T1745" s="108"/>
      <c r="U1745" s="108"/>
      <c r="V1745" s="108"/>
      <c r="W1745" s="108"/>
      <c r="X1745" s="108"/>
      <c r="Y1745" s="108"/>
      <c r="Z1745" s="108"/>
    </row>
    <row r="1746" ht="16.5" customHeight="1">
      <c r="A1746" s="108"/>
      <c r="B1746" s="108"/>
      <c r="C1746" s="180"/>
      <c r="D1746" s="108"/>
      <c r="E1746" s="108"/>
      <c r="F1746" s="108"/>
      <c r="G1746" s="108"/>
      <c r="H1746" s="108"/>
      <c r="I1746" s="108"/>
      <c r="J1746" s="108"/>
      <c r="K1746" s="108"/>
      <c r="L1746" s="108"/>
      <c r="M1746" s="108"/>
      <c r="N1746" s="108"/>
      <c r="O1746" s="108"/>
      <c r="P1746" s="108"/>
      <c r="Q1746" s="108"/>
      <c r="R1746" s="108"/>
      <c r="S1746" s="108"/>
      <c r="T1746" s="108"/>
      <c r="U1746" s="108"/>
      <c r="V1746" s="108"/>
      <c r="W1746" s="108"/>
      <c r="X1746" s="108"/>
      <c r="Y1746" s="108"/>
      <c r="Z1746" s="108"/>
    </row>
    <row r="1747" ht="16.5" customHeight="1">
      <c r="A1747" s="108"/>
      <c r="B1747" s="108"/>
      <c r="C1747" s="180"/>
      <c r="D1747" s="108"/>
      <c r="E1747" s="108"/>
      <c r="F1747" s="108"/>
      <c r="G1747" s="108"/>
      <c r="H1747" s="108"/>
      <c r="I1747" s="108"/>
      <c r="J1747" s="108"/>
      <c r="K1747" s="108"/>
      <c r="L1747" s="108"/>
      <c r="M1747" s="108"/>
      <c r="N1747" s="108"/>
      <c r="O1747" s="108"/>
      <c r="P1747" s="108"/>
      <c r="Q1747" s="108"/>
      <c r="R1747" s="108"/>
      <c r="S1747" s="108"/>
      <c r="T1747" s="108"/>
      <c r="U1747" s="108"/>
      <c r="V1747" s="108"/>
      <c r="W1747" s="108"/>
      <c r="X1747" s="108"/>
      <c r="Y1747" s="108"/>
      <c r="Z1747" s="108"/>
    </row>
    <row r="1748" ht="16.5" customHeight="1">
      <c r="A1748" s="108"/>
      <c r="B1748" s="108"/>
      <c r="C1748" s="180"/>
      <c r="D1748" s="108"/>
      <c r="E1748" s="108"/>
      <c r="F1748" s="108"/>
      <c r="G1748" s="108"/>
      <c r="H1748" s="108"/>
      <c r="I1748" s="108"/>
      <c r="J1748" s="108"/>
      <c r="K1748" s="108"/>
      <c r="L1748" s="108"/>
      <c r="M1748" s="108"/>
      <c r="N1748" s="108"/>
      <c r="O1748" s="108"/>
      <c r="P1748" s="108"/>
      <c r="Q1748" s="108"/>
      <c r="R1748" s="108"/>
      <c r="S1748" s="108"/>
      <c r="T1748" s="108"/>
      <c r="U1748" s="108"/>
      <c r="V1748" s="108"/>
      <c r="W1748" s="108"/>
      <c r="X1748" s="108"/>
      <c r="Y1748" s="108"/>
      <c r="Z1748" s="108"/>
    </row>
    <row r="1749" ht="16.5" customHeight="1">
      <c r="A1749" s="108"/>
      <c r="B1749" s="108"/>
      <c r="C1749" s="180"/>
      <c r="D1749" s="108"/>
      <c r="E1749" s="108"/>
      <c r="F1749" s="108"/>
      <c r="G1749" s="108"/>
      <c r="H1749" s="108"/>
      <c r="I1749" s="108"/>
      <c r="J1749" s="108"/>
      <c r="K1749" s="108"/>
      <c r="L1749" s="108"/>
      <c r="M1749" s="108"/>
      <c r="N1749" s="108"/>
      <c r="O1749" s="108"/>
      <c r="P1749" s="108"/>
      <c r="Q1749" s="108"/>
      <c r="R1749" s="108"/>
      <c r="S1749" s="108"/>
      <c r="T1749" s="108"/>
      <c r="U1749" s="108"/>
      <c r="V1749" s="108"/>
      <c r="W1749" s="108"/>
      <c r="X1749" s="108"/>
      <c r="Y1749" s="108"/>
      <c r="Z1749" s="108"/>
    </row>
    <row r="1750" ht="16.5" customHeight="1">
      <c r="A1750" s="108"/>
      <c r="B1750" s="108"/>
      <c r="C1750" s="180"/>
      <c r="D1750" s="108"/>
      <c r="E1750" s="108"/>
      <c r="F1750" s="108"/>
      <c r="G1750" s="108"/>
      <c r="H1750" s="108"/>
      <c r="I1750" s="108"/>
      <c r="J1750" s="108"/>
      <c r="K1750" s="108"/>
      <c r="L1750" s="108"/>
      <c r="M1750" s="108"/>
      <c r="N1750" s="108"/>
      <c r="O1750" s="108"/>
      <c r="P1750" s="108"/>
      <c r="Q1750" s="108"/>
      <c r="R1750" s="108"/>
      <c r="S1750" s="108"/>
      <c r="T1750" s="108"/>
      <c r="U1750" s="108"/>
      <c r="V1750" s="108"/>
      <c r="W1750" s="108"/>
      <c r="X1750" s="108"/>
      <c r="Y1750" s="108"/>
      <c r="Z1750" s="108"/>
    </row>
    <row r="1751" ht="16.5" customHeight="1">
      <c r="A1751" s="108"/>
      <c r="B1751" s="108"/>
      <c r="C1751" s="180"/>
      <c r="D1751" s="108"/>
      <c r="E1751" s="108"/>
      <c r="F1751" s="108"/>
      <c r="G1751" s="108"/>
      <c r="H1751" s="108"/>
      <c r="I1751" s="108"/>
      <c r="J1751" s="108"/>
      <c r="K1751" s="108"/>
      <c r="L1751" s="108"/>
      <c r="M1751" s="108"/>
      <c r="N1751" s="108"/>
      <c r="O1751" s="108"/>
      <c r="P1751" s="108"/>
      <c r="Q1751" s="108"/>
      <c r="R1751" s="108"/>
      <c r="S1751" s="108"/>
      <c r="T1751" s="108"/>
      <c r="U1751" s="108"/>
      <c r="V1751" s="108"/>
      <c r="W1751" s="108"/>
      <c r="X1751" s="108"/>
      <c r="Y1751" s="108"/>
      <c r="Z1751" s="108"/>
    </row>
    <row r="1752" ht="16.5" customHeight="1">
      <c r="A1752" s="108"/>
      <c r="B1752" s="108"/>
      <c r="C1752" s="180"/>
      <c r="D1752" s="108"/>
      <c r="E1752" s="108"/>
      <c r="F1752" s="108"/>
      <c r="G1752" s="108"/>
      <c r="H1752" s="108"/>
      <c r="I1752" s="108"/>
      <c r="J1752" s="108"/>
      <c r="K1752" s="108"/>
      <c r="L1752" s="108"/>
      <c r="M1752" s="108"/>
      <c r="N1752" s="108"/>
      <c r="O1752" s="108"/>
      <c r="P1752" s="108"/>
      <c r="Q1752" s="108"/>
      <c r="R1752" s="108"/>
      <c r="S1752" s="108"/>
      <c r="T1752" s="108"/>
      <c r="U1752" s="108"/>
      <c r="V1752" s="108"/>
      <c r="W1752" s="108"/>
      <c r="X1752" s="108"/>
      <c r="Y1752" s="108"/>
      <c r="Z1752" s="108"/>
    </row>
    <row r="1753" ht="16.5" customHeight="1">
      <c r="A1753" s="108"/>
      <c r="B1753" s="108"/>
      <c r="C1753" s="180"/>
      <c r="D1753" s="108"/>
      <c r="E1753" s="108"/>
      <c r="F1753" s="108"/>
      <c r="G1753" s="108"/>
      <c r="H1753" s="108"/>
      <c r="I1753" s="108"/>
      <c r="J1753" s="108"/>
      <c r="K1753" s="108"/>
      <c r="L1753" s="108"/>
      <c r="M1753" s="108"/>
      <c r="N1753" s="108"/>
      <c r="O1753" s="108"/>
      <c r="P1753" s="108"/>
      <c r="Q1753" s="108"/>
      <c r="R1753" s="108"/>
      <c r="S1753" s="108"/>
      <c r="T1753" s="108"/>
      <c r="U1753" s="108"/>
      <c r="V1753" s="108"/>
      <c r="W1753" s="108"/>
      <c r="X1753" s="108"/>
      <c r="Y1753" s="108"/>
      <c r="Z1753" s="108"/>
    </row>
    <row r="1754" ht="16.5" customHeight="1">
      <c r="A1754" s="108"/>
      <c r="B1754" s="108"/>
      <c r="C1754" s="180"/>
      <c r="D1754" s="108"/>
      <c r="E1754" s="108"/>
      <c r="F1754" s="108"/>
      <c r="G1754" s="108"/>
      <c r="H1754" s="108"/>
      <c r="I1754" s="108"/>
      <c r="J1754" s="108"/>
      <c r="K1754" s="108"/>
      <c r="L1754" s="108"/>
      <c r="M1754" s="108"/>
      <c r="N1754" s="108"/>
      <c r="O1754" s="108"/>
      <c r="P1754" s="108"/>
      <c r="Q1754" s="108"/>
      <c r="R1754" s="108"/>
      <c r="S1754" s="108"/>
      <c r="T1754" s="108"/>
      <c r="U1754" s="108"/>
      <c r="V1754" s="108"/>
      <c r="W1754" s="108"/>
      <c r="X1754" s="108"/>
      <c r="Y1754" s="108"/>
      <c r="Z1754" s="108"/>
    </row>
    <row r="1755" ht="16.5" customHeight="1">
      <c r="A1755" s="108"/>
      <c r="B1755" s="108"/>
      <c r="C1755" s="180"/>
      <c r="D1755" s="108"/>
      <c r="E1755" s="108"/>
      <c r="F1755" s="108"/>
      <c r="G1755" s="108"/>
      <c r="H1755" s="108"/>
      <c r="I1755" s="108"/>
      <c r="J1755" s="108"/>
      <c r="K1755" s="108"/>
      <c r="L1755" s="108"/>
      <c r="M1755" s="108"/>
      <c r="N1755" s="108"/>
      <c r="O1755" s="108"/>
      <c r="P1755" s="108"/>
      <c r="Q1755" s="108"/>
      <c r="R1755" s="108"/>
      <c r="S1755" s="108"/>
      <c r="T1755" s="108"/>
      <c r="U1755" s="108"/>
      <c r="V1755" s="108"/>
      <c r="W1755" s="108"/>
      <c r="X1755" s="108"/>
      <c r="Y1755" s="108"/>
      <c r="Z1755" s="108"/>
    </row>
    <row r="1756" ht="16.5" customHeight="1">
      <c r="A1756" s="108"/>
      <c r="B1756" s="108"/>
      <c r="C1756" s="180"/>
      <c r="D1756" s="108"/>
      <c r="E1756" s="108"/>
      <c r="F1756" s="108"/>
      <c r="G1756" s="108"/>
      <c r="H1756" s="108"/>
      <c r="I1756" s="108"/>
      <c r="J1756" s="108"/>
      <c r="K1756" s="108"/>
      <c r="L1756" s="108"/>
      <c r="M1756" s="108"/>
      <c r="N1756" s="108"/>
      <c r="O1756" s="108"/>
      <c r="P1756" s="108"/>
      <c r="Q1756" s="108"/>
      <c r="R1756" s="108"/>
      <c r="S1756" s="108"/>
      <c r="T1756" s="108"/>
      <c r="U1756" s="108"/>
      <c r="V1756" s="108"/>
      <c r="W1756" s="108"/>
      <c r="X1756" s="108"/>
      <c r="Y1756" s="108"/>
      <c r="Z1756" s="108"/>
    </row>
    <row r="1757" ht="16.5" customHeight="1">
      <c r="A1757" s="108"/>
      <c r="B1757" s="108"/>
      <c r="C1757" s="180"/>
      <c r="D1757" s="108"/>
      <c r="E1757" s="108"/>
      <c r="F1757" s="108"/>
      <c r="G1757" s="108"/>
      <c r="H1757" s="108"/>
      <c r="I1757" s="108"/>
      <c r="J1757" s="108"/>
      <c r="K1757" s="108"/>
      <c r="L1757" s="108"/>
      <c r="M1757" s="108"/>
      <c r="N1757" s="108"/>
      <c r="O1757" s="108"/>
      <c r="P1757" s="108"/>
      <c r="Q1757" s="108"/>
      <c r="R1757" s="108"/>
      <c r="S1757" s="108"/>
      <c r="T1757" s="108"/>
      <c r="U1757" s="108"/>
      <c r="V1757" s="108"/>
      <c r="W1757" s="108"/>
      <c r="X1757" s="108"/>
      <c r="Y1757" s="108"/>
      <c r="Z1757" s="108"/>
    </row>
    <row r="1758" ht="16.5" customHeight="1">
      <c r="A1758" s="108"/>
      <c r="B1758" s="108"/>
      <c r="C1758" s="180"/>
      <c r="D1758" s="108"/>
      <c r="E1758" s="108"/>
      <c r="F1758" s="108"/>
      <c r="G1758" s="108"/>
      <c r="H1758" s="108"/>
      <c r="I1758" s="108"/>
      <c r="J1758" s="108"/>
      <c r="K1758" s="108"/>
      <c r="L1758" s="108"/>
      <c r="M1758" s="108"/>
      <c r="N1758" s="108"/>
      <c r="O1758" s="108"/>
      <c r="P1758" s="108"/>
      <c r="Q1758" s="108"/>
      <c r="R1758" s="108"/>
      <c r="S1758" s="108"/>
      <c r="T1758" s="108"/>
      <c r="U1758" s="108"/>
      <c r="V1758" s="108"/>
      <c r="W1758" s="108"/>
      <c r="X1758" s="108"/>
      <c r="Y1758" s="108"/>
      <c r="Z1758" s="108"/>
    </row>
    <row r="1759" ht="16.5" customHeight="1">
      <c r="A1759" s="108"/>
      <c r="B1759" s="108"/>
      <c r="C1759" s="180"/>
      <c r="D1759" s="108"/>
      <c r="E1759" s="108"/>
      <c r="F1759" s="108"/>
      <c r="G1759" s="108"/>
      <c r="H1759" s="108"/>
      <c r="I1759" s="108"/>
      <c r="J1759" s="108"/>
      <c r="K1759" s="108"/>
      <c r="L1759" s="108"/>
      <c r="M1759" s="108"/>
      <c r="N1759" s="108"/>
      <c r="O1759" s="108"/>
      <c r="P1759" s="108"/>
      <c r="Q1759" s="108"/>
      <c r="R1759" s="108"/>
      <c r="S1759" s="108"/>
      <c r="T1759" s="108"/>
      <c r="U1759" s="108"/>
      <c r="V1759" s="108"/>
      <c r="W1759" s="108"/>
      <c r="X1759" s="108"/>
      <c r="Y1759" s="108"/>
      <c r="Z1759" s="108"/>
    </row>
    <row r="1760" ht="16.5" customHeight="1">
      <c r="A1760" s="108"/>
      <c r="B1760" s="108"/>
      <c r="C1760" s="180"/>
      <c r="D1760" s="108"/>
      <c r="E1760" s="108"/>
      <c r="F1760" s="108"/>
      <c r="G1760" s="108"/>
      <c r="H1760" s="108"/>
      <c r="I1760" s="108"/>
      <c r="J1760" s="108"/>
      <c r="K1760" s="108"/>
      <c r="L1760" s="108"/>
      <c r="M1760" s="108"/>
      <c r="N1760" s="108"/>
      <c r="O1760" s="108"/>
      <c r="P1760" s="108"/>
      <c r="Q1760" s="108"/>
      <c r="R1760" s="108"/>
      <c r="S1760" s="108"/>
      <c r="T1760" s="108"/>
      <c r="U1760" s="108"/>
      <c r="V1760" s="108"/>
      <c r="W1760" s="108"/>
      <c r="X1760" s="108"/>
      <c r="Y1760" s="108"/>
      <c r="Z1760" s="108"/>
    </row>
    <row r="1761" ht="16.5" customHeight="1">
      <c r="A1761" s="108"/>
      <c r="B1761" s="108"/>
      <c r="C1761" s="180"/>
      <c r="D1761" s="108"/>
      <c r="E1761" s="108"/>
      <c r="F1761" s="108"/>
      <c r="G1761" s="108"/>
      <c r="H1761" s="108"/>
      <c r="I1761" s="108"/>
      <c r="J1761" s="108"/>
      <c r="K1761" s="108"/>
      <c r="L1761" s="108"/>
      <c r="M1761" s="108"/>
      <c r="N1761" s="108"/>
      <c r="O1761" s="108"/>
      <c r="P1761" s="108"/>
      <c r="Q1761" s="108"/>
      <c r="R1761" s="108"/>
      <c r="S1761" s="108"/>
      <c r="T1761" s="108"/>
      <c r="U1761" s="108"/>
      <c r="V1761" s="108"/>
      <c r="W1761" s="108"/>
      <c r="X1761" s="108"/>
      <c r="Y1761" s="108"/>
      <c r="Z1761" s="108"/>
    </row>
    <row r="1762" ht="16.5" customHeight="1">
      <c r="A1762" s="108"/>
      <c r="B1762" s="108"/>
      <c r="C1762" s="180"/>
      <c r="D1762" s="108"/>
      <c r="E1762" s="108"/>
      <c r="F1762" s="108"/>
      <c r="G1762" s="108"/>
      <c r="H1762" s="108"/>
      <c r="I1762" s="108"/>
      <c r="J1762" s="108"/>
      <c r="K1762" s="108"/>
      <c r="L1762" s="108"/>
      <c r="M1762" s="108"/>
      <c r="N1762" s="108"/>
      <c r="O1762" s="108"/>
      <c r="P1762" s="108"/>
      <c r="Q1762" s="108"/>
      <c r="R1762" s="108"/>
      <c r="S1762" s="108"/>
      <c r="T1762" s="108"/>
      <c r="U1762" s="108"/>
      <c r="V1762" s="108"/>
      <c r="W1762" s="108"/>
      <c r="X1762" s="108"/>
      <c r="Y1762" s="108"/>
      <c r="Z1762" s="108"/>
    </row>
    <row r="1763" ht="16.5" customHeight="1">
      <c r="A1763" s="108"/>
      <c r="B1763" s="108"/>
      <c r="C1763" s="180"/>
      <c r="D1763" s="108"/>
      <c r="E1763" s="108"/>
      <c r="F1763" s="108"/>
      <c r="G1763" s="108"/>
      <c r="H1763" s="108"/>
      <c r="I1763" s="108"/>
      <c r="J1763" s="108"/>
      <c r="K1763" s="108"/>
      <c r="L1763" s="108"/>
      <c r="M1763" s="108"/>
      <c r="N1763" s="108"/>
      <c r="O1763" s="108"/>
      <c r="P1763" s="108"/>
      <c r="Q1763" s="108"/>
      <c r="R1763" s="108"/>
      <c r="S1763" s="108"/>
      <c r="T1763" s="108"/>
      <c r="U1763" s="108"/>
      <c r="V1763" s="108"/>
      <c r="W1763" s="108"/>
      <c r="X1763" s="108"/>
      <c r="Y1763" s="108"/>
      <c r="Z1763" s="108"/>
    </row>
    <row r="1764" ht="16.5" customHeight="1">
      <c r="A1764" s="108"/>
      <c r="B1764" s="108"/>
      <c r="C1764" s="180"/>
      <c r="D1764" s="108"/>
      <c r="E1764" s="108"/>
      <c r="F1764" s="108"/>
      <c r="G1764" s="108"/>
      <c r="H1764" s="108"/>
      <c r="I1764" s="108"/>
      <c r="J1764" s="108"/>
      <c r="K1764" s="108"/>
      <c r="L1764" s="108"/>
      <c r="M1764" s="108"/>
      <c r="N1764" s="108"/>
      <c r="O1764" s="108"/>
      <c r="P1764" s="108"/>
      <c r="Q1764" s="108"/>
      <c r="R1764" s="108"/>
      <c r="S1764" s="108"/>
      <c r="T1764" s="108"/>
      <c r="U1764" s="108"/>
      <c r="V1764" s="108"/>
      <c r="W1764" s="108"/>
      <c r="X1764" s="108"/>
      <c r="Y1764" s="108"/>
      <c r="Z1764" s="108"/>
    </row>
    <row r="1765" ht="16.5" customHeight="1">
      <c r="A1765" s="108"/>
      <c r="B1765" s="108"/>
      <c r="C1765" s="180"/>
      <c r="D1765" s="108"/>
      <c r="E1765" s="108"/>
      <c r="F1765" s="108"/>
      <c r="G1765" s="108"/>
      <c r="H1765" s="108"/>
      <c r="I1765" s="108"/>
      <c r="J1765" s="108"/>
      <c r="K1765" s="108"/>
      <c r="L1765" s="108"/>
      <c r="M1765" s="108"/>
      <c r="N1765" s="108"/>
      <c r="O1765" s="108"/>
      <c r="P1765" s="108"/>
      <c r="Q1765" s="108"/>
      <c r="R1765" s="108"/>
      <c r="S1765" s="108"/>
      <c r="T1765" s="108"/>
      <c r="U1765" s="108"/>
      <c r="V1765" s="108"/>
      <c r="W1765" s="108"/>
      <c r="X1765" s="108"/>
      <c r="Y1765" s="108"/>
      <c r="Z1765" s="108"/>
    </row>
    <row r="1766" ht="16.5" customHeight="1">
      <c r="A1766" s="108"/>
      <c r="B1766" s="108"/>
      <c r="C1766" s="180"/>
      <c r="D1766" s="108"/>
      <c r="E1766" s="108"/>
      <c r="F1766" s="108"/>
      <c r="G1766" s="108"/>
      <c r="H1766" s="108"/>
      <c r="I1766" s="108"/>
      <c r="J1766" s="108"/>
      <c r="K1766" s="108"/>
      <c r="L1766" s="108"/>
      <c r="M1766" s="108"/>
      <c r="N1766" s="108"/>
      <c r="O1766" s="108"/>
      <c r="P1766" s="108"/>
      <c r="Q1766" s="108"/>
      <c r="R1766" s="108"/>
      <c r="S1766" s="108"/>
      <c r="T1766" s="108"/>
      <c r="U1766" s="108"/>
      <c r="V1766" s="108"/>
      <c r="W1766" s="108"/>
      <c r="X1766" s="108"/>
      <c r="Y1766" s="108"/>
      <c r="Z1766" s="108"/>
    </row>
    <row r="1767" ht="16.5" customHeight="1">
      <c r="A1767" s="108"/>
      <c r="B1767" s="108"/>
      <c r="C1767" s="180"/>
      <c r="D1767" s="108"/>
      <c r="E1767" s="108"/>
      <c r="F1767" s="108"/>
      <c r="G1767" s="108"/>
      <c r="H1767" s="108"/>
      <c r="I1767" s="108"/>
      <c r="J1767" s="108"/>
      <c r="K1767" s="108"/>
      <c r="L1767" s="108"/>
      <c r="M1767" s="108"/>
      <c r="N1767" s="108"/>
      <c r="O1767" s="108"/>
      <c r="P1767" s="108"/>
      <c r="Q1767" s="108"/>
      <c r="R1767" s="108"/>
      <c r="S1767" s="108"/>
      <c r="T1767" s="108"/>
      <c r="U1767" s="108"/>
      <c r="V1767" s="108"/>
      <c r="W1767" s="108"/>
      <c r="X1767" s="108"/>
      <c r="Y1767" s="108"/>
      <c r="Z1767" s="108"/>
    </row>
    <row r="1768" ht="16.5" customHeight="1">
      <c r="A1768" s="108"/>
      <c r="B1768" s="108"/>
      <c r="C1768" s="180"/>
      <c r="D1768" s="108"/>
      <c r="E1768" s="108"/>
      <c r="F1768" s="108"/>
      <c r="G1768" s="108"/>
      <c r="H1768" s="108"/>
      <c r="I1768" s="108"/>
      <c r="J1768" s="108"/>
      <c r="K1768" s="108"/>
      <c r="L1768" s="108"/>
      <c r="M1768" s="108"/>
      <c r="N1768" s="108"/>
      <c r="O1768" s="108"/>
      <c r="P1768" s="108"/>
      <c r="Q1768" s="108"/>
      <c r="R1768" s="108"/>
      <c r="S1768" s="108"/>
      <c r="T1768" s="108"/>
      <c r="U1768" s="108"/>
      <c r="V1768" s="108"/>
      <c r="W1768" s="108"/>
      <c r="X1768" s="108"/>
      <c r="Y1768" s="108"/>
      <c r="Z1768" s="108"/>
    </row>
    <row r="1769" ht="16.5" customHeight="1">
      <c r="A1769" s="108"/>
      <c r="B1769" s="108"/>
      <c r="C1769" s="180"/>
      <c r="D1769" s="108"/>
      <c r="E1769" s="108"/>
      <c r="F1769" s="108"/>
      <c r="G1769" s="108"/>
      <c r="H1769" s="108"/>
      <c r="I1769" s="108"/>
      <c r="J1769" s="108"/>
      <c r="K1769" s="108"/>
      <c r="L1769" s="108"/>
      <c r="M1769" s="108"/>
      <c r="N1769" s="108"/>
      <c r="O1769" s="108"/>
      <c r="P1769" s="108"/>
      <c r="Q1769" s="108"/>
      <c r="R1769" s="108"/>
      <c r="S1769" s="108"/>
      <c r="T1769" s="108"/>
      <c r="U1769" s="108"/>
      <c r="V1769" s="108"/>
      <c r="W1769" s="108"/>
      <c r="X1769" s="108"/>
      <c r="Y1769" s="108"/>
      <c r="Z1769" s="108"/>
    </row>
    <row r="1770" ht="16.5" customHeight="1">
      <c r="A1770" s="108"/>
      <c r="B1770" s="108"/>
      <c r="C1770" s="180"/>
      <c r="D1770" s="108"/>
      <c r="E1770" s="108"/>
      <c r="F1770" s="108"/>
      <c r="G1770" s="108"/>
      <c r="H1770" s="108"/>
      <c r="I1770" s="108"/>
      <c r="J1770" s="108"/>
      <c r="K1770" s="108"/>
      <c r="L1770" s="108"/>
      <c r="M1770" s="108"/>
      <c r="N1770" s="108"/>
      <c r="O1770" s="108"/>
      <c r="P1770" s="108"/>
      <c r="Q1770" s="108"/>
      <c r="R1770" s="108"/>
      <c r="S1770" s="108"/>
      <c r="T1770" s="108"/>
      <c r="U1770" s="108"/>
      <c r="V1770" s="108"/>
      <c r="W1770" s="108"/>
      <c r="X1770" s="108"/>
      <c r="Y1770" s="108"/>
      <c r="Z1770" s="108"/>
    </row>
    <row r="1771" ht="16.5" customHeight="1">
      <c r="A1771" s="108"/>
      <c r="B1771" s="108"/>
      <c r="C1771" s="180"/>
      <c r="D1771" s="108"/>
      <c r="E1771" s="108"/>
      <c r="F1771" s="108"/>
      <c r="G1771" s="108"/>
      <c r="H1771" s="108"/>
      <c r="I1771" s="108"/>
      <c r="J1771" s="108"/>
      <c r="K1771" s="108"/>
      <c r="L1771" s="108"/>
      <c r="M1771" s="108"/>
      <c r="N1771" s="108"/>
      <c r="O1771" s="108"/>
      <c r="P1771" s="108"/>
      <c r="Q1771" s="108"/>
      <c r="R1771" s="108"/>
      <c r="S1771" s="108"/>
      <c r="T1771" s="108"/>
      <c r="U1771" s="108"/>
      <c r="V1771" s="108"/>
      <c r="W1771" s="108"/>
      <c r="X1771" s="108"/>
      <c r="Y1771" s="108"/>
      <c r="Z1771" s="108"/>
    </row>
    <row r="1772" ht="16.5" customHeight="1">
      <c r="A1772" s="108"/>
      <c r="B1772" s="108"/>
      <c r="C1772" s="180"/>
      <c r="D1772" s="108"/>
      <c r="E1772" s="108"/>
      <c r="F1772" s="108"/>
      <c r="G1772" s="108"/>
      <c r="H1772" s="108"/>
      <c r="I1772" s="108"/>
      <c r="J1772" s="108"/>
      <c r="K1772" s="108"/>
      <c r="L1772" s="108"/>
      <c r="M1772" s="108"/>
      <c r="N1772" s="108"/>
      <c r="O1772" s="108"/>
      <c r="P1772" s="108"/>
      <c r="Q1772" s="108"/>
      <c r="R1772" s="108"/>
      <c r="S1772" s="108"/>
      <c r="T1772" s="108"/>
      <c r="U1772" s="108"/>
      <c r="V1772" s="108"/>
      <c r="W1772" s="108"/>
      <c r="X1772" s="108"/>
      <c r="Y1772" s="108"/>
      <c r="Z1772" s="108"/>
    </row>
    <row r="1773" ht="16.5" customHeight="1">
      <c r="A1773" s="108"/>
      <c r="B1773" s="108"/>
      <c r="C1773" s="180"/>
      <c r="D1773" s="108"/>
      <c r="E1773" s="108"/>
      <c r="F1773" s="108"/>
      <c r="G1773" s="108"/>
      <c r="H1773" s="108"/>
      <c r="I1773" s="108"/>
      <c r="J1773" s="108"/>
      <c r="K1773" s="108"/>
      <c r="L1773" s="108"/>
      <c r="M1773" s="108"/>
      <c r="N1773" s="108"/>
      <c r="O1773" s="108"/>
      <c r="P1773" s="108"/>
      <c r="Q1773" s="108"/>
      <c r="R1773" s="108"/>
      <c r="S1773" s="108"/>
      <c r="T1773" s="108"/>
      <c r="U1773" s="108"/>
      <c r="V1773" s="108"/>
      <c r="W1773" s="108"/>
      <c r="X1773" s="108"/>
      <c r="Y1773" s="108"/>
      <c r="Z1773" s="108"/>
    </row>
    <row r="1774" ht="16.5" customHeight="1">
      <c r="A1774" s="108"/>
      <c r="B1774" s="108"/>
      <c r="C1774" s="180"/>
      <c r="D1774" s="108"/>
      <c r="E1774" s="108"/>
      <c r="F1774" s="108"/>
      <c r="G1774" s="108"/>
      <c r="H1774" s="108"/>
      <c r="I1774" s="108"/>
      <c r="J1774" s="108"/>
      <c r="K1774" s="108"/>
      <c r="L1774" s="108"/>
      <c r="M1774" s="108"/>
      <c r="N1774" s="108"/>
      <c r="O1774" s="108"/>
      <c r="P1774" s="108"/>
      <c r="Q1774" s="108"/>
      <c r="R1774" s="108"/>
      <c r="S1774" s="108"/>
      <c r="T1774" s="108"/>
      <c r="U1774" s="108"/>
      <c r="V1774" s="108"/>
      <c r="W1774" s="108"/>
      <c r="X1774" s="108"/>
      <c r="Y1774" s="108"/>
      <c r="Z1774" s="108"/>
    </row>
    <row r="1775" ht="16.5" customHeight="1">
      <c r="A1775" s="108"/>
      <c r="B1775" s="108"/>
      <c r="C1775" s="180"/>
      <c r="D1775" s="108"/>
      <c r="E1775" s="108"/>
      <c r="F1775" s="108"/>
      <c r="G1775" s="108"/>
      <c r="H1775" s="108"/>
      <c r="I1775" s="108"/>
      <c r="J1775" s="108"/>
      <c r="K1775" s="108"/>
      <c r="L1775" s="108"/>
      <c r="M1775" s="108"/>
      <c r="N1775" s="108"/>
      <c r="O1775" s="108"/>
      <c r="P1775" s="108"/>
      <c r="Q1775" s="108"/>
      <c r="R1775" s="108"/>
      <c r="S1775" s="108"/>
      <c r="T1775" s="108"/>
      <c r="U1775" s="108"/>
      <c r="V1775" s="108"/>
      <c r="W1775" s="108"/>
      <c r="X1775" s="108"/>
      <c r="Y1775" s="108"/>
      <c r="Z1775" s="108"/>
    </row>
    <row r="1776" ht="16.5" customHeight="1">
      <c r="A1776" s="108"/>
      <c r="B1776" s="108"/>
      <c r="C1776" s="180"/>
      <c r="D1776" s="108"/>
      <c r="E1776" s="108"/>
      <c r="F1776" s="108"/>
      <c r="G1776" s="108"/>
      <c r="H1776" s="108"/>
      <c r="I1776" s="108"/>
      <c r="J1776" s="108"/>
      <c r="K1776" s="108"/>
      <c r="L1776" s="108"/>
      <c r="M1776" s="108"/>
      <c r="N1776" s="108"/>
      <c r="O1776" s="108"/>
      <c r="P1776" s="108"/>
      <c r="Q1776" s="108"/>
      <c r="R1776" s="108"/>
      <c r="S1776" s="108"/>
      <c r="T1776" s="108"/>
      <c r="U1776" s="108"/>
      <c r="V1776" s="108"/>
      <c r="W1776" s="108"/>
      <c r="X1776" s="108"/>
      <c r="Y1776" s="108"/>
      <c r="Z1776" s="108"/>
    </row>
    <row r="1777" ht="16.5" customHeight="1">
      <c r="A1777" s="108"/>
      <c r="B1777" s="108"/>
      <c r="C1777" s="180"/>
      <c r="D1777" s="108"/>
      <c r="E1777" s="108"/>
      <c r="F1777" s="108"/>
      <c r="G1777" s="108"/>
      <c r="H1777" s="108"/>
      <c r="I1777" s="108"/>
      <c r="J1777" s="108"/>
      <c r="K1777" s="108"/>
      <c r="L1777" s="108"/>
      <c r="M1777" s="108"/>
      <c r="N1777" s="108"/>
      <c r="O1777" s="108"/>
      <c r="P1777" s="108"/>
      <c r="Q1777" s="108"/>
      <c r="R1777" s="108"/>
      <c r="S1777" s="108"/>
      <c r="T1777" s="108"/>
      <c r="U1777" s="108"/>
      <c r="V1777" s="108"/>
      <c r="W1777" s="108"/>
      <c r="X1777" s="108"/>
      <c r="Y1777" s="108"/>
      <c r="Z1777" s="108"/>
    </row>
    <row r="1778" ht="16.5" customHeight="1">
      <c r="A1778" s="108"/>
      <c r="B1778" s="108"/>
      <c r="C1778" s="180"/>
      <c r="D1778" s="108"/>
      <c r="E1778" s="108"/>
      <c r="F1778" s="108"/>
      <c r="G1778" s="108"/>
      <c r="H1778" s="108"/>
      <c r="I1778" s="108"/>
      <c r="J1778" s="108"/>
      <c r="K1778" s="108"/>
      <c r="L1778" s="108"/>
      <c r="M1778" s="108"/>
      <c r="N1778" s="108"/>
      <c r="O1778" s="108"/>
      <c r="P1778" s="108"/>
      <c r="Q1778" s="108"/>
      <c r="R1778" s="108"/>
      <c r="S1778" s="108"/>
      <c r="T1778" s="108"/>
      <c r="U1778" s="108"/>
      <c r="V1778" s="108"/>
      <c r="W1778" s="108"/>
      <c r="X1778" s="108"/>
      <c r="Y1778" s="108"/>
      <c r="Z1778" s="108"/>
    </row>
    <row r="1779" ht="16.5" customHeight="1">
      <c r="A1779" s="108"/>
      <c r="B1779" s="108"/>
      <c r="C1779" s="180"/>
      <c r="D1779" s="108"/>
      <c r="E1779" s="108"/>
      <c r="F1779" s="108"/>
      <c r="G1779" s="108"/>
      <c r="H1779" s="108"/>
      <c r="I1779" s="108"/>
      <c r="J1779" s="108"/>
      <c r="K1779" s="108"/>
      <c r="L1779" s="108"/>
      <c r="M1779" s="108"/>
      <c r="N1779" s="108"/>
      <c r="O1779" s="108"/>
      <c r="P1779" s="108"/>
      <c r="Q1779" s="108"/>
      <c r="R1779" s="108"/>
      <c r="S1779" s="108"/>
      <c r="T1779" s="108"/>
      <c r="U1779" s="108"/>
      <c r="V1779" s="108"/>
      <c r="W1779" s="108"/>
      <c r="X1779" s="108"/>
      <c r="Y1779" s="108"/>
      <c r="Z1779" s="108"/>
    </row>
    <row r="1780" ht="16.5" customHeight="1">
      <c r="A1780" s="108"/>
      <c r="B1780" s="108"/>
      <c r="C1780" s="180"/>
      <c r="D1780" s="108"/>
      <c r="E1780" s="108"/>
      <c r="F1780" s="108"/>
      <c r="G1780" s="108"/>
      <c r="H1780" s="108"/>
      <c r="I1780" s="108"/>
      <c r="J1780" s="108"/>
      <c r="K1780" s="108"/>
      <c r="L1780" s="108"/>
      <c r="M1780" s="108"/>
      <c r="N1780" s="108"/>
      <c r="O1780" s="108"/>
      <c r="P1780" s="108"/>
      <c r="Q1780" s="108"/>
      <c r="R1780" s="108"/>
      <c r="S1780" s="108"/>
      <c r="T1780" s="108"/>
      <c r="U1780" s="108"/>
      <c r="V1780" s="108"/>
      <c r="W1780" s="108"/>
      <c r="X1780" s="108"/>
      <c r="Y1780" s="108"/>
      <c r="Z1780" s="108"/>
    </row>
    <row r="1781" ht="16.5" customHeight="1">
      <c r="A1781" s="108"/>
      <c r="B1781" s="108"/>
      <c r="C1781" s="180"/>
      <c r="D1781" s="108"/>
      <c r="E1781" s="108"/>
      <c r="F1781" s="108"/>
      <c r="G1781" s="108"/>
      <c r="H1781" s="108"/>
      <c r="I1781" s="108"/>
      <c r="J1781" s="108"/>
      <c r="K1781" s="108"/>
      <c r="L1781" s="108"/>
      <c r="M1781" s="108"/>
      <c r="N1781" s="108"/>
      <c r="O1781" s="108"/>
      <c r="P1781" s="108"/>
      <c r="Q1781" s="108"/>
      <c r="R1781" s="108"/>
      <c r="S1781" s="108"/>
      <c r="T1781" s="108"/>
      <c r="U1781" s="108"/>
      <c r="V1781" s="108"/>
      <c r="W1781" s="108"/>
      <c r="X1781" s="108"/>
      <c r="Y1781" s="108"/>
      <c r="Z1781" s="108"/>
    </row>
    <row r="1782" ht="16.5" customHeight="1">
      <c r="A1782" s="108"/>
      <c r="B1782" s="108"/>
      <c r="C1782" s="180"/>
      <c r="D1782" s="108"/>
      <c r="E1782" s="108"/>
      <c r="F1782" s="108"/>
      <c r="G1782" s="108"/>
      <c r="H1782" s="108"/>
      <c r="I1782" s="108"/>
      <c r="J1782" s="108"/>
      <c r="K1782" s="108"/>
      <c r="L1782" s="108"/>
      <c r="M1782" s="108"/>
      <c r="N1782" s="108"/>
      <c r="O1782" s="108"/>
      <c r="P1782" s="108"/>
      <c r="Q1782" s="108"/>
      <c r="R1782" s="108"/>
      <c r="S1782" s="108"/>
      <c r="T1782" s="108"/>
      <c r="U1782" s="108"/>
      <c r="V1782" s="108"/>
      <c r="W1782" s="108"/>
      <c r="X1782" s="108"/>
      <c r="Y1782" s="108"/>
      <c r="Z1782" s="108"/>
    </row>
    <row r="1783" ht="16.5" customHeight="1">
      <c r="A1783" s="108"/>
      <c r="B1783" s="108"/>
      <c r="C1783" s="180"/>
      <c r="D1783" s="108"/>
      <c r="E1783" s="108"/>
      <c r="F1783" s="108"/>
      <c r="G1783" s="108"/>
      <c r="H1783" s="108"/>
      <c r="I1783" s="108"/>
      <c r="J1783" s="108"/>
      <c r="K1783" s="108"/>
      <c r="L1783" s="108"/>
      <c r="M1783" s="108"/>
      <c r="N1783" s="108"/>
      <c r="O1783" s="108"/>
      <c r="P1783" s="108"/>
      <c r="Q1783" s="108"/>
      <c r="R1783" s="108"/>
      <c r="S1783" s="108"/>
      <c r="T1783" s="108"/>
      <c r="U1783" s="108"/>
      <c r="V1783" s="108"/>
      <c r="W1783" s="108"/>
      <c r="X1783" s="108"/>
      <c r="Y1783" s="108"/>
      <c r="Z1783" s="108"/>
    </row>
    <row r="1784" ht="16.5" customHeight="1">
      <c r="A1784" s="108"/>
      <c r="B1784" s="108"/>
      <c r="C1784" s="180"/>
      <c r="D1784" s="108"/>
      <c r="E1784" s="108"/>
      <c r="F1784" s="108"/>
      <c r="G1784" s="108"/>
      <c r="H1784" s="108"/>
      <c r="I1784" s="108"/>
      <c r="J1784" s="108"/>
      <c r="K1784" s="108"/>
      <c r="L1784" s="108"/>
      <c r="M1784" s="108"/>
      <c r="N1784" s="108"/>
      <c r="O1784" s="108"/>
      <c r="P1784" s="108"/>
      <c r="Q1784" s="108"/>
      <c r="R1784" s="108"/>
      <c r="S1784" s="108"/>
      <c r="T1784" s="108"/>
      <c r="U1784" s="108"/>
      <c r="V1784" s="108"/>
      <c r="W1784" s="108"/>
      <c r="X1784" s="108"/>
      <c r="Y1784" s="108"/>
      <c r="Z1784" s="108"/>
    </row>
    <row r="1785" ht="16.5" customHeight="1">
      <c r="A1785" s="108"/>
      <c r="B1785" s="108"/>
      <c r="C1785" s="180"/>
      <c r="D1785" s="108"/>
      <c r="E1785" s="108"/>
      <c r="F1785" s="108"/>
      <c r="G1785" s="108"/>
      <c r="H1785" s="108"/>
      <c r="I1785" s="108"/>
      <c r="J1785" s="108"/>
      <c r="K1785" s="108"/>
      <c r="L1785" s="108"/>
      <c r="M1785" s="108"/>
      <c r="N1785" s="108"/>
      <c r="O1785" s="108"/>
      <c r="P1785" s="108"/>
      <c r="Q1785" s="108"/>
      <c r="R1785" s="108"/>
      <c r="S1785" s="108"/>
      <c r="T1785" s="108"/>
      <c r="U1785" s="108"/>
      <c r="V1785" s="108"/>
      <c r="W1785" s="108"/>
      <c r="X1785" s="108"/>
      <c r="Y1785" s="108"/>
      <c r="Z1785" s="108"/>
    </row>
    <row r="1786" ht="16.5" customHeight="1">
      <c r="A1786" s="108"/>
      <c r="B1786" s="108"/>
      <c r="C1786" s="180"/>
      <c r="D1786" s="108"/>
      <c r="E1786" s="108"/>
      <c r="F1786" s="108"/>
      <c r="G1786" s="108"/>
      <c r="H1786" s="108"/>
      <c r="I1786" s="108"/>
      <c r="J1786" s="108"/>
      <c r="K1786" s="108"/>
      <c r="L1786" s="108"/>
      <c r="M1786" s="108"/>
      <c r="N1786" s="108"/>
      <c r="O1786" s="108"/>
      <c r="P1786" s="108"/>
      <c r="Q1786" s="108"/>
      <c r="R1786" s="108"/>
      <c r="S1786" s="108"/>
      <c r="T1786" s="108"/>
      <c r="U1786" s="108"/>
      <c r="V1786" s="108"/>
      <c r="W1786" s="108"/>
      <c r="X1786" s="108"/>
      <c r="Y1786" s="108"/>
      <c r="Z1786" s="108"/>
    </row>
    <row r="1787" ht="16.5" customHeight="1">
      <c r="A1787" s="108"/>
      <c r="B1787" s="108"/>
      <c r="C1787" s="180"/>
      <c r="D1787" s="108"/>
      <c r="E1787" s="108"/>
      <c r="F1787" s="108"/>
      <c r="G1787" s="108"/>
      <c r="H1787" s="108"/>
      <c r="I1787" s="108"/>
      <c r="J1787" s="108"/>
      <c r="K1787" s="108"/>
      <c r="L1787" s="108"/>
      <c r="M1787" s="108"/>
      <c r="N1787" s="108"/>
      <c r="O1787" s="108"/>
      <c r="P1787" s="108"/>
      <c r="Q1787" s="108"/>
      <c r="R1787" s="108"/>
      <c r="S1787" s="108"/>
      <c r="T1787" s="108"/>
      <c r="U1787" s="108"/>
      <c r="V1787" s="108"/>
      <c r="W1787" s="108"/>
      <c r="X1787" s="108"/>
      <c r="Y1787" s="108"/>
      <c r="Z1787" s="108"/>
    </row>
    <row r="1788" ht="16.5" customHeight="1">
      <c r="A1788" s="108"/>
      <c r="B1788" s="108"/>
      <c r="C1788" s="180"/>
      <c r="D1788" s="108"/>
      <c r="E1788" s="108"/>
      <c r="F1788" s="108"/>
      <c r="G1788" s="108"/>
      <c r="H1788" s="108"/>
      <c r="I1788" s="108"/>
      <c r="J1788" s="108"/>
      <c r="K1788" s="108"/>
      <c r="L1788" s="108"/>
      <c r="M1788" s="108"/>
      <c r="N1788" s="108"/>
      <c r="O1788" s="108"/>
      <c r="P1788" s="108"/>
      <c r="Q1788" s="108"/>
      <c r="R1788" s="108"/>
      <c r="S1788" s="108"/>
      <c r="T1788" s="108"/>
      <c r="U1788" s="108"/>
      <c r="V1788" s="108"/>
      <c r="W1788" s="108"/>
      <c r="X1788" s="108"/>
      <c r="Y1788" s="108"/>
      <c r="Z1788" s="108"/>
    </row>
    <row r="1789" ht="16.5" customHeight="1">
      <c r="A1789" s="108"/>
      <c r="B1789" s="108"/>
      <c r="C1789" s="180"/>
      <c r="D1789" s="108"/>
      <c r="E1789" s="108"/>
      <c r="F1789" s="108"/>
      <c r="G1789" s="108"/>
      <c r="H1789" s="108"/>
      <c r="I1789" s="108"/>
      <c r="J1789" s="108"/>
      <c r="K1789" s="108"/>
      <c r="L1789" s="108"/>
      <c r="M1789" s="108"/>
      <c r="N1789" s="108"/>
      <c r="O1789" s="108"/>
      <c r="P1789" s="108"/>
      <c r="Q1789" s="108"/>
      <c r="R1789" s="108"/>
      <c r="S1789" s="108"/>
      <c r="T1789" s="108"/>
      <c r="U1789" s="108"/>
      <c r="V1789" s="108"/>
      <c r="W1789" s="108"/>
      <c r="X1789" s="108"/>
      <c r="Y1789" s="108"/>
      <c r="Z1789" s="108"/>
    </row>
    <row r="1790" ht="16.5" customHeight="1">
      <c r="A1790" s="108"/>
      <c r="B1790" s="108"/>
      <c r="C1790" s="180"/>
      <c r="D1790" s="108"/>
      <c r="E1790" s="108"/>
      <c r="F1790" s="108"/>
      <c r="G1790" s="108"/>
      <c r="H1790" s="108"/>
      <c r="I1790" s="108"/>
      <c r="J1790" s="108"/>
      <c r="K1790" s="108"/>
      <c r="L1790" s="108"/>
      <c r="M1790" s="108"/>
      <c r="N1790" s="108"/>
      <c r="O1790" s="108"/>
      <c r="P1790" s="108"/>
      <c r="Q1790" s="108"/>
      <c r="R1790" s="108"/>
      <c r="S1790" s="108"/>
      <c r="T1790" s="108"/>
      <c r="U1790" s="108"/>
      <c r="V1790" s="108"/>
      <c r="W1790" s="108"/>
      <c r="X1790" s="108"/>
      <c r="Y1790" s="108"/>
      <c r="Z1790" s="108"/>
    </row>
    <row r="1791" ht="16.5" customHeight="1">
      <c r="A1791" s="108"/>
      <c r="B1791" s="108"/>
      <c r="C1791" s="180"/>
      <c r="D1791" s="108"/>
      <c r="E1791" s="108"/>
      <c r="F1791" s="108"/>
      <c r="G1791" s="108"/>
      <c r="H1791" s="108"/>
      <c r="I1791" s="108"/>
      <c r="J1791" s="108"/>
      <c r="K1791" s="108"/>
      <c r="L1791" s="108"/>
      <c r="M1791" s="108"/>
      <c r="N1791" s="108"/>
      <c r="O1791" s="108"/>
      <c r="P1791" s="108"/>
      <c r="Q1791" s="108"/>
      <c r="R1791" s="108"/>
      <c r="S1791" s="108"/>
      <c r="T1791" s="108"/>
      <c r="U1791" s="108"/>
      <c r="V1791" s="108"/>
      <c r="W1791" s="108"/>
      <c r="X1791" s="108"/>
      <c r="Y1791" s="108"/>
      <c r="Z1791" s="108"/>
    </row>
    <row r="1792" ht="16.5" customHeight="1">
      <c r="A1792" s="108"/>
      <c r="B1792" s="108"/>
      <c r="C1792" s="180"/>
      <c r="D1792" s="108"/>
      <c r="E1792" s="108"/>
      <c r="F1792" s="108"/>
      <c r="G1792" s="108"/>
      <c r="H1792" s="108"/>
      <c r="I1792" s="108"/>
      <c r="J1792" s="108"/>
      <c r="K1792" s="108"/>
      <c r="L1792" s="108"/>
      <c r="M1792" s="108"/>
      <c r="N1792" s="108"/>
      <c r="O1792" s="108"/>
      <c r="P1792" s="108"/>
      <c r="Q1792" s="108"/>
      <c r="R1792" s="108"/>
      <c r="S1792" s="108"/>
      <c r="T1792" s="108"/>
      <c r="U1792" s="108"/>
      <c r="V1792" s="108"/>
      <c r="W1792" s="108"/>
      <c r="X1792" s="108"/>
      <c r="Y1792" s="108"/>
      <c r="Z1792" s="108"/>
    </row>
    <row r="1793" ht="16.5" customHeight="1">
      <c r="A1793" s="108"/>
      <c r="B1793" s="108"/>
      <c r="C1793" s="180"/>
      <c r="D1793" s="108"/>
      <c r="E1793" s="108"/>
      <c r="F1793" s="108"/>
      <c r="G1793" s="108"/>
      <c r="H1793" s="108"/>
      <c r="I1793" s="108"/>
      <c r="J1793" s="108"/>
      <c r="K1793" s="108"/>
      <c r="L1793" s="108"/>
      <c r="M1793" s="108"/>
      <c r="N1793" s="108"/>
      <c r="O1793" s="108"/>
      <c r="P1793" s="108"/>
      <c r="Q1793" s="108"/>
      <c r="R1793" s="108"/>
      <c r="S1793" s="108"/>
      <c r="T1793" s="108"/>
      <c r="U1793" s="108"/>
      <c r="V1793" s="108"/>
      <c r="W1793" s="108"/>
      <c r="X1793" s="108"/>
      <c r="Y1793" s="108"/>
      <c r="Z1793" s="108"/>
    </row>
    <row r="1794" ht="16.5" customHeight="1">
      <c r="A1794" s="108"/>
      <c r="B1794" s="108"/>
      <c r="C1794" s="180"/>
      <c r="D1794" s="108"/>
      <c r="E1794" s="108"/>
      <c r="F1794" s="108"/>
      <c r="G1794" s="108"/>
      <c r="H1794" s="108"/>
      <c r="I1794" s="108"/>
      <c r="J1794" s="108"/>
      <c r="K1794" s="108"/>
      <c r="L1794" s="108"/>
      <c r="M1794" s="108"/>
      <c r="N1794" s="108"/>
      <c r="O1794" s="108"/>
      <c r="P1794" s="108"/>
      <c r="Q1794" s="108"/>
      <c r="R1794" s="108"/>
      <c r="S1794" s="108"/>
      <c r="T1794" s="108"/>
      <c r="U1794" s="108"/>
      <c r="V1794" s="108"/>
      <c r="W1794" s="108"/>
      <c r="X1794" s="108"/>
      <c r="Y1794" s="108"/>
      <c r="Z1794" s="108"/>
    </row>
    <row r="1795" ht="16.5" customHeight="1">
      <c r="A1795" s="108"/>
      <c r="B1795" s="108"/>
      <c r="C1795" s="180"/>
      <c r="D1795" s="108"/>
      <c r="E1795" s="108"/>
      <c r="F1795" s="108"/>
      <c r="G1795" s="108"/>
      <c r="H1795" s="108"/>
      <c r="I1795" s="108"/>
      <c r="J1795" s="108"/>
      <c r="K1795" s="108"/>
      <c r="L1795" s="108"/>
      <c r="M1795" s="108"/>
      <c r="N1795" s="108"/>
      <c r="O1795" s="108"/>
      <c r="P1795" s="108"/>
      <c r="Q1795" s="108"/>
      <c r="R1795" s="108"/>
      <c r="S1795" s="108"/>
      <c r="T1795" s="108"/>
      <c r="U1795" s="108"/>
      <c r="V1795" s="108"/>
      <c r="W1795" s="108"/>
      <c r="X1795" s="108"/>
      <c r="Y1795" s="108"/>
      <c r="Z1795" s="108"/>
    </row>
    <row r="1796" ht="16.5" customHeight="1">
      <c r="A1796" s="108"/>
      <c r="B1796" s="108"/>
      <c r="C1796" s="180"/>
      <c r="D1796" s="108"/>
      <c r="E1796" s="108"/>
      <c r="F1796" s="108"/>
      <c r="G1796" s="108"/>
      <c r="H1796" s="108"/>
      <c r="I1796" s="108"/>
      <c r="J1796" s="108"/>
      <c r="K1796" s="108"/>
      <c r="L1796" s="108"/>
      <c r="M1796" s="108"/>
      <c r="N1796" s="108"/>
      <c r="O1796" s="108"/>
      <c r="P1796" s="108"/>
      <c r="Q1796" s="108"/>
      <c r="R1796" s="108"/>
      <c r="S1796" s="108"/>
      <c r="T1796" s="108"/>
      <c r="U1796" s="108"/>
      <c r="V1796" s="108"/>
      <c r="W1796" s="108"/>
      <c r="X1796" s="108"/>
      <c r="Y1796" s="108"/>
      <c r="Z1796" s="108"/>
    </row>
    <row r="1797" ht="16.5" customHeight="1">
      <c r="A1797" s="108"/>
      <c r="B1797" s="108"/>
      <c r="C1797" s="180"/>
      <c r="D1797" s="108"/>
      <c r="E1797" s="108"/>
      <c r="F1797" s="108"/>
      <c r="G1797" s="108"/>
      <c r="H1797" s="108"/>
      <c r="I1797" s="108"/>
      <c r="J1797" s="108"/>
      <c r="K1797" s="108"/>
      <c r="L1797" s="108"/>
      <c r="M1797" s="108"/>
      <c r="N1797" s="108"/>
      <c r="O1797" s="108"/>
      <c r="P1797" s="108"/>
      <c r="Q1797" s="108"/>
      <c r="R1797" s="108"/>
      <c r="S1797" s="108"/>
      <c r="T1797" s="108"/>
      <c r="U1797" s="108"/>
      <c r="V1797" s="108"/>
      <c r="W1797" s="108"/>
      <c r="X1797" s="108"/>
      <c r="Y1797" s="108"/>
      <c r="Z1797" s="108"/>
    </row>
    <row r="1798" ht="16.5" customHeight="1">
      <c r="A1798" s="108"/>
      <c r="B1798" s="108"/>
      <c r="C1798" s="180"/>
      <c r="D1798" s="108"/>
      <c r="E1798" s="108"/>
      <c r="F1798" s="108"/>
      <c r="G1798" s="108"/>
      <c r="H1798" s="108"/>
      <c r="I1798" s="108"/>
      <c r="J1798" s="108"/>
      <c r="K1798" s="108"/>
      <c r="L1798" s="108"/>
      <c r="M1798" s="108"/>
      <c r="N1798" s="108"/>
      <c r="O1798" s="108"/>
      <c r="P1798" s="108"/>
      <c r="Q1798" s="108"/>
      <c r="R1798" s="108"/>
      <c r="S1798" s="108"/>
      <c r="T1798" s="108"/>
      <c r="U1798" s="108"/>
      <c r="V1798" s="108"/>
      <c r="W1798" s="108"/>
      <c r="X1798" s="108"/>
      <c r="Y1798" s="108"/>
      <c r="Z1798" s="108"/>
    </row>
    <row r="1799" ht="16.5" customHeight="1">
      <c r="A1799" s="108"/>
      <c r="B1799" s="108"/>
      <c r="C1799" s="180"/>
      <c r="D1799" s="108"/>
      <c r="E1799" s="108"/>
      <c r="F1799" s="108"/>
      <c r="G1799" s="108"/>
      <c r="H1799" s="108"/>
      <c r="I1799" s="108"/>
      <c r="J1799" s="108"/>
      <c r="K1799" s="108"/>
      <c r="L1799" s="108"/>
      <c r="M1799" s="108"/>
      <c r="N1799" s="108"/>
      <c r="O1799" s="108"/>
      <c r="P1799" s="108"/>
      <c r="Q1799" s="108"/>
      <c r="R1799" s="108"/>
      <c r="S1799" s="108"/>
      <c r="T1799" s="108"/>
      <c r="U1799" s="108"/>
      <c r="V1799" s="108"/>
      <c r="W1799" s="108"/>
      <c r="X1799" s="108"/>
      <c r="Y1799" s="108"/>
      <c r="Z1799" s="108"/>
    </row>
    <row r="1800" ht="16.5" customHeight="1">
      <c r="A1800" s="108"/>
      <c r="B1800" s="108"/>
      <c r="C1800" s="180"/>
      <c r="D1800" s="108"/>
      <c r="E1800" s="108"/>
      <c r="F1800" s="108"/>
      <c r="G1800" s="108"/>
      <c r="H1800" s="108"/>
      <c r="I1800" s="108"/>
      <c r="J1800" s="108"/>
      <c r="K1800" s="108"/>
      <c r="L1800" s="108"/>
      <c r="M1800" s="108"/>
      <c r="N1800" s="108"/>
      <c r="O1800" s="108"/>
      <c r="P1800" s="108"/>
      <c r="Q1800" s="108"/>
      <c r="R1800" s="108"/>
      <c r="S1800" s="108"/>
      <c r="T1800" s="108"/>
      <c r="U1800" s="108"/>
      <c r="V1800" s="108"/>
      <c r="W1800" s="108"/>
      <c r="X1800" s="108"/>
      <c r="Y1800" s="108"/>
      <c r="Z1800" s="108"/>
    </row>
    <row r="1801" ht="16.5" customHeight="1">
      <c r="A1801" s="108"/>
      <c r="B1801" s="108"/>
      <c r="C1801" s="180"/>
      <c r="D1801" s="108"/>
      <c r="E1801" s="108"/>
      <c r="F1801" s="108"/>
      <c r="G1801" s="108"/>
      <c r="H1801" s="108"/>
      <c r="I1801" s="108"/>
      <c r="J1801" s="108"/>
      <c r="K1801" s="108"/>
      <c r="L1801" s="108"/>
      <c r="M1801" s="108"/>
      <c r="N1801" s="108"/>
      <c r="O1801" s="108"/>
      <c r="P1801" s="108"/>
      <c r="Q1801" s="108"/>
      <c r="R1801" s="108"/>
      <c r="S1801" s="108"/>
      <c r="T1801" s="108"/>
      <c r="U1801" s="108"/>
      <c r="V1801" s="108"/>
      <c r="W1801" s="108"/>
      <c r="X1801" s="108"/>
      <c r="Y1801" s="108"/>
      <c r="Z1801" s="108"/>
    </row>
    <row r="1802" ht="16.5" customHeight="1">
      <c r="A1802" s="108"/>
      <c r="B1802" s="108"/>
      <c r="C1802" s="180"/>
      <c r="D1802" s="108"/>
      <c r="E1802" s="108"/>
      <c r="F1802" s="108"/>
      <c r="G1802" s="108"/>
      <c r="H1802" s="108"/>
      <c r="I1802" s="108"/>
      <c r="J1802" s="108"/>
      <c r="K1802" s="108"/>
      <c r="L1802" s="108"/>
      <c r="M1802" s="108"/>
      <c r="N1802" s="108"/>
      <c r="O1802" s="108"/>
      <c r="P1802" s="108"/>
      <c r="Q1802" s="108"/>
      <c r="R1802" s="108"/>
      <c r="S1802" s="108"/>
      <c r="T1802" s="108"/>
      <c r="U1802" s="108"/>
      <c r="V1802" s="108"/>
      <c r="W1802" s="108"/>
      <c r="X1802" s="108"/>
      <c r="Y1802" s="108"/>
      <c r="Z1802" s="108"/>
    </row>
    <row r="1803" ht="16.5" customHeight="1">
      <c r="A1803" s="108"/>
      <c r="B1803" s="108"/>
      <c r="C1803" s="180"/>
      <c r="D1803" s="108"/>
      <c r="E1803" s="108"/>
      <c r="F1803" s="108"/>
      <c r="G1803" s="108"/>
      <c r="H1803" s="108"/>
      <c r="I1803" s="108"/>
      <c r="J1803" s="108"/>
      <c r="K1803" s="108"/>
      <c r="L1803" s="108"/>
      <c r="M1803" s="108"/>
      <c r="N1803" s="108"/>
      <c r="O1803" s="108"/>
      <c r="P1803" s="108"/>
      <c r="Q1803" s="108"/>
      <c r="R1803" s="108"/>
      <c r="S1803" s="108"/>
      <c r="T1803" s="108"/>
      <c r="U1803" s="108"/>
      <c r="V1803" s="108"/>
      <c r="W1803" s="108"/>
      <c r="X1803" s="108"/>
      <c r="Y1803" s="108"/>
      <c r="Z1803" s="108"/>
    </row>
    <row r="1804" ht="16.5" customHeight="1">
      <c r="A1804" s="108"/>
      <c r="B1804" s="108"/>
      <c r="C1804" s="180"/>
      <c r="D1804" s="108"/>
      <c r="E1804" s="108"/>
      <c r="F1804" s="108"/>
      <c r="G1804" s="108"/>
      <c r="H1804" s="108"/>
      <c r="I1804" s="108"/>
      <c r="J1804" s="108"/>
      <c r="K1804" s="108"/>
      <c r="L1804" s="108"/>
      <c r="M1804" s="108"/>
      <c r="N1804" s="108"/>
      <c r="O1804" s="108"/>
      <c r="P1804" s="108"/>
      <c r="Q1804" s="108"/>
      <c r="R1804" s="108"/>
      <c r="S1804" s="108"/>
      <c r="T1804" s="108"/>
      <c r="U1804" s="108"/>
      <c r="V1804" s="108"/>
      <c r="W1804" s="108"/>
      <c r="X1804" s="108"/>
      <c r="Y1804" s="108"/>
      <c r="Z1804" s="108"/>
    </row>
    <row r="1805" ht="16.5" customHeight="1">
      <c r="A1805" s="108"/>
      <c r="B1805" s="108"/>
      <c r="C1805" s="180"/>
      <c r="D1805" s="108"/>
      <c r="E1805" s="108"/>
      <c r="F1805" s="108"/>
      <c r="G1805" s="108"/>
      <c r="H1805" s="108"/>
      <c r="I1805" s="108"/>
      <c r="J1805" s="108"/>
      <c r="K1805" s="108"/>
      <c r="L1805" s="108"/>
      <c r="M1805" s="108"/>
      <c r="N1805" s="108"/>
      <c r="O1805" s="108"/>
      <c r="P1805" s="108"/>
      <c r="Q1805" s="108"/>
      <c r="R1805" s="108"/>
      <c r="S1805" s="108"/>
      <c r="T1805" s="108"/>
      <c r="U1805" s="108"/>
      <c r="V1805" s="108"/>
      <c r="W1805" s="108"/>
      <c r="X1805" s="108"/>
      <c r="Y1805" s="108"/>
      <c r="Z1805" s="108"/>
    </row>
    <row r="1806" ht="16.5" customHeight="1">
      <c r="A1806" s="108"/>
      <c r="B1806" s="108"/>
      <c r="C1806" s="180"/>
      <c r="D1806" s="108"/>
      <c r="E1806" s="108"/>
      <c r="F1806" s="108"/>
      <c r="G1806" s="108"/>
      <c r="H1806" s="108"/>
      <c r="I1806" s="108"/>
      <c r="J1806" s="108"/>
      <c r="K1806" s="108"/>
      <c r="L1806" s="108"/>
      <c r="M1806" s="108"/>
      <c r="N1806" s="108"/>
      <c r="O1806" s="108"/>
      <c r="P1806" s="108"/>
      <c r="Q1806" s="108"/>
      <c r="R1806" s="108"/>
      <c r="S1806" s="108"/>
      <c r="T1806" s="108"/>
      <c r="U1806" s="108"/>
      <c r="V1806" s="108"/>
      <c r="W1806" s="108"/>
      <c r="X1806" s="108"/>
      <c r="Y1806" s="108"/>
      <c r="Z1806" s="108"/>
    </row>
    <row r="1807" ht="16.5" customHeight="1">
      <c r="A1807" s="108"/>
      <c r="B1807" s="108"/>
      <c r="C1807" s="180"/>
      <c r="D1807" s="108"/>
      <c r="E1807" s="108"/>
      <c r="F1807" s="108"/>
      <c r="G1807" s="108"/>
      <c r="H1807" s="108"/>
      <c r="I1807" s="108"/>
      <c r="J1807" s="108"/>
      <c r="K1807" s="108"/>
      <c r="L1807" s="108"/>
      <c r="M1807" s="108"/>
      <c r="N1807" s="108"/>
      <c r="O1807" s="108"/>
      <c r="P1807" s="108"/>
      <c r="Q1807" s="108"/>
      <c r="R1807" s="108"/>
      <c r="S1807" s="108"/>
      <c r="T1807" s="108"/>
      <c r="U1807" s="108"/>
      <c r="V1807" s="108"/>
      <c r="W1807" s="108"/>
      <c r="X1807" s="108"/>
      <c r="Y1807" s="108"/>
      <c r="Z1807" s="108"/>
    </row>
    <row r="1808" ht="16.5" customHeight="1">
      <c r="A1808" s="108"/>
      <c r="B1808" s="108"/>
      <c r="C1808" s="180"/>
      <c r="D1808" s="108"/>
      <c r="E1808" s="108"/>
      <c r="F1808" s="108"/>
      <c r="G1808" s="108"/>
      <c r="H1808" s="108"/>
      <c r="I1808" s="108"/>
      <c r="J1808" s="108"/>
      <c r="K1808" s="108"/>
      <c r="L1808" s="108"/>
      <c r="M1808" s="108"/>
      <c r="N1808" s="108"/>
      <c r="O1808" s="108"/>
      <c r="P1808" s="108"/>
      <c r="Q1808" s="108"/>
      <c r="R1808" s="108"/>
      <c r="S1808" s="108"/>
      <c r="T1808" s="108"/>
      <c r="U1808" s="108"/>
      <c r="V1808" s="108"/>
      <c r="W1808" s="108"/>
      <c r="X1808" s="108"/>
      <c r="Y1808" s="108"/>
      <c r="Z1808" s="108"/>
    </row>
    <row r="1809" ht="16.5" customHeight="1">
      <c r="A1809" s="108"/>
      <c r="B1809" s="108"/>
      <c r="C1809" s="180"/>
      <c r="D1809" s="108"/>
      <c r="E1809" s="108"/>
      <c r="F1809" s="108"/>
      <c r="G1809" s="108"/>
      <c r="H1809" s="108"/>
      <c r="I1809" s="108"/>
      <c r="J1809" s="108"/>
      <c r="K1809" s="108"/>
      <c r="L1809" s="108"/>
      <c r="M1809" s="108"/>
      <c r="N1809" s="108"/>
      <c r="O1809" s="108"/>
      <c r="P1809" s="108"/>
      <c r="Q1809" s="108"/>
      <c r="R1809" s="108"/>
      <c r="S1809" s="108"/>
      <c r="T1809" s="108"/>
      <c r="U1809" s="108"/>
      <c r="V1809" s="108"/>
      <c r="W1809" s="108"/>
      <c r="X1809" s="108"/>
      <c r="Y1809" s="108"/>
      <c r="Z1809" s="108"/>
    </row>
    <row r="1810" ht="16.5" customHeight="1">
      <c r="A1810" s="108"/>
      <c r="B1810" s="108"/>
      <c r="C1810" s="180"/>
      <c r="D1810" s="108"/>
      <c r="E1810" s="108"/>
      <c r="F1810" s="108"/>
      <c r="G1810" s="108"/>
      <c r="H1810" s="108"/>
      <c r="I1810" s="108"/>
      <c r="J1810" s="108"/>
      <c r="K1810" s="108"/>
      <c r="L1810" s="108"/>
      <c r="M1810" s="108"/>
      <c r="N1810" s="108"/>
      <c r="O1810" s="108"/>
      <c r="P1810" s="108"/>
      <c r="Q1810" s="108"/>
      <c r="R1810" s="108"/>
      <c r="S1810" s="108"/>
      <c r="T1810" s="108"/>
      <c r="U1810" s="108"/>
      <c r="V1810" s="108"/>
      <c r="W1810" s="108"/>
      <c r="X1810" s="108"/>
      <c r="Y1810" s="108"/>
      <c r="Z1810" s="108"/>
    </row>
    <row r="1811" ht="16.5" customHeight="1">
      <c r="A1811" s="108"/>
      <c r="B1811" s="108"/>
      <c r="C1811" s="180"/>
      <c r="D1811" s="108"/>
      <c r="E1811" s="108"/>
      <c r="F1811" s="108"/>
      <c r="G1811" s="108"/>
      <c r="H1811" s="108"/>
      <c r="I1811" s="108"/>
      <c r="J1811" s="108"/>
      <c r="K1811" s="108"/>
      <c r="L1811" s="108"/>
      <c r="M1811" s="108"/>
      <c r="N1811" s="108"/>
      <c r="O1811" s="108"/>
      <c r="P1811" s="108"/>
      <c r="Q1811" s="108"/>
      <c r="R1811" s="108"/>
      <c r="S1811" s="108"/>
      <c r="T1811" s="108"/>
      <c r="U1811" s="108"/>
      <c r="V1811" s="108"/>
      <c r="W1811" s="108"/>
      <c r="X1811" s="108"/>
      <c r="Y1811" s="108"/>
      <c r="Z1811" s="108"/>
    </row>
    <row r="1812" ht="16.5" customHeight="1">
      <c r="A1812" s="108"/>
      <c r="B1812" s="108"/>
      <c r="C1812" s="180"/>
      <c r="D1812" s="108"/>
      <c r="E1812" s="108"/>
      <c r="F1812" s="108"/>
      <c r="G1812" s="108"/>
      <c r="H1812" s="108"/>
      <c r="I1812" s="108"/>
      <c r="J1812" s="108"/>
      <c r="K1812" s="108"/>
      <c r="L1812" s="108"/>
      <c r="M1812" s="108"/>
      <c r="N1812" s="108"/>
      <c r="O1812" s="108"/>
      <c r="P1812" s="108"/>
      <c r="Q1812" s="108"/>
      <c r="R1812" s="108"/>
      <c r="S1812" s="108"/>
      <c r="T1812" s="108"/>
      <c r="U1812" s="108"/>
      <c r="V1812" s="108"/>
      <c r="W1812" s="108"/>
      <c r="X1812" s="108"/>
      <c r="Y1812" s="108"/>
      <c r="Z1812" s="108"/>
    </row>
    <row r="1813" ht="16.5" customHeight="1">
      <c r="A1813" s="108"/>
      <c r="B1813" s="108"/>
      <c r="C1813" s="180"/>
      <c r="D1813" s="108"/>
      <c r="E1813" s="108"/>
      <c r="F1813" s="108"/>
      <c r="G1813" s="108"/>
      <c r="H1813" s="108"/>
      <c r="I1813" s="108"/>
      <c r="J1813" s="108"/>
      <c r="K1813" s="108"/>
      <c r="L1813" s="108"/>
      <c r="M1813" s="108"/>
      <c r="N1813" s="108"/>
      <c r="O1813" s="108"/>
      <c r="P1813" s="108"/>
      <c r="Q1813" s="108"/>
      <c r="R1813" s="108"/>
      <c r="S1813" s="108"/>
      <c r="T1813" s="108"/>
      <c r="U1813" s="108"/>
      <c r="V1813" s="108"/>
      <c r="W1813" s="108"/>
      <c r="X1813" s="108"/>
      <c r="Y1813" s="108"/>
      <c r="Z1813" s="108"/>
    </row>
    <row r="1814" ht="16.5" customHeight="1">
      <c r="A1814" s="108"/>
      <c r="B1814" s="108"/>
      <c r="C1814" s="180"/>
      <c r="D1814" s="108"/>
      <c r="E1814" s="108"/>
      <c r="F1814" s="108"/>
      <c r="G1814" s="108"/>
      <c r="H1814" s="108"/>
      <c r="I1814" s="108"/>
      <c r="J1814" s="108"/>
      <c r="K1814" s="108"/>
      <c r="L1814" s="108"/>
      <c r="M1814" s="108"/>
      <c r="N1814" s="108"/>
      <c r="O1814" s="108"/>
      <c r="P1814" s="108"/>
      <c r="Q1814" s="108"/>
      <c r="R1814" s="108"/>
      <c r="S1814" s="108"/>
      <c r="T1814" s="108"/>
      <c r="U1814" s="108"/>
      <c r="V1814" s="108"/>
      <c r="W1814" s="108"/>
      <c r="X1814" s="108"/>
      <c r="Y1814" s="108"/>
      <c r="Z1814" s="108"/>
    </row>
    <row r="1815" ht="16.5" customHeight="1">
      <c r="A1815" s="108"/>
      <c r="B1815" s="108"/>
      <c r="C1815" s="180"/>
      <c r="D1815" s="108"/>
      <c r="E1815" s="108"/>
      <c r="F1815" s="108"/>
      <c r="G1815" s="108"/>
      <c r="H1815" s="108"/>
      <c r="I1815" s="108"/>
      <c r="J1815" s="108"/>
      <c r="K1815" s="108"/>
      <c r="L1815" s="108"/>
      <c r="M1815" s="108"/>
      <c r="N1815" s="108"/>
      <c r="O1815" s="108"/>
      <c r="P1815" s="108"/>
      <c r="Q1815" s="108"/>
      <c r="R1815" s="108"/>
      <c r="S1815" s="108"/>
      <c r="T1815" s="108"/>
      <c r="U1815" s="108"/>
      <c r="V1815" s="108"/>
      <c r="W1815" s="108"/>
      <c r="X1815" s="108"/>
      <c r="Y1815" s="108"/>
      <c r="Z1815" s="108"/>
    </row>
    <row r="1816" ht="16.5" customHeight="1">
      <c r="A1816" s="108"/>
      <c r="B1816" s="108"/>
      <c r="C1816" s="180"/>
      <c r="D1816" s="108"/>
      <c r="E1816" s="108"/>
      <c r="F1816" s="108"/>
      <c r="G1816" s="108"/>
      <c r="H1816" s="108"/>
      <c r="I1816" s="108"/>
      <c r="J1816" s="108"/>
      <c r="K1816" s="108"/>
      <c r="L1816" s="108"/>
      <c r="M1816" s="108"/>
      <c r="N1816" s="108"/>
      <c r="O1816" s="108"/>
      <c r="P1816" s="108"/>
      <c r="Q1816" s="108"/>
      <c r="R1816" s="108"/>
      <c r="S1816" s="108"/>
      <c r="T1816" s="108"/>
      <c r="U1816" s="108"/>
      <c r="V1816" s="108"/>
      <c r="W1816" s="108"/>
      <c r="X1816" s="108"/>
      <c r="Y1816" s="108"/>
      <c r="Z1816" s="108"/>
    </row>
    <row r="1817" ht="16.5" customHeight="1">
      <c r="A1817" s="108"/>
      <c r="B1817" s="108"/>
      <c r="C1817" s="180"/>
      <c r="D1817" s="108"/>
      <c r="E1817" s="108"/>
      <c r="F1817" s="108"/>
      <c r="G1817" s="108"/>
      <c r="H1817" s="108"/>
      <c r="I1817" s="108"/>
      <c r="J1817" s="108"/>
      <c r="K1817" s="108"/>
      <c r="L1817" s="108"/>
      <c r="M1817" s="108"/>
      <c r="N1817" s="108"/>
      <c r="O1817" s="108"/>
      <c r="P1817" s="108"/>
      <c r="Q1817" s="108"/>
      <c r="R1817" s="108"/>
      <c r="S1817" s="108"/>
      <c r="T1817" s="108"/>
      <c r="U1817" s="108"/>
      <c r="V1817" s="108"/>
      <c r="W1817" s="108"/>
      <c r="X1817" s="108"/>
      <c r="Y1817" s="108"/>
      <c r="Z1817" s="108"/>
    </row>
    <row r="1818" ht="16.5" customHeight="1">
      <c r="A1818" s="108"/>
      <c r="B1818" s="108"/>
      <c r="C1818" s="180"/>
      <c r="D1818" s="108"/>
      <c r="E1818" s="108"/>
      <c r="F1818" s="108"/>
      <c r="G1818" s="108"/>
      <c r="H1818" s="108"/>
      <c r="I1818" s="108"/>
      <c r="J1818" s="108"/>
      <c r="K1818" s="108"/>
      <c r="L1818" s="108"/>
      <c r="M1818" s="108"/>
      <c r="N1818" s="108"/>
      <c r="O1818" s="108"/>
      <c r="P1818" s="108"/>
      <c r="Q1818" s="108"/>
      <c r="R1818" s="108"/>
      <c r="S1818" s="108"/>
      <c r="T1818" s="108"/>
      <c r="U1818" s="108"/>
      <c r="V1818" s="108"/>
      <c r="W1818" s="108"/>
      <c r="X1818" s="108"/>
      <c r="Y1818" s="108"/>
      <c r="Z1818" s="108"/>
    </row>
    <row r="1819" ht="16.5" customHeight="1">
      <c r="A1819" s="108"/>
      <c r="B1819" s="108"/>
      <c r="C1819" s="180"/>
      <c r="D1819" s="108"/>
      <c r="E1819" s="108"/>
      <c r="F1819" s="108"/>
      <c r="G1819" s="108"/>
      <c r="H1819" s="108"/>
      <c r="I1819" s="108"/>
      <c r="J1819" s="108"/>
      <c r="K1819" s="108"/>
      <c r="L1819" s="108"/>
      <c r="M1819" s="108"/>
      <c r="N1819" s="108"/>
      <c r="O1819" s="108"/>
      <c r="P1819" s="108"/>
      <c r="Q1819" s="108"/>
      <c r="R1819" s="108"/>
      <c r="S1819" s="108"/>
      <c r="T1819" s="108"/>
      <c r="U1819" s="108"/>
      <c r="V1819" s="108"/>
      <c r="W1819" s="108"/>
      <c r="X1819" s="108"/>
      <c r="Y1819" s="108"/>
      <c r="Z1819" s="108"/>
    </row>
    <row r="1820" ht="16.5" customHeight="1">
      <c r="A1820" s="108"/>
      <c r="B1820" s="108"/>
      <c r="C1820" s="180"/>
      <c r="D1820" s="108"/>
      <c r="E1820" s="108"/>
      <c r="F1820" s="108"/>
      <c r="G1820" s="108"/>
      <c r="H1820" s="108"/>
      <c r="I1820" s="108"/>
      <c r="J1820" s="108"/>
      <c r="K1820" s="108"/>
      <c r="L1820" s="108"/>
      <c r="M1820" s="108"/>
      <c r="N1820" s="108"/>
      <c r="O1820" s="108"/>
      <c r="P1820" s="108"/>
      <c r="Q1820" s="108"/>
      <c r="R1820" s="108"/>
      <c r="S1820" s="108"/>
      <c r="T1820" s="108"/>
      <c r="U1820" s="108"/>
      <c r="V1820" s="108"/>
      <c r="W1820" s="108"/>
      <c r="X1820" s="108"/>
      <c r="Y1820" s="108"/>
      <c r="Z1820" s="108"/>
    </row>
    <row r="1821" ht="16.5" customHeight="1">
      <c r="A1821" s="108"/>
      <c r="B1821" s="108"/>
      <c r="C1821" s="180"/>
      <c r="D1821" s="108"/>
      <c r="E1821" s="108"/>
      <c r="F1821" s="108"/>
      <c r="G1821" s="108"/>
      <c r="H1821" s="108"/>
      <c r="I1821" s="108"/>
      <c r="J1821" s="108"/>
      <c r="K1821" s="108"/>
      <c r="L1821" s="108"/>
      <c r="M1821" s="108"/>
      <c r="N1821" s="108"/>
      <c r="O1821" s="108"/>
      <c r="P1821" s="108"/>
      <c r="Q1821" s="108"/>
      <c r="R1821" s="108"/>
      <c r="S1821" s="108"/>
      <c r="T1821" s="108"/>
      <c r="U1821" s="108"/>
      <c r="V1821" s="108"/>
      <c r="W1821" s="108"/>
      <c r="X1821" s="108"/>
      <c r="Y1821" s="108"/>
      <c r="Z1821" s="108"/>
    </row>
    <row r="1822" ht="16.5" customHeight="1">
      <c r="A1822" s="108"/>
      <c r="B1822" s="108"/>
      <c r="C1822" s="180"/>
      <c r="D1822" s="108"/>
      <c r="E1822" s="108"/>
      <c r="F1822" s="108"/>
      <c r="G1822" s="108"/>
      <c r="H1822" s="108"/>
      <c r="I1822" s="108"/>
      <c r="J1822" s="108"/>
      <c r="K1822" s="108"/>
      <c r="L1822" s="108"/>
      <c r="M1822" s="108"/>
      <c r="N1822" s="108"/>
      <c r="O1822" s="108"/>
      <c r="P1822" s="108"/>
      <c r="Q1822" s="108"/>
      <c r="R1822" s="108"/>
      <c r="S1822" s="108"/>
      <c r="T1822" s="108"/>
      <c r="U1822" s="108"/>
      <c r="V1822" s="108"/>
      <c r="W1822" s="108"/>
      <c r="X1822" s="108"/>
      <c r="Y1822" s="108"/>
      <c r="Z1822" s="108"/>
    </row>
    <row r="1823" ht="16.5" customHeight="1">
      <c r="A1823" s="108"/>
      <c r="B1823" s="108"/>
      <c r="C1823" s="180"/>
      <c r="D1823" s="108"/>
      <c r="E1823" s="108"/>
      <c r="F1823" s="108"/>
      <c r="G1823" s="108"/>
      <c r="H1823" s="108"/>
      <c r="I1823" s="108"/>
      <c r="J1823" s="108"/>
      <c r="K1823" s="108"/>
      <c r="L1823" s="108"/>
      <c r="M1823" s="108"/>
      <c r="N1823" s="108"/>
      <c r="O1823" s="108"/>
      <c r="P1823" s="108"/>
      <c r="Q1823" s="108"/>
      <c r="R1823" s="108"/>
      <c r="S1823" s="108"/>
      <c r="T1823" s="108"/>
      <c r="U1823" s="108"/>
      <c r="V1823" s="108"/>
      <c r="W1823" s="108"/>
      <c r="X1823" s="108"/>
      <c r="Y1823" s="108"/>
      <c r="Z1823" s="108"/>
    </row>
    <row r="1824" ht="16.5" customHeight="1">
      <c r="A1824" s="108"/>
      <c r="B1824" s="108"/>
      <c r="C1824" s="180"/>
      <c r="D1824" s="108"/>
      <c r="E1824" s="108"/>
      <c r="F1824" s="108"/>
      <c r="G1824" s="108"/>
      <c r="H1824" s="108"/>
      <c r="I1824" s="108"/>
      <c r="J1824" s="108"/>
      <c r="K1824" s="108"/>
      <c r="L1824" s="108"/>
      <c r="M1824" s="108"/>
      <c r="N1824" s="108"/>
      <c r="O1824" s="108"/>
      <c r="P1824" s="108"/>
      <c r="Q1824" s="108"/>
      <c r="R1824" s="108"/>
      <c r="S1824" s="108"/>
      <c r="T1824" s="108"/>
      <c r="U1824" s="108"/>
      <c r="V1824" s="108"/>
      <c r="W1824" s="108"/>
      <c r="X1824" s="108"/>
      <c r="Y1824" s="108"/>
      <c r="Z1824" s="108"/>
    </row>
    <row r="1825" ht="16.5" customHeight="1">
      <c r="A1825" s="108"/>
      <c r="B1825" s="108"/>
      <c r="C1825" s="180"/>
      <c r="D1825" s="108"/>
      <c r="E1825" s="108"/>
      <c r="F1825" s="108"/>
      <c r="G1825" s="108"/>
      <c r="H1825" s="108"/>
      <c r="I1825" s="108"/>
      <c r="J1825" s="108"/>
      <c r="K1825" s="108"/>
      <c r="L1825" s="108"/>
      <c r="M1825" s="108"/>
      <c r="N1825" s="108"/>
      <c r="O1825" s="108"/>
      <c r="P1825" s="108"/>
      <c r="Q1825" s="108"/>
      <c r="R1825" s="108"/>
      <c r="S1825" s="108"/>
      <c r="T1825" s="108"/>
      <c r="U1825" s="108"/>
      <c r="V1825" s="108"/>
      <c r="W1825" s="108"/>
      <c r="X1825" s="108"/>
      <c r="Y1825" s="108"/>
      <c r="Z1825" s="108"/>
    </row>
    <row r="1826" ht="16.5" customHeight="1">
      <c r="A1826" s="108"/>
      <c r="B1826" s="108"/>
      <c r="C1826" s="180"/>
      <c r="D1826" s="108"/>
      <c r="E1826" s="108"/>
      <c r="F1826" s="108"/>
      <c r="G1826" s="108"/>
      <c r="H1826" s="108"/>
      <c r="I1826" s="108"/>
      <c r="J1826" s="108"/>
      <c r="K1826" s="108"/>
      <c r="L1826" s="108"/>
      <c r="M1826" s="108"/>
      <c r="N1826" s="108"/>
      <c r="O1826" s="108"/>
      <c r="P1826" s="108"/>
      <c r="Q1826" s="108"/>
      <c r="R1826" s="108"/>
      <c r="S1826" s="108"/>
      <c r="T1826" s="108"/>
      <c r="U1826" s="108"/>
      <c r="V1826" s="108"/>
      <c r="W1826" s="108"/>
      <c r="X1826" s="108"/>
      <c r="Y1826" s="108"/>
      <c r="Z1826" s="108"/>
    </row>
    <row r="1827" ht="16.5" customHeight="1">
      <c r="A1827" s="108"/>
      <c r="B1827" s="108"/>
      <c r="C1827" s="180"/>
      <c r="D1827" s="108"/>
      <c r="E1827" s="108"/>
      <c r="F1827" s="108"/>
      <c r="G1827" s="108"/>
      <c r="H1827" s="108"/>
      <c r="I1827" s="108"/>
      <c r="J1827" s="108"/>
      <c r="K1827" s="108"/>
      <c r="L1827" s="108"/>
      <c r="M1827" s="108"/>
      <c r="N1827" s="108"/>
      <c r="O1827" s="108"/>
      <c r="P1827" s="108"/>
      <c r="Q1827" s="108"/>
      <c r="R1827" s="108"/>
      <c r="S1827" s="108"/>
      <c r="T1827" s="108"/>
      <c r="U1827" s="108"/>
      <c r="V1827" s="108"/>
      <c r="W1827" s="108"/>
      <c r="X1827" s="108"/>
      <c r="Y1827" s="108"/>
      <c r="Z1827" s="108"/>
    </row>
    <row r="1828" ht="16.5" customHeight="1">
      <c r="A1828" s="108"/>
      <c r="B1828" s="108"/>
      <c r="C1828" s="180"/>
      <c r="D1828" s="108"/>
      <c r="E1828" s="108"/>
      <c r="F1828" s="108"/>
      <c r="G1828" s="108"/>
      <c r="H1828" s="108"/>
      <c r="I1828" s="108"/>
      <c r="J1828" s="108"/>
      <c r="K1828" s="108"/>
      <c r="L1828" s="108"/>
      <c r="M1828" s="108"/>
      <c r="N1828" s="108"/>
      <c r="O1828" s="108"/>
      <c r="P1828" s="108"/>
      <c r="Q1828" s="108"/>
      <c r="R1828" s="108"/>
      <c r="S1828" s="108"/>
      <c r="T1828" s="108"/>
      <c r="U1828" s="108"/>
      <c r="V1828" s="108"/>
      <c r="W1828" s="108"/>
      <c r="X1828" s="108"/>
      <c r="Y1828" s="108"/>
      <c r="Z1828" s="108"/>
    </row>
    <row r="1829" ht="16.5" customHeight="1">
      <c r="A1829" s="108"/>
      <c r="B1829" s="108"/>
      <c r="C1829" s="180"/>
      <c r="D1829" s="108"/>
      <c r="E1829" s="108"/>
      <c r="F1829" s="108"/>
      <c r="G1829" s="108"/>
      <c r="H1829" s="108"/>
      <c r="I1829" s="108"/>
      <c r="J1829" s="108"/>
      <c r="K1829" s="108"/>
      <c r="L1829" s="108"/>
      <c r="M1829" s="108"/>
      <c r="N1829" s="108"/>
      <c r="O1829" s="108"/>
      <c r="P1829" s="108"/>
      <c r="Q1829" s="108"/>
      <c r="R1829" s="108"/>
      <c r="S1829" s="108"/>
      <c r="T1829" s="108"/>
      <c r="U1829" s="108"/>
      <c r="V1829" s="108"/>
      <c r="W1829" s="108"/>
      <c r="X1829" s="108"/>
      <c r="Y1829" s="108"/>
      <c r="Z1829" s="108"/>
    </row>
    <row r="1830" ht="16.5" customHeight="1">
      <c r="A1830" s="108"/>
      <c r="B1830" s="108"/>
      <c r="C1830" s="180"/>
      <c r="D1830" s="108"/>
      <c r="E1830" s="108"/>
      <c r="F1830" s="108"/>
      <c r="G1830" s="108"/>
      <c r="H1830" s="108"/>
      <c r="I1830" s="108"/>
      <c r="J1830" s="108"/>
      <c r="K1830" s="108"/>
      <c r="L1830" s="108"/>
      <c r="M1830" s="108"/>
      <c r="N1830" s="108"/>
      <c r="O1830" s="108"/>
      <c r="P1830" s="108"/>
      <c r="Q1830" s="108"/>
      <c r="R1830" s="108"/>
      <c r="S1830" s="108"/>
      <c r="T1830" s="108"/>
      <c r="U1830" s="108"/>
      <c r="V1830" s="108"/>
      <c r="W1830" s="108"/>
      <c r="X1830" s="108"/>
      <c r="Y1830" s="108"/>
      <c r="Z1830" s="108"/>
    </row>
    <row r="1831" ht="16.5" customHeight="1">
      <c r="A1831" s="108"/>
      <c r="B1831" s="108"/>
      <c r="C1831" s="180"/>
      <c r="D1831" s="108"/>
      <c r="E1831" s="108"/>
      <c r="F1831" s="108"/>
      <c r="G1831" s="108"/>
      <c r="H1831" s="108"/>
      <c r="I1831" s="108"/>
      <c r="J1831" s="108"/>
      <c r="K1831" s="108"/>
      <c r="L1831" s="108"/>
      <c r="M1831" s="108"/>
      <c r="N1831" s="108"/>
      <c r="O1831" s="108"/>
      <c r="P1831" s="108"/>
      <c r="Q1831" s="108"/>
      <c r="R1831" s="108"/>
      <c r="S1831" s="108"/>
      <c r="T1831" s="108"/>
      <c r="U1831" s="108"/>
      <c r="V1831" s="108"/>
      <c r="W1831" s="108"/>
      <c r="X1831" s="108"/>
      <c r="Y1831" s="108"/>
      <c r="Z1831" s="108"/>
    </row>
    <row r="1832" ht="16.5" customHeight="1">
      <c r="A1832" s="108"/>
      <c r="B1832" s="108"/>
      <c r="C1832" s="180"/>
      <c r="D1832" s="108"/>
      <c r="E1832" s="108"/>
      <c r="F1832" s="108"/>
      <c r="G1832" s="108"/>
      <c r="H1832" s="108"/>
      <c r="I1832" s="108"/>
      <c r="J1832" s="108"/>
      <c r="K1832" s="108"/>
      <c r="L1832" s="108"/>
      <c r="M1832" s="108"/>
      <c r="N1832" s="108"/>
      <c r="O1832" s="108"/>
      <c r="P1832" s="108"/>
      <c r="Q1832" s="108"/>
      <c r="R1832" s="108"/>
      <c r="S1832" s="108"/>
      <c r="T1832" s="108"/>
      <c r="U1832" s="108"/>
      <c r="V1832" s="108"/>
      <c r="W1832" s="108"/>
      <c r="X1832" s="108"/>
      <c r="Y1832" s="108"/>
      <c r="Z1832" s="108"/>
    </row>
    <row r="1833" ht="16.5" customHeight="1">
      <c r="A1833" s="108"/>
      <c r="B1833" s="108"/>
      <c r="C1833" s="180"/>
      <c r="D1833" s="108"/>
      <c r="E1833" s="108"/>
      <c r="F1833" s="108"/>
      <c r="G1833" s="108"/>
      <c r="H1833" s="108"/>
      <c r="I1833" s="108"/>
      <c r="J1833" s="108"/>
      <c r="K1833" s="108"/>
      <c r="L1833" s="108"/>
      <c r="M1833" s="108"/>
      <c r="N1833" s="108"/>
      <c r="O1833" s="108"/>
      <c r="P1833" s="108"/>
      <c r="Q1833" s="108"/>
      <c r="R1833" s="108"/>
      <c r="S1833" s="108"/>
      <c r="T1833" s="108"/>
      <c r="U1833" s="108"/>
      <c r="V1833" s="108"/>
      <c r="W1833" s="108"/>
      <c r="X1833" s="108"/>
      <c r="Y1833" s="108"/>
      <c r="Z1833" s="108"/>
    </row>
    <row r="1834" ht="16.5" customHeight="1">
      <c r="A1834" s="108"/>
      <c r="B1834" s="108"/>
      <c r="C1834" s="180"/>
      <c r="D1834" s="108"/>
      <c r="E1834" s="108"/>
      <c r="F1834" s="108"/>
      <c r="G1834" s="108"/>
      <c r="H1834" s="108"/>
      <c r="I1834" s="108"/>
      <c r="J1834" s="108"/>
      <c r="K1834" s="108"/>
      <c r="L1834" s="108"/>
      <c r="M1834" s="108"/>
      <c r="N1834" s="108"/>
      <c r="O1834" s="108"/>
      <c r="P1834" s="108"/>
      <c r="Q1834" s="108"/>
      <c r="R1834" s="108"/>
      <c r="S1834" s="108"/>
      <c r="T1834" s="108"/>
      <c r="U1834" s="108"/>
      <c r="V1834" s="108"/>
      <c r="W1834" s="108"/>
      <c r="X1834" s="108"/>
      <c r="Y1834" s="108"/>
      <c r="Z1834" s="108"/>
    </row>
    <row r="1835" ht="16.5" customHeight="1">
      <c r="A1835" s="108"/>
      <c r="B1835" s="108"/>
      <c r="C1835" s="180"/>
      <c r="D1835" s="108"/>
      <c r="E1835" s="108"/>
      <c r="F1835" s="108"/>
      <c r="G1835" s="108"/>
      <c r="H1835" s="108"/>
      <c r="I1835" s="108"/>
      <c r="J1835" s="108"/>
      <c r="K1835" s="108"/>
      <c r="L1835" s="108"/>
      <c r="M1835" s="108"/>
      <c r="N1835" s="108"/>
      <c r="O1835" s="108"/>
      <c r="P1835" s="108"/>
      <c r="Q1835" s="108"/>
      <c r="R1835" s="108"/>
      <c r="S1835" s="108"/>
      <c r="T1835" s="108"/>
      <c r="U1835" s="108"/>
      <c r="V1835" s="108"/>
      <c r="W1835" s="108"/>
      <c r="X1835" s="108"/>
      <c r="Y1835" s="108"/>
      <c r="Z1835" s="108"/>
    </row>
    <row r="1836" ht="16.5" customHeight="1">
      <c r="A1836" s="108"/>
      <c r="B1836" s="108"/>
      <c r="C1836" s="180"/>
      <c r="D1836" s="108"/>
      <c r="E1836" s="108"/>
      <c r="F1836" s="108"/>
      <c r="G1836" s="108"/>
      <c r="H1836" s="108"/>
      <c r="I1836" s="108"/>
      <c r="J1836" s="108"/>
      <c r="K1836" s="108"/>
      <c r="L1836" s="108"/>
      <c r="M1836" s="108"/>
      <c r="N1836" s="108"/>
      <c r="O1836" s="108"/>
      <c r="P1836" s="108"/>
      <c r="Q1836" s="108"/>
      <c r="R1836" s="108"/>
      <c r="S1836" s="108"/>
      <c r="T1836" s="108"/>
      <c r="U1836" s="108"/>
      <c r="V1836" s="108"/>
      <c r="W1836" s="108"/>
      <c r="X1836" s="108"/>
      <c r="Y1836" s="108"/>
      <c r="Z1836" s="108"/>
    </row>
    <row r="1837" ht="16.5" customHeight="1">
      <c r="A1837" s="108"/>
      <c r="B1837" s="108"/>
      <c r="C1837" s="180"/>
      <c r="D1837" s="108"/>
      <c r="E1837" s="108"/>
      <c r="F1837" s="108"/>
      <c r="G1837" s="108"/>
      <c r="H1837" s="108"/>
      <c r="I1837" s="108"/>
      <c r="J1837" s="108"/>
      <c r="K1837" s="108"/>
      <c r="L1837" s="108"/>
      <c r="M1837" s="108"/>
      <c r="N1837" s="108"/>
      <c r="O1837" s="108"/>
      <c r="P1837" s="108"/>
      <c r="Q1837" s="108"/>
      <c r="R1837" s="108"/>
      <c r="S1837" s="108"/>
      <c r="T1837" s="108"/>
      <c r="U1837" s="108"/>
      <c r="V1837" s="108"/>
      <c r="W1837" s="108"/>
      <c r="X1837" s="108"/>
      <c r="Y1837" s="108"/>
      <c r="Z1837" s="108"/>
    </row>
    <row r="1838" ht="16.5" customHeight="1">
      <c r="A1838" s="108"/>
      <c r="B1838" s="108"/>
      <c r="C1838" s="180"/>
      <c r="D1838" s="108"/>
      <c r="E1838" s="108"/>
      <c r="F1838" s="108"/>
      <c r="G1838" s="108"/>
      <c r="H1838" s="108"/>
      <c r="I1838" s="108"/>
      <c r="J1838" s="108"/>
      <c r="K1838" s="108"/>
      <c r="L1838" s="108"/>
      <c r="M1838" s="108"/>
      <c r="N1838" s="108"/>
      <c r="O1838" s="108"/>
      <c r="P1838" s="108"/>
      <c r="Q1838" s="108"/>
      <c r="R1838" s="108"/>
      <c r="S1838" s="108"/>
      <c r="T1838" s="108"/>
      <c r="U1838" s="108"/>
      <c r="V1838" s="108"/>
      <c r="W1838" s="108"/>
      <c r="X1838" s="108"/>
      <c r="Y1838" s="108"/>
      <c r="Z1838" s="108"/>
    </row>
    <row r="1839" ht="16.5" customHeight="1">
      <c r="A1839" s="108"/>
      <c r="B1839" s="108"/>
      <c r="C1839" s="180"/>
      <c r="D1839" s="108"/>
      <c r="E1839" s="108"/>
      <c r="F1839" s="108"/>
      <c r="G1839" s="108"/>
      <c r="H1839" s="108"/>
      <c r="I1839" s="108"/>
      <c r="J1839" s="108"/>
      <c r="K1839" s="108"/>
      <c r="L1839" s="108"/>
      <c r="M1839" s="108"/>
      <c r="N1839" s="108"/>
      <c r="O1839" s="108"/>
      <c r="P1839" s="108"/>
      <c r="Q1839" s="108"/>
      <c r="R1839" s="108"/>
      <c r="S1839" s="108"/>
      <c r="T1839" s="108"/>
      <c r="U1839" s="108"/>
      <c r="V1839" s="108"/>
      <c r="W1839" s="108"/>
      <c r="X1839" s="108"/>
      <c r="Y1839" s="108"/>
      <c r="Z1839" s="108"/>
    </row>
    <row r="1840" ht="16.5" customHeight="1">
      <c r="A1840" s="108"/>
      <c r="B1840" s="108"/>
      <c r="C1840" s="180"/>
      <c r="D1840" s="108"/>
      <c r="E1840" s="108"/>
      <c r="F1840" s="108"/>
      <c r="G1840" s="108"/>
      <c r="H1840" s="108"/>
      <c r="I1840" s="108"/>
      <c r="J1840" s="108"/>
      <c r="K1840" s="108"/>
      <c r="L1840" s="108"/>
      <c r="M1840" s="108"/>
      <c r="N1840" s="108"/>
      <c r="O1840" s="108"/>
      <c r="P1840" s="108"/>
      <c r="Q1840" s="108"/>
      <c r="R1840" s="108"/>
      <c r="S1840" s="108"/>
      <c r="T1840" s="108"/>
      <c r="U1840" s="108"/>
      <c r="V1840" s="108"/>
      <c r="W1840" s="108"/>
      <c r="X1840" s="108"/>
      <c r="Y1840" s="108"/>
      <c r="Z1840" s="108"/>
    </row>
    <row r="1841" ht="16.5" customHeight="1">
      <c r="A1841" s="108"/>
      <c r="B1841" s="108"/>
      <c r="C1841" s="180"/>
      <c r="D1841" s="108"/>
      <c r="E1841" s="108"/>
      <c r="F1841" s="108"/>
      <c r="G1841" s="108"/>
      <c r="H1841" s="108"/>
      <c r="I1841" s="108"/>
      <c r="J1841" s="108"/>
      <c r="K1841" s="108"/>
      <c r="L1841" s="108"/>
      <c r="M1841" s="108"/>
      <c r="N1841" s="108"/>
      <c r="O1841" s="108"/>
      <c r="P1841" s="108"/>
      <c r="Q1841" s="108"/>
      <c r="R1841" s="108"/>
      <c r="S1841" s="108"/>
      <c r="T1841" s="108"/>
      <c r="U1841" s="108"/>
      <c r="V1841" s="108"/>
      <c r="W1841" s="108"/>
      <c r="X1841" s="108"/>
      <c r="Y1841" s="108"/>
      <c r="Z1841" s="108"/>
    </row>
    <row r="1842" ht="16.5" customHeight="1">
      <c r="A1842" s="108"/>
      <c r="B1842" s="108"/>
      <c r="C1842" s="180"/>
      <c r="D1842" s="108"/>
      <c r="E1842" s="108"/>
      <c r="F1842" s="108"/>
      <c r="G1842" s="108"/>
      <c r="H1842" s="108"/>
      <c r="I1842" s="108"/>
      <c r="J1842" s="108"/>
      <c r="K1842" s="108"/>
      <c r="L1842" s="108"/>
      <c r="M1842" s="108"/>
      <c r="N1842" s="108"/>
      <c r="O1842" s="108"/>
      <c r="P1842" s="108"/>
      <c r="Q1842" s="108"/>
      <c r="R1842" s="108"/>
      <c r="S1842" s="108"/>
      <c r="T1842" s="108"/>
      <c r="U1842" s="108"/>
      <c r="V1842" s="108"/>
      <c r="W1842" s="108"/>
      <c r="X1842" s="108"/>
      <c r="Y1842" s="108"/>
      <c r="Z1842" s="108"/>
    </row>
    <row r="1843" ht="16.5" customHeight="1">
      <c r="A1843" s="108"/>
      <c r="B1843" s="108"/>
      <c r="C1843" s="180"/>
      <c r="D1843" s="108"/>
      <c r="E1843" s="108"/>
      <c r="F1843" s="108"/>
      <c r="G1843" s="108"/>
      <c r="H1843" s="108"/>
      <c r="I1843" s="108"/>
      <c r="J1843" s="108"/>
      <c r="K1843" s="108"/>
      <c r="L1843" s="108"/>
      <c r="M1843" s="108"/>
      <c r="N1843" s="108"/>
      <c r="O1843" s="108"/>
      <c r="P1843" s="108"/>
      <c r="Q1843" s="108"/>
      <c r="R1843" s="108"/>
      <c r="S1843" s="108"/>
      <c r="T1843" s="108"/>
      <c r="U1843" s="108"/>
      <c r="V1843" s="108"/>
      <c r="W1843" s="108"/>
      <c r="X1843" s="108"/>
      <c r="Y1843" s="108"/>
      <c r="Z1843" s="108"/>
    </row>
    <row r="1844" ht="16.5" customHeight="1">
      <c r="A1844" s="108"/>
      <c r="B1844" s="108"/>
      <c r="C1844" s="180"/>
      <c r="D1844" s="108"/>
      <c r="E1844" s="108"/>
      <c r="F1844" s="108"/>
      <c r="G1844" s="108"/>
      <c r="H1844" s="108"/>
      <c r="I1844" s="108"/>
      <c r="J1844" s="108"/>
      <c r="K1844" s="108"/>
      <c r="L1844" s="108"/>
      <c r="M1844" s="108"/>
      <c r="N1844" s="108"/>
      <c r="O1844" s="108"/>
      <c r="P1844" s="108"/>
      <c r="Q1844" s="108"/>
      <c r="R1844" s="108"/>
      <c r="S1844" s="108"/>
      <c r="T1844" s="108"/>
      <c r="U1844" s="108"/>
      <c r="V1844" s="108"/>
      <c r="W1844" s="108"/>
      <c r="X1844" s="108"/>
      <c r="Y1844" s="108"/>
      <c r="Z1844" s="108"/>
    </row>
    <row r="1845" ht="16.5" customHeight="1">
      <c r="A1845" s="108"/>
      <c r="B1845" s="108"/>
      <c r="C1845" s="180"/>
      <c r="D1845" s="108"/>
      <c r="E1845" s="108"/>
      <c r="F1845" s="108"/>
      <c r="G1845" s="108"/>
      <c r="H1845" s="108"/>
      <c r="I1845" s="108"/>
      <c r="J1845" s="108"/>
      <c r="K1845" s="108"/>
      <c r="L1845" s="108"/>
      <c r="M1845" s="108"/>
      <c r="N1845" s="108"/>
      <c r="O1845" s="108"/>
      <c r="P1845" s="108"/>
      <c r="Q1845" s="108"/>
      <c r="R1845" s="108"/>
      <c r="S1845" s="108"/>
      <c r="T1845" s="108"/>
      <c r="U1845" s="108"/>
      <c r="V1845" s="108"/>
      <c r="W1845" s="108"/>
      <c r="X1845" s="108"/>
      <c r="Y1845" s="108"/>
      <c r="Z1845" s="108"/>
    </row>
    <row r="1846" ht="16.5" customHeight="1">
      <c r="A1846" s="108"/>
      <c r="B1846" s="108"/>
      <c r="C1846" s="180"/>
      <c r="D1846" s="108"/>
      <c r="E1846" s="108"/>
      <c r="F1846" s="108"/>
      <c r="G1846" s="108"/>
      <c r="H1846" s="108"/>
      <c r="I1846" s="108"/>
      <c r="J1846" s="108"/>
      <c r="K1846" s="108"/>
      <c r="L1846" s="108"/>
      <c r="M1846" s="108"/>
      <c r="N1846" s="108"/>
      <c r="O1846" s="108"/>
      <c r="P1846" s="108"/>
      <c r="Q1846" s="108"/>
      <c r="R1846" s="108"/>
      <c r="S1846" s="108"/>
      <c r="T1846" s="108"/>
      <c r="U1846" s="108"/>
      <c r="V1846" s="108"/>
      <c r="W1846" s="108"/>
      <c r="X1846" s="108"/>
      <c r="Y1846" s="108"/>
      <c r="Z1846" s="108"/>
    </row>
    <row r="1847" ht="16.5" customHeight="1">
      <c r="A1847" s="108"/>
      <c r="B1847" s="108"/>
      <c r="C1847" s="180"/>
      <c r="D1847" s="108"/>
      <c r="E1847" s="108"/>
      <c r="F1847" s="108"/>
      <c r="G1847" s="108"/>
      <c r="H1847" s="108"/>
      <c r="I1847" s="108"/>
      <c r="J1847" s="108"/>
      <c r="K1847" s="108"/>
      <c r="L1847" s="108"/>
      <c r="M1847" s="108"/>
      <c r="N1847" s="108"/>
      <c r="O1847" s="108"/>
      <c r="P1847" s="108"/>
      <c r="Q1847" s="108"/>
      <c r="R1847" s="108"/>
      <c r="S1847" s="108"/>
      <c r="T1847" s="108"/>
      <c r="U1847" s="108"/>
      <c r="V1847" s="108"/>
      <c r="W1847" s="108"/>
      <c r="X1847" s="108"/>
      <c r="Y1847" s="108"/>
      <c r="Z1847" s="108"/>
    </row>
    <row r="1848" ht="16.5" customHeight="1">
      <c r="A1848" s="108"/>
      <c r="B1848" s="108"/>
      <c r="C1848" s="180"/>
      <c r="D1848" s="108"/>
      <c r="E1848" s="108"/>
      <c r="F1848" s="108"/>
      <c r="G1848" s="108"/>
      <c r="H1848" s="108"/>
      <c r="I1848" s="108"/>
      <c r="J1848" s="108"/>
      <c r="K1848" s="108"/>
      <c r="L1848" s="108"/>
      <c r="M1848" s="108"/>
      <c r="N1848" s="108"/>
      <c r="O1848" s="108"/>
      <c r="P1848" s="108"/>
      <c r="Q1848" s="108"/>
      <c r="R1848" s="108"/>
      <c r="S1848" s="108"/>
      <c r="T1848" s="108"/>
      <c r="U1848" s="108"/>
      <c r="V1848" s="108"/>
      <c r="W1848" s="108"/>
      <c r="X1848" s="108"/>
      <c r="Y1848" s="108"/>
      <c r="Z1848" s="108"/>
    </row>
    <row r="1849" ht="16.5" customHeight="1">
      <c r="A1849" s="108"/>
      <c r="B1849" s="108"/>
      <c r="C1849" s="180"/>
      <c r="D1849" s="108"/>
      <c r="E1849" s="108"/>
      <c r="F1849" s="108"/>
      <c r="G1849" s="108"/>
      <c r="H1849" s="108"/>
      <c r="I1849" s="108"/>
      <c r="J1849" s="108"/>
      <c r="K1849" s="108"/>
      <c r="L1849" s="108"/>
      <c r="M1849" s="108"/>
      <c r="N1849" s="108"/>
      <c r="O1849" s="108"/>
      <c r="P1849" s="108"/>
      <c r="Q1849" s="108"/>
      <c r="R1849" s="108"/>
      <c r="S1849" s="108"/>
      <c r="T1849" s="108"/>
      <c r="U1849" s="108"/>
      <c r="V1849" s="108"/>
      <c r="W1849" s="108"/>
      <c r="X1849" s="108"/>
      <c r="Y1849" s="108"/>
      <c r="Z1849" s="108"/>
    </row>
    <row r="1850" ht="16.5" customHeight="1">
      <c r="A1850" s="108"/>
      <c r="B1850" s="108"/>
      <c r="C1850" s="180"/>
      <c r="D1850" s="108"/>
      <c r="E1850" s="108"/>
      <c r="F1850" s="108"/>
      <c r="G1850" s="108"/>
      <c r="H1850" s="108"/>
      <c r="I1850" s="108"/>
      <c r="J1850" s="108"/>
      <c r="K1850" s="108"/>
      <c r="L1850" s="108"/>
      <c r="M1850" s="108"/>
      <c r="N1850" s="108"/>
      <c r="O1850" s="108"/>
      <c r="P1850" s="108"/>
      <c r="Q1850" s="108"/>
      <c r="R1850" s="108"/>
      <c r="S1850" s="108"/>
      <c r="T1850" s="108"/>
      <c r="U1850" s="108"/>
      <c r="V1850" s="108"/>
      <c r="W1850" s="108"/>
      <c r="X1850" s="108"/>
      <c r="Y1850" s="108"/>
      <c r="Z1850" s="108"/>
    </row>
    <row r="1851" ht="16.5" customHeight="1">
      <c r="A1851" s="108"/>
      <c r="B1851" s="108"/>
      <c r="C1851" s="180"/>
      <c r="D1851" s="108"/>
      <c r="E1851" s="108"/>
      <c r="F1851" s="108"/>
      <c r="G1851" s="108"/>
      <c r="H1851" s="108"/>
      <c r="I1851" s="108"/>
      <c r="J1851" s="108"/>
      <c r="K1851" s="108"/>
      <c r="L1851" s="108"/>
      <c r="M1851" s="108"/>
      <c r="N1851" s="108"/>
      <c r="O1851" s="108"/>
      <c r="P1851" s="108"/>
      <c r="Q1851" s="108"/>
      <c r="R1851" s="108"/>
      <c r="S1851" s="108"/>
      <c r="T1851" s="108"/>
      <c r="U1851" s="108"/>
      <c r="V1851" s="108"/>
      <c r="W1851" s="108"/>
      <c r="X1851" s="108"/>
      <c r="Y1851" s="108"/>
      <c r="Z1851" s="108"/>
    </row>
    <row r="1852" ht="16.5" customHeight="1">
      <c r="A1852" s="108"/>
      <c r="B1852" s="108"/>
      <c r="C1852" s="180"/>
      <c r="D1852" s="108"/>
      <c r="E1852" s="108"/>
      <c r="F1852" s="108"/>
      <c r="G1852" s="108"/>
      <c r="H1852" s="108"/>
      <c r="I1852" s="108"/>
      <c r="J1852" s="108"/>
      <c r="K1852" s="108"/>
      <c r="L1852" s="108"/>
      <c r="M1852" s="108"/>
      <c r="N1852" s="108"/>
      <c r="O1852" s="108"/>
      <c r="P1852" s="108"/>
      <c r="Q1852" s="108"/>
      <c r="R1852" s="108"/>
      <c r="S1852" s="108"/>
      <c r="T1852" s="108"/>
      <c r="U1852" s="108"/>
      <c r="V1852" s="108"/>
      <c r="W1852" s="108"/>
      <c r="X1852" s="108"/>
      <c r="Y1852" s="108"/>
      <c r="Z1852" s="108"/>
    </row>
    <row r="1853" ht="16.5" customHeight="1">
      <c r="A1853" s="108"/>
      <c r="B1853" s="108"/>
      <c r="C1853" s="180"/>
      <c r="D1853" s="108"/>
      <c r="E1853" s="108"/>
      <c r="F1853" s="108"/>
      <c r="G1853" s="108"/>
      <c r="H1853" s="108"/>
      <c r="I1853" s="108"/>
      <c r="J1853" s="108"/>
      <c r="K1853" s="108"/>
      <c r="L1853" s="108"/>
      <c r="M1853" s="108"/>
      <c r="N1853" s="108"/>
      <c r="O1853" s="108"/>
      <c r="P1853" s="108"/>
      <c r="Q1853" s="108"/>
      <c r="R1853" s="108"/>
      <c r="S1853" s="108"/>
      <c r="T1853" s="108"/>
      <c r="U1853" s="108"/>
      <c r="V1853" s="108"/>
      <c r="W1853" s="108"/>
      <c r="X1853" s="108"/>
      <c r="Y1853" s="108"/>
      <c r="Z1853" s="108"/>
    </row>
    <row r="1854" ht="16.5" customHeight="1">
      <c r="A1854" s="108"/>
      <c r="B1854" s="108"/>
      <c r="C1854" s="180"/>
      <c r="D1854" s="108"/>
      <c r="E1854" s="108"/>
      <c r="F1854" s="108"/>
      <c r="G1854" s="108"/>
      <c r="H1854" s="108"/>
      <c r="I1854" s="108"/>
      <c r="J1854" s="108"/>
      <c r="K1854" s="108"/>
      <c r="L1854" s="108"/>
      <c r="M1854" s="108"/>
      <c r="N1854" s="108"/>
      <c r="O1854" s="108"/>
      <c r="P1854" s="108"/>
      <c r="Q1854" s="108"/>
      <c r="R1854" s="108"/>
      <c r="S1854" s="108"/>
      <c r="T1854" s="108"/>
      <c r="U1854" s="108"/>
      <c r="V1854" s="108"/>
      <c r="W1854" s="108"/>
      <c r="X1854" s="108"/>
      <c r="Y1854" s="108"/>
      <c r="Z1854" s="108"/>
    </row>
    <row r="1855" ht="16.5" customHeight="1">
      <c r="A1855" s="108"/>
      <c r="B1855" s="108"/>
      <c r="C1855" s="180"/>
      <c r="D1855" s="108"/>
      <c r="E1855" s="108"/>
      <c r="F1855" s="108"/>
      <c r="G1855" s="108"/>
      <c r="H1855" s="108"/>
      <c r="I1855" s="108"/>
      <c r="J1855" s="108"/>
      <c r="K1855" s="108"/>
      <c r="L1855" s="108"/>
      <c r="M1855" s="108"/>
      <c r="N1855" s="108"/>
      <c r="O1855" s="108"/>
      <c r="P1855" s="108"/>
      <c r="Q1855" s="108"/>
      <c r="R1855" s="108"/>
      <c r="S1855" s="108"/>
      <c r="T1855" s="108"/>
      <c r="U1855" s="108"/>
      <c r="V1855" s="108"/>
      <c r="W1855" s="108"/>
      <c r="X1855" s="108"/>
      <c r="Y1855" s="108"/>
      <c r="Z1855" s="108"/>
    </row>
    <row r="1856" ht="16.5" customHeight="1">
      <c r="A1856" s="108"/>
      <c r="B1856" s="108"/>
      <c r="C1856" s="180"/>
      <c r="D1856" s="108"/>
      <c r="E1856" s="108"/>
      <c r="F1856" s="108"/>
      <c r="G1856" s="108"/>
      <c r="H1856" s="108"/>
      <c r="I1856" s="108"/>
      <c r="J1856" s="108"/>
      <c r="K1856" s="108"/>
      <c r="L1856" s="108"/>
      <c r="M1856" s="108"/>
      <c r="N1856" s="108"/>
      <c r="O1856" s="108"/>
      <c r="P1856" s="108"/>
      <c r="Q1856" s="108"/>
      <c r="R1856" s="108"/>
      <c r="S1856" s="108"/>
      <c r="T1856" s="108"/>
      <c r="U1856" s="108"/>
      <c r="V1856" s="108"/>
      <c r="W1856" s="108"/>
      <c r="X1856" s="108"/>
      <c r="Y1856" s="108"/>
      <c r="Z1856" s="108"/>
    </row>
    <row r="1857" ht="16.5" customHeight="1">
      <c r="A1857" s="108"/>
      <c r="B1857" s="108"/>
      <c r="C1857" s="180"/>
      <c r="D1857" s="108"/>
      <c r="E1857" s="108"/>
      <c r="F1857" s="108"/>
      <c r="G1857" s="108"/>
      <c r="H1857" s="108"/>
      <c r="I1857" s="108"/>
      <c r="J1857" s="108"/>
      <c r="K1857" s="108"/>
      <c r="L1857" s="108"/>
      <c r="M1857" s="108"/>
      <c r="N1857" s="108"/>
      <c r="O1857" s="108"/>
      <c r="P1857" s="108"/>
      <c r="Q1857" s="108"/>
      <c r="R1857" s="108"/>
      <c r="S1857" s="108"/>
      <c r="T1857" s="108"/>
      <c r="U1857" s="108"/>
      <c r="V1857" s="108"/>
      <c r="W1857" s="108"/>
      <c r="X1857" s="108"/>
      <c r="Y1857" s="108"/>
      <c r="Z1857" s="108"/>
    </row>
    <row r="1858" ht="16.5" customHeight="1">
      <c r="A1858" s="108"/>
      <c r="B1858" s="108"/>
      <c r="C1858" s="180"/>
      <c r="D1858" s="108"/>
      <c r="E1858" s="108"/>
      <c r="F1858" s="108"/>
      <c r="G1858" s="108"/>
      <c r="H1858" s="108"/>
      <c r="I1858" s="108"/>
      <c r="J1858" s="108"/>
      <c r="K1858" s="108"/>
      <c r="L1858" s="108"/>
      <c r="M1858" s="108"/>
      <c r="N1858" s="108"/>
      <c r="O1858" s="108"/>
      <c r="P1858" s="108"/>
      <c r="Q1858" s="108"/>
      <c r="R1858" s="108"/>
      <c r="S1858" s="108"/>
      <c r="T1858" s="108"/>
      <c r="U1858" s="108"/>
      <c r="V1858" s="108"/>
      <c r="W1858" s="108"/>
      <c r="X1858" s="108"/>
      <c r="Y1858" s="108"/>
      <c r="Z1858" s="108"/>
    </row>
    <row r="1859" ht="16.5" customHeight="1">
      <c r="A1859" s="108"/>
      <c r="B1859" s="108"/>
      <c r="C1859" s="180"/>
      <c r="D1859" s="108"/>
      <c r="E1859" s="108"/>
      <c r="F1859" s="108"/>
      <c r="G1859" s="108"/>
      <c r="H1859" s="108"/>
      <c r="I1859" s="108"/>
      <c r="J1859" s="108"/>
      <c r="K1859" s="108"/>
      <c r="L1859" s="108"/>
      <c r="M1859" s="108"/>
      <c r="N1859" s="108"/>
      <c r="O1859" s="108"/>
      <c r="P1859" s="108"/>
      <c r="Q1859" s="108"/>
      <c r="R1859" s="108"/>
      <c r="S1859" s="108"/>
      <c r="T1859" s="108"/>
      <c r="U1859" s="108"/>
      <c r="V1859" s="108"/>
      <c r="W1859" s="108"/>
      <c r="X1859" s="108"/>
      <c r="Y1859" s="108"/>
      <c r="Z1859" s="108"/>
    </row>
    <row r="1860" ht="16.5" customHeight="1">
      <c r="A1860" s="108"/>
      <c r="B1860" s="108"/>
      <c r="C1860" s="180"/>
      <c r="D1860" s="108"/>
      <c r="E1860" s="108"/>
      <c r="F1860" s="108"/>
      <c r="G1860" s="108"/>
      <c r="H1860" s="108"/>
      <c r="I1860" s="108"/>
      <c r="J1860" s="108"/>
      <c r="K1860" s="108"/>
      <c r="L1860" s="108"/>
      <c r="M1860" s="108"/>
      <c r="N1860" s="108"/>
      <c r="O1860" s="108"/>
      <c r="P1860" s="108"/>
      <c r="Q1860" s="108"/>
      <c r="R1860" s="108"/>
      <c r="S1860" s="108"/>
      <c r="T1860" s="108"/>
      <c r="U1860" s="108"/>
      <c r="V1860" s="108"/>
      <c r="W1860" s="108"/>
      <c r="X1860" s="108"/>
      <c r="Y1860" s="108"/>
      <c r="Z1860" s="108"/>
    </row>
    <row r="1861" ht="16.5" customHeight="1">
      <c r="A1861" s="108"/>
      <c r="B1861" s="108"/>
      <c r="C1861" s="180"/>
      <c r="D1861" s="108"/>
      <c r="E1861" s="108"/>
      <c r="F1861" s="108"/>
      <c r="G1861" s="108"/>
      <c r="H1861" s="108"/>
      <c r="I1861" s="108"/>
      <c r="J1861" s="108"/>
      <c r="K1861" s="108"/>
      <c r="L1861" s="108"/>
      <c r="M1861" s="108"/>
      <c r="N1861" s="108"/>
      <c r="O1861" s="108"/>
      <c r="P1861" s="108"/>
      <c r="Q1861" s="108"/>
      <c r="R1861" s="108"/>
      <c r="S1861" s="108"/>
      <c r="T1861" s="108"/>
      <c r="U1861" s="108"/>
      <c r="V1861" s="108"/>
      <c r="W1861" s="108"/>
      <c r="X1861" s="108"/>
      <c r="Y1861" s="108"/>
      <c r="Z1861" s="108"/>
    </row>
    <row r="1862" ht="16.5" customHeight="1">
      <c r="A1862" s="108"/>
      <c r="B1862" s="108"/>
      <c r="C1862" s="180"/>
      <c r="D1862" s="108"/>
      <c r="E1862" s="108"/>
      <c r="F1862" s="108"/>
      <c r="G1862" s="108"/>
      <c r="H1862" s="108"/>
      <c r="I1862" s="108"/>
      <c r="J1862" s="108"/>
      <c r="K1862" s="108"/>
      <c r="L1862" s="108"/>
      <c r="M1862" s="108"/>
      <c r="N1862" s="108"/>
      <c r="O1862" s="108"/>
      <c r="P1862" s="108"/>
      <c r="Q1862" s="108"/>
      <c r="R1862" s="108"/>
      <c r="S1862" s="108"/>
      <c r="T1862" s="108"/>
      <c r="U1862" s="108"/>
      <c r="V1862" s="108"/>
      <c r="W1862" s="108"/>
      <c r="X1862" s="108"/>
      <c r="Y1862" s="108"/>
      <c r="Z1862" s="108"/>
    </row>
    <row r="1863" ht="16.5" customHeight="1">
      <c r="A1863" s="108"/>
      <c r="B1863" s="108"/>
      <c r="C1863" s="180"/>
      <c r="D1863" s="108"/>
      <c r="E1863" s="108"/>
      <c r="F1863" s="108"/>
      <c r="G1863" s="108"/>
      <c r="H1863" s="108"/>
      <c r="I1863" s="108"/>
      <c r="J1863" s="108"/>
      <c r="K1863" s="108"/>
      <c r="L1863" s="108"/>
      <c r="M1863" s="108"/>
      <c r="N1863" s="108"/>
      <c r="O1863" s="108"/>
      <c r="P1863" s="108"/>
      <c r="Q1863" s="108"/>
      <c r="R1863" s="108"/>
      <c r="S1863" s="108"/>
      <c r="T1863" s="108"/>
      <c r="U1863" s="108"/>
      <c r="V1863" s="108"/>
      <c r="W1863" s="108"/>
      <c r="X1863" s="108"/>
      <c r="Y1863" s="108"/>
      <c r="Z1863" s="108"/>
    </row>
    <row r="1864" ht="16.5" customHeight="1">
      <c r="A1864" s="108"/>
      <c r="B1864" s="108"/>
      <c r="C1864" s="180"/>
      <c r="D1864" s="108"/>
      <c r="E1864" s="108"/>
      <c r="F1864" s="108"/>
      <c r="G1864" s="108"/>
      <c r="H1864" s="108"/>
      <c r="I1864" s="108"/>
      <c r="J1864" s="108"/>
      <c r="K1864" s="108"/>
      <c r="L1864" s="108"/>
      <c r="M1864" s="108"/>
      <c r="N1864" s="108"/>
      <c r="O1864" s="108"/>
      <c r="P1864" s="108"/>
      <c r="Q1864" s="108"/>
      <c r="R1864" s="108"/>
      <c r="S1864" s="108"/>
      <c r="T1864" s="108"/>
      <c r="U1864" s="108"/>
      <c r="V1864" s="108"/>
      <c r="W1864" s="108"/>
      <c r="X1864" s="108"/>
      <c r="Y1864" s="108"/>
      <c r="Z1864" s="108"/>
    </row>
    <row r="1865" ht="16.5" customHeight="1">
      <c r="A1865" s="108"/>
      <c r="B1865" s="108"/>
      <c r="C1865" s="180"/>
      <c r="D1865" s="108"/>
      <c r="E1865" s="108"/>
      <c r="F1865" s="108"/>
      <c r="G1865" s="108"/>
      <c r="H1865" s="108"/>
      <c r="I1865" s="108"/>
      <c r="J1865" s="108"/>
      <c r="K1865" s="108"/>
      <c r="L1865" s="108"/>
      <c r="M1865" s="108"/>
      <c r="N1865" s="108"/>
      <c r="O1865" s="108"/>
      <c r="P1865" s="108"/>
      <c r="Q1865" s="108"/>
      <c r="R1865" s="108"/>
      <c r="S1865" s="108"/>
      <c r="T1865" s="108"/>
      <c r="U1865" s="108"/>
      <c r="V1865" s="108"/>
      <c r="W1865" s="108"/>
      <c r="X1865" s="108"/>
      <c r="Y1865" s="108"/>
      <c r="Z1865" s="108"/>
    </row>
    <row r="1866" ht="16.5" customHeight="1">
      <c r="A1866" s="108"/>
      <c r="B1866" s="108"/>
      <c r="C1866" s="180"/>
      <c r="D1866" s="108"/>
      <c r="E1866" s="108"/>
      <c r="F1866" s="108"/>
      <c r="G1866" s="108"/>
      <c r="H1866" s="108"/>
      <c r="I1866" s="108"/>
      <c r="J1866" s="108"/>
      <c r="K1866" s="108"/>
      <c r="L1866" s="108"/>
      <c r="M1866" s="108"/>
      <c r="N1866" s="108"/>
      <c r="O1866" s="108"/>
      <c r="P1866" s="108"/>
      <c r="Q1866" s="108"/>
      <c r="R1866" s="108"/>
      <c r="S1866" s="108"/>
      <c r="T1866" s="108"/>
      <c r="U1866" s="108"/>
      <c r="V1866" s="108"/>
      <c r="W1866" s="108"/>
      <c r="X1866" s="108"/>
      <c r="Y1866" s="108"/>
      <c r="Z1866" s="108"/>
    </row>
    <row r="1867" ht="16.5" customHeight="1">
      <c r="A1867" s="108"/>
      <c r="B1867" s="108"/>
      <c r="C1867" s="180"/>
      <c r="D1867" s="108"/>
      <c r="E1867" s="108"/>
      <c r="F1867" s="108"/>
      <c r="G1867" s="108"/>
      <c r="H1867" s="108"/>
      <c r="I1867" s="108"/>
      <c r="J1867" s="108"/>
      <c r="K1867" s="108"/>
      <c r="L1867" s="108"/>
      <c r="M1867" s="108"/>
      <c r="N1867" s="108"/>
      <c r="O1867" s="108"/>
      <c r="P1867" s="108"/>
      <c r="Q1867" s="108"/>
      <c r="R1867" s="108"/>
      <c r="S1867" s="108"/>
      <c r="T1867" s="108"/>
      <c r="U1867" s="108"/>
      <c r="V1867" s="108"/>
      <c r="W1867" s="108"/>
      <c r="X1867" s="108"/>
      <c r="Y1867" s="108"/>
      <c r="Z1867" s="108"/>
    </row>
    <row r="1868" ht="16.5" customHeight="1">
      <c r="A1868" s="108"/>
      <c r="B1868" s="108"/>
      <c r="C1868" s="180"/>
      <c r="D1868" s="108"/>
      <c r="E1868" s="108"/>
      <c r="F1868" s="108"/>
      <c r="G1868" s="108"/>
      <c r="H1868" s="108"/>
      <c r="I1868" s="108"/>
      <c r="J1868" s="108"/>
      <c r="K1868" s="108"/>
      <c r="L1868" s="108"/>
      <c r="M1868" s="108"/>
      <c r="N1868" s="108"/>
      <c r="O1868" s="108"/>
      <c r="P1868" s="108"/>
      <c r="Q1868" s="108"/>
      <c r="R1868" s="108"/>
      <c r="S1868" s="108"/>
      <c r="T1868" s="108"/>
      <c r="U1868" s="108"/>
      <c r="V1868" s="108"/>
      <c r="W1868" s="108"/>
      <c r="X1868" s="108"/>
      <c r="Y1868" s="108"/>
      <c r="Z1868" s="108"/>
    </row>
    <row r="1869" ht="16.5" customHeight="1">
      <c r="A1869" s="108"/>
      <c r="B1869" s="108"/>
      <c r="C1869" s="180"/>
      <c r="D1869" s="108"/>
      <c r="E1869" s="108"/>
      <c r="F1869" s="108"/>
      <c r="G1869" s="108"/>
      <c r="H1869" s="108"/>
      <c r="I1869" s="108"/>
      <c r="J1869" s="108"/>
      <c r="K1869" s="108"/>
      <c r="L1869" s="108"/>
      <c r="M1869" s="108"/>
      <c r="N1869" s="108"/>
      <c r="O1869" s="108"/>
      <c r="P1869" s="108"/>
      <c r="Q1869" s="108"/>
      <c r="R1869" s="108"/>
      <c r="S1869" s="108"/>
      <c r="T1869" s="108"/>
      <c r="U1869" s="108"/>
      <c r="V1869" s="108"/>
      <c r="W1869" s="108"/>
      <c r="X1869" s="108"/>
      <c r="Y1869" s="108"/>
      <c r="Z1869" s="108"/>
    </row>
    <row r="1870" ht="16.5" customHeight="1">
      <c r="A1870" s="108"/>
      <c r="B1870" s="108"/>
      <c r="C1870" s="180"/>
      <c r="D1870" s="108"/>
      <c r="E1870" s="108"/>
      <c r="F1870" s="108"/>
      <c r="G1870" s="108"/>
      <c r="H1870" s="108"/>
      <c r="I1870" s="108"/>
      <c r="J1870" s="108"/>
      <c r="K1870" s="108"/>
      <c r="L1870" s="108"/>
      <c r="M1870" s="108"/>
      <c r="N1870" s="108"/>
      <c r="O1870" s="108"/>
      <c r="P1870" s="108"/>
      <c r="Q1870" s="108"/>
      <c r="R1870" s="108"/>
      <c r="S1870" s="108"/>
      <c r="T1870" s="108"/>
      <c r="U1870" s="108"/>
      <c r="V1870" s="108"/>
      <c r="W1870" s="108"/>
      <c r="X1870" s="108"/>
      <c r="Y1870" s="108"/>
      <c r="Z1870" s="108"/>
    </row>
    <row r="1871" ht="16.5" customHeight="1">
      <c r="A1871" s="108"/>
      <c r="B1871" s="108"/>
      <c r="C1871" s="180"/>
      <c r="D1871" s="108"/>
      <c r="E1871" s="108"/>
      <c r="F1871" s="108"/>
      <c r="G1871" s="108"/>
      <c r="H1871" s="108"/>
      <c r="I1871" s="108"/>
      <c r="J1871" s="108"/>
      <c r="K1871" s="108"/>
      <c r="L1871" s="108"/>
      <c r="M1871" s="108"/>
      <c r="N1871" s="108"/>
      <c r="O1871" s="108"/>
      <c r="P1871" s="108"/>
      <c r="Q1871" s="108"/>
      <c r="R1871" s="108"/>
      <c r="S1871" s="108"/>
      <c r="T1871" s="108"/>
      <c r="U1871" s="108"/>
      <c r="V1871" s="108"/>
      <c r="W1871" s="108"/>
      <c r="X1871" s="108"/>
      <c r="Y1871" s="108"/>
      <c r="Z1871" s="108"/>
    </row>
    <row r="1872" ht="16.5" customHeight="1">
      <c r="A1872" s="108"/>
      <c r="B1872" s="108"/>
      <c r="C1872" s="180"/>
      <c r="D1872" s="108"/>
      <c r="E1872" s="108"/>
      <c r="F1872" s="108"/>
      <c r="G1872" s="108"/>
      <c r="H1872" s="108"/>
      <c r="I1872" s="108"/>
      <c r="J1872" s="108"/>
      <c r="K1872" s="108"/>
      <c r="L1872" s="108"/>
      <c r="M1872" s="108"/>
      <c r="N1872" s="108"/>
      <c r="O1872" s="108"/>
      <c r="P1872" s="108"/>
      <c r="Q1872" s="108"/>
      <c r="R1872" s="108"/>
      <c r="S1872" s="108"/>
      <c r="T1872" s="108"/>
      <c r="U1872" s="108"/>
      <c r="V1872" s="108"/>
      <c r="W1872" s="108"/>
      <c r="X1872" s="108"/>
      <c r="Y1872" s="108"/>
      <c r="Z1872" s="108"/>
    </row>
    <row r="1873" ht="16.5" customHeight="1">
      <c r="A1873" s="108"/>
      <c r="B1873" s="108"/>
      <c r="C1873" s="180"/>
      <c r="D1873" s="108"/>
      <c r="E1873" s="108"/>
      <c r="F1873" s="108"/>
      <c r="G1873" s="108"/>
      <c r="H1873" s="108"/>
      <c r="I1873" s="108"/>
      <c r="J1873" s="108"/>
      <c r="K1873" s="108"/>
      <c r="L1873" s="108"/>
      <c r="M1873" s="108"/>
      <c r="N1873" s="108"/>
      <c r="O1873" s="108"/>
      <c r="P1873" s="108"/>
      <c r="Q1873" s="108"/>
      <c r="R1873" s="108"/>
      <c r="S1873" s="108"/>
      <c r="T1873" s="108"/>
      <c r="U1873" s="108"/>
      <c r="V1873" s="108"/>
      <c r="W1873" s="108"/>
      <c r="X1873" s="108"/>
      <c r="Y1873" s="108"/>
      <c r="Z1873" s="108"/>
    </row>
    <row r="1874" ht="16.5" customHeight="1">
      <c r="A1874" s="108"/>
      <c r="B1874" s="108"/>
      <c r="C1874" s="180"/>
      <c r="D1874" s="108"/>
      <c r="E1874" s="108"/>
      <c r="F1874" s="108"/>
      <c r="G1874" s="108"/>
      <c r="H1874" s="108"/>
      <c r="I1874" s="108"/>
      <c r="J1874" s="108"/>
      <c r="K1874" s="108"/>
      <c r="L1874" s="108"/>
      <c r="M1874" s="108"/>
      <c r="N1874" s="108"/>
      <c r="O1874" s="108"/>
      <c r="P1874" s="108"/>
      <c r="Q1874" s="108"/>
      <c r="R1874" s="108"/>
      <c r="S1874" s="108"/>
      <c r="T1874" s="108"/>
      <c r="U1874" s="108"/>
      <c r="V1874" s="108"/>
      <c r="W1874" s="108"/>
      <c r="X1874" s="108"/>
      <c r="Y1874" s="108"/>
      <c r="Z1874" s="108"/>
    </row>
    <row r="1875" ht="16.5" customHeight="1">
      <c r="A1875" s="108"/>
      <c r="B1875" s="108"/>
      <c r="C1875" s="180"/>
      <c r="D1875" s="108"/>
      <c r="E1875" s="108"/>
      <c r="F1875" s="108"/>
      <c r="G1875" s="108"/>
      <c r="H1875" s="108"/>
      <c r="I1875" s="108"/>
      <c r="J1875" s="108"/>
      <c r="K1875" s="108"/>
      <c r="L1875" s="108"/>
      <c r="M1875" s="108"/>
      <c r="N1875" s="108"/>
      <c r="O1875" s="108"/>
      <c r="P1875" s="108"/>
      <c r="Q1875" s="108"/>
      <c r="R1875" s="108"/>
      <c r="S1875" s="108"/>
      <c r="T1875" s="108"/>
      <c r="U1875" s="108"/>
      <c r="V1875" s="108"/>
      <c r="W1875" s="108"/>
      <c r="X1875" s="108"/>
      <c r="Y1875" s="108"/>
      <c r="Z1875" s="108"/>
    </row>
    <row r="1876" ht="16.5" customHeight="1">
      <c r="A1876" s="108"/>
      <c r="B1876" s="108"/>
      <c r="C1876" s="180"/>
      <c r="D1876" s="108"/>
      <c r="E1876" s="108"/>
      <c r="F1876" s="108"/>
      <c r="G1876" s="108"/>
      <c r="H1876" s="108"/>
      <c r="I1876" s="108"/>
      <c r="J1876" s="108"/>
      <c r="K1876" s="108"/>
      <c r="L1876" s="108"/>
      <c r="M1876" s="108"/>
      <c r="N1876" s="108"/>
      <c r="O1876" s="108"/>
      <c r="P1876" s="108"/>
      <c r="Q1876" s="108"/>
      <c r="R1876" s="108"/>
      <c r="S1876" s="108"/>
      <c r="T1876" s="108"/>
      <c r="U1876" s="108"/>
      <c r="V1876" s="108"/>
      <c r="W1876" s="108"/>
      <c r="X1876" s="108"/>
      <c r="Y1876" s="108"/>
      <c r="Z1876" s="108"/>
    </row>
    <row r="1877" ht="16.5" customHeight="1">
      <c r="A1877" s="108"/>
      <c r="B1877" s="108"/>
      <c r="C1877" s="180"/>
      <c r="D1877" s="108"/>
      <c r="E1877" s="108"/>
      <c r="F1877" s="108"/>
      <c r="G1877" s="108"/>
      <c r="H1877" s="108"/>
      <c r="I1877" s="108"/>
      <c r="J1877" s="108"/>
      <c r="K1877" s="108"/>
      <c r="L1877" s="108"/>
      <c r="M1877" s="108"/>
      <c r="N1877" s="108"/>
      <c r="O1877" s="108"/>
      <c r="P1877" s="108"/>
      <c r="Q1877" s="108"/>
      <c r="R1877" s="108"/>
      <c r="S1877" s="108"/>
      <c r="T1877" s="108"/>
      <c r="U1877" s="108"/>
      <c r="V1877" s="108"/>
      <c r="W1877" s="108"/>
      <c r="X1877" s="108"/>
      <c r="Y1877" s="108"/>
      <c r="Z1877" s="108"/>
    </row>
    <row r="1878" ht="16.5" customHeight="1">
      <c r="A1878" s="108"/>
      <c r="B1878" s="108"/>
      <c r="C1878" s="180"/>
      <c r="D1878" s="108"/>
      <c r="E1878" s="108"/>
      <c r="F1878" s="108"/>
      <c r="G1878" s="108"/>
      <c r="H1878" s="108"/>
      <c r="I1878" s="108"/>
      <c r="J1878" s="108"/>
      <c r="K1878" s="108"/>
      <c r="L1878" s="108"/>
      <c r="M1878" s="108"/>
      <c r="N1878" s="108"/>
      <c r="O1878" s="108"/>
      <c r="P1878" s="108"/>
      <c r="Q1878" s="108"/>
      <c r="R1878" s="108"/>
      <c r="S1878" s="108"/>
      <c r="T1878" s="108"/>
      <c r="U1878" s="108"/>
      <c r="V1878" s="108"/>
      <c r="W1878" s="108"/>
      <c r="X1878" s="108"/>
      <c r="Y1878" s="108"/>
      <c r="Z1878" s="108"/>
    </row>
    <row r="1879" ht="16.5" customHeight="1">
      <c r="A1879" s="108"/>
      <c r="B1879" s="108"/>
      <c r="C1879" s="180"/>
      <c r="D1879" s="108"/>
      <c r="E1879" s="108"/>
      <c r="F1879" s="108"/>
      <c r="G1879" s="108"/>
      <c r="H1879" s="108"/>
      <c r="I1879" s="108"/>
      <c r="J1879" s="108"/>
      <c r="K1879" s="108"/>
      <c r="L1879" s="108"/>
      <c r="M1879" s="108"/>
      <c r="N1879" s="108"/>
      <c r="O1879" s="108"/>
      <c r="P1879" s="108"/>
      <c r="Q1879" s="108"/>
      <c r="R1879" s="108"/>
      <c r="S1879" s="108"/>
      <c r="T1879" s="108"/>
      <c r="U1879" s="108"/>
      <c r="V1879" s="108"/>
      <c r="W1879" s="108"/>
      <c r="X1879" s="108"/>
      <c r="Y1879" s="108"/>
      <c r="Z1879" s="108"/>
    </row>
    <row r="1880" ht="16.5" customHeight="1">
      <c r="A1880" s="108"/>
      <c r="B1880" s="108"/>
      <c r="C1880" s="180"/>
      <c r="D1880" s="108"/>
      <c r="E1880" s="108"/>
      <c r="F1880" s="108"/>
      <c r="G1880" s="108"/>
      <c r="H1880" s="108"/>
      <c r="I1880" s="108"/>
      <c r="J1880" s="108"/>
      <c r="K1880" s="108"/>
      <c r="L1880" s="108"/>
      <c r="M1880" s="108"/>
      <c r="N1880" s="108"/>
      <c r="O1880" s="108"/>
      <c r="P1880" s="108"/>
      <c r="Q1880" s="108"/>
      <c r="R1880" s="108"/>
      <c r="S1880" s="108"/>
      <c r="T1880" s="108"/>
      <c r="U1880" s="108"/>
      <c r="V1880" s="108"/>
      <c r="W1880" s="108"/>
      <c r="X1880" s="108"/>
      <c r="Y1880" s="108"/>
      <c r="Z1880" s="108"/>
    </row>
    <row r="1881" ht="16.5" customHeight="1">
      <c r="A1881" s="108"/>
      <c r="B1881" s="108"/>
      <c r="C1881" s="180"/>
      <c r="D1881" s="108"/>
      <c r="E1881" s="108"/>
      <c r="F1881" s="108"/>
      <c r="G1881" s="108"/>
      <c r="H1881" s="108"/>
      <c r="I1881" s="108"/>
      <c r="J1881" s="108"/>
      <c r="K1881" s="108"/>
      <c r="L1881" s="108"/>
      <c r="M1881" s="108"/>
      <c r="N1881" s="108"/>
      <c r="O1881" s="108"/>
      <c r="P1881" s="108"/>
      <c r="Q1881" s="108"/>
      <c r="R1881" s="108"/>
      <c r="S1881" s="108"/>
      <c r="T1881" s="108"/>
      <c r="U1881" s="108"/>
      <c r="V1881" s="108"/>
      <c r="W1881" s="108"/>
      <c r="X1881" s="108"/>
      <c r="Y1881" s="108"/>
      <c r="Z1881" s="108"/>
    </row>
    <row r="1882" ht="16.5" customHeight="1">
      <c r="A1882" s="108"/>
      <c r="B1882" s="108"/>
      <c r="C1882" s="180"/>
      <c r="D1882" s="108"/>
      <c r="E1882" s="108"/>
      <c r="F1882" s="108"/>
      <c r="G1882" s="108"/>
      <c r="H1882" s="108"/>
      <c r="I1882" s="108"/>
      <c r="J1882" s="108"/>
      <c r="K1882" s="108"/>
      <c r="L1882" s="108"/>
      <c r="M1882" s="108"/>
      <c r="N1882" s="108"/>
      <c r="O1882" s="108"/>
      <c r="P1882" s="108"/>
      <c r="Q1882" s="108"/>
      <c r="R1882" s="108"/>
      <c r="S1882" s="108"/>
      <c r="T1882" s="108"/>
      <c r="U1882" s="108"/>
      <c r="V1882" s="108"/>
      <c r="W1882" s="108"/>
      <c r="X1882" s="108"/>
      <c r="Y1882" s="108"/>
      <c r="Z1882" s="108"/>
    </row>
    <row r="1883" ht="16.5" customHeight="1">
      <c r="A1883" s="108"/>
      <c r="B1883" s="108"/>
      <c r="C1883" s="180"/>
      <c r="D1883" s="108"/>
      <c r="E1883" s="108"/>
      <c r="F1883" s="108"/>
      <c r="G1883" s="108"/>
      <c r="H1883" s="108"/>
      <c r="I1883" s="108"/>
      <c r="J1883" s="108"/>
      <c r="K1883" s="108"/>
      <c r="L1883" s="108"/>
      <c r="M1883" s="108"/>
      <c r="N1883" s="108"/>
      <c r="O1883" s="108"/>
      <c r="P1883" s="108"/>
      <c r="Q1883" s="108"/>
      <c r="R1883" s="108"/>
      <c r="S1883" s="108"/>
      <c r="T1883" s="108"/>
      <c r="U1883" s="108"/>
      <c r="V1883" s="108"/>
      <c r="W1883" s="108"/>
      <c r="X1883" s="108"/>
      <c r="Y1883" s="108"/>
      <c r="Z1883" s="108"/>
    </row>
    <row r="1884" ht="16.5" customHeight="1">
      <c r="A1884" s="108"/>
      <c r="B1884" s="108"/>
      <c r="C1884" s="180"/>
      <c r="D1884" s="108"/>
      <c r="E1884" s="108"/>
      <c r="F1884" s="108"/>
      <c r="G1884" s="108"/>
      <c r="H1884" s="108"/>
      <c r="I1884" s="108"/>
      <c r="J1884" s="108"/>
      <c r="K1884" s="108"/>
      <c r="L1884" s="108"/>
      <c r="M1884" s="108"/>
      <c r="N1884" s="108"/>
      <c r="O1884" s="108"/>
      <c r="P1884" s="108"/>
      <c r="Q1884" s="108"/>
      <c r="R1884" s="108"/>
      <c r="S1884" s="108"/>
      <c r="T1884" s="108"/>
      <c r="U1884" s="108"/>
      <c r="V1884" s="108"/>
      <c r="W1884" s="108"/>
      <c r="X1884" s="108"/>
      <c r="Y1884" s="108"/>
      <c r="Z1884" s="108"/>
    </row>
    <row r="1885" ht="16.5" customHeight="1">
      <c r="A1885" s="108"/>
      <c r="B1885" s="108"/>
      <c r="C1885" s="180"/>
      <c r="D1885" s="108"/>
      <c r="E1885" s="108"/>
      <c r="F1885" s="108"/>
      <c r="G1885" s="108"/>
      <c r="H1885" s="108"/>
      <c r="I1885" s="108"/>
      <c r="J1885" s="108"/>
      <c r="K1885" s="108"/>
      <c r="L1885" s="108"/>
      <c r="M1885" s="108"/>
      <c r="N1885" s="108"/>
      <c r="O1885" s="108"/>
      <c r="P1885" s="108"/>
      <c r="Q1885" s="108"/>
      <c r="R1885" s="108"/>
      <c r="S1885" s="108"/>
      <c r="T1885" s="108"/>
      <c r="U1885" s="108"/>
      <c r="V1885" s="108"/>
      <c r="W1885" s="108"/>
      <c r="X1885" s="108"/>
      <c r="Y1885" s="108"/>
      <c r="Z1885" s="108"/>
    </row>
    <row r="1886" ht="16.5" customHeight="1">
      <c r="A1886" s="108"/>
      <c r="B1886" s="108"/>
      <c r="C1886" s="180"/>
      <c r="D1886" s="108"/>
      <c r="E1886" s="108"/>
      <c r="F1886" s="108"/>
      <c r="G1886" s="108"/>
      <c r="H1886" s="108"/>
      <c r="I1886" s="108"/>
      <c r="J1886" s="108"/>
      <c r="K1886" s="108"/>
      <c r="L1886" s="108"/>
      <c r="M1886" s="108"/>
      <c r="N1886" s="108"/>
      <c r="O1886" s="108"/>
      <c r="P1886" s="108"/>
      <c r="Q1886" s="108"/>
      <c r="R1886" s="108"/>
      <c r="S1886" s="108"/>
      <c r="T1886" s="108"/>
      <c r="U1886" s="108"/>
      <c r="V1886" s="108"/>
      <c r="W1886" s="108"/>
      <c r="X1886" s="108"/>
      <c r="Y1886" s="108"/>
      <c r="Z1886" s="108"/>
    </row>
    <row r="1887" ht="16.5" customHeight="1">
      <c r="A1887" s="108"/>
      <c r="B1887" s="108"/>
      <c r="C1887" s="180"/>
      <c r="D1887" s="108"/>
      <c r="E1887" s="108"/>
      <c r="F1887" s="108"/>
      <c r="G1887" s="108"/>
      <c r="H1887" s="108"/>
      <c r="I1887" s="108"/>
      <c r="J1887" s="108"/>
      <c r="K1887" s="108"/>
      <c r="L1887" s="108"/>
      <c r="M1887" s="108"/>
      <c r="N1887" s="108"/>
      <c r="O1887" s="108"/>
      <c r="P1887" s="108"/>
      <c r="Q1887" s="108"/>
      <c r="R1887" s="108"/>
      <c r="S1887" s="108"/>
      <c r="T1887" s="108"/>
      <c r="U1887" s="108"/>
      <c r="V1887" s="108"/>
      <c r="W1887" s="108"/>
      <c r="X1887" s="108"/>
      <c r="Y1887" s="108"/>
      <c r="Z1887" s="108"/>
    </row>
    <row r="1888" ht="16.5" customHeight="1">
      <c r="A1888" s="108"/>
      <c r="B1888" s="108"/>
      <c r="C1888" s="180"/>
      <c r="D1888" s="108"/>
      <c r="E1888" s="108"/>
      <c r="F1888" s="108"/>
      <c r="G1888" s="108"/>
      <c r="H1888" s="108"/>
      <c r="I1888" s="108"/>
      <c r="J1888" s="108"/>
      <c r="K1888" s="108"/>
      <c r="L1888" s="108"/>
      <c r="M1888" s="108"/>
      <c r="N1888" s="108"/>
      <c r="O1888" s="108"/>
      <c r="P1888" s="108"/>
      <c r="Q1888" s="108"/>
      <c r="R1888" s="108"/>
      <c r="S1888" s="108"/>
      <c r="T1888" s="108"/>
      <c r="U1888" s="108"/>
      <c r="V1888" s="108"/>
      <c r="W1888" s="108"/>
      <c r="X1888" s="108"/>
      <c r="Y1888" s="108"/>
      <c r="Z1888" s="108"/>
    </row>
    <row r="1889" ht="16.5" customHeight="1">
      <c r="A1889" s="108"/>
      <c r="B1889" s="108"/>
      <c r="C1889" s="180"/>
      <c r="D1889" s="108"/>
      <c r="E1889" s="108"/>
      <c r="F1889" s="108"/>
      <c r="G1889" s="108"/>
      <c r="H1889" s="108"/>
      <c r="I1889" s="108"/>
      <c r="J1889" s="108"/>
      <c r="K1889" s="108"/>
      <c r="L1889" s="108"/>
      <c r="M1889" s="108"/>
      <c r="N1889" s="108"/>
      <c r="O1889" s="108"/>
      <c r="P1889" s="108"/>
      <c r="Q1889" s="108"/>
      <c r="R1889" s="108"/>
      <c r="S1889" s="108"/>
      <c r="T1889" s="108"/>
      <c r="U1889" s="108"/>
      <c r="V1889" s="108"/>
      <c r="W1889" s="108"/>
      <c r="X1889" s="108"/>
      <c r="Y1889" s="108"/>
      <c r="Z1889" s="108"/>
    </row>
    <row r="1890" ht="16.5" customHeight="1">
      <c r="A1890" s="108"/>
      <c r="B1890" s="108"/>
      <c r="C1890" s="180"/>
      <c r="D1890" s="108"/>
      <c r="E1890" s="108"/>
      <c r="F1890" s="108"/>
      <c r="G1890" s="108"/>
      <c r="H1890" s="108"/>
      <c r="I1890" s="108"/>
      <c r="J1890" s="108"/>
      <c r="K1890" s="108"/>
      <c r="L1890" s="108"/>
      <c r="M1890" s="108"/>
      <c r="N1890" s="108"/>
      <c r="O1890" s="108"/>
      <c r="P1890" s="108"/>
      <c r="Q1890" s="108"/>
      <c r="R1890" s="108"/>
      <c r="S1890" s="108"/>
      <c r="T1890" s="108"/>
      <c r="U1890" s="108"/>
      <c r="V1890" s="108"/>
      <c r="W1890" s="108"/>
      <c r="X1890" s="108"/>
      <c r="Y1890" s="108"/>
      <c r="Z1890" s="108"/>
    </row>
    <row r="1891" ht="16.5" customHeight="1">
      <c r="A1891" s="108"/>
      <c r="B1891" s="108"/>
      <c r="C1891" s="180"/>
      <c r="D1891" s="108"/>
      <c r="E1891" s="108"/>
      <c r="F1891" s="108"/>
      <c r="G1891" s="108"/>
      <c r="H1891" s="108"/>
      <c r="I1891" s="108"/>
      <c r="J1891" s="108"/>
      <c r="K1891" s="108"/>
      <c r="L1891" s="108"/>
      <c r="M1891" s="108"/>
      <c r="N1891" s="108"/>
      <c r="O1891" s="108"/>
      <c r="P1891" s="108"/>
      <c r="Q1891" s="108"/>
      <c r="R1891" s="108"/>
      <c r="S1891" s="108"/>
      <c r="T1891" s="108"/>
      <c r="U1891" s="108"/>
      <c r="V1891" s="108"/>
      <c r="W1891" s="108"/>
      <c r="X1891" s="108"/>
      <c r="Y1891" s="108"/>
      <c r="Z1891" s="108"/>
    </row>
    <row r="1892" ht="16.5" customHeight="1">
      <c r="A1892" s="108"/>
      <c r="B1892" s="108"/>
      <c r="C1892" s="180"/>
      <c r="D1892" s="108"/>
      <c r="E1892" s="108"/>
      <c r="F1892" s="108"/>
      <c r="G1892" s="108"/>
      <c r="H1892" s="108"/>
      <c r="I1892" s="108"/>
      <c r="J1892" s="108"/>
      <c r="K1892" s="108"/>
      <c r="L1892" s="108"/>
      <c r="M1892" s="108"/>
      <c r="N1892" s="108"/>
      <c r="O1892" s="108"/>
      <c r="P1892" s="108"/>
      <c r="Q1892" s="108"/>
      <c r="R1892" s="108"/>
      <c r="S1892" s="108"/>
      <c r="T1892" s="108"/>
      <c r="U1892" s="108"/>
      <c r="V1892" s="108"/>
      <c r="W1892" s="108"/>
      <c r="X1892" s="108"/>
      <c r="Y1892" s="108"/>
      <c r="Z1892" s="108"/>
    </row>
    <row r="1893" ht="16.5" customHeight="1">
      <c r="A1893" s="108"/>
      <c r="B1893" s="108"/>
      <c r="C1893" s="180"/>
      <c r="D1893" s="108"/>
      <c r="E1893" s="108"/>
      <c r="F1893" s="108"/>
      <c r="G1893" s="108"/>
      <c r="H1893" s="108"/>
      <c r="I1893" s="108"/>
      <c r="J1893" s="108"/>
      <c r="K1893" s="108"/>
      <c r="L1893" s="108"/>
      <c r="M1893" s="108"/>
      <c r="N1893" s="108"/>
      <c r="O1893" s="108"/>
      <c r="P1893" s="108"/>
      <c r="Q1893" s="108"/>
      <c r="R1893" s="108"/>
      <c r="S1893" s="108"/>
      <c r="T1893" s="108"/>
      <c r="U1893" s="108"/>
      <c r="V1893" s="108"/>
      <c r="W1893" s="108"/>
      <c r="X1893" s="108"/>
      <c r="Y1893" s="108"/>
      <c r="Z1893" s="108"/>
    </row>
    <row r="1894" ht="16.5" customHeight="1">
      <c r="A1894" s="108"/>
      <c r="B1894" s="108"/>
      <c r="C1894" s="180"/>
      <c r="D1894" s="108"/>
      <c r="E1894" s="108"/>
      <c r="F1894" s="108"/>
      <c r="G1894" s="108"/>
      <c r="H1894" s="108"/>
      <c r="I1894" s="108"/>
      <c r="J1894" s="108"/>
      <c r="K1894" s="108"/>
      <c r="L1894" s="108"/>
      <c r="M1894" s="108"/>
      <c r="N1894" s="108"/>
      <c r="O1894" s="108"/>
      <c r="P1894" s="108"/>
      <c r="Q1894" s="108"/>
      <c r="R1894" s="108"/>
      <c r="S1894" s="108"/>
      <c r="T1894" s="108"/>
      <c r="U1894" s="108"/>
      <c r="V1894" s="108"/>
      <c r="W1894" s="108"/>
      <c r="X1894" s="108"/>
      <c r="Y1894" s="108"/>
      <c r="Z1894" s="108"/>
    </row>
    <row r="1895" ht="16.5" customHeight="1">
      <c r="A1895" s="108"/>
      <c r="B1895" s="108"/>
      <c r="C1895" s="180"/>
      <c r="D1895" s="108"/>
      <c r="E1895" s="108"/>
      <c r="F1895" s="108"/>
      <c r="G1895" s="108"/>
      <c r="H1895" s="108"/>
      <c r="I1895" s="108"/>
      <c r="J1895" s="108"/>
      <c r="K1895" s="108"/>
      <c r="L1895" s="108"/>
      <c r="M1895" s="108"/>
      <c r="N1895" s="108"/>
      <c r="O1895" s="108"/>
      <c r="P1895" s="108"/>
      <c r="Q1895" s="108"/>
      <c r="R1895" s="108"/>
      <c r="S1895" s="108"/>
      <c r="T1895" s="108"/>
      <c r="U1895" s="108"/>
      <c r="V1895" s="108"/>
      <c r="W1895" s="108"/>
      <c r="X1895" s="108"/>
      <c r="Y1895" s="108"/>
      <c r="Z1895" s="108"/>
    </row>
    <row r="1896" ht="16.5" customHeight="1">
      <c r="A1896" s="108"/>
      <c r="B1896" s="108"/>
      <c r="C1896" s="180"/>
      <c r="D1896" s="108"/>
      <c r="E1896" s="108"/>
      <c r="F1896" s="108"/>
      <c r="G1896" s="108"/>
      <c r="H1896" s="108"/>
      <c r="I1896" s="108"/>
      <c r="J1896" s="108"/>
      <c r="K1896" s="108"/>
      <c r="L1896" s="108"/>
      <c r="M1896" s="108"/>
      <c r="N1896" s="108"/>
      <c r="O1896" s="108"/>
      <c r="P1896" s="108"/>
      <c r="Q1896" s="108"/>
      <c r="R1896" s="108"/>
      <c r="S1896" s="108"/>
      <c r="T1896" s="108"/>
      <c r="U1896" s="108"/>
      <c r="V1896" s="108"/>
      <c r="W1896" s="108"/>
      <c r="X1896" s="108"/>
      <c r="Y1896" s="108"/>
      <c r="Z1896" s="108"/>
    </row>
    <row r="1897" ht="16.5" customHeight="1">
      <c r="A1897" s="108"/>
      <c r="B1897" s="108"/>
      <c r="C1897" s="180"/>
      <c r="D1897" s="108"/>
      <c r="E1897" s="108"/>
      <c r="F1897" s="108"/>
      <c r="G1897" s="108"/>
      <c r="H1897" s="108"/>
      <c r="I1897" s="108"/>
      <c r="J1897" s="108"/>
      <c r="K1897" s="108"/>
      <c r="L1897" s="108"/>
      <c r="M1897" s="108"/>
      <c r="N1897" s="108"/>
      <c r="O1897" s="108"/>
      <c r="P1897" s="108"/>
      <c r="Q1897" s="108"/>
      <c r="R1897" s="108"/>
      <c r="S1897" s="108"/>
      <c r="T1897" s="108"/>
      <c r="U1897" s="108"/>
      <c r="V1897" s="108"/>
      <c r="W1897" s="108"/>
      <c r="X1897" s="108"/>
      <c r="Y1897" s="108"/>
      <c r="Z1897" s="108"/>
    </row>
    <row r="1898" ht="16.5" customHeight="1">
      <c r="A1898" s="108"/>
      <c r="B1898" s="108"/>
      <c r="C1898" s="180"/>
      <c r="D1898" s="108"/>
      <c r="E1898" s="108"/>
      <c r="F1898" s="108"/>
      <c r="G1898" s="108"/>
      <c r="H1898" s="108"/>
      <c r="I1898" s="108"/>
      <c r="J1898" s="108"/>
      <c r="K1898" s="108"/>
      <c r="L1898" s="108"/>
      <c r="M1898" s="108"/>
      <c r="N1898" s="108"/>
      <c r="O1898" s="108"/>
      <c r="P1898" s="108"/>
      <c r="Q1898" s="108"/>
      <c r="R1898" s="108"/>
      <c r="S1898" s="108"/>
      <c r="T1898" s="108"/>
      <c r="U1898" s="108"/>
      <c r="V1898" s="108"/>
      <c r="W1898" s="108"/>
      <c r="X1898" s="108"/>
      <c r="Y1898" s="108"/>
      <c r="Z1898" s="108"/>
    </row>
    <row r="1899" ht="16.5" customHeight="1">
      <c r="A1899" s="108"/>
      <c r="B1899" s="108"/>
      <c r="C1899" s="180"/>
      <c r="D1899" s="108"/>
      <c r="E1899" s="108"/>
      <c r="F1899" s="108"/>
      <c r="G1899" s="108"/>
      <c r="H1899" s="108"/>
      <c r="I1899" s="108"/>
      <c r="J1899" s="108"/>
      <c r="K1899" s="108"/>
      <c r="L1899" s="108"/>
      <c r="M1899" s="108"/>
      <c r="N1899" s="108"/>
      <c r="O1899" s="108"/>
      <c r="P1899" s="108"/>
      <c r="Q1899" s="108"/>
      <c r="R1899" s="108"/>
      <c r="S1899" s="108"/>
      <c r="T1899" s="108"/>
      <c r="U1899" s="108"/>
      <c r="V1899" s="108"/>
      <c r="W1899" s="108"/>
      <c r="X1899" s="108"/>
      <c r="Y1899" s="108"/>
      <c r="Z1899" s="108"/>
    </row>
    <row r="1900" ht="16.5" customHeight="1">
      <c r="A1900" s="108"/>
      <c r="B1900" s="108"/>
      <c r="C1900" s="180"/>
      <c r="D1900" s="108"/>
      <c r="E1900" s="108"/>
      <c r="F1900" s="108"/>
      <c r="G1900" s="108"/>
      <c r="H1900" s="108"/>
      <c r="I1900" s="108"/>
      <c r="J1900" s="108"/>
      <c r="K1900" s="108"/>
      <c r="L1900" s="108"/>
      <c r="M1900" s="108"/>
      <c r="N1900" s="108"/>
      <c r="O1900" s="108"/>
      <c r="P1900" s="108"/>
      <c r="Q1900" s="108"/>
      <c r="R1900" s="108"/>
      <c r="S1900" s="108"/>
      <c r="T1900" s="108"/>
      <c r="U1900" s="108"/>
      <c r="V1900" s="108"/>
      <c r="W1900" s="108"/>
      <c r="X1900" s="108"/>
      <c r="Y1900" s="108"/>
      <c r="Z1900" s="108"/>
    </row>
    <row r="1901" ht="16.5" customHeight="1">
      <c r="A1901" s="108"/>
      <c r="B1901" s="108"/>
      <c r="C1901" s="180"/>
      <c r="D1901" s="108"/>
      <c r="E1901" s="108"/>
      <c r="F1901" s="108"/>
      <c r="G1901" s="108"/>
      <c r="H1901" s="108"/>
      <c r="I1901" s="108"/>
      <c r="J1901" s="108"/>
      <c r="K1901" s="108"/>
      <c r="L1901" s="108"/>
      <c r="M1901" s="108"/>
      <c r="N1901" s="108"/>
      <c r="O1901" s="108"/>
      <c r="P1901" s="108"/>
      <c r="Q1901" s="108"/>
      <c r="R1901" s="108"/>
      <c r="S1901" s="108"/>
      <c r="T1901" s="108"/>
      <c r="U1901" s="108"/>
      <c r="V1901" s="108"/>
      <c r="W1901" s="108"/>
      <c r="X1901" s="108"/>
      <c r="Y1901" s="108"/>
      <c r="Z1901" s="108"/>
    </row>
    <row r="1902" ht="16.5" customHeight="1">
      <c r="A1902" s="108"/>
      <c r="B1902" s="108"/>
      <c r="C1902" s="180"/>
      <c r="D1902" s="108"/>
      <c r="E1902" s="108"/>
      <c r="F1902" s="108"/>
      <c r="G1902" s="108"/>
      <c r="H1902" s="108"/>
      <c r="I1902" s="108"/>
      <c r="J1902" s="108"/>
      <c r="K1902" s="108"/>
      <c r="L1902" s="108"/>
      <c r="M1902" s="108"/>
      <c r="N1902" s="108"/>
      <c r="O1902" s="108"/>
      <c r="P1902" s="108"/>
      <c r="Q1902" s="108"/>
      <c r="R1902" s="108"/>
      <c r="S1902" s="108"/>
      <c r="T1902" s="108"/>
      <c r="U1902" s="108"/>
      <c r="V1902" s="108"/>
      <c r="W1902" s="108"/>
      <c r="X1902" s="108"/>
      <c r="Y1902" s="108"/>
      <c r="Z1902" s="108"/>
    </row>
    <row r="1903" ht="16.5" customHeight="1">
      <c r="A1903" s="108"/>
      <c r="B1903" s="108"/>
      <c r="C1903" s="180"/>
      <c r="D1903" s="108"/>
      <c r="E1903" s="108"/>
      <c r="F1903" s="108"/>
      <c r="G1903" s="108"/>
      <c r="H1903" s="108"/>
      <c r="I1903" s="108"/>
      <c r="J1903" s="108"/>
      <c r="K1903" s="108"/>
      <c r="L1903" s="108"/>
      <c r="M1903" s="108"/>
      <c r="N1903" s="108"/>
      <c r="O1903" s="108"/>
      <c r="P1903" s="108"/>
      <c r="Q1903" s="108"/>
      <c r="R1903" s="108"/>
      <c r="S1903" s="108"/>
      <c r="T1903" s="108"/>
      <c r="U1903" s="108"/>
      <c r="V1903" s="108"/>
      <c r="W1903" s="108"/>
      <c r="X1903" s="108"/>
      <c r="Y1903" s="108"/>
      <c r="Z1903" s="108"/>
    </row>
    <row r="1904" ht="16.5" customHeight="1">
      <c r="A1904" s="108"/>
      <c r="B1904" s="108"/>
      <c r="C1904" s="180"/>
      <c r="D1904" s="108"/>
      <c r="E1904" s="108"/>
      <c r="F1904" s="108"/>
      <c r="G1904" s="108"/>
      <c r="H1904" s="108"/>
      <c r="I1904" s="108"/>
      <c r="J1904" s="108"/>
      <c r="K1904" s="108"/>
      <c r="L1904" s="108"/>
      <c r="M1904" s="108"/>
      <c r="N1904" s="108"/>
      <c r="O1904" s="108"/>
      <c r="P1904" s="108"/>
      <c r="Q1904" s="108"/>
      <c r="R1904" s="108"/>
      <c r="S1904" s="108"/>
      <c r="T1904" s="108"/>
      <c r="U1904" s="108"/>
      <c r="V1904" s="108"/>
      <c r="W1904" s="108"/>
      <c r="X1904" s="108"/>
      <c r="Y1904" s="108"/>
      <c r="Z1904" s="108"/>
    </row>
    <row r="1905" ht="16.5" customHeight="1">
      <c r="A1905" s="108"/>
      <c r="B1905" s="108"/>
      <c r="C1905" s="180"/>
      <c r="D1905" s="108"/>
      <c r="E1905" s="108"/>
      <c r="F1905" s="108"/>
      <c r="G1905" s="108"/>
      <c r="H1905" s="108"/>
      <c r="I1905" s="108"/>
      <c r="J1905" s="108"/>
      <c r="K1905" s="108"/>
      <c r="L1905" s="108"/>
      <c r="M1905" s="108"/>
      <c r="N1905" s="108"/>
      <c r="O1905" s="108"/>
      <c r="P1905" s="108"/>
      <c r="Q1905" s="108"/>
      <c r="R1905" s="108"/>
      <c r="S1905" s="108"/>
      <c r="T1905" s="108"/>
      <c r="U1905" s="108"/>
      <c r="V1905" s="108"/>
      <c r="W1905" s="108"/>
      <c r="X1905" s="108"/>
      <c r="Y1905" s="108"/>
      <c r="Z1905" s="108"/>
    </row>
    <row r="1906" ht="16.5" customHeight="1">
      <c r="A1906" s="108"/>
      <c r="B1906" s="108"/>
      <c r="C1906" s="180"/>
      <c r="D1906" s="108"/>
      <c r="E1906" s="108"/>
      <c r="F1906" s="108"/>
      <c r="G1906" s="108"/>
      <c r="H1906" s="108"/>
      <c r="I1906" s="108"/>
      <c r="J1906" s="108"/>
      <c r="K1906" s="108"/>
      <c r="L1906" s="108"/>
      <c r="M1906" s="108"/>
      <c r="N1906" s="108"/>
      <c r="O1906" s="108"/>
      <c r="P1906" s="108"/>
      <c r="Q1906" s="108"/>
      <c r="R1906" s="108"/>
      <c r="S1906" s="108"/>
      <c r="T1906" s="108"/>
      <c r="U1906" s="108"/>
      <c r="V1906" s="108"/>
      <c r="W1906" s="108"/>
      <c r="X1906" s="108"/>
      <c r="Y1906" s="108"/>
      <c r="Z1906" s="108"/>
    </row>
    <row r="1907" ht="16.5" customHeight="1">
      <c r="A1907" s="108"/>
      <c r="B1907" s="108"/>
      <c r="C1907" s="180"/>
      <c r="D1907" s="108"/>
      <c r="E1907" s="108"/>
      <c r="F1907" s="108"/>
      <c r="G1907" s="108"/>
      <c r="H1907" s="108"/>
      <c r="I1907" s="108"/>
      <c r="J1907" s="108"/>
      <c r="K1907" s="108"/>
      <c r="L1907" s="108"/>
      <c r="M1907" s="108"/>
      <c r="N1907" s="108"/>
      <c r="O1907" s="108"/>
      <c r="P1907" s="108"/>
      <c r="Q1907" s="108"/>
      <c r="R1907" s="108"/>
      <c r="S1907" s="108"/>
      <c r="T1907" s="108"/>
      <c r="U1907" s="108"/>
      <c r="V1907" s="108"/>
      <c r="W1907" s="108"/>
      <c r="X1907" s="108"/>
      <c r="Y1907" s="108"/>
      <c r="Z1907" s="108"/>
    </row>
    <row r="1908" ht="16.5" customHeight="1">
      <c r="A1908" s="108"/>
      <c r="B1908" s="108"/>
      <c r="C1908" s="180"/>
      <c r="D1908" s="108"/>
      <c r="E1908" s="108"/>
      <c r="F1908" s="108"/>
      <c r="G1908" s="108"/>
      <c r="H1908" s="108"/>
      <c r="I1908" s="108"/>
      <c r="J1908" s="108"/>
      <c r="K1908" s="108"/>
      <c r="L1908" s="108"/>
      <c r="M1908" s="108"/>
      <c r="N1908" s="108"/>
      <c r="O1908" s="108"/>
      <c r="P1908" s="108"/>
      <c r="Q1908" s="108"/>
      <c r="R1908" s="108"/>
      <c r="S1908" s="108"/>
      <c r="T1908" s="108"/>
      <c r="U1908" s="108"/>
      <c r="V1908" s="108"/>
      <c r="W1908" s="108"/>
      <c r="X1908" s="108"/>
      <c r="Y1908" s="108"/>
      <c r="Z1908" s="108"/>
    </row>
    <row r="1909" ht="16.5" customHeight="1">
      <c r="A1909" s="108"/>
      <c r="B1909" s="108"/>
      <c r="C1909" s="180"/>
      <c r="D1909" s="108"/>
      <c r="E1909" s="108"/>
      <c r="F1909" s="108"/>
      <c r="G1909" s="108"/>
      <c r="H1909" s="108"/>
      <c r="I1909" s="108"/>
      <c r="J1909" s="108"/>
      <c r="K1909" s="108"/>
      <c r="L1909" s="108"/>
      <c r="M1909" s="108"/>
      <c r="N1909" s="108"/>
      <c r="O1909" s="108"/>
      <c r="P1909" s="108"/>
      <c r="Q1909" s="108"/>
      <c r="R1909" s="108"/>
      <c r="S1909" s="108"/>
      <c r="T1909" s="108"/>
      <c r="U1909" s="108"/>
      <c r="V1909" s="108"/>
      <c r="W1909" s="108"/>
      <c r="X1909" s="108"/>
      <c r="Y1909" s="108"/>
      <c r="Z1909" s="108"/>
    </row>
    <row r="1910" ht="16.5" customHeight="1">
      <c r="A1910" s="108"/>
      <c r="B1910" s="108"/>
      <c r="C1910" s="180"/>
      <c r="D1910" s="108"/>
      <c r="E1910" s="108"/>
      <c r="F1910" s="108"/>
      <c r="G1910" s="108"/>
      <c r="H1910" s="108"/>
      <c r="I1910" s="108"/>
      <c r="J1910" s="108"/>
      <c r="K1910" s="108"/>
      <c r="L1910" s="108"/>
      <c r="M1910" s="108"/>
      <c r="N1910" s="108"/>
      <c r="O1910" s="108"/>
      <c r="P1910" s="108"/>
      <c r="Q1910" s="108"/>
      <c r="R1910" s="108"/>
      <c r="S1910" s="108"/>
      <c r="T1910" s="108"/>
      <c r="U1910" s="108"/>
      <c r="V1910" s="108"/>
      <c r="W1910" s="108"/>
      <c r="X1910" s="108"/>
      <c r="Y1910" s="108"/>
      <c r="Z1910" s="108"/>
    </row>
    <row r="1911" ht="16.5" customHeight="1">
      <c r="A1911" s="108"/>
      <c r="B1911" s="108"/>
      <c r="C1911" s="180"/>
      <c r="D1911" s="108"/>
      <c r="E1911" s="108"/>
      <c r="F1911" s="108"/>
      <c r="G1911" s="108"/>
      <c r="H1911" s="108"/>
      <c r="I1911" s="108"/>
      <c r="J1911" s="108"/>
      <c r="K1911" s="108"/>
      <c r="L1911" s="108"/>
      <c r="M1911" s="108"/>
      <c r="N1911" s="108"/>
      <c r="O1911" s="108"/>
      <c r="P1911" s="108"/>
      <c r="Q1911" s="108"/>
      <c r="R1911" s="108"/>
      <c r="S1911" s="108"/>
      <c r="T1911" s="108"/>
      <c r="U1911" s="108"/>
      <c r="V1911" s="108"/>
      <c r="W1911" s="108"/>
      <c r="X1911" s="108"/>
      <c r="Y1911" s="108"/>
      <c r="Z1911" s="108"/>
    </row>
    <row r="1912" ht="16.5" customHeight="1">
      <c r="A1912" s="108"/>
      <c r="B1912" s="108"/>
      <c r="C1912" s="180"/>
      <c r="D1912" s="108"/>
      <c r="E1912" s="108"/>
      <c r="F1912" s="108"/>
      <c r="G1912" s="108"/>
      <c r="H1912" s="108"/>
      <c r="I1912" s="108"/>
      <c r="J1912" s="108"/>
      <c r="K1912" s="108"/>
      <c r="L1912" s="108"/>
      <c r="M1912" s="108"/>
      <c r="N1912" s="108"/>
      <c r="O1912" s="108"/>
      <c r="P1912" s="108"/>
      <c r="Q1912" s="108"/>
      <c r="R1912" s="108"/>
      <c r="S1912" s="108"/>
      <c r="T1912" s="108"/>
      <c r="U1912" s="108"/>
      <c r="V1912" s="108"/>
      <c r="W1912" s="108"/>
      <c r="X1912" s="108"/>
      <c r="Y1912" s="108"/>
      <c r="Z1912" s="108"/>
    </row>
    <row r="1913" ht="16.5" customHeight="1">
      <c r="A1913" s="108"/>
      <c r="B1913" s="108"/>
      <c r="C1913" s="180"/>
      <c r="D1913" s="108"/>
      <c r="E1913" s="108"/>
      <c r="F1913" s="108"/>
      <c r="G1913" s="108"/>
      <c r="H1913" s="108"/>
      <c r="I1913" s="108"/>
      <c r="J1913" s="108"/>
      <c r="K1913" s="108"/>
      <c r="L1913" s="108"/>
      <c r="M1913" s="108"/>
      <c r="N1913" s="108"/>
      <c r="O1913" s="108"/>
      <c r="P1913" s="108"/>
      <c r="Q1913" s="108"/>
      <c r="R1913" s="108"/>
      <c r="S1913" s="108"/>
      <c r="T1913" s="108"/>
      <c r="U1913" s="108"/>
      <c r="V1913" s="108"/>
      <c r="W1913" s="108"/>
      <c r="X1913" s="108"/>
      <c r="Y1913" s="108"/>
      <c r="Z1913" s="108"/>
    </row>
    <row r="1914" ht="16.5" customHeight="1">
      <c r="A1914" s="108"/>
      <c r="B1914" s="108"/>
      <c r="C1914" s="180"/>
      <c r="D1914" s="108"/>
      <c r="E1914" s="108"/>
      <c r="F1914" s="108"/>
      <c r="G1914" s="108"/>
      <c r="H1914" s="108"/>
      <c r="I1914" s="108"/>
      <c r="J1914" s="108"/>
      <c r="K1914" s="108"/>
      <c r="L1914" s="108"/>
      <c r="M1914" s="108"/>
      <c r="N1914" s="108"/>
      <c r="O1914" s="108"/>
      <c r="P1914" s="108"/>
      <c r="Q1914" s="108"/>
      <c r="R1914" s="108"/>
      <c r="S1914" s="108"/>
      <c r="T1914" s="108"/>
      <c r="U1914" s="108"/>
      <c r="V1914" s="108"/>
      <c r="W1914" s="108"/>
      <c r="X1914" s="108"/>
      <c r="Y1914" s="108"/>
      <c r="Z1914" s="108"/>
    </row>
    <row r="1915" ht="16.5" customHeight="1">
      <c r="A1915" s="108"/>
      <c r="B1915" s="108"/>
      <c r="C1915" s="180"/>
      <c r="D1915" s="108"/>
      <c r="E1915" s="108"/>
      <c r="F1915" s="108"/>
      <c r="G1915" s="108"/>
      <c r="H1915" s="108"/>
      <c r="I1915" s="108"/>
      <c r="J1915" s="108"/>
      <c r="K1915" s="108"/>
      <c r="L1915" s="108"/>
      <c r="M1915" s="108"/>
      <c r="N1915" s="108"/>
      <c r="O1915" s="108"/>
      <c r="P1915" s="108"/>
      <c r="Q1915" s="108"/>
      <c r="R1915" s="108"/>
      <c r="S1915" s="108"/>
      <c r="T1915" s="108"/>
      <c r="U1915" s="108"/>
      <c r="V1915" s="108"/>
      <c r="W1915" s="108"/>
      <c r="X1915" s="108"/>
      <c r="Y1915" s="108"/>
      <c r="Z1915" s="108"/>
    </row>
    <row r="1916" ht="16.5" customHeight="1">
      <c r="A1916" s="108"/>
      <c r="B1916" s="108"/>
      <c r="C1916" s="180"/>
      <c r="D1916" s="108"/>
      <c r="E1916" s="108"/>
      <c r="F1916" s="108"/>
      <c r="G1916" s="108"/>
      <c r="H1916" s="108"/>
      <c r="I1916" s="108"/>
      <c r="J1916" s="108"/>
      <c r="K1916" s="108"/>
      <c r="L1916" s="108"/>
      <c r="M1916" s="108"/>
      <c r="N1916" s="108"/>
      <c r="O1916" s="108"/>
      <c r="P1916" s="108"/>
      <c r="Q1916" s="108"/>
      <c r="R1916" s="108"/>
      <c r="S1916" s="108"/>
      <c r="T1916" s="108"/>
      <c r="U1916" s="108"/>
      <c r="V1916" s="108"/>
      <c r="W1916" s="108"/>
      <c r="X1916" s="108"/>
      <c r="Y1916" s="108"/>
      <c r="Z1916" s="108"/>
    </row>
    <row r="1917" ht="16.5" customHeight="1">
      <c r="A1917" s="108"/>
      <c r="B1917" s="108"/>
      <c r="C1917" s="180"/>
      <c r="D1917" s="108"/>
      <c r="E1917" s="108"/>
      <c r="F1917" s="108"/>
      <c r="G1917" s="108"/>
      <c r="H1917" s="108"/>
      <c r="I1917" s="108"/>
      <c r="J1917" s="108"/>
      <c r="K1917" s="108"/>
      <c r="L1917" s="108"/>
      <c r="M1917" s="108"/>
      <c r="N1917" s="108"/>
      <c r="O1917" s="108"/>
      <c r="P1917" s="108"/>
      <c r="Q1917" s="108"/>
      <c r="R1917" s="108"/>
      <c r="S1917" s="108"/>
      <c r="T1917" s="108"/>
      <c r="U1917" s="108"/>
      <c r="V1917" s="108"/>
      <c r="W1917" s="108"/>
      <c r="X1917" s="108"/>
      <c r="Y1917" s="108"/>
      <c r="Z1917" s="108"/>
    </row>
    <row r="1918" ht="16.5" customHeight="1">
      <c r="A1918" s="108"/>
      <c r="B1918" s="108"/>
      <c r="C1918" s="180"/>
      <c r="D1918" s="108"/>
      <c r="E1918" s="108"/>
      <c r="F1918" s="108"/>
      <c r="G1918" s="108"/>
      <c r="H1918" s="108"/>
      <c r="I1918" s="108"/>
      <c r="J1918" s="108"/>
      <c r="K1918" s="108"/>
      <c r="L1918" s="108"/>
      <c r="M1918" s="108"/>
      <c r="N1918" s="108"/>
      <c r="O1918" s="108"/>
      <c r="P1918" s="108"/>
      <c r="Q1918" s="108"/>
      <c r="R1918" s="108"/>
      <c r="S1918" s="108"/>
      <c r="T1918" s="108"/>
      <c r="U1918" s="108"/>
      <c r="V1918" s="108"/>
      <c r="W1918" s="108"/>
      <c r="X1918" s="108"/>
      <c r="Y1918" s="108"/>
      <c r="Z1918" s="108"/>
    </row>
    <row r="1919" ht="16.5" customHeight="1">
      <c r="A1919" s="108"/>
      <c r="B1919" s="108"/>
      <c r="C1919" s="180"/>
      <c r="D1919" s="108"/>
      <c r="E1919" s="108"/>
      <c r="F1919" s="108"/>
      <c r="G1919" s="108"/>
      <c r="H1919" s="108"/>
      <c r="I1919" s="108"/>
      <c r="J1919" s="108"/>
      <c r="K1919" s="108"/>
      <c r="L1919" s="108"/>
      <c r="M1919" s="108"/>
      <c r="N1919" s="108"/>
      <c r="O1919" s="108"/>
      <c r="P1919" s="108"/>
      <c r="Q1919" s="108"/>
      <c r="R1919" s="108"/>
      <c r="S1919" s="108"/>
      <c r="T1919" s="108"/>
      <c r="U1919" s="108"/>
      <c r="V1919" s="108"/>
      <c r="W1919" s="108"/>
      <c r="X1919" s="108"/>
      <c r="Y1919" s="108"/>
      <c r="Z1919" s="108"/>
    </row>
    <row r="1920" ht="16.5" customHeight="1">
      <c r="A1920" s="108"/>
      <c r="B1920" s="108"/>
      <c r="C1920" s="180"/>
      <c r="D1920" s="108"/>
      <c r="E1920" s="108"/>
      <c r="F1920" s="108"/>
      <c r="G1920" s="108"/>
      <c r="H1920" s="108"/>
      <c r="I1920" s="108"/>
      <c r="J1920" s="108"/>
      <c r="K1920" s="108"/>
      <c r="L1920" s="108"/>
      <c r="M1920" s="108"/>
      <c r="N1920" s="108"/>
      <c r="O1920" s="108"/>
      <c r="P1920" s="108"/>
      <c r="Q1920" s="108"/>
      <c r="R1920" s="108"/>
      <c r="S1920" s="108"/>
      <c r="T1920" s="108"/>
      <c r="U1920" s="108"/>
      <c r="V1920" s="108"/>
      <c r="W1920" s="108"/>
      <c r="X1920" s="108"/>
      <c r="Y1920" s="108"/>
      <c r="Z1920" s="108"/>
    </row>
    <row r="1921" ht="16.5" customHeight="1">
      <c r="A1921" s="108"/>
      <c r="B1921" s="108"/>
      <c r="C1921" s="180"/>
      <c r="D1921" s="108"/>
      <c r="E1921" s="108"/>
      <c r="F1921" s="108"/>
      <c r="G1921" s="108"/>
      <c r="H1921" s="108"/>
      <c r="I1921" s="108"/>
      <c r="J1921" s="108"/>
      <c r="K1921" s="108"/>
      <c r="L1921" s="108"/>
      <c r="M1921" s="108"/>
      <c r="N1921" s="108"/>
      <c r="O1921" s="108"/>
      <c r="P1921" s="108"/>
      <c r="Q1921" s="108"/>
      <c r="R1921" s="108"/>
      <c r="S1921" s="108"/>
      <c r="T1921" s="108"/>
      <c r="U1921" s="108"/>
      <c r="V1921" s="108"/>
      <c r="W1921" s="108"/>
      <c r="X1921" s="108"/>
      <c r="Y1921" s="108"/>
      <c r="Z1921" s="108"/>
    </row>
    <row r="1922" ht="16.5" customHeight="1">
      <c r="A1922" s="108"/>
      <c r="B1922" s="108"/>
      <c r="C1922" s="180"/>
      <c r="D1922" s="108"/>
      <c r="E1922" s="108"/>
      <c r="F1922" s="108"/>
      <c r="G1922" s="108"/>
      <c r="H1922" s="108"/>
      <c r="I1922" s="108"/>
      <c r="J1922" s="108"/>
      <c r="K1922" s="108"/>
      <c r="L1922" s="108"/>
      <c r="M1922" s="108"/>
      <c r="N1922" s="108"/>
      <c r="O1922" s="108"/>
      <c r="P1922" s="108"/>
      <c r="Q1922" s="108"/>
      <c r="R1922" s="108"/>
      <c r="S1922" s="108"/>
      <c r="T1922" s="108"/>
      <c r="U1922" s="108"/>
      <c r="V1922" s="108"/>
      <c r="W1922" s="108"/>
      <c r="X1922" s="108"/>
      <c r="Y1922" s="108"/>
      <c r="Z1922" s="108"/>
    </row>
    <row r="1923" ht="16.5" customHeight="1">
      <c r="A1923" s="108"/>
      <c r="B1923" s="108"/>
      <c r="C1923" s="180"/>
      <c r="D1923" s="108"/>
      <c r="E1923" s="108"/>
      <c r="F1923" s="108"/>
      <c r="G1923" s="108"/>
      <c r="H1923" s="108"/>
      <c r="I1923" s="108"/>
      <c r="J1923" s="108"/>
      <c r="K1923" s="108"/>
      <c r="L1923" s="108"/>
      <c r="M1923" s="108"/>
      <c r="N1923" s="108"/>
      <c r="O1923" s="108"/>
      <c r="P1923" s="108"/>
      <c r="Q1923" s="108"/>
      <c r="R1923" s="108"/>
      <c r="S1923" s="108"/>
      <c r="T1923" s="108"/>
      <c r="U1923" s="108"/>
      <c r="V1923" s="108"/>
      <c r="W1923" s="108"/>
      <c r="X1923" s="108"/>
      <c r="Y1923" s="108"/>
      <c r="Z1923" s="108"/>
    </row>
    <row r="1924" ht="16.5" customHeight="1">
      <c r="A1924" s="108"/>
      <c r="B1924" s="108"/>
      <c r="C1924" s="180"/>
      <c r="D1924" s="108"/>
      <c r="E1924" s="108"/>
      <c r="F1924" s="108"/>
      <c r="G1924" s="108"/>
      <c r="H1924" s="108"/>
      <c r="I1924" s="108"/>
      <c r="J1924" s="108"/>
      <c r="K1924" s="108"/>
      <c r="L1924" s="108"/>
      <c r="M1924" s="108"/>
      <c r="N1924" s="108"/>
      <c r="O1924" s="108"/>
      <c r="P1924" s="108"/>
      <c r="Q1924" s="108"/>
      <c r="R1924" s="108"/>
      <c r="S1924" s="108"/>
      <c r="T1924" s="108"/>
      <c r="U1924" s="108"/>
      <c r="V1924" s="108"/>
      <c r="W1924" s="108"/>
      <c r="X1924" s="108"/>
      <c r="Y1924" s="108"/>
      <c r="Z1924" s="108"/>
    </row>
    <row r="1925" ht="16.5" customHeight="1">
      <c r="A1925" s="108"/>
      <c r="B1925" s="108"/>
      <c r="C1925" s="180"/>
      <c r="D1925" s="108"/>
      <c r="E1925" s="108"/>
      <c r="F1925" s="108"/>
      <c r="G1925" s="108"/>
      <c r="H1925" s="108"/>
      <c r="I1925" s="108"/>
      <c r="J1925" s="108"/>
      <c r="K1925" s="108"/>
      <c r="L1925" s="108"/>
      <c r="M1925" s="108"/>
      <c r="N1925" s="108"/>
      <c r="O1925" s="108"/>
      <c r="P1925" s="108"/>
      <c r="Q1925" s="108"/>
      <c r="R1925" s="108"/>
      <c r="S1925" s="108"/>
      <c r="T1925" s="108"/>
      <c r="U1925" s="108"/>
      <c r="V1925" s="108"/>
      <c r="W1925" s="108"/>
      <c r="X1925" s="108"/>
      <c r="Y1925" s="108"/>
      <c r="Z1925" s="108"/>
    </row>
    <row r="1926" ht="16.5" customHeight="1">
      <c r="A1926" s="108"/>
      <c r="B1926" s="108"/>
      <c r="C1926" s="180"/>
      <c r="D1926" s="108"/>
      <c r="E1926" s="108"/>
      <c r="F1926" s="108"/>
      <c r="G1926" s="108"/>
      <c r="H1926" s="108"/>
      <c r="I1926" s="108"/>
      <c r="J1926" s="108"/>
      <c r="K1926" s="108"/>
      <c r="L1926" s="108"/>
      <c r="M1926" s="108"/>
      <c r="N1926" s="108"/>
      <c r="O1926" s="108"/>
      <c r="P1926" s="108"/>
      <c r="Q1926" s="108"/>
      <c r="R1926" s="108"/>
      <c r="S1926" s="108"/>
      <c r="T1926" s="108"/>
      <c r="U1926" s="108"/>
      <c r="V1926" s="108"/>
      <c r="W1926" s="108"/>
      <c r="X1926" s="108"/>
      <c r="Y1926" s="108"/>
      <c r="Z1926" s="108"/>
    </row>
    <row r="1927" ht="16.5" customHeight="1">
      <c r="A1927" s="108"/>
      <c r="B1927" s="108"/>
      <c r="C1927" s="180"/>
      <c r="D1927" s="108"/>
      <c r="E1927" s="108"/>
      <c r="F1927" s="108"/>
      <c r="G1927" s="108"/>
      <c r="H1927" s="108"/>
      <c r="I1927" s="108"/>
      <c r="J1927" s="108"/>
      <c r="K1927" s="108"/>
      <c r="L1927" s="108"/>
      <c r="M1927" s="108"/>
      <c r="N1927" s="108"/>
      <c r="O1927" s="108"/>
      <c r="P1927" s="108"/>
      <c r="Q1927" s="108"/>
      <c r="R1927" s="108"/>
      <c r="S1927" s="108"/>
      <c r="T1927" s="108"/>
      <c r="U1927" s="108"/>
      <c r="V1927" s="108"/>
      <c r="W1927" s="108"/>
      <c r="X1927" s="108"/>
      <c r="Y1927" s="108"/>
      <c r="Z1927" s="108"/>
    </row>
    <row r="1928" ht="16.5" customHeight="1">
      <c r="A1928" s="108"/>
      <c r="B1928" s="108"/>
      <c r="C1928" s="180"/>
      <c r="D1928" s="108"/>
      <c r="E1928" s="108"/>
      <c r="F1928" s="108"/>
      <c r="G1928" s="108"/>
      <c r="H1928" s="108"/>
      <c r="I1928" s="108"/>
      <c r="J1928" s="108"/>
      <c r="K1928" s="108"/>
      <c r="L1928" s="108"/>
      <c r="M1928" s="108"/>
      <c r="N1928" s="108"/>
      <c r="O1928" s="108"/>
      <c r="P1928" s="108"/>
      <c r="Q1928" s="108"/>
      <c r="R1928" s="108"/>
      <c r="S1928" s="108"/>
      <c r="T1928" s="108"/>
      <c r="U1928" s="108"/>
      <c r="V1928" s="108"/>
      <c r="W1928" s="108"/>
      <c r="X1928" s="108"/>
      <c r="Y1928" s="108"/>
      <c r="Z1928" s="108"/>
    </row>
    <row r="1929" ht="16.5" customHeight="1">
      <c r="A1929" s="108"/>
      <c r="B1929" s="108"/>
      <c r="C1929" s="180"/>
      <c r="D1929" s="108"/>
      <c r="E1929" s="108"/>
      <c r="F1929" s="108"/>
      <c r="G1929" s="108"/>
      <c r="H1929" s="108"/>
      <c r="I1929" s="108"/>
      <c r="J1929" s="108"/>
      <c r="K1929" s="108"/>
      <c r="L1929" s="108"/>
      <c r="M1929" s="108"/>
      <c r="N1929" s="108"/>
      <c r="O1929" s="108"/>
      <c r="P1929" s="108"/>
      <c r="Q1929" s="108"/>
      <c r="R1929" s="108"/>
      <c r="S1929" s="108"/>
      <c r="T1929" s="108"/>
      <c r="U1929" s="108"/>
      <c r="V1929" s="108"/>
      <c r="W1929" s="108"/>
      <c r="X1929" s="108"/>
      <c r="Y1929" s="108"/>
      <c r="Z1929" s="108"/>
    </row>
    <row r="1930" ht="16.5" customHeight="1">
      <c r="A1930" s="108"/>
      <c r="B1930" s="108"/>
      <c r="C1930" s="180"/>
      <c r="D1930" s="108"/>
      <c r="E1930" s="108"/>
      <c r="F1930" s="108"/>
      <c r="G1930" s="108"/>
      <c r="H1930" s="108"/>
      <c r="I1930" s="108"/>
      <c r="J1930" s="108"/>
      <c r="K1930" s="108"/>
      <c r="L1930" s="108"/>
      <c r="M1930" s="108"/>
      <c r="N1930" s="108"/>
      <c r="O1930" s="108"/>
      <c r="P1930" s="108"/>
      <c r="Q1930" s="108"/>
      <c r="R1930" s="108"/>
      <c r="S1930" s="108"/>
      <c r="T1930" s="108"/>
      <c r="U1930" s="108"/>
      <c r="V1930" s="108"/>
      <c r="W1930" s="108"/>
      <c r="X1930" s="108"/>
      <c r="Y1930" s="108"/>
      <c r="Z1930" s="108"/>
    </row>
    <row r="1931" ht="16.5" customHeight="1">
      <c r="A1931" s="108"/>
      <c r="B1931" s="108"/>
      <c r="C1931" s="180"/>
      <c r="D1931" s="108"/>
      <c r="E1931" s="108"/>
      <c r="F1931" s="108"/>
      <c r="G1931" s="108"/>
      <c r="H1931" s="108"/>
      <c r="I1931" s="108"/>
      <c r="J1931" s="108"/>
      <c r="K1931" s="108"/>
      <c r="L1931" s="108"/>
      <c r="M1931" s="108"/>
      <c r="N1931" s="108"/>
      <c r="O1931" s="108"/>
      <c r="P1931" s="108"/>
      <c r="Q1931" s="108"/>
      <c r="R1931" s="108"/>
      <c r="S1931" s="108"/>
      <c r="T1931" s="108"/>
      <c r="U1931" s="108"/>
      <c r="V1931" s="108"/>
      <c r="W1931" s="108"/>
      <c r="X1931" s="108"/>
      <c r="Y1931" s="108"/>
      <c r="Z1931" s="108"/>
    </row>
    <row r="1932" ht="16.5" customHeight="1">
      <c r="A1932" s="108"/>
      <c r="B1932" s="108"/>
      <c r="C1932" s="180"/>
      <c r="D1932" s="108"/>
      <c r="E1932" s="108"/>
      <c r="F1932" s="108"/>
      <c r="G1932" s="108"/>
      <c r="H1932" s="108"/>
      <c r="I1932" s="108"/>
      <c r="J1932" s="108"/>
      <c r="K1932" s="108"/>
      <c r="L1932" s="108"/>
      <c r="M1932" s="108"/>
      <c r="N1932" s="108"/>
      <c r="O1932" s="108"/>
      <c r="P1932" s="108"/>
      <c r="Q1932" s="108"/>
      <c r="R1932" s="108"/>
      <c r="S1932" s="108"/>
      <c r="T1932" s="108"/>
      <c r="U1932" s="108"/>
      <c r="V1932" s="108"/>
      <c r="W1932" s="108"/>
      <c r="X1932" s="108"/>
      <c r="Y1932" s="108"/>
      <c r="Z1932" s="108"/>
    </row>
    <row r="1933" ht="16.5" customHeight="1">
      <c r="A1933" s="108"/>
      <c r="B1933" s="108"/>
      <c r="C1933" s="180"/>
      <c r="D1933" s="108"/>
      <c r="E1933" s="108"/>
      <c r="F1933" s="108"/>
      <c r="G1933" s="108"/>
      <c r="H1933" s="108"/>
      <c r="I1933" s="108"/>
      <c r="J1933" s="108"/>
      <c r="K1933" s="108"/>
      <c r="L1933" s="108"/>
      <c r="M1933" s="108"/>
      <c r="N1933" s="108"/>
      <c r="O1933" s="108"/>
      <c r="P1933" s="108"/>
      <c r="Q1933" s="108"/>
      <c r="R1933" s="108"/>
      <c r="S1933" s="108"/>
      <c r="T1933" s="108"/>
      <c r="U1933" s="108"/>
      <c r="V1933" s="108"/>
      <c r="W1933" s="108"/>
      <c r="X1933" s="108"/>
      <c r="Y1933" s="108"/>
      <c r="Z1933" s="108"/>
    </row>
    <row r="1934" ht="16.5" customHeight="1">
      <c r="A1934" s="108"/>
      <c r="B1934" s="108"/>
      <c r="C1934" s="180"/>
      <c r="D1934" s="108"/>
      <c r="E1934" s="108"/>
      <c r="F1934" s="108"/>
      <c r="G1934" s="108"/>
      <c r="H1934" s="108"/>
      <c r="I1934" s="108"/>
      <c r="J1934" s="108"/>
      <c r="K1934" s="108"/>
      <c r="L1934" s="108"/>
      <c r="M1934" s="108"/>
      <c r="N1934" s="108"/>
      <c r="O1934" s="108"/>
      <c r="P1934" s="108"/>
      <c r="Q1934" s="108"/>
      <c r="R1934" s="108"/>
      <c r="S1934" s="108"/>
      <c r="T1934" s="108"/>
      <c r="U1934" s="108"/>
      <c r="V1934" s="108"/>
      <c r="W1934" s="108"/>
      <c r="X1934" s="108"/>
      <c r="Y1934" s="108"/>
      <c r="Z1934" s="108"/>
    </row>
    <row r="1935" ht="16.5" customHeight="1">
      <c r="A1935" s="108"/>
      <c r="B1935" s="108"/>
      <c r="C1935" s="180"/>
      <c r="D1935" s="108"/>
      <c r="E1935" s="108"/>
      <c r="F1935" s="108"/>
      <c r="G1935" s="108"/>
      <c r="H1935" s="108"/>
      <c r="I1935" s="108"/>
      <c r="J1935" s="108"/>
      <c r="K1935" s="108"/>
      <c r="L1935" s="108"/>
      <c r="M1935" s="108"/>
      <c r="N1935" s="108"/>
      <c r="O1935" s="108"/>
      <c r="P1935" s="108"/>
      <c r="Q1935" s="108"/>
      <c r="R1935" s="108"/>
      <c r="S1935" s="108"/>
      <c r="T1935" s="108"/>
      <c r="U1935" s="108"/>
      <c r="V1935" s="108"/>
      <c r="W1935" s="108"/>
      <c r="X1935" s="108"/>
      <c r="Y1935" s="108"/>
      <c r="Z1935" s="108"/>
    </row>
    <row r="1936" ht="16.5" customHeight="1">
      <c r="A1936" s="108"/>
      <c r="B1936" s="108"/>
      <c r="C1936" s="180"/>
      <c r="D1936" s="108"/>
      <c r="E1936" s="108"/>
      <c r="F1936" s="108"/>
      <c r="G1936" s="108"/>
      <c r="H1936" s="108"/>
      <c r="I1936" s="108"/>
      <c r="J1936" s="108"/>
      <c r="K1936" s="108"/>
      <c r="L1936" s="108"/>
      <c r="M1936" s="108"/>
      <c r="N1936" s="108"/>
      <c r="O1936" s="108"/>
      <c r="P1936" s="108"/>
      <c r="Q1936" s="108"/>
      <c r="R1936" s="108"/>
      <c r="S1936" s="108"/>
      <c r="T1936" s="108"/>
      <c r="U1936" s="108"/>
      <c r="V1936" s="108"/>
      <c r="W1936" s="108"/>
      <c r="X1936" s="108"/>
      <c r="Y1936" s="108"/>
      <c r="Z1936" s="108"/>
    </row>
    <row r="1937" ht="16.5" customHeight="1">
      <c r="A1937" s="108"/>
      <c r="B1937" s="108"/>
      <c r="C1937" s="180"/>
      <c r="D1937" s="108"/>
      <c r="E1937" s="108"/>
      <c r="F1937" s="108"/>
      <c r="G1937" s="108"/>
      <c r="H1937" s="108"/>
      <c r="I1937" s="108"/>
      <c r="J1937" s="108"/>
      <c r="K1937" s="108"/>
      <c r="L1937" s="108"/>
      <c r="M1937" s="108"/>
      <c r="N1937" s="108"/>
      <c r="O1937" s="108"/>
      <c r="P1937" s="108"/>
      <c r="Q1937" s="108"/>
      <c r="R1937" s="108"/>
      <c r="S1937" s="108"/>
      <c r="T1937" s="108"/>
      <c r="U1937" s="108"/>
      <c r="V1937" s="108"/>
      <c r="W1937" s="108"/>
      <c r="X1937" s="108"/>
      <c r="Y1937" s="108"/>
      <c r="Z1937" s="108"/>
    </row>
    <row r="1938" ht="16.5" customHeight="1">
      <c r="A1938" s="108"/>
      <c r="B1938" s="108"/>
      <c r="C1938" s="180"/>
      <c r="D1938" s="108"/>
      <c r="E1938" s="108"/>
      <c r="F1938" s="108"/>
      <c r="G1938" s="108"/>
      <c r="H1938" s="108"/>
      <c r="I1938" s="108"/>
      <c r="J1938" s="108"/>
      <c r="K1938" s="108"/>
      <c r="L1938" s="108"/>
      <c r="M1938" s="108"/>
      <c r="N1938" s="108"/>
      <c r="O1938" s="108"/>
      <c r="P1938" s="108"/>
      <c r="Q1938" s="108"/>
      <c r="R1938" s="108"/>
      <c r="S1938" s="108"/>
      <c r="T1938" s="108"/>
      <c r="U1938" s="108"/>
      <c r="V1938" s="108"/>
      <c r="W1938" s="108"/>
      <c r="X1938" s="108"/>
      <c r="Y1938" s="108"/>
      <c r="Z1938" s="108"/>
    </row>
    <row r="1939" ht="16.5" customHeight="1">
      <c r="A1939" s="108"/>
      <c r="B1939" s="108"/>
      <c r="C1939" s="180"/>
      <c r="D1939" s="108"/>
      <c r="E1939" s="108"/>
      <c r="F1939" s="108"/>
      <c r="G1939" s="108"/>
      <c r="H1939" s="108"/>
      <c r="I1939" s="108"/>
      <c r="J1939" s="108"/>
      <c r="K1939" s="108"/>
      <c r="L1939" s="108"/>
      <c r="M1939" s="108"/>
      <c r="N1939" s="108"/>
      <c r="O1939" s="108"/>
      <c r="P1939" s="108"/>
      <c r="Q1939" s="108"/>
      <c r="R1939" s="108"/>
      <c r="S1939" s="108"/>
      <c r="T1939" s="108"/>
      <c r="U1939" s="108"/>
      <c r="V1939" s="108"/>
      <c r="W1939" s="108"/>
      <c r="X1939" s="108"/>
      <c r="Y1939" s="108"/>
      <c r="Z1939" s="108"/>
    </row>
    <row r="1940" ht="16.5" customHeight="1">
      <c r="A1940" s="108"/>
      <c r="B1940" s="108"/>
      <c r="C1940" s="180"/>
      <c r="D1940" s="108"/>
      <c r="E1940" s="108"/>
      <c r="F1940" s="108"/>
      <c r="G1940" s="108"/>
      <c r="H1940" s="108"/>
      <c r="I1940" s="108"/>
      <c r="J1940" s="108"/>
      <c r="K1940" s="108"/>
      <c r="L1940" s="108"/>
      <c r="M1940" s="108"/>
      <c r="N1940" s="108"/>
      <c r="O1940" s="108"/>
      <c r="P1940" s="108"/>
      <c r="Q1940" s="108"/>
      <c r="R1940" s="108"/>
      <c r="S1940" s="108"/>
      <c r="T1940" s="108"/>
      <c r="U1940" s="108"/>
      <c r="V1940" s="108"/>
      <c r="W1940" s="108"/>
      <c r="X1940" s="108"/>
      <c r="Y1940" s="108"/>
      <c r="Z1940" s="108"/>
    </row>
    <row r="1941" ht="16.5" customHeight="1">
      <c r="A1941" s="108"/>
      <c r="B1941" s="108"/>
      <c r="C1941" s="180"/>
      <c r="D1941" s="108"/>
      <c r="E1941" s="108"/>
      <c r="F1941" s="108"/>
      <c r="G1941" s="108"/>
      <c r="H1941" s="108"/>
      <c r="I1941" s="108"/>
      <c r="J1941" s="108"/>
      <c r="K1941" s="108"/>
      <c r="L1941" s="108"/>
      <c r="M1941" s="108"/>
      <c r="N1941" s="108"/>
      <c r="O1941" s="108"/>
      <c r="P1941" s="108"/>
      <c r="Q1941" s="108"/>
      <c r="R1941" s="108"/>
      <c r="S1941" s="108"/>
      <c r="T1941" s="108"/>
      <c r="U1941" s="108"/>
      <c r="V1941" s="108"/>
      <c r="W1941" s="108"/>
      <c r="X1941" s="108"/>
      <c r="Y1941" s="108"/>
      <c r="Z1941" s="108"/>
    </row>
    <row r="1942" ht="16.5" customHeight="1">
      <c r="A1942" s="108"/>
      <c r="B1942" s="108"/>
      <c r="C1942" s="180"/>
      <c r="D1942" s="108"/>
      <c r="E1942" s="108"/>
      <c r="F1942" s="108"/>
      <c r="G1942" s="108"/>
      <c r="H1942" s="108"/>
      <c r="I1942" s="108"/>
      <c r="J1942" s="108"/>
      <c r="K1942" s="108"/>
      <c r="L1942" s="108"/>
      <c r="M1942" s="108"/>
      <c r="N1942" s="108"/>
      <c r="O1942" s="108"/>
      <c r="P1942" s="108"/>
      <c r="Q1942" s="108"/>
      <c r="R1942" s="108"/>
      <c r="S1942" s="108"/>
      <c r="T1942" s="108"/>
      <c r="U1942" s="108"/>
      <c r="V1942" s="108"/>
      <c r="W1942" s="108"/>
      <c r="X1942" s="108"/>
      <c r="Y1942" s="108"/>
      <c r="Z1942" s="108"/>
    </row>
    <row r="1943" ht="16.5" customHeight="1">
      <c r="A1943" s="108"/>
      <c r="B1943" s="108"/>
      <c r="C1943" s="180"/>
      <c r="D1943" s="108"/>
      <c r="E1943" s="108"/>
      <c r="F1943" s="108"/>
      <c r="G1943" s="108"/>
      <c r="H1943" s="108"/>
      <c r="I1943" s="108"/>
      <c r="J1943" s="108"/>
      <c r="K1943" s="108"/>
      <c r="L1943" s="108"/>
      <c r="M1943" s="108"/>
      <c r="N1943" s="108"/>
      <c r="O1943" s="108"/>
      <c r="P1943" s="108"/>
      <c r="Q1943" s="108"/>
      <c r="R1943" s="108"/>
      <c r="S1943" s="108"/>
      <c r="T1943" s="108"/>
      <c r="U1943" s="108"/>
      <c r="V1943" s="108"/>
      <c r="W1943" s="108"/>
      <c r="X1943" s="108"/>
      <c r="Y1943" s="108"/>
      <c r="Z1943" s="108"/>
    </row>
    <row r="1944" ht="16.5" customHeight="1">
      <c r="A1944" s="108"/>
      <c r="B1944" s="108"/>
      <c r="C1944" s="180"/>
      <c r="D1944" s="108"/>
      <c r="E1944" s="108"/>
      <c r="F1944" s="108"/>
      <c r="G1944" s="108"/>
      <c r="H1944" s="108"/>
      <c r="I1944" s="108"/>
      <c r="J1944" s="108"/>
      <c r="K1944" s="108"/>
      <c r="L1944" s="108"/>
      <c r="M1944" s="108"/>
      <c r="N1944" s="108"/>
      <c r="O1944" s="108"/>
      <c r="P1944" s="108"/>
      <c r="Q1944" s="108"/>
      <c r="R1944" s="108"/>
      <c r="S1944" s="108"/>
      <c r="T1944" s="108"/>
      <c r="U1944" s="108"/>
      <c r="V1944" s="108"/>
      <c r="W1944" s="108"/>
      <c r="X1944" s="108"/>
      <c r="Y1944" s="108"/>
      <c r="Z1944" s="108"/>
    </row>
    <row r="1945" ht="16.5" customHeight="1">
      <c r="A1945" s="108"/>
      <c r="B1945" s="108"/>
      <c r="C1945" s="180"/>
      <c r="D1945" s="108"/>
      <c r="E1945" s="108"/>
      <c r="F1945" s="108"/>
      <c r="G1945" s="108"/>
      <c r="H1945" s="108"/>
      <c r="I1945" s="108"/>
      <c r="J1945" s="108"/>
      <c r="K1945" s="108"/>
      <c r="L1945" s="108"/>
      <c r="M1945" s="108"/>
      <c r="N1945" s="108"/>
      <c r="O1945" s="108"/>
      <c r="P1945" s="108"/>
      <c r="Q1945" s="108"/>
      <c r="R1945" s="108"/>
      <c r="S1945" s="108"/>
      <c r="T1945" s="108"/>
      <c r="U1945" s="108"/>
      <c r="V1945" s="108"/>
      <c r="W1945" s="108"/>
      <c r="X1945" s="108"/>
      <c r="Y1945" s="108"/>
      <c r="Z1945" s="108"/>
    </row>
    <row r="1946" ht="16.5" customHeight="1">
      <c r="A1946" s="108"/>
      <c r="B1946" s="108"/>
      <c r="C1946" s="180"/>
      <c r="D1946" s="108"/>
      <c r="E1946" s="108"/>
      <c r="F1946" s="108"/>
      <c r="G1946" s="108"/>
      <c r="H1946" s="108"/>
      <c r="I1946" s="108"/>
      <c r="J1946" s="108"/>
      <c r="K1946" s="108"/>
      <c r="L1946" s="108"/>
      <c r="M1946" s="108"/>
      <c r="N1946" s="108"/>
      <c r="O1946" s="108"/>
      <c r="P1946" s="108"/>
      <c r="Q1946" s="108"/>
      <c r="R1946" s="108"/>
      <c r="S1946" s="108"/>
      <c r="T1946" s="108"/>
      <c r="U1946" s="108"/>
      <c r="V1946" s="108"/>
      <c r="W1946" s="108"/>
      <c r="X1946" s="108"/>
      <c r="Y1946" s="108"/>
      <c r="Z1946" s="108"/>
    </row>
    <row r="1947" ht="16.5" customHeight="1">
      <c r="A1947" s="108"/>
      <c r="B1947" s="108"/>
      <c r="C1947" s="180"/>
      <c r="D1947" s="108"/>
      <c r="E1947" s="108"/>
      <c r="F1947" s="108"/>
      <c r="G1947" s="108"/>
      <c r="H1947" s="108"/>
      <c r="I1947" s="108"/>
      <c r="J1947" s="108"/>
      <c r="K1947" s="108"/>
      <c r="L1947" s="108"/>
      <c r="M1947" s="108"/>
      <c r="N1947" s="108"/>
      <c r="O1947" s="108"/>
      <c r="P1947" s="108"/>
      <c r="Q1947" s="108"/>
      <c r="R1947" s="108"/>
      <c r="S1947" s="108"/>
      <c r="T1947" s="108"/>
      <c r="U1947" s="108"/>
      <c r="V1947" s="108"/>
      <c r="W1947" s="108"/>
      <c r="X1947" s="108"/>
      <c r="Y1947" s="108"/>
      <c r="Z1947" s="108"/>
    </row>
    <row r="1948" ht="16.5" customHeight="1">
      <c r="A1948" s="108"/>
      <c r="B1948" s="108"/>
      <c r="C1948" s="180"/>
      <c r="D1948" s="108"/>
      <c r="E1948" s="108"/>
      <c r="F1948" s="108"/>
      <c r="G1948" s="108"/>
      <c r="H1948" s="108"/>
      <c r="I1948" s="108"/>
      <c r="J1948" s="108"/>
      <c r="K1948" s="108"/>
      <c r="L1948" s="108"/>
      <c r="M1948" s="108"/>
      <c r="N1948" s="108"/>
      <c r="O1948" s="108"/>
      <c r="P1948" s="108"/>
      <c r="Q1948" s="108"/>
      <c r="R1948" s="108"/>
      <c r="S1948" s="108"/>
      <c r="T1948" s="108"/>
      <c r="U1948" s="108"/>
      <c r="V1948" s="108"/>
      <c r="W1948" s="108"/>
      <c r="X1948" s="108"/>
      <c r="Y1948" s="108"/>
      <c r="Z1948" s="108"/>
    </row>
    <row r="1949" ht="16.5" customHeight="1">
      <c r="A1949" s="108"/>
      <c r="B1949" s="108"/>
      <c r="C1949" s="180"/>
      <c r="D1949" s="108"/>
      <c r="E1949" s="108"/>
      <c r="F1949" s="108"/>
      <c r="G1949" s="108"/>
      <c r="H1949" s="108"/>
      <c r="I1949" s="108"/>
      <c r="J1949" s="108"/>
      <c r="K1949" s="108"/>
      <c r="L1949" s="108"/>
      <c r="M1949" s="108"/>
      <c r="N1949" s="108"/>
      <c r="O1949" s="108"/>
      <c r="P1949" s="108"/>
      <c r="Q1949" s="108"/>
      <c r="R1949" s="108"/>
      <c r="S1949" s="108"/>
      <c r="T1949" s="108"/>
      <c r="U1949" s="108"/>
      <c r="V1949" s="108"/>
      <c r="W1949" s="108"/>
      <c r="X1949" s="108"/>
      <c r="Y1949" s="108"/>
      <c r="Z1949" s="108"/>
    </row>
    <row r="1950" ht="16.5" customHeight="1">
      <c r="A1950" s="108"/>
      <c r="B1950" s="108"/>
      <c r="C1950" s="180"/>
      <c r="D1950" s="108"/>
      <c r="E1950" s="108"/>
      <c r="F1950" s="108"/>
      <c r="G1950" s="108"/>
      <c r="H1950" s="108"/>
      <c r="I1950" s="108"/>
      <c r="J1950" s="108"/>
      <c r="K1950" s="108"/>
      <c r="L1950" s="108"/>
      <c r="M1950" s="108"/>
      <c r="N1950" s="108"/>
      <c r="O1950" s="108"/>
      <c r="P1950" s="108"/>
      <c r="Q1950" s="108"/>
      <c r="R1950" s="108"/>
      <c r="S1950" s="108"/>
      <c r="T1950" s="108"/>
      <c r="U1950" s="108"/>
      <c r="V1950" s="108"/>
      <c r="W1950" s="108"/>
      <c r="X1950" s="108"/>
      <c r="Y1950" s="108"/>
      <c r="Z1950" s="108"/>
    </row>
    <row r="1951" ht="16.5" customHeight="1">
      <c r="A1951" s="108"/>
      <c r="B1951" s="108"/>
      <c r="C1951" s="180"/>
      <c r="D1951" s="108"/>
      <c r="E1951" s="108"/>
      <c r="F1951" s="108"/>
      <c r="G1951" s="108"/>
      <c r="H1951" s="108"/>
      <c r="I1951" s="108"/>
      <c r="J1951" s="108"/>
      <c r="K1951" s="108"/>
      <c r="L1951" s="108"/>
      <c r="M1951" s="108"/>
      <c r="N1951" s="108"/>
      <c r="O1951" s="108"/>
      <c r="P1951" s="108"/>
      <c r="Q1951" s="108"/>
      <c r="R1951" s="108"/>
      <c r="S1951" s="108"/>
      <c r="T1951" s="108"/>
      <c r="U1951" s="108"/>
      <c r="V1951" s="108"/>
      <c r="W1951" s="108"/>
      <c r="X1951" s="108"/>
      <c r="Y1951" s="108"/>
      <c r="Z1951" s="108"/>
    </row>
    <row r="1952" ht="16.5" customHeight="1">
      <c r="A1952" s="108"/>
      <c r="B1952" s="108"/>
      <c r="C1952" s="180"/>
      <c r="D1952" s="108"/>
      <c r="E1952" s="108"/>
      <c r="F1952" s="108"/>
      <c r="G1952" s="108"/>
      <c r="H1952" s="108"/>
      <c r="I1952" s="108"/>
      <c r="J1952" s="108"/>
      <c r="K1952" s="108"/>
      <c r="L1952" s="108"/>
      <c r="M1952" s="108"/>
      <c r="N1952" s="108"/>
      <c r="O1952" s="108"/>
      <c r="P1952" s="108"/>
      <c r="Q1952" s="108"/>
      <c r="R1952" s="108"/>
      <c r="S1952" s="108"/>
      <c r="T1952" s="108"/>
      <c r="U1952" s="108"/>
      <c r="V1952" s="108"/>
      <c r="W1952" s="108"/>
      <c r="X1952" s="108"/>
      <c r="Y1952" s="108"/>
      <c r="Z1952" s="108"/>
    </row>
    <row r="1953" ht="16.5" customHeight="1">
      <c r="A1953" s="108"/>
      <c r="B1953" s="108"/>
      <c r="C1953" s="180"/>
      <c r="D1953" s="108"/>
      <c r="E1953" s="108"/>
      <c r="F1953" s="108"/>
      <c r="G1953" s="108"/>
      <c r="H1953" s="108"/>
      <c r="I1953" s="108"/>
      <c r="J1953" s="108"/>
      <c r="K1953" s="108"/>
      <c r="L1953" s="108"/>
      <c r="M1953" s="108"/>
      <c r="N1953" s="108"/>
      <c r="O1953" s="108"/>
      <c r="P1953" s="108"/>
      <c r="Q1953" s="108"/>
      <c r="R1953" s="108"/>
      <c r="S1953" s="108"/>
      <c r="T1953" s="108"/>
      <c r="U1953" s="108"/>
      <c r="V1953" s="108"/>
      <c r="W1953" s="108"/>
      <c r="X1953" s="108"/>
      <c r="Y1953" s="108"/>
      <c r="Z1953" s="108"/>
    </row>
    <row r="1954" ht="16.5" customHeight="1">
      <c r="A1954" s="108"/>
      <c r="B1954" s="108"/>
      <c r="C1954" s="180"/>
      <c r="D1954" s="108"/>
      <c r="E1954" s="108"/>
      <c r="F1954" s="108"/>
      <c r="G1954" s="108"/>
      <c r="H1954" s="108"/>
      <c r="I1954" s="108"/>
      <c r="J1954" s="108"/>
      <c r="K1954" s="108"/>
      <c r="L1954" s="108"/>
      <c r="M1954" s="108"/>
      <c r="N1954" s="108"/>
      <c r="O1954" s="108"/>
      <c r="P1954" s="108"/>
      <c r="Q1954" s="108"/>
      <c r="R1954" s="108"/>
      <c r="S1954" s="108"/>
      <c r="T1954" s="108"/>
      <c r="U1954" s="108"/>
      <c r="V1954" s="108"/>
      <c r="W1954" s="108"/>
      <c r="X1954" s="108"/>
      <c r="Y1954" s="108"/>
      <c r="Z1954" s="108"/>
    </row>
    <row r="1955" ht="16.5" customHeight="1">
      <c r="A1955" s="108"/>
      <c r="B1955" s="108"/>
      <c r="C1955" s="180"/>
      <c r="D1955" s="108"/>
      <c r="E1955" s="108"/>
      <c r="F1955" s="108"/>
      <c r="G1955" s="108"/>
      <c r="H1955" s="108"/>
      <c r="I1955" s="108"/>
      <c r="J1955" s="108"/>
      <c r="K1955" s="108"/>
      <c r="L1955" s="108"/>
      <c r="M1955" s="108"/>
      <c r="N1955" s="108"/>
      <c r="O1955" s="108"/>
      <c r="P1955" s="108"/>
      <c r="Q1955" s="108"/>
      <c r="R1955" s="108"/>
      <c r="S1955" s="108"/>
      <c r="T1955" s="108"/>
      <c r="U1955" s="108"/>
      <c r="V1955" s="108"/>
      <c r="W1955" s="108"/>
      <c r="X1955" s="108"/>
      <c r="Y1955" s="108"/>
      <c r="Z1955" s="108"/>
    </row>
    <row r="1956" ht="16.5" customHeight="1">
      <c r="A1956" s="108"/>
      <c r="B1956" s="108"/>
      <c r="C1956" s="180"/>
      <c r="D1956" s="108"/>
      <c r="E1956" s="108"/>
      <c r="F1956" s="108"/>
      <c r="G1956" s="108"/>
      <c r="H1956" s="108"/>
      <c r="I1956" s="108"/>
      <c r="J1956" s="108"/>
      <c r="K1956" s="108"/>
      <c r="L1956" s="108"/>
      <c r="M1956" s="108"/>
      <c r="N1956" s="108"/>
      <c r="O1956" s="108"/>
      <c r="P1956" s="108"/>
      <c r="Q1956" s="108"/>
      <c r="R1956" s="108"/>
      <c r="S1956" s="108"/>
      <c r="T1956" s="108"/>
      <c r="U1956" s="108"/>
      <c r="V1956" s="108"/>
      <c r="W1956" s="108"/>
      <c r="X1956" s="108"/>
      <c r="Y1956" s="108"/>
      <c r="Z1956" s="108"/>
    </row>
    <row r="1957" ht="16.5" customHeight="1">
      <c r="A1957" s="108"/>
      <c r="B1957" s="108"/>
      <c r="C1957" s="180"/>
      <c r="D1957" s="108"/>
      <c r="E1957" s="108"/>
      <c r="F1957" s="108"/>
      <c r="G1957" s="108"/>
      <c r="H1957" s="108"/>
      <c r="I1957" s="108"/>
      <c r="J1957" s="108"/>
      <c r="K1957" s="108"/>
      <c r="L1957" s="108"/>
      <c r="M1957" s="108"/>
      <c r="N1957" s="108"/>
      <c r="O1957" s="108"/>
      <c r="P1957" s="108"/>
      <c r="Q1957" s="108"/>
      <c r="R1957" s="108"/>
      <c r="S1957" s="108"/>
      <c r="T1957" s="108"/>
      <c r="U1957" s="108"/>
      <c r="V1957" s="108"/>
      <c r="W1957" s="108"/>
      <c r="X1957" s="108"/>
      <c r="Y1957" s="108"/>
      <c r="Z1957" s="108"/>
    </row>
    <row r="1958" ht="16.5" customHeight="1">
      <c r="A1958" s="108"/>
      <c r="B1958" s="108"/>
      <c r="C1958" s="180"/>
      <c r="D1958" s="108"/>
      <c r="E1958" s="108"/>
      <c r="F1958" s="108"/>
      <c r="G1958" s="108"/>
      <c r="H1958" s="108"/>
      <c r="I1958" s="108"/>
      <c r="J1958" s="108"/>
      <c r="K1958" s="108"/>
      <c r="L1958" s="108"/>
      <c r="M1958" s="108"/>
      <c r="N1958" s="108"/>
      <c r="O1958" s="108"/>
      <c r="P1958" s="108"/>
      <c r="Q1958" s="108"/>
      <c r="R1958" s="108"/>
      <c r="S1958" s="108"/>
      <c r="T1958" s="108"/>
      <c r="U1958" s="108"/>
      <c r="V1958" s="108"/>
      <c r="W1958" s="108"/>
      <c r="X1958" s="108"/>
      <c r="Y1958" s="108"/>
      <c r="Z1958" s="108"/>
    </row>
    <row r="1959" ht="16.5" customHeight="1">
      <c r="A1959" s="108"/>
      <c r="B1959" s="108"/>
      <c r="C1959" s="180"/>
      <c r="D1959" s="108"/>
      <c r="E1959" s="108"/>
      <c r="F1959" s="108"/>
      <c r="G1959" s="108"/>
      <c r="H1959" s="108"/>
      <c r="I1959" s="108"/>
      <c r="J1959" s="108"/>
      <c r="K1959" s="108"/>
      <c r="L1959" s="108"/>
      <c r="M1959" s="108"/>
      <c r="N1959" s="108"/>
      <c r="O1959" s="108"/>
      <c r="P1959" s="108"/>
      <c r="Q1959" s="108"/>
      <c r="R1959" s="108"/>
      <c r="S1959" s="108"/>
      <c r="T1959" s="108"/>
      <c r="U1959" s="108"/>
      <c r="V1959" s="108"/>
      <c r="W1959" s="108"/>
      <c r="X1959" s="108"/>
      <c r="Y1959" s="108"/>
      <c r="Z1959" s="108"/>
    </row>
    <row r="1960" ht="16.5" customHeight="1">
      <c r="A1960" s="108"/>
      <c r="B1960" s="108"/>
      <c r="C1960" s="180"/>
      <c r="D1960" s="108"/>
      <c r="E1960" s="108"/>
      <c r="F1960" s="108"/>
      <c r="G1960" s="108"/>
      <c r="H1960" s="108"/>
      <c r="I1960" s="108"/>
      <c r="J1960" s="108"/>
      <c r="K1960" s="108"/>
      <c r="L1960" s="108"/>
      <c r="M1960" s="108"/>
      <c r="N1960" s="108"/>
      <c r="O1960" s="108"/>
      <c r="P1960" s="108"/>
      <c r="Q1960" s="108"/>
      <c r="R1960" s="108"/>
      <c r="S1960" s="108"/>
      <c r="T1960" s="108"/>
      <c r="U1960" s="108"/>
      <c r="V1960" s="108"/>
      <c r="W1960" s="108"/>
      <c r="X1960" s="108"/>
      <c r="Y1960" s="108"/>
      <c r="Z1960" s="108"/>
    </row>
    <row r="1961" ht="16.5" customHeight="1">
      <c r="A1961" s="108"/>
      <c r="B1961" s="108"/>
      <c r="C1961" s="180"/>
      <c r="D1961" s="108"/>
      <c r="E1961" s="108"/>
      <c r="F1961" s="108"/>
      <c r="G1961" s="108"/>
      <c r="H1961" s="108"/>
      <c r="I1961" s="108"/>
      <c r="J1961" s="108"/>
      <c r="K1961" s="108"/>
      <c r="L1961" s="108"/>
      <c r="M1961" s="108"/>
      <c r="N1961" s="108"/>
      <c r="O1961" s="108"/>
      <c r="P1961" s="108"/>
      <c r="Q1961" s="108"/>
      <c r="R1961" s="108"/>
      <c r="S1961" s="108"/>
      <c r="T1961" s="108"/>
      <c r="U1961" s="108"/>
      <c r="V1961" s="108"/>
      <c r="W1961" s="108"/>
      <c r="X1961" s="108"/>
      <c r="Y1961" s="108"/>
      <c r="Z1961" s="108"/>
    </row>
    <row r="1962" ht="16.5" customHeight="1">
      <c r="A1962" s="108"/>
      <c r="B1962" s="108"/>
      <c r="C1962" s="180"/>
      <c r="D1962" s="108"/>
      <c r="E1962" s="108"/>
      <c r="F1962" s="108"/>
      <c r="G1962" s="108"/>
      <c r="H1962" s="108"/>
      <c r="I1962" s="108"/>
      <c r="J1962" s="108"/>
      <c r="K1962" s="108"/>
      <c r="L1962" s="108"/>
      <c r="M1962" s="108"/>
      <c r="N1962" s="108"/>
      <c r="O1962" s="108"/>
      <c r="P1962" s="108"/>
      <c r="Q1962" s="108"/>
      <c r="R1962" s="108"/>
      <c r="S1962" s="108"/>
      <c r="T1962" s="108"/>
      <c r="U1962" s="108"/>
      <c r="V1962" s="108"/>
      <c r="W1962" s="108"/>
      <c r="X1962" s="108"/>
      <c r="Y1962" s="108"/>
      <c r="Z1962" s="108"/>
    </row>
    <row r="1963" ht="16.5" customHeight="1">
      <c r="A1963" s="108"/>
      <c r="B1963" s="108"/>
      <c r="C1963" s="180"/>
      <c r="D1963" s="108"/>
      <c r="E1963" s="108"/>
      <c r="F1963" s="108"/>
      <c r="G1963" s="108"/>
      <c r="H1963" s="108"/>
      <c r="I1963" s="108"/>
      <c r="J1963" s="108"/>
      <c r="K1963" s="108"/>
      <c r="L1963" s="108"/>
      <c r="M1963" s="108"/>
      <c r="N1963" s="108"/>
      <c r="O1963" s="108"/>
      <c r="P1963" s="108"/>
      <c r="Q1963" s="108"/>
      <c r="R1963" s="108"/>
      <c r="S1963" s="108"/>
      <c r="T1963" s="108"/>
      <c r="U1963" s="108"/>
      <c r="V1963" s="108"/>
      <c r="W1963" s="108"/>
      <c r="X1963" s="108"/>
      <c r="Y1963" s="108"/>
      <c r="Z1963" s="108"/>
    </row>
    <row r="1964" ht="16.5" customHeight="1">
      <c r="A1964" s="108"/>
      <c r="B1964" s="108"/>
      <c r="C1964" s="180"/>
      <c r="D1964" s="108"/>
      <c r="E1964" s="108"/>
      <c r="F1964" s="108"/>
      <c r="G1964" s="108"/>
      <c r="H1964" s="108"/>
      <c r="I1964" s="108"/>
      <c r="J1964" s="108"/>
      <c r="K1964" s="108"/>
      <c r="L1964" s="108"/>
      <c r="M1964" s="108"/>
      <c r="N1964" s="108"/>
      <c r="O1964" s="108"/>
      <c r="P1964" s="108"/>
      <c r="Q1964" s="108"/>
      <c r="R1964" s="108"/>
      <c r="S1964" s="108"/>
      <c r="T1964" s="108"/>
      <c r="U1964" s="108"/>
      <c r="V1964" s="108"/>
      <c r="W1964" s="108"/>
      <c r="X1964" s="108"/>
      <c r="Y1964" s="108"/>
      <c r="Z1964" s="108"/>
    </row>
    <row r="1965" ht="16.5" customHeight="1">
      <c r="A1965" s="108"/>
      <c r="B1965" s="108"/>
      <c r="C1965" s="180"/>
      <c r="D1965" s="108"/>
      <c r="E1965" s="108"/>
      <c r="F1965" s="108"/>
      <c r="G1965" s="108"/>
      <c r="H1965" s="108"/>
      <c r="I1965" s="108"/>
      <c r="J1965" s="108"/>
      <c r="K1965" s="108"/>
      <c r="L1965" s="108"/>
      <c r="M1965" s="108"/>
      <c r="N1965" s="108"/>
      <c r="O1965" s="108"/>
      <c r="P1965" s="108"/>
      <c r="Q1965" s="108"/>
      <c r="R1965" s="108"/>
      <c r="S1965" s="108"/>
      <c r="T1965" s="108"/>
      <c r="U1965" s="108"/>
      <c r="V1965" s="108"/>
      <c r="W1965" s="108"/>
      <c r="X1965" s="108"/>
      <c r="Y1965" s="108"/>
      <c r="Z1965" s="108"/>
    </row>
    <row r="1966" ht="16.5" customHeight="1">
      <c r="A1966" s="108"/>
      <c r="B1966" s="108"/>
      <c r="C1966" s="180"/>
      <c r="D1966" s="108"/>
      <c r="E1966" s="108"/>
      <c r="F1966" s="108"/>
      <c r="G1966" s="108"/>
      <c r="H1966" s="108"/>
      <c r="I1966" s="108"/>
      <c r="J1966" s="108"/>
      <c r="K1966" s="108"/>
      <c r="L1966" s="108"/>
      <c r="M1966" s="108"/>
      <c r="N1966" s="108"/>
      <c r="O1966" s="108"/>
      <c r="P1966" s="108"/>
      <c r="Q1966" s="108"/>
      <c r="R1966" s="108"/>
      <c r="S1966" s="108"/>
      <c r="T1966" s="108"/>
      <c r="U1966" s="108"/>
      <c r="V1966" s="108"/>
      <c r="W1966" s="108"/>
      <c r="X1966" s="108"/>
      <c r="Y1966" s="108"/>
      <c r="Z1966" s="108"/>
    </row>
    <row r="1967" ht="16.5" customHeight="1">
      <c r="A1967" s="108"/>
      <c r="B1967" s="108"/>
      <c r="C1967" s="180"/>
      <c r="D1967" s="108"/>
      <c r="E1967" s="108"/>
      <c r="F1967" s="108"/>
      <c r="G1967" s="108"/>
      <c r="H1967" s="108"/>
      <c r="I1967" s="108"/>
      <c r="J1967" s="108"/>
      <c r="K1967" s="108"/>
      <c r="L1967" s="108"/>
      <c r="M1967" s="108"/>
      <c r="N1967" s="108"/>
      <c r="O1967" s="108"/>
      <c r="P1967" s="108"/>
      <c r="Q1967" s="108"/>
      <c r="R1967" s="108"/>
      <c r="S1967" s="108"/>
      <c r="T1967" s="108"/>
      <c r="U1967" s="108"/>
      <c r="V1967" s="108"/>
      <c r="W1967" s="108"/>
      <c r="X1967" s="108"/>
      <c r="Y1967" s="108"/>
      <c r="Z1967" s="108"/>
    </row>
    <row r="1968" ht="16.5" customHeight="1">
      <c r="A1968" s="108"/>
      <c r="B1968" s="108"/>
      <c r="C1968" s="180"/>
      <c r="D1968" s="108"/>
      <c r="E1968" s="108"/>
      <c r="F1968" s="108"/>
      <c r="G1968" s="108"/>
      <c r="H1968" s="108"/>
      <c r="I1968" s="108"/>
      <c r="J1968" s="108"/>
      <c r="K1968" s="108"/>
      <c r="L1968" s="108"/>
      <c r="M1968" s="108"/>
      <c r="N1968" s="108"/>
      <c r="O1968" s="108"/>
      <c r="P1968" s="108"/>
      <c r="Q1968" s="108"/>
      <c r="R1968" s="108"/>
      <c r="S1968" s="108"/>
      <c r="T1968" s="108"/>
      <c r="U1968" s="108"/>
      <c r="V1968" s="108"/>
      <c r="W1968" s="108"/>
      <c r="X1968" s="108"/>
      <c r="Y1968" s="108"/>
      <c r="Z1968" s="108"/>
    </row>
    <row r="1969" ht="16.5" customHeight="1">
      <c r="A1969" s="108"/>
      <c r="B1969" s="108"/>
      <c r="C1969" s="180"/>
      <c r="D1969" s="108"/>
      <c r="E1969" s="108"/>
      <c r="F1969" s="108"/>
      <c r="G1969" s="108"/>
      <c r="H1969" s="108"/>
      <c r="I1969" s="108"/>
      <c r="J1969" s="108"/>
      <c r="K1969" s="108"/>
      <c r="L1969" s="108"/>
      <c r="M1969" s="108"/>
      <c r="N1969" s="108"/>
      <c r="O1969" s="108"/>
      <c r="P1969" s="108"/>
      <c r="Q1969" s="108"/>
      <c r="R1969" s="108"/>
      <c r="S1969" s="108"/>
      <c r="T1969" s="108"/>
      <c r="U1969" s="108"/>
      <c r="V1969" s="108"/>
      <c r="W1969" s="108"/>
      <c r="X1969" s="108"/>
      <c r="Y1969" s="108"/>
      <c r="Z1969" s="108"/>
    </row>
    <row r="1970" ht="16.5" customHeight="1">
      <c r="A1970" s="108"/>
      <c r="B1970" s="108"/>
      <c r="C1970" s="180"/>
      <c r="D1970" s="108"/>
      <c r="E1970" s="108"/>
      <c r="F1970" s="108"/>
      <c r="G1970" s="108"/>
      <c r="H1970" s="108"/>
      <c r="I1970" s="108"/>
      <c r="J1970" s="108"/>
      <c r="K1970" s="108"/>
      <c r="L1970" s="108"/>
      <c r="M1970" s="108"/>
      <c r="N1970" s="108"/>
      <c r="O1970" s="108"/>
      <c r="P1970" s="108"/>
      <c r="Q1970" s="108"/>
      <c r="R1970" s="108"/>
      <c r="S1970" s="108"/>
      <c r="T1970" s="108"/>
      <c r="U1970" s="108"/>
      <c r="V1970" s="108"/>
      <c r="W1970" s="108"/>
      <c r="X1970" s="108"/>
      <c r="Y1970" s="108"/>
      <c r="Z1970" s="108"/>
    </row>
    <row r="1971" ht="16.5" customHeight="1">
      <c r="A1971" s="108"/>
      <c r="B1971" s="108"/>
      <c r="C1971" s="180"/>
      <c r="D1971" s="108"/>
      <c r="E1971" s="108"/>
      <c r="F1971" s="108"/>
      <c r="G1971" s="108"/>
      <c r="H1971" s="108"/>
      <c r="I1971" s="108"/>
      <c r="J1971" s="108"/>
      <c r="K1971" s="108"/>
      <c r="L1971" s="108"/>
      <c r="M1971" s="108"/>
      <c r="N1971" s="108"/>
      <c r="O1971" s="108"/>
      <c r="P1971" s="108"/>
      <c r="Q1971" s="108"/>
      <c r="R1971" s="108"/>
      <c r="S1971" s="108"/>
      <c r="T1971" s="108"/>
      <c r="U1971" s="108"/>
      <c r="V1971" s="108"/>
      <c r="W1971" s="108"/>
      <c r="X1971" s="108"/>
      <c r="Y1971" s="108"/>
      <c r="Z1971" s="108"/>
    </row>
    <row r="1972" ht="16.5" customHeight="1">
      <c r="A1972" s="108"/>
      <c r="B1972" s="108"/>
      <c r="C1972" s="180"/>
      <c r="D1972" s="108"/>
      <c r="E1972" s="108"/>
      <c r="F1972" s="108"/>
      <c r="G1972" s="108"/>
      <c r="H1972" s="108"/>
      <c r="I1972" s="108"/>
      <c r="J1972" s="108"/>
      <c r="K1972" s="108"/>
      <c r="L1972" s="108"/>
      <c r="M1972" s="108"/>
      <c r="N1972" s="108"/>
      <c r="O1972" s="108"/>
      <c r="P1972" s="108"/>
      <c r="Q1972" s="108"/>
      <c r="R1972" s="108"/>
      <c r="S1972" s="108"/>
      <c r="T1972" s="108"/>
      <c r="U1972" s="108"/>
      <c r="V1972" s="108"/>
      <c r="W1972" s="108"/>
      <c r="X1972" s="108"/>
      <c r="Y1972" s="108"/>
      <c r="Z1972" s="108"/>
    </row>
    <row r="1973" ht="16.5" customHeight="1">
      <c r="A1973" s="108"/>
      <c r="B1973" s="108"/>
      <c r="C1973" s="180"/>
      <c r="D1973" s="108"/>
      <c r="E1973" s="108"/>
      <c r="F1973" s="108"/>
      <c r="G1973" s="108"/>
      <c r="H1973" s="108"/>
      <c r="I1973" s="108"/>
      <c r="J1973" s="108"/>
      <c r="K1973" s="108"/>
      <c r="L1973" s="108"/>
      <c r="M1973" s="108"/>
      <c r="N1973" s="108"/>
      <c r="O1973" s="108"/>
      <c r="P1973" s="108"/>
      <c r="Q1973" s="108"/>
      <c r="R1973" s="108"/>
      <c r="S1973" s="108"/>
      <c r="T1973" s="108"/>
      <c r="U1973" s="108"/>
      <c r="V1973" s="108"/>
      <c r="W1973" s="108"/>
      <c r="X1973" s="108"/>
      <c r="Y1973" s="108"/>
      <c r="Z1973" s="108"/>
    </row>
    <row r="1974" ht="16.5" customHeight="1">
      <c r="A1974" s="108"/>
      <c r="B1974" s="108"/>
      <c r="C1974" s="180"/>
      <c r="D1974" s="108"/>
      <c r="E1974" s="108"/>
      <c r="F1974" s="108"/>
      <c r="G1974" s="108"/>
      <c r="H1974" s="108"/>
      <c r="I1974" s="108"/>
      <c r="J1974" s="108"/>
      <c r="K1974" s="108"/>
      <c r="L1974" s="108"/>
      <c r="M1974" s="108"/>
      <c r="N1974" s="108"/>
      <c r="O1974" s="108"/>
      <c r="P1974" s="108"/>
      <c r="Q1974" s="108"/>
      <c r="R1974" s="108"/>
      <c r="S1974" s="108"/>
      <c r="T1974" s="108"/>
      <c r="U1974" s="108"/>
      <c r="V1974" s="108"/>
      <c r="W1974" s="108"/>
      <c r="X1974" s="108"/>
      <c r="Y1974" s="108"/>
      <c r="Z1974" s="108"/>
    </row>
    <row r="1975" ht="16.5" customHeight="1">
      <c r="A1975" s="108"/>
      <c r="B1975" s="108"/>
      <c r="C1975" s="180"/>
      <c r="D1975" s="108"/>
      <c r="E1975" s="108"/>
      <c r="F1975" s="108"/>
      <c r="G1975" s="108"/>
      <c r="H1975" s="108"/>
      <c r="I1975" s="108"/>
      <c r="J1975" s="108"/>
      <c r="K1975" s="108"/>
      <c r="L1975" s="108"/>
      <c r="M1975" s="108"/>
      <c r="N1975" s="108"/>
      <c r="O1975" s="108"/>
      <c r="P1975" s="108"/>
      <c r="Q1975" s="108"/>
      <c r="R1975" s="108"/>
      <c r="S1975" s="108"/>
      <c r="T1975" s="108"/>
      <c r="U1975" s="108"/>
      <c r="V1975" s="108"/>
      <c r="W1975" s="108"/>
      <c r="X1975" s="108"/>
      <c r="Y1975" s="108"/>
      <c r="Z1975" s="108"/>
    </row>
    <row r="1976" ht="16.5" customHeight="1">
      <c r="A1976" s="108"/>
      <c r="B1976" s="108"/>
      <c r="C1976" s="180"/>
      <c r="D1976" s="108"/>
      <c r="E1976" s="108"/>
      <c r="F1976" s="108"/>
      <c r="G1976" s="108"/>
      <c r="H1976" s="108"/>
      <c r="I1976" s="108"/>
      <c r="J1976" s="108"/>
      <c r="K1976" s="108"/>
      <c r="L1976" s="108"/>
      <c r="M1976" s="108"/>
      <c r="N1976" s="108"/>
      <c r="O1976" s="108"/>
      <c r="P1976" s="108"/>
      <c r="Q1976" s="108"/>
      <c r="R1976" s="108"/>
      <c r="S1976" s="108"/>
      <c r="T1976" s="108"/>
      <c r="U1976" s="108"/>
      <c r="V1976" s="108"/>
      <c r="W1976" s="108"/>
      <c r="X1976" s="108"/>
      <c r="Y1976" s="108"/>
      <c r="Z1976" s="108"/>
    </row>
    <row r="1977" ht="16.5" customHeight="1">
      <c r="A1977" s="108"/>
      <c r="B1977" s="108"/>
      <c r="C1977" s="180"/>
      <c r="D1977" s="108"/>
      <c r="E1977" s="108"/>
      <c r="F1977" s="108"/>
      <c r="G1977" s="108"/>
      <c r="H1977" s="108"/>
      <c r="I1977" s="108"/>
      <c r="J1977" s="108"/>
      <c r="K1977" s="108"/>
      <c r="L1977" s="108"/>
      <c r="M1977" s="108"/>
      <c r="N1977" s="108"/>
      <c r="O1977" s="108"/>
      <c r="P1977" s="108"/>
      <c r="Q1977" s="108"/>
      <c r="R1977" s="108"/>
      <c r="S1977" s="108"/>
      <c r="T1977" s="108"/>
      <c r="U1977" s="108"/>
      <c r="V1977" s="108"/>
      <c r="W1977" s="108"/>
      <c r="X1977" s="108"/>
      <c r="Y1977" s="108"/>
      <c r="Z1977" s="108"/>
    </row>
    <row r="1978" ht="16.5" customHeight="1">
      <c r="A1978" s="108"/>
      <c r="B1978" s="108"/>
      <c r="C1978" s="180"/>
      <c r="D1978" s="108"/>
      <c r="E1978" s="108"/>
      <c r="F1978" s="108"/>
      <c r="G1978" s="108"/>
      <c r="H1978" s="108"/>
      <c r="I1978" s="108"/>
      <c r="J1978" s="108"/>
      <c r="K1978" s="108"/>
      <c r="L1978" s="108"/>
      <c r="M1978" s="108"/>
      <c r="N1978" s="108"/>
      <c r="O1978" s="108"/>
      <c r="P1978" s="108"/>
      <c r="Q1978" s="108"/>
      <c r="R1978" s="108"/>
      <c r="S1978" s="108"/>
      <c r="T1978" s="108"/>
      <c r="U1978" s="108"/>
      <c r="V1978" s="108"/>
      <c r="W1978" s="108"/>
      <c r="X1978" s="108"/>
      <c r="Y1978" s="108"/>
      <c r="Z1978" s="108"/>
    </row>
    <row r="1979" ht="16.5" customHeight="1">
      <c r="A1979" s="108"/>
      <c r="B1979" s="108"/>
      <c r="C1979" s="180"/>
      <c r="D1979" s="108"/>
      <c r="E1979" s="108"/>
      <c r="F1979" s="108"/>
      <c r="G1979" s="108"/>
      <c r="H1979" s="108"/>
      <c r="I1979" s="108"/>
      <c r="J1979" s="108"/>
      <c r="K1979" s="108"/>
      <c r="L1979" s="108"/>
      <c r="M1979" s="108"/>
      <c r="N1979" s="108"/>
      <c r="O1979" s="108"/>
      <c r="P1979" s="108"/>
      <c r="Q1979" s="108"/>
      <c r="R1979" s="108"/>
      <c r="S1979" s="108"/>
      <c r="T1979" s="108"/>
      <c r="U1979" s="108"/>
      <c r="V1979" s="108"/>
      <c r="W1979" s="108"/>
      <c r="X1979" s="108"/>
      <c r="Y1979" s="108"/>
      <c r="Z1979" s="108"/>
    </row>
    <row r="1980" ht="16.5" customHeight="1">
      <c r="A1980" s="108"/>
      <c r="B1980" s="108"/>
      <c r="C1980" s="180"/>
      <c r="D1980" s="108"/>
      <c r="E1980" s="108"/>
      <c r="F1980" s="108"/>
      <c r="G1980" s="108"/>
      <c r="H1980" s="108"/>
      <c r="I1980" s="108"/>
      <c r="J1980" s="108"/>
      <c r="K1980" s="108"/>
      <c r="L1980" s="108"/>
      <c r="M1980" s="108"/>
      <c r="N1980" s="108"/>
      <c r="O1980" s="108"/>
      <c r="P1980" s="108"/>
      <c r="Q1980" s="108"/>
      <c r="R1980" s="108"/>
      <c r="S1980" s="108"/>
      <c r="T1980" s="108"/>
      <c r="U1980" s="108"/>
      <c r="V1980" s="108"/>
      <c r="W1980" s="108"/>
      <c r="X1980" s="108"/>
      <c r="Y1980" s="108"/>
      <c r="Z1980" s="108"/>
    </row>
    <row r="1981" ht="16.5" customHeight="1">
      <c r="A1981" s="108"/>
      <c r="B1981" s="108"/>
      <c r="C1981" s="180"/>
      <c r="D1981" s="108"/>
      <c r="E1981" s="108"/>
      <c r="F1981" s="108"/>
      <c r="G1981" s="108"/>
      <c r="H1981" s="108"/>
      <c r="I1981" s="108"/>
      <c r="J1981" s="108"/>
      <c r="K1981" s="108"/>
      <c r="L1981" s="108"/>
      <c r="M1981" s="108"/>
      <c r="N1981" s="108"/>
      <c r="O1981" s="108"/>
      <c r="P1981" s="108"/>
      <c r="Q1981" s="108"/>
      <c r="R1981" s="108"/>
      <c r="S1981" s="108"/>
      <c r="T1981" s="108"/>
      <c r="U1981" s="108"/>
      <c r="V1981" s="108"/>
      <c r="W1981" s="108"/>
      <c r="X1981" s="108"/>
      <c r="Y1981" s="108"/>
      <c r="Z1981" s="108"/>
    </row>
    <row r="1982" ht="16.5" customHeight="1">
      <c r="A1982" s="108"/>
      <c r="B1982" s="108"/>
      <c r="C1982" s="180"/>
      <c r="D1982" s="108"/>
      <c r="E1982" s="108"/>
      <c r="F1982" s="108"/>
      <c r="G1982" s="108"/>
      <c r="H1982" s="108"/>
      <c r="I1982" s="108"/>
      <c r="J1982" s="108"/>
      <c r="K1982" s="108"/>
      <c r="L1982" s="108"/>
      <c r="M1982" s="108"/>
      <c r="N1982" s="108"/>
      <c r="O1982" s="108"/>
      <c r="P1982" s="108"/>
      <c r="Q1982" s="108"/>
      <c r="R1982" s="108"/>
      <c r="S1982" s="108"/>
      <c r="T1982" s="108"/>
      <c r="U1982" s="108"/>
      <c r="V1982" s="108"/>
      <c r="W1982" s="108"/>
      <c r="X1982" s="108"/>
      <c r="Y1982" s="108"/>
      <c r="Z1982" s="108"/>
    </row>
    <row r="1983" ht="16.5" customHeight="1">
      <c r="A1983" s="108"/>
      <c r="B1983" s="108"/>
      <c r="C1983" s="180"/>
      <c r="D1983" s="108"/>
      <c r="E1983" s="108"/>
      <c r="F1983" s="108"/>
      <c r="G1983" s="108"/>
      <c r="H1983" s="108"/>
      <c r="I1983" s="108"/>
      <c r="J1983" s="108"/>
      <c r="K1983" s="108"/>
      <c r="L1983" s="108"/>
      <c r="M1983" s="108"/>
      <c r="N1983" s="108"/>
      <c r="O1983" s="108"/>
      <c r="P1983" s="108"/>
      <c r="Q1983" s="108"/>
      <c r="R1983" s="108"/>
      <c r="S1983" s="108"/>
      <c r="T1983" s="108"/>
      <c r="U1983" s="108"/>
      <c r="V1983" s="108"/>
      <c r="W1983" s="108"/>
      <c r="X1983" s="108"/>
      <c r="Y1983" s="108"/>
      <c r="Z1983" s="108"/>
    </row>
    <row r="1984" ht="16.5" customHeight="1">
      <c r="A1984" s="108"/>
      <c r="B1984" s="108"/>
      <c r="C1984" s="180"/>
      <c r="D1984" s="108"/>
      <c r="E1984" s="108"/>
      <c r="F1984" s="108"/>
      <c r="G1984" s="108"/>
      <c r="H1984" s="108"/>
      <c r="I1984" s="108"/>
      <c r="J1984" s="108"/>
      <c r="K1984" s="108"/>
      <c r="L1984" s="108"/>
      <c r="M1984" s="108"/>
      <c r="N1984" s="108"/>
      <c r="O1984" s="108"/>
      <c r="P1984" s="108"/>
      <c r="Q1984" s="108"/>
      <c r="R1984" s="108"/>
      <c r="S1984" s="108"/>
      <c r="T1984" s="108"/>
      <c r="U1984" s="108"/>
      <c r="V1984" s="108"/>
      <c r="W1984" s="108"/>
      <c r="X1984" s="108"/>
      <c r="Y1984" s="108"/>
      <c r="Z1984" s="108"/>
    </row>
    <row r="1985" ht="16.5" customHeight="1">
      <c r="A1985" s="108"/>
      <c r="B1985" s="108"/>
      <c r="C1985" s="180"/>
      <c r="D1985" s="108"/>
      <c r="E1985" s="108"/>
      <c r="F1985" s="108"/>
      <c r="G1985" s="108"/>
      <c r="H1985" s="108"/>
      <c r="I1985" s="108"/>
      <c r="J1985" s="108"/>
      <c r="K1985" s="108"/>
      <c r="L1985" s="108"/>
      <c r="M1985" s="108"/>
      <c r="N1985" s="108"/>
      <c r="O1985" s="108"/>
      <c r="P1985" s="108"/>
      <c r="Q1985" s="108"/>
      <c r="R1985" s="108"/>
      <c r="S1985" s="108"/>
      <c r="T1985" s="108"/>
      <c r="U1985" s="108"/>
      <c r="V1985" s="108"/>
      <c r="W1985" s="108"/>
      <c r="X1985" s="108"/>
      <c r="Y1985" s="108"/>
      <c r="Z1985" s="10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c r="A1" s="255" t="s">
        <v>1927</v>
      </c>
    </row>
    <row r="2" ht="13.5" customHeight="1">
      <c r="A2" s="255" t="s">
        <v>1928</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7"/>
    <col customWidth="1" min="2" max="2" width="30.57"/>
    <col customWidth="1" min="3" max="3" width="27.0"/>
    <col customWidth="1" min="4" max="4" width="28.14"/>
    <col customWidth="1" min="5" max="5" width="29.14"/>
    <col customWidth="1" min="6" max="6" width="24.14"/>
    <col customWidth="1" min="7" max="7" width="29.14"/>
    <col customWidth="1" min="8" max="10" width="32.43"/>
    <col customWidth="1" min="11" max="12" width="29.14"/>
  </cols>
  <sheetData>
    <row r="1" ht="34.5" customHeight="1">
      <c r="A1" s="256" t="s">
        <v>1929</v>
      </c>
      <c r="B1" s="256" t="s">
        <v>1930</v>
      </c>
      <c r="C1" s="256" t="s">
        <v>1931</v>
      </c>
      <c r="D1" s="256" t="s">
        <v>1932</v>
      </c>
      <c r="E1" s="256" t="s">
        <v>1933</v>
      </c>
      <c r="F1" s="256" t="s">
        <v>1934</v>
      </c>
      <c r="G1" s="256" t="s">
        <v>1935</v>
      </c>
      <c r="H1" s="256" t="s">
        <v>1936</v>
      </c>
      <c r="I1" s="256" t="s">
        <v>1937</v>
      </c>
      <c r="J1" s="256" t="s">
        <v>1938</v>
      </c>
      <c r="K1" s="256" t="s">
        <v>1939</v>
      </c>
      <c r="L1" s="256" t="s">
        <v>1940</v>
      </c>
    </row>
    <row r="2">
      <c r="A2" s="257">
        <v>7.0</v>
      </c>
      <c r="B2" s="257" t="s">
        <v>1941</v>
      </c>
      <c r="C2" s="258"/>
      <c r="D2" s="259"/>
      <c r="E2" s="259"/>
      <c r="F2" s="259"/>
      <c r="G2" s="260"/>
      <c r="H2" s="259"/>
      <c r="I2" s="259"/>
      <c r="J2" s="259"/>
      <c r="K2" s="259"/>
      <c r="L2" s="259"/>
    </row>
    <row r="3">
      <c r="A3" s="261"/>
      <c r="C3" s="262" t="s">
        <v>1942</v>
      </c>
      <c r="D3" s="263" t="s">
        <v>1943</v>
      </c>
      <c r="E3" s="264" t="s">
        <v>1944</v>
      </c>
      <c r="F3" s="264" t="s">
        <v>1944</v>
      </c>
      <c r="G3" s="265" t="s">
        <v>1945</v>
      </c>
      <c r="H3" s="264" t="s">
        <v>1944</v>
      </c>
      <c r="I3" s="264" t="s">
        <v>1944</v>
      </c>
      <c r="J3" s="264" t="s">
        <v>1944</v>
      </c>
      <c r="K3" s="266"/>
      <c r="L3" s="266" t="s">
        <v>1946</v>
      </c>
    </row>
    <row r="4">
      <c r="C4" s="262" t="s">
        <v>1947</v>
      </c>
      <c r="D4" s="263" t="s">
        <v>395</v>
      </c>
      <c r="E4" s="264" t="s">
        <v>1944</v>
      </c>
      <c r="F4" s="264" t="s">
        <v>1944</v>
      </c>
      <c r="G4" s="265" t="s">
        <v>1945</v>
      </c>
      <c r="H4" s="264" t="s">
        <v>1944</v>
      </c>
      <c r="I4" s="264" t="s">
        <v>1944</v>
      </c>
      <c r="J4" s="264" t="s">
        <v>1944</v>
      </c>
      <c r="K4" s="266"/>
    </row>
    <row r="5">
      <c r="C5" s="262" t="s">
        <v>1948</v>
      </c>
      <c r="D5" s="263" t="s">
        <v>402</v>
      </c>
      <c r="E5" s="264" t="s">
        <v>1944</v>
      </c>
      <c r="F5" s="264" t="s">
        <v>1944</v>
      </c>
      <c r="G5" s="265" t="s">
        <v>1945</v>
      </c>
      <c r="H5" s="264" t="s">
        <v>1944</v>
      </c>
      <c r="I5" s="264" t="s">
        <v>1944</v>
      </c>
      <c r="J5" s="264" t="s">
        <v>1944</v>
      </c>
    </row>
    <row r="6">
      <c r="C6" s="267"/>
      <c r="D6" s="263"/>
      <c r="E6" s="264"/>
      <c r="F6" s="264"/>
      <c r="G6" s="268"/>
      <c r="H6" s="264"/>
      <c r="I6" s="264"/>
      <c r="J6" s="264"/>
    </row>
    <row r="7">
      <c r="A7" s="257">
        <v>9.0</v>
      </c>
      <c r="B7" s="257" t="s">
        <v>662</v>
      </c>
      <c r="C7" s="258"/>
      <c r="D7" s="269"/>
      <c r="E7" s="259"/>
      <c r="F7" s="259"/>
      <c r="G7" s="260"/>
      <c r="H7" s="259"/>
      <c r="I7" s="259"/>
      <c r="J7" s="259"/>
      <c r="K7" s="259"/>
      <c r="L7" s="259"/>
    </row>
    <row r="8">
      <c r="A8" s="261"/>
      <c r="C8" s="264" t="s">
        <v>1944</v>
      </c>
      <c r="D8" s="264" t="s">
        <v>1944</v>
      </c>
      <c r="E8" s="264" t="s">
        <v>1944</v>
      </c>
      <c r="F8" s="264" t="s">
        <v>1944</v>
      </c>
      <c r="G8" s="264" t="s">
        <v>1944</v>
      </c>
      <c r="H8" s="264" t="s">
        <v>1944</v>
      </c>
      <c r="I8" s="270" t="s">
        <v>1949</v>
      </c>
      <c r="J8" s="271" t="s">
        <v>1950</v>
      </c>
      <c r="K8" s="265" t="s">
        <v>1951</v>
      </c>
      <c r="L8" s="264" t="s">
        <v>1944</v>
      </c>
    </row>
    <row r="9">
      <c r="C9" s="264" t="s">
        <v>1944</v>
      </c>
      <c r="D9" s="264" t="s">
        <v>1944</v>
      </c>
      <c r="E9" s="264" t="s">
        <v>1944</v>
      </c>
      <c r="F9" s="264" t="s">
        <v>1944</v>
      </c>
      <c r="G9" s="264" t="s">
        <v>1944</v>
      </c>
      <c r="H9" s="264" t="s">
        <v>1944</v>
      </c>
      <c r="I9" s="270" t="s">
        <v>1952</v>
      </c>
      <c r="J9" s="271" t="s">
        <v>1950</v>
      </c>
      <c r="K9" s="265" t="s">
        <v>1951</v>
      </c>
      <c r="L9" s="264" t="s">
        <v>1944</v>
      </c>
    </row>
    <row r="10">
      <c r="C10" s="264" t="s">
        <v>1944</v>
      </c>
      <c r="D10" s="264" t="s">
        <v>1944</v>
      </c>
      <c r="E10" s="264" t="s">
        <v>1944</v>
      </c>
      <c r="F10" s="264" t="s">
        <v>1944</v>
      </c>
      <c r="G10" s="264" t="s">
        <v>1944</v>
      </c>
      <c r="H10" s="264" t="s">
        <v>1944</v>
      </c>
      <c r="I10" s="272" t="s">
        <v>1953</v>
      </c>
      <c r="J10" s="271" t="s">
        <v>1950</v>
      </c>
      <c r="K10" s="265" t="s">
        <v>1951</v>
      </c>
      <c r="L10" s="264" t="s">
        <v>1944</v>
      </c>
    </row>
    <row r="11">
      <c r="C11" s="264" t="s">
        <v>1944</v>
      </c>
      <c r="D11" s="264" t="s">
        <v>1944</v>
      </c>
      <c r="E11" s="264" t="s">
        <v>1944</v>
      </c>
      <c r="F11" s="264" t="s">
        <v>1944</v>
      </c>
      <c r="G11" s="264" t="s">
        <v>1944</v>
      </c>
      <c r="H11" s="264" t="s">
        <v>1944</v>
      </c>
      <c r="I11" s="272" t="s">
        <v>1954</v>
      </c>
      <c r="J11" s="271" t="s">
        <v>1950</v>
      </c>
      <c r="K11" s="265" t="s">
        <v>1951</v>
      </c>
      <c r="L11" s="264" t="s">
        <v>1944</v>
      </c>
    </row>
    <row r="12" ht="15.0" customHeight="1"/>
    <row r="13" ht="32.25" customHeight="1">
      <c r="A13" s="257">
        <v>12.0</v>
      </c>
      <c r="B13" s="273" t="s">
        <v>1955</v>
      </c>
      <c r="C13" s="259"/>
      <c r="D13" s="259"/>
      <c r="E13" s="259"/>
      <c r="F13" s="259"/>
      <c r="G13" s="259"/>
      <c r="H13" s="259"/>
      <c r="I13" s="274"/>
      <c r="J13" s="275"/>
      <c r="K13" s="275"/>
      <c r="L13" s="259"/>
    </row>
    <row r="14">
      <c r="A14" s="261"/>
      <c r="C14" s="264" t="s">
        <v>1944</v>
      </c>
      <c r="D14" s="264" t="s">
        <v>1944</v>
      </c>
      <c r="E14" s="264" t="s">
        <v>1944</v>
      </c>
      <c r="F14" s="264" t="s">
        <v>1944</v>
      </c>
      <c r="G14" s="264" t="s">
        <v>1944</v>
      </c>
      <c r="H14" s="264" t="s">
        <v>1944</v>
      </c>
      <c r="I14" s="270" t="s">
        <v>1956</v>
      </c>
      <c r="J14" s="271" t="s">
        <v>1957</v>
      </c>
      <c r="K14" s="271" t="s">
        <v>1958</v>
      </c>
      <c r="L14" s="264" t="s">
        <v>1944</v>
      </c>
    </row>
    <row r="15" ht="15.0" customHeight="1"/>
    <row r="16" ht="24.75" customHeight="1">
      <c r="A16" s="257">
        <v>13.0</v>
      </c>
      <c r="B16" s="276" t="s">
        <v>563</v>
      </c>
      <c r="C16" s="259"/>
      <c r="D16" s="259"/>
      <c r="E16" s="259"/>
      <c r="F16" s="259"/>
      <c r="G16" s="259"/>
      <c r="H16" s="259"/>
      <c r="I16" s="259"/>
      <c r="J16" s="259"/>
      <c r="K16" s="259"/>
      <c r="L16" s="259"/>
    </row>
    <row r="17">
      <c r="A17" s="261"/>
      <c r="C17" s="263" t="s">
        <v>611</v>
      </c>
      <c r="D17" s="263" t="s">
        <v>1959</v>
      </c>
      <c r="E17" s="264" t="s">
        <v>1944</v>
      </c>
      <c r="F17" s="264" t="s">
        <v>1944</v>
      </c>
      <c r="G17" s="271" t="s">
        <v>1960</v>
      </c>
      <c r="H17" s="264" t="s">
        <v>1944</v>
      </c>
      <c r="I17" s="264" t="s">
        <v>1944</v>
      </c>
      <c r="J17" s="264" t="s">
        <v>1944</v>
      </c>
      <c r="K17" s="264" t="s">
        <v>1944</v>
      </c>
      <c r="L17" s="264" t="s">
        <v>1944</v>
      </c>
    </row>
    <row r="18">
      <c r="C18" s="277" t="s">
        <v>1961</v>
      </c>
      <c r="D18" s="263" t="s">
        <v>615</v>
      </c>
      <c r="E18" s="264" t="s">
        <v>1944</v>
      </c>
      <c r="F18" s="264" t="s">
        <v>1944</v>
      </c>
      <c r="G18" s="271" t="s">
        <v>1962</v>
      </c>
      <c r="H18" s="264" t="s">
        <v>1944</v>
      </c>
      <c r="I18" s="264" t="s">
        <v>1944</v>
      </c>
      <c r="J18" s="264" t="s">
        <v>1944</v>
      </c>
      <c r="K18" s="264" t="s">
        <v>1944</v>
      </c>
      <c r="L18" s="264" t="s">
        <v>1944</v>
      </c>
    </row>
    <row r="19">
      <c r="C19" s="263" t="s">
        <v>618</v>
      </c>
      <c r="D19" s="263" t="s">
        <v>617</v>
      </c>
      <c r="E19" s="264" t="s">
        <v>1944</v>
      </c>
      <c r="F19" s="264" t="s">
        <v>1944</v>
      </c>
      <c r="G19" s="271" t="s">
        <v>1963</v>
      </c>
      <c r="H19" s="264" t="s">
        <v>1944</v>
      </c>
      <c r="I19" s="264" t="s">
        <v>1944</v>
      </c>
      <c r="J19" s="264" t="s">
        <v>1944</v>
      </c>
      <c r="K19" s="264" t="s">
        <v>1944</v>
      </c>
      <c r="L19" s="264" t="s">
        <v>1944</v>
      </c>
    </row>
    <row r="20">
      <c r="C20" s="263" t="s">
        <v>621</v>
      </c>
      <c r="D20" s="263" t="s">
        <v>620</v>
      </c>
      <c r="E20" s="264" t="s">
        <v>1944</v>
      </c>
      <c r="F20" s="264" t="s">
        <v>1944</v>
      </c>
      <c r="G20" s="271" t="s">
        <v>1964</v>
      </c>
      <c r="H20" s="264" t="s">
        <v>1944</v>
      </c>
      <c r="I20" s="264" t="s">
        <v>1944</v>
      </c>
      <c r="J20" s="264" t="s">
        <v>1944</v>
      </c>
      <c r="K20" s="264" t="s">
        <v>1944</v>
      </c>
      <c r="L20" s="264" t="s">
        <v>1944</v>
      </c>
    </row>
    <row r="21" ht="15.75" customHeight="1">
      <c r="C21" s="263" t="s">
        <v>1965</v>
      </c>
      <c r="D21" s="263" t="s">
        <v>1966</v>
      </c>
      <c r="E21" s="264" t="s">
        <v>1944</v>
      </c>
      <c r="F21" s="264" t="s">
        <v>1944</v>
      </c>
      <c r="G21" s="271" t="s">
        <v>1967</v>
      </c>
      <c r="H21" s="264" t="s">
        <v>1944</v>
      </c>
      <c r="I21" s="264" t="s">
        <v>1944</v>
      </c>
      <c r="J21" s="264" t="s">
        <v>1944</v>
      </c>
      <c r="K21" s="264" t="s">
        <v>1944</v>
      </c>
      <c r="L21" s="264" t="s">
        <v>1944</v>
      </c>
    </row>
    <row r="22" ht="15.75" customHeight="1">
      <c r="C22" s="263" t="s">
        <v>598</v>
      </c>
      <c r="D22" s="263" t="s">
        <v>597</v>
      </c>
      <c r="E22" s="264" t="s">
        <v>1944</v>
      </c>
      <c r="F22" s="264" t="s">
        <v>1944</v>
      </c>
      <c r="G22" s="271" t="s">
        <v>1968</v>
      </c>
      <c r="H22" s="264" t="s">
        <v>1944</v>
      </c>
      <c r="I22" s="264" t="s">
        <v>1944</v>
      </c>
      <c r="J22" s="264" t="s">
        <v>1944</v>
      </c>
      <c r="K22" s="264" t="s">
        <v>1944</v>
      </c>
      <c r="L22" s="264" t="s">
        <v>1944</v>
      </c>
    </row>
    <row r="23" ht="15.75" customHeight="1">
      <c r="C23" s="263" t="s">
        <v>1969</v>
      </c>
      <c r="D23" s="263" t="s">
        <v>600</v>
      </c>
      <c r="E23" s="264" t="s">
        <v>1944</v>
      </c>
      <c r="F23" s="264" t="s">
        <v>1944</v>
      </c>
      <c r="G23" s="271" t="s">
        <v>1970</v>
      </c>
      <c r="H23" s="264" t="s">
        <v>1944</v>
      </c>
      <c r="I23" s="264" t="s">
        <v>1944</v>
      </c>
      <c r="J23" s="264" t="s">
        <v>1944</v>
      </c>
      <c r="K23" s="264" t="s">
        <v>1944</v>
      </c>
      <c r="L23" s="264" t="s">
        <v>1944</v>
      </c>
    </row>
    <row r="24" ht="15.75" customHeight="1">
      <c r="C24" s="263" t="s">
        <v>1944</v>
      </c>
      <c r="D24" s="263" t="s">
        <v>1944</v>
      </c>
      <c r="E24" s="270" t="s">
        <v>1971</v>
      </c>
      <c r="F24" s="278" t="s">
        <v>1972</v>
      </c>
      <c r="G24" s="278" t="s">
        <v>1944</v>
      </c>
      <c r="H24" s="271" t="s">
        <v>1973</v>
      </c>
      <c r="I24" s="263" t="s">
        <v>1944</v>
      </c>
      <c r="J24" s="264" t="s">
        <v>1944</v>
      </c>
      <c r="K24" s="264" t="s">
        <v>1944</v>
      </c>
      <c r="L24" s="264" t="s">
        <v>1944</v>
      </c>
    </row>
    <row r="25" ht="15.0" customHeight="1"/>
    <row r="26" ht="22.5" customHeight="1">
      <c r="A26" s="276">
        <v>14.0</v>
      </c>
      <c r="B26" s="276" t="s">
        <v>604</v>
      </c>
      <c r="C26" s="259"/>
      <c r="D26" s="259"/>
      <c r="E26" s="259"/>
      <c r="F26" s="259"/>
      <c r="G26" s="259"/>
      <c r="H26" s="259"/>
      <c r="I26" s="259"/>
      <c r="J26" s="259"/>
      <c r="K26" s="259"/>
      <c r="L26" s="259"/>
    </row>
    <row r="27" ht="22.5" customHeight="1">
      <c r="A27" s="261"/>
      <c r="C27" s="264" t="s">
        <v>1944</v>
      </c>
      <c r="D27" s="264" t="s">
        <v>1944</v>
      </c>
      <c r="E27" s="279" t="s">
        <v>1961</v>
      </c>
      <c r="F27" s="263" t="s">
        <v>615</v>
      </c>
      <c r="G27" s="264" t="s">
        <v>1944</v>
      </c>
      <c r="H27" s="263" t="s">
        <v>1962</v>
      </c>
      <c r="I27" s="264" t="s">
        <v>1944</v>
      </c>
      <c r="J27" s="264" t="s">
        <v>1944</v>
      </c>
      <c r="K27" s="264" t="s">
        <v>1944</v>
      </c>
    </row>
    <row r="28" ht="15.75" customHeight="1">
      <c r="C28" s="264" t="s">
        <v>1944</v>
      </c>
      <c r="D28" s="264" t="s">
        <v>1944</v>
      </c>
      <c r="E28" s="277" t="s">
        <v>1974</v>
      </c>
      <c r="F28" s="263" t="s">
        <v>1975</v>
      </c>
      <c r="G28" s="264" t="s">
        <v>1944</v>
      </c>
      <c r="H28" s="263" t="s">
        <v>1957</v>
      </c>
      <c r="I28" s="264" t="s">
        <v>1944</v>
      </c>
      <c r="J28" s="264" t="s">
        <v>1944</v>
      </c>
      <c r="K28" s="264" t="s">
        <v>1944</v>
      </c>
    </row>
    <row r="29" ht="15.75" customHeight="1">
      <c r="C29" s="264" t="s">
        <v>1944</v>
      </c>
      <c r="D29" s="264" t="s">
        <v>1944</v>
      </c>
      <c r="E29" s="277" t="s">
        <v>1976</v>
      </c>
      <c r="F29" s="263" t="s">
        <v>637</v>
      </c>
      <c r="G29" s="264" t="s">
        <v>1944</v>
      </c>
      <c r="H29" s="263" t="s">
        <v>1957</v>
      </c>
      <c r="I29" s="264" t="s">
        <v>1944</v>
      </c>
      <c r="J29" s="264" t="s">
        <v>1944</v>
      </c>
      <c r="K29" s="264" t="s">
        <v>1944</v>
      </c>
    </row>
    <row r="30" ht="15.75" customHeight="1">
      <c r="C30" s="264" t="s">
        <v>1944</v>
      </c>
      <c r="D30" s="264" t="s">
        <v>1944</v>
      </c>
      <c r="E30" s="277" t="s">
        <v>1977</v>
      </c>
      <c r="F30" s="263" t="s">
        <v>1978</v>
      </c>
      <c r="G30" s="264" t="s">
        <v>1944</v>
      </c>
      <c r="H30" s="263" t="s">
        <v>1957</v>
      </c>
      <c r="I30" s="264" t="s">
        <v>1944</v>
      </c>
      <c r="J30" s="264" t="s">
        <v>1944</v>
      </c>
      <c r="K30" s="264" t="s">
        <v>1944</v>
      </c>
    </row>
    <row r="31" ht="15.75" customHeight="1">
      <c r="C31" s="264" t="s">
        <v>1944</v>
      </c>
      <c r="D31" s="264" t="s">
        <v>1944</v>
      </c>
      <c r="E31" s="263" t="s">
        <v>621</v>
      </c>
      <c r="F31" s="263" t="s">
        <v>1979</v>
      </c>
      <c r="G31" s="264" t="s">
        <v>1944</v>
      </c>
      <c r="H31" s="263" t="s">
        <v>1980</v>
      </c>
      <c r="I31" s="264" t="s">
        <v>1944</v>
      </c>
      <c r="J31" s="264" t="s">
        <v>1944</v>
      </c>
      <c r="K31" s="264" t="s">
        <v>1944</v>
      </c>
    </row>
    <row r="32" ht="15.75" customHeight="1">
      <c r="C32" s="264" t="s">
        <v>1944</v>
      </c>
      <c r="D32" s="264" t="s">
        <v>1944</v>
      </c>
      <c r="E32" s="280" t="s">
        <v>618</v>
      </c>
      <c r="F32" s="278" t="s">
        <v>617</v>
      </c>
      <c r="G32" s="264" t="s">
        <v>1944</v>
      </c>
      <c r="H32" s="278" t="s">
        <v>1981</v>
      </c>
      <c r="I32" s="264" t="s">
        <v>1944</v>
      </c>
      <c r="J32" s="264" t="s">
        <v>1944</v>
      </c>
      <c r="K32" s="264" t="s">
        <v>1944</v>
      </c>
    </row>
    <row r="33" ht="15.0" customHeight="1"/>
    <row r="34" ht="15.75" customHeight="1">
      <c r="A34" s="276">
        <v>15.0</v>
      </c>
      <c r="B34" s="276" t="s">
        <v>578</v>
      </c>
      <c r="C34" s="259"/>
      <c r="D34" s="259"/>
      <c r="E34" s="259"/>
      <c r="F34" s="259"/>
      <c r="G34" s="259"/>
      <c r="H34" s="259"/>
      <c r="I34" s="259"/>
      <c r="J34" s="259"/>
      <c r="K34" s="259"/>
      <c r="L34" s="259"/>
    </row>
    <row r="35" ht="15.75" customHeight="1">
      <c r="A35" s="261"/>
      <c r="C35" s="277" t="s">
        <v>1982</v>
      </c>
      <c r="D35" s="263" t="s">
        <v>579</v>
      </c>
      <c r="E35" s="263" t="s">
        <v>1944</v>
      </c>
      <c r="F35" s="264" t="s">
        <v>1944</v>
      </c>
      <c r="G35" s="263" t="s">
        <v>1983</v>
      </c>
      <c r="H35" s="264" t="s">
        <v>1944</v>
      </c>
      <c r="I35" s="264" t="s">
        <v>1944</v>
      </c>
      <c r="J35" s="264" t="s">
        <v>1944</v>
      </c>
    </row>
    <row r="36" ht="15.75" customHeight="1">
      <c r="C36" s="267" t="s">
        <v>1944</v>
      </c>
      <c r="D36" s="263" t="s">
        <v>1944</v>
      </c>
      <c r="E36" s="264" t="s">
        <v>1944</v>
      </c>
      <c r="F36" s="264" t="s">
        <v>1944</v>
      </c>
      <c r="G36" s="268" t="s">
        <v>1944</v>
      </c>
      <c r="H36" s="264" t="s">
        <v>1944</v>
      </c>
      <c r="I36" s="263" t="s">
        <v>1984</v>
      </c>
      <c r="J36" s="263" t="s">
        <v>1957</v>
      </c>
      <c r="K36" s="271" t="s">
        <v>1985</v>
      </c>
    </row>
    <row r="37" ht="15.75" customHeight="1">
      <c r="C37" s="267" t="s">
        <v>1944</v>
      </c>
      <c r="D37" s="263" t="s">
        <v>1944</v>
      </c>
      <c r="E37" s="264" t="s">
        <v>1944</v>
      </c>
      <c r="F37" s="264" t="s">
        <v>1944</v>
      </c>
      <c r="G37" s="268" t="s">
        <v>1944</v>
      </c>
      <c r="H37" s="264" t="s">
        <v>1944</v>
      </c>
      <c r="I37" s="263" t="s">
        <v>1986</v>
      </c>
      <c r="J37" s="263" t="s">
        <v>1957</v>
      </c>
      <c r="K37" s="271" t="s">
        <v>1985</v>
      </c>
    </row>
    <row r="38" ht="15.75" customHeight="1">
      <c r="C38" s="267" t="s">
        <v>1944</v>
      </c>
      <c r="D38" s="263" t="s">
        <v>1944</v>
      </c>
      <c r="E38" s="264" t="s">
        <v>1944</v>
      </c>
      <c r="F38" s="264" t="s">
        <v>1944</v>
      </c>
      <c r="G38" s="268" t="s">
        <v>1944</v>
      </c>
      <c r="H38" s="264" t="s">
        <v>1944</v>
      </c>
      <c r="I38" s="263" t="s">
        <v>1987</v>
      </c>
      <c r="J38" s="263" t="s">
        <v>1957</v>
      </c>
      <c r="K38" s="271" t="s">
        <v>1985</v>
      </c>
    </row>
    <row r="39" ht="15.75" customHeight="1">
      <c r="C39" s="267" t="s">
        <v>1944</v>
      </c>
      <c r="D39" s="263" t="s">
        <v>1944</v>
      </c>
      <c r="E39" s="264" t="s">
        <v>1944</v>
      </c>
      <c r="F39" s="264" t="s">
        <v>1944</v>
      </c>
      <c r="G39" s="268" t="s">
        <v>1944</v>
      </c>
      <c r="H39" s="264" t="s">
        <v>1944</v>
      </c>
      <c r="I39" s="264" t="s">
        <v>1944</v>
      </c>
      <c r="J39" s="264" t="s">
        <v>1944</v>
      </c>
      <c r="K39" s="264" t="s">
        <v>1944</v>
      </c>
    </row>
    <row r="40" ht="15.0" customHeight="1"/>
    <row r="41" ht="15.75" customHeight="1">
      <c r="A41" s="273">
        <v>21.0</v>
      </c>
      <c r="B41" s="273" t="s">
        <v>1988</v>
      </c>
      <c r="C41" s="259"/>
      <c r="D41" s="259"/>
      <c r="E41" s="259"/>
      <c r="F41" s="259"/>
      <c r="G41" s="259"/>
      <c r="H41" s="259"/>
      <c r="I41" s="259"/>
      <c r="J41" s="259"/>
      <c r="K41" s="259"/>
      <c r="L41" s="259"/>
    </row>
    <row r="42" ht="15.75" customHeight="1">
      <c r="A42" s="261"/>
      <c r="C42" s="264" t="s">
        <v>1944</v>
      </c>
      <c r="D42" s="264" t="s">
        <v>1944</v>
      </c>
      <c r="E42" s="270" t="s">
        <v>1989</v>
      </c>
      <c r="F42" s="263" t="s">
        <v>1990</v>
      </c>
      <c r="G42" s="264" t="s">
        <v>1944</v>
      </c>
      <c r="H42" s="271" t="s">
        <v>1950</v>
      </c>
      <c r="I42" s="271" t="s">
        <v>1944</v>
      </c>
      <c r="J42" s="264" t="s">
        <v>1944</v>
      </c>
      <c r="K42" s="264" t="s">
        <v>1944</v>
      </c>
    </row>
    <row r="43" ht="15.75" customHeight="1">
      <c r="C43" s="267" t="s">
        <v>1944</v>
      </c>
      <c r="D43" s="263" t="s">
        <v>1944</v>
      </c>
      <c r="E43" s="264" t="s">
        <v>1944</v>
      </c>
      <c r="F43" s="264" t="s">
        <v>1944</v>
      </c>
      <c r="G43" s="268" t="s">
        <v>1944</v>
      </c>
      <c r="H43" s="264" t="s">
        <v>1944</v>
      </c>
      <c r="I43" s="263" t="s">
        <v>1078</v>
      </c>
      <c r="J43" s="264" t="s">
        <v>1985</v>
      </c>
      <c r="K43" s="271" t="s">
        <v>1950</v>
      </c>
    </row>
    <row r="44" ht="15.75" customHeight="1">
      <c r="C44" s="267" t="s">
        <v>1944</v>
      </c>
      <c r="D44" s="263" t="s">
        <v>1944</v>
      </c>
      <c r="E44" s="264" t="s">
        <v>1944</v>
      </c>
      <c r="F44" s="264" t="s">
        <v>1944</v>
      </c>
      <c r="G44" s="268" t="s">
        <v>1944</v>
      </c>
      <c r="H44" s="264" t="s">
        <v>1944</v>
      </c>
      <c r="I44" s="263" t="s">
        <v>1991</v>
      </c>
      <c r="J44" s="264" t="s">
        <v>1985</v>
      </c>
      <c r="K44" s="263" t="s">
        <v>1957</v>
      </c>
    </row>
    <row r="45" ht="15.75" customHeight="1">
      <c r="C45" s="264"/>
      <c r="D45" s="264"/>
      <c r="E45" s="270"/>
      <c r="F45" s="263"/>
      <c r="G45" s="264"/>
      <c r="H45" s="271"/>
      <c r="I45" s="263"/>
      <c r="J45" s="264"/>
      <c r="K45" s="263"/>
    </row>
    <row r="46" ht="15.75" customHeight="1">
      <c r="A46" s="273">
        <v>24.0</v>
      </c>
      <c r="B46" s="281" t="s">
        <v>1992</v>
      </c>
      <c r="C46" s="259"/>
      <c r="D46" s="259"/>
      <c r="E46" s="274"/>
      <c r="F46" s="269"/>
      <c r="G46" s="259"/>
      <c r="H46" s="275"/>
      <c r="I46" s="269"/>
      <c r="J46" s="259"/>
      <c r="K46" s="269"/>
      <c r="L46" s="259"/>
    </row>
    <row r="47" ht="15.75" customHeight="1">
      <c r="A47" s="261"/>
      <c r="C47" s="267" t="s">
        <v>1944</v>
      </c>
      <c r="D47" s="263" t="s">
        <v>1944</v>
      </c>
      <c r="E47" s="264" t="s">
        <v>1944</v>
      </c>
      <c r="F47" s="264" t="s">
        <v>1944</v>
      </c>
      <c r="G47" s="268" t="s">
        <v>1944</v>
      </c>
      <c r="H47" s="264" t="s">
        <v>1944</v>
      </c>
      <c r="I47" s="263" t="s">
        <v>1170</v>
      </c>
      <c r="J47" s="271" t="s">
        <v>1993</v>
      </c>
      <c r="K47" s="271" t="s">
        <v>1994</v>
      </c>
      <c r="L47" s="264" t="s">
        <v>1944</v>
      </c>
    </row>
    <row r="48" ht="15.0" customHeight="1"/>
    <row r="49" ht="15.75" customHeight="1">
      <c r="A49" s="273">
        <v>27.0</v>
      </c>
      <c r="B49" s="273" t="s">
        <v>1995</v>
      </c>
      <c r="C49" s="259"/>
      <c r="D49" s="259"/>
      <c r="E49" s="259"/>
      <c r="F49" s="259"/>
      <c r="G49" s="259"/>
      <c r="H49" s="259"/>
      <c r="I49" s="259"/>
      <c r="J49" s="259"/>
      <c r="K49" s="259"/>
      <c r="L49" s="259"/>
    </row>
    <row r="50" ht="15.75" customHeight="1">
      <c r="A50" s="261"/>
      <c r="C50" s="263" t="s">
        <v>951</v>
      </c>
      <c r="D50" s="271" t="s">
        <v>953</v>
      </c>
      <c r="E50" s="282" t="s">
        <v>1944</v>
      </c>
      <c r="F50" s="264" t="s">
        <v>1944</v>
      </c>
      <c r="G50" s="282" t="s">
        <v>1996</v>
      </c>
      <c r="H50" s="264" t="s">
        <v>1944</v>
      </c>
      <c r="I50" s="264" t="s">
        <v>1944</v>
      </c>
      <c r="J50" s="264" t="s">
        <v>1944</v>
      </c>
      <c r="K50" s="264" t="s">
        <v>1944</v>
      </c>
    </row>
    <row r="51" ht="15.75" customHeight="1">
      <c r="C51" s="267" t="s">
        <v>1944</v>
      </c>
      <c r="D51" s="263" t="s">
        <v>1944</v>
      </c>
      <c r="E51" s="264" t="s">
        <v>1944</v>
      </c>
      <c r="F51" s="264" t="s">
        <v>1944</v>
      </c>
      <c r="G51" s="268" t="s">
        <v>1944</v>
      </c>
      <c r="H51" s="264" t="s">
        <v>1944</v>
      </c>
      <c r="I51" s="263" t="s">
        <v>1170</v>
      </c>
      <c r="J51" s="271" t="s">
        <v>1993</v>
      </c>
      <c r="K51" s="283" t="s">
        <v>1994</v>
      </c>
      <c r="L51" s="264" t="s">
        <v>1944</v>
      </c>
    </row>
    <row r="52" ht="15.0" customHeight="1"/>
    <row r="53" ht="15.75" customHeight="1">
      <c r="A53" s="273">
        <v>32.0</v>
      </c>
      <c r="B53" s="281" t="s">
        <v>1997</v>
      </c>
      <c r="C53" s="259"/>
      <c r="D53" s="259"/>
      <c r="E53" s="259"/>
      <c r="F53" s="259"/>
      <c r="G53" s="259"/>
      <c r="H53" s="259"/>
      <c r="I53" s="259"/>
      <c r="J53" s="259"/>
      <c r="K53" s="259"/>
      <c r="L53" s="259"/>
    </row>
    <row r="54" ht="15.75" customHeight="1">
      <c r="A54" s="261"/>
      <c r="C54" s="267" t="s">
        <v>1944</v>
      </c>
      <c r="D54" s="263" t="s">
        <v>1944</v>
      </c>
      <c r="E54" s="264" t="s">
        <v>1944</v>
      </c>
      <c r="F54" s="264" t="s">
        <v>1944</v>
      </c>
      <c r="G54" s="268" t="s">
        <v>1944</v>
      </c>
      <c r="H54" s="264" t="s">
        <v>1944</v>
      </c>
      <c r="I54" s="263" t="s">
        <v>977</v>
      </c>
      <c r="J54" s="282" t="s">
        <v>1998</v>
      </c>
      <c r="K54" s="282" t="s">
        <v>1999</v>
      </c>
      <c r="L54" s="264" t="s">
        <v>1944</v>
      </c>
    </row>
    <row r="55" ht="15.0" customHeight="1"/>
    <row r="56" ht="15.75" customHeight="1">
      <c r="A56" s="273">
        <v>33.0</v>
      </c>
      <c r="B56" s="273" t="s">
        <v>2000</v>
      </c>
      <c r="C56" s="259"/>
      <c r="D56" s="259"/>
      <c r="E56" s="259"/>
      <c r="F56" s="259"/>
      <c r="G56" s="259"/>
      <c r="H56" s="259"/>
      <c r="I56" s="259"/>
      <c r="J56" s="259"/>
      <c r="K56" s="259"/>
      <c r="L56" s="259"/>
    </row>
    <row r="57" ht="15.75" customHeight="1">
      <c r="A57" s="270"/>
      <c r="C57" s="267" t="s">
        <v>1944</v>
      </c>
      <c r="D57" s="263" t="s">
        <v>1944</v>
      </c>
      <c r="E57" s="264" t="s">
        <v>1944</v>
      </c>
      <c r="F57" s="264" t="s">
        <v>1944</v>
      </c>
      <c r="G57" s="268" t="s">
        <v>1944</v>
      </c>
      <c r="H57" s="264" t="s">
        <v>1944</v>
      </c>
      <c r="I57" s="284" t="s">
        <v>2001</v>
      </c>
      <c r="J57" s="264" t="s">
        <v>1985</v>
      </c>
      <c r="K57" s="271" t="s">
        <v>1957</v>
      </c>
      <c r="L57" s="264" t="s">
        <v>1944</v>
      </c>
    </row>
    <row r="58" ht="15.75" customHeight="1">
      <c r="C58" s="267" t="s">
        <v>1944</v>
      </c>
      <c r="D58" s="263" t="s">
        <v>1944</v>
      </c>
      <c r="E58" s="264" t="s">
        <v>1944</v>
      </c>
      <c r="F58" s="264" t="s">
        <v>1944</v>
      </c>
      <c r="G58" s="268" t="s">
        <v>1944</v>
      </c>
      <c r="H58" s="264" t="s">
        <v>1944</v>
      </c>
      <c r="I58" s="285" t="s">
        <v>2002</v>
      </c>
      <c r="J58" s="264" t="s">
        <v>1985</v>
      </c>
      <c r="K58" s="271" t="s">
        <v>1957</v>
      </c>
      <c r="L58" s="264" t="s">
        <v>1944</v>
      </c>
    </row>
    <row r="59" ht="15.75" customHeight="1">
      <c r="C59" s="267" t="s">
        <v>1944</v>
      </c>
      <c r="D59" s="263" t="s">
        <v>1944</v>
      </c>
      <c r="E59" s="264" t="s">
        <v>1944</v>
      </c>
      <c r="F59" s="264" t="s">
        <v>1944</v>
      </c>
      <c r="G59" s="268" t="s">
        <v>1944</v>
      </c>
      <c r="H59" s="264" t="s">
        <v>1944</v>
      </c>
      <c r="I59" s="284" t="s">
        <v>2003</v>
      </c>
      <c r="J59" s="264" t="s">
        <v>1985</v>
      </c>
      <c r="K59" s="271" t="s">
        <v>1957</v>
      </c>
      <c r="L59" s="264" t="s">
        <v>1944</v>
      </c>
    </row>
    <row r="60" ht="15.75" customHeight="1">
      <c r="C60" s="267" t="s">
        <v>1944</v>
      </c>
      <c r="D60" s="263" t="s">
        <v>1944</v>
      </c>
      <c r="E60" s="264" t="s">
        <v>1944</v>
      </c>
      <c r="F60" s="264" t="s">
        <v>1944</v>
      </c>
      <c r="G60" s="268" t="s">
        <v>1944</v>
      </c>
      <c r="H60" s="264" t="s">
        <v>1944</v>
      </c>
      <c r="I60" s="284" t="s">
        <v>2004</v>
      </c>
      <c r="J60" s="264" t="s">
        <v>1985</v>
      </c>
      <c r="K60" s="271" t="s">
        <v>1957</v>
      </c>
      <c r="L60" s="264" t="s">
        <v>1944</v>
      </c>
    </row>
    <row r="61" ht="15.0"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42:B45"/>
    <mergeCell ref="A47:B48"/>
    <mergeCell ref="A50:B52"/>
    <mergeCell ref="A54:B55"/>
    <mergeCell ref="A57:B61"/>
    <mergeCell ref="A3:B6"/>
    <mergeCell ref="L3:L4"/>
    <mergeCell ref="A8:B12"/>
    <mergeCell ref="A14:B15"/>
    <mergeCell ref="A17:B25"/>
    <mergeCell ref="A27:B33"/>
    <mergeCell ref="A35:B40"/>
  </mergeCells>
  <hyperlinks>
    <hyperlink display="Insert possible options identified by section 3.2 | I don't know|I prefer not to answer | Other, please specify" location="null!E48:G58" ref="G3"/>
    <hyperlink r:id="rId1" location="gid=891464723" ref="L3"/>
    <hyperlink display="Insert possible options identified by section 3.2 | I don't know|I prefer not to answer | Other, please specify" location="null!E48:G58" ref="G4"/>
    <hyperlink display="Insert possible options identified by section 3.2 | I don't know|I prefer not to answer | Other, please specify" location="null!E48:G58" ref="G5"/>
    <hyperlink display="Insert possible options identified in intake form eg 25kilograms | I don't know|I prefer not to answer | Other, please specify" location="null!E48:G58" ref="K8"/>
    <hyperlink display="Insert possible options identified in intake form eg 25kilograms | I don't know|I prefer not to answer | Other, please specify" location="null!E48:G58" ref="K9"/>
    <hyperlink display="Insert possible options identified in intake form eg 25kilograms | I don't know|I prefer not to answer | Other, please specify" location="null!E48:G58" ref="K10"/>
    <hyperlink display="Insert possible options identified in intake form eg 25kilograms | I don't know|I prefer not to answer | Other, please specify" location="null!E48:G58" ref="K11"/>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6" width="8.86"/>
  </cols>
  <sheetData>
    <row r="1" ht="12.75" customHeight="1">
      <c r="A1" s="264" t="s">
        <v>2005</v>
      </c>
    </row>
    <row r="2" ht="12.75" customHeight="1">
      <c r="A2" s="264" t="s">
        <v>2006</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2.75" customHeight="1">
      <c r="A1" s="264" t="s">
        <v>2007</v>
      </c>
    </row>
    <row r="2" ht="12.75" customHeight="1">
      <c r="A2" s="264" t="s">
        <v>2008</v>
      </c>
    </row>
    <row r="3" ht="12.75" customHeight="1">
      <c r="A3" s="264" t="s">
        <v>2009</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2.75" customHeight="1">
      <c r="A1" s="264" t="s">
        <v>2010</v>
      </c>
    </row>
    <row r="2" ht="12.75" customHeight="1">
      <c r="A2" s="264" t="s">
        <v>2011</v>
      </c>
    </row>
    <row r="3" ht="12.75" customHeight="1">
      <c r="A3" s="264" t="s">
        <v>2012</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2024-08-05T11:42:58Z</dcterms:created>
  <dc:creator>Charlotte Keijser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0x010100A0598B2C9534B0418714E80E9A599DB2</vt:lpwstr>
  </property>
</Properties>
</file>