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yawakyea/Desktop/IPO Candy - ABNB/"/>
    </mc:Choice>
  </mc:AlternateContent>
  <xr:revisionPtr revIDLastSave="0" documentId="13_ncr:1_{5A9DECB8-5E6E-3D4F-8CB5-13309D9F3894}" xr6:coauthVersionLast="47" xr6:coauthVersionMax="47" xr10:uidLastSave="{00000000-0000-0000-0000-000000000000}"/>
  <bookViews>
    <workbookView xWindow="0" yWindow="0" windowWidth="28800" windowHeight="18000" xr2:uid="{63EC129F-FAE3-7B4F-8024-D78F97EC6E89}"/>
  </bookViews>
  <sheets>
    <sheet name="AAPL" sheetId="2" r:id="rId1"/>
    <sheet name="ABNB" sheetId="1" r:id="rId2"/>
  </sheets>
  <definedNames>
    <definedName name="_xlchart.v1.0" hidden="1">AAPL!$J$25:$M$25</definedName>
    <definedName name="_xlchart.v1.1" hidden="1">AAPL!$J$4:$M$4</definedName>
    <definedName name="_xlchart.v1.2" hidden="1">AAPL!$J$25:$M$25</definedName>
    <definedName name="_xlchart.v1.3" hidden="1">AAPL!$J$4:$M$4</definedName>
    <definedName name="CIQWBGuid" hidden="1">"60aadba8-9c5e-41de-9443-b6070dc7b523"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42382.5916782407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2" i="2"/>
  <c r="Y135" i="2"/>
  <c r="Y134" i="2"/>
  <c r="Q126" i="2"/>
  <c r="Q125" i="2"/>
  <c r="Q124" i="2"/>
  <c r="Q123" i="2"/>
  <c r="S62" i="1"/>
  <c r="S63" i="1"/>
  <c r="Z59" i="1"/>
  <c r="Y59" i="1"/>
  <c r="X59" i="1"/>
  <c r="R122" i="2"/>
  <c r="S122" i="2"/>
  <c r="T122" i="2"/>
  <c r="U122" i="2"/>
  <c r="Q122" i="2"/>
  <c r="S121" i="2"/>
  <c r="T121" i="2" s="1"/>
  <c r="U121" i="2" s="1"/>
  <c r="R121" i="2"/>
  <c r="Q121" i="2"/>
  <c r="S120" i="2"/>
  <c r="T120" i="2" s="1"/>
  <c r="U120" i="2" s="1"/>
  <c r="R120" i="2"/>
  <c r="I120" i="2"/>
  <c r="AA58" i="1"/>
  <c r="Z58" i="1"/>
  <c r="Y58" i="1"/>
  <c r="D120" i="2"/>
  <c r="E120" i="2" s="1"/>
  <c r="F120" i="2" s="1"/>
  <c r="G120" i="2" s="1"/>
  <c r="H120" i="2" s="1"/>
  <c r="Q120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C119" i="2"/>
  <c r="H56" i="1"/>
  <c r="Y120" i="2"/>
  <c r="AC48" i="1"/>
  <c r="Y116" i="2"/>
  <c r="U107" i="2"/>
  <c r="T107" i="2"/>
  <c r="S107" i="2"/>
  <c r="R107" i="2"/>
  <c r="Q107" i="2"/>
  <c r="I93" i="2"/>
  <c r="I94" i="2"/>
  <c r="I107" i="2"/>
  <c r="S104" i="2"/>
  <c r="T104" i="2" s="1"/>
  <c r="U104" i="2" s="1"/>
  <c r="R104" i="2"/>
  <c r="S97" i="2"/>
  <c r="T97" i="2"/>
  <c r="U97" i="2" s="1"/>
  <c r="R97" i="2"/>
  <c r="Q104" i="2"/>
  <c r="Q97" i="2"/>
  <c r="T90" i="2"/>
  <c r="Q93" i="2"/>
  <c r="U93" i="2"/>
  <c r="T93" i="2"/>
  <c r="S93" i="2"/>
  <c r="R93" i="2"/>
  <c r="U59" i="2"/>
  <c r="T59" i="2"/>
  <c r="R81" i="2"/>
  <c r="R90" i="2" s="1"/>
  <c r="R91" i="2" s="1"/>
  <c r="R59" i="2"/>
  <c r="R62" i="2" s="1"/>
  <c r="S59" i="2"/>
  <c r="C93" i="2"/>
  <c r="D93" i="2"/>
  <c r="Q91" i="2"/>
  <c r="Q90" i="2"/>
  <c r="I90" i="2"/>
  <c r="S81" i="2"/>
  <c r="T81" i="2" s="1"/>
  <c r="U81" i="2" s="1"/>
  <c r="R82" i="2"/>
  <c r="Q84" i="2"/>
  <c r="I84" i="2"/>
  <c r="D84" i="2"/>
  <c r="C84" i="2"/>
  <c r="I81" i="2"/>
  <c r="Q82" i="2"/>
  <c r="Q81" i="2"/>
  <c r="Q62" i="2"/>
  <c r="Q60" i="2"/>
  <c r="Q59" i="2"/>
  <c r="S57" i="2"/>
  <c r="T57" i="2"/>
  <c r="U57" i="2"/>
  <c r="R57" i="2"/>
  <c r="U56" i="2"/>
  <c r="T56" i="2"/>
  <c r="S56" i="2"/>
  <c r="R56" i="2"/>
  <c r="Q57" i="2"/>
  <c r="Q56" i="2"/>
  <c r="S54" i="2"/>
  <c r="T54" i="2"/>
  <c r="U54" i="2"/>
  <c r="R54" i="2"/>
  <c r="Q54" i="2"/>
  <c r="U53" i="2"/>
  <c r="T53" i="2"/>
  <c r="S53" i="2"/>
  <c r="R53" i="2"/>
  <c r="Q53" i="2"/>
  <c r="I99" i="2"/>
  <c r="D82" i="2"/>
  <c r="D76" i="2"/>
  <c r="D70" i="2"/>
  <c r="I76" i="2"/>
  <c r="I70" i="2"/>
  <c r="D99" i="2"/>
  <c r="D81" i="2"/>
  <c r="S56" i="1"/>
  <c r="C81" i="2"/>
  <c r="N53" i="1"/>
  <c r="N57" i="1"/>
  <c r="AC44" i="1"/>
  <c r="J120" i="2" l="1"/>
  <c r="Y126" i="2"/>
  <c r="S82" i="2"/>
  <c r="T91" i="2"/>
  <c r="S90" i="2"/>
  <c r="S91" i="2" s="1"/>
  <c r="R60" i="2"/>
  <c r="R84" i="2"/>
  <c r="S84" i="2"/>
  <c r="U90" i="2"/>
  <c r="T60" i="2"/>
  <c r="T62" i="2"/>
  <c r="S62" i="2"/>
  <c r="S60" i="2"/>
  <c r="I82" i="2"/>
  <c r="K120" i="2" l="1"/>
  <c r="U91" i="2"/>
  <c r="T84" i="2"/>
  <c r="T82" i="2"/>
  <c r="U62" i="2"/>
  <c r="U60" i="2"/>
  <c r="L120" i="2" l="1"/>
  <c r="U84" i="2"/>
  <c r="U82" i="2"/>
  <c r="M120" i="2" l="1"/>
  <c r="N120" i="2" l="1"/>
  <c r="O120" i="2" s="1"/>
  <c r="P120" i="2" s="1"/>
  <c r="I53" i="1" l="1"/>
  <c r="P58" i="2"/>
  <c r="P57" i="2"/>
  <c r="O58" i="2"/>
  <c r="O57" i="2"/>
  <c r="N57" i="2"/>
  <c r="M58" i="2"/>
  <c r="L58" i="2"/>
  <c r="L57" i="2"/>
  <c r="K58" i="2"/>
  <c r="K57" i="2"/>
  <c r="J53" i="2"/>
  <c r="J59" i="2" s="1"/>
  <c r="J62" i="2" s="1"/>
  <c r="H56" i="2"/>
  <c r="M57" i="2" s="1"/>
  <c r="E56" i="2"/>
  <c r="J57" i="2" s="1"/>
  <c r="N19" i="2"/>
  <c r="N20" i="2" s="1"/>
  <c r="N13" i="2"/>
  <c r="N14" i="2" s="1"/>
  <c r="N16" i="2"/>
  <c r="N17" i="2" s="1"/>
  <c r="N10" i="2"/>
  <c r="N11" i="2" s="1"/>
  <c r="N7" i="2"/>
  <c r="N8" i="2" s="1"/>
  <c r="P53" i="2"/>
  <c r="P26" i="2"/>
  <c r="P23" i="2"/>
  <c r="P21" i="2"/>
  <c r="P18" i="2"/>
  <c r="P15" i="2"/>
  <c r="P12" i="2"/>
  <c r="P9" i="2"/>
  <c r="P8" i="2"/>
  <c r="P11" i="2"/>
  <c r="P14" i="2"/>
  <c r="P20" i="2"/>
  <c r="O20" i="2"/>
  <c r="O17" i="2"/>
  <c r="O14" i="2"/>
  <c r="O11" i="2"/>
  <c r="O8" i="2"/>
  <c r="O26" i="2"/>
  <c r="O23" i="2"/>
  <c r="M19" i="2"/>
  <c r="M21" i="2" s="1"/>
  <c r="M16" i="2"/>
  <c r="O18" i="2" s="1"/>
  <c r="M13" i="2"/>
  <c r="O15" i="2" s="1"/>
  <c r="M10" i="2"/>
  <c r="M7" i="2"/>
  <c r="O9" i="2" s="1"/>
  <c r="L21" i="2"/>
  <c r="L18" i="2"/>
  <c r="L15" i="2"/>
  <c r="L12" i="2"/>
  <c r="L9" i="2"/>
  <c r="L17" i="2"/>
  <c r="L8" i="2"/>
  <c r="L11" i="2"/>
  <c r="L14" i="2"/>
  <c r="L20" i="2"/>
  <c r="L26" i="2"/>
  <c r="L23" i="2"/>
  <c r="L25" i="2" s="1"/>
  <c r="K9" i="2"/>
  <c r="K12" i="2"/>
  <c r="K15" i="2"/>
  <c r="K18" i="2"/>
  <c r="K21" i="2"/>
  <c r="K26" i="2"/>
  <c r="K20" i="2"/>
  <c r="H13" i="2"/>
  <c r="J15" i="2" s="1"/>
  <c r="H7" i="2"/>
  <c r="J9" i="2" s="1"/>
  <c r="H10" i="2"/>
  <c r="J12" i="2" s="1"/>
  <c r="H16" i="2"/>
  <c r="J18" i="2" s="1"/>
  <c r="H19" i="2"/>
  <c r="J21" i="2" s="1"/>
  <c r="G26" i="2"/>
  <c r="G23" i="2"/>
  <c r="F26" i="2"/>
  <c r="F23" i="2"/>
  <c r="J20" i="2"/>
  <c r="J17" i="2"/>
  <c r="J14" i="2"/>
  <c r="J11" i="2"/>
  <c r="J8" i="2"/>
  <c r="E26" i="2"/>
  <c r="E23" i="2"/>
  <c r="J26" i="2"/>
  <c r="J23" i="2"/>
  <c r="I33" i="2"/>
  <c r="I30" i="2"/>
  <c r="D33" i="2"/>
  <c r="D30" i="2"/>
  <c r="I56" i="2"/>
  <c r="D56" i="2"/>
  <c r="C56" i="2"/>
  <c r="I53" i="2"/>
  <c r="I26" i="2"/>
  <c r="I41" i="2" s="1"/>
  <c r="I23" i="2"/>
  <c r="I35" i="2" s="1"/>
  <c r="I38" i="2" s="1"/>
  <c r="D23" i="2"/>
  <c r="D35" i="2" s="1"/>
  <c r="D38" i="2" s="1"/>
  <c r="D26" i="2"/>
  <c r="D41" i="2" s="1"/>
  <c r="D44" i="2" s="1"/>
  <c r="C26" i="2"/>
  <c r="C41" i="2" s="1"/>
  <c r="C44" i="2" s="1"/>
  <c r="C23" i="2"/>
  <c r="C35" i="2" s="1"/>
  <c r="I173" i="2"/>
  <c r="I170" i="2"/>
  <c r="I167" i="2"/>
  <c r="I164" i="2"/>
  <c r="I161" i="2"/>
  <c r="D173" i="2"/>
  <c r="D170" i="2"/>
  <c r="D167" i="2"/>
  <c r="D164" i="2"/>
  <c r="D161" i="2"/>
  <c r="I20" i="2"/>
  <c r="I17" i="2"/>
  <c r="I14" i="2"/>
  <c r="I11" i="2"/>
  <c r="I8" i="2"/>
  <c r="D20" i="2"/>
  <c r="D17" i="2"/>
  <c r="D14" i="2"/>
  <c r="D11" i="2"/>
  <c r="D8" i="2"/>
  <c r="B3" i="2"/>
  <c r="H57" i="1"/>
  <c r="N52" i="1"/>
  <c r="I55" i="1"/>
  <c r="I56" i="1" s="1"/>
  <c r="I59" i="1" s="1"/>
  <c r="H53" i="1"/>
  <c r="H55" i="1" s="1"/>
  <c r="AA49" i="1"/>
  <c r="Z49" i="1"/>
  <c r="Y49" i="1"/>
  <c r="S49" i="1"/>
  <c r="S53" i="1" s="1"/>
  <c r="N48" i="1"/>
  <c r="I48" i="1"/>
  <c r="H48" i="1"/>
  <c r="AC46" i="1"/>
  <c r="X58" i="1" s="1"/>
  <c r="AC45" i="1"/>
  <c r="I61" i="1" s="1"/>
  <c r="AA45" i="1"/>
  <c r="Z45" i="1"/>
  <c r="Y45" i="1"/>
  <c r="S44" i="1"/>
  <c r="N44" i="1"/>
  <c r="I44" i="1"/>
  <c r="H44" i="1"/>
  <c r="AA43" i="1"/>
  <c r="Z43" i="1"/>
  <c r="S43" i="1"/>
  <c r="N43" i="1"/>
  <c r="I43" i="1"/>
  <c r="AC42" i="1"/>
  <c r="W42" i="1"/>
  <c r="W43" i="1" s="1"/>
  <c r="Q42" i="1"/>
  <c r="P42" i="1"/>
  <c r="P43" i="1" s="1"/>
  <c r="O42" i="1"/>
  <c r="L42" i="1"/>
  <c r="K42" i="1"/>
  <c r="J42" i="1"/>
  <c r="N40" i="1"/>
  <c r="I40" i="1"/>
  <c r="H40" i="1"/>
  <c r="N38" i="1"/>
  <c r="I38" i="1"/>
  <c r="H38" i="1"/>
  <c r="N36" i="1"/>
  <c r="I36" i="1"/>
  <c r="H36" i="1"/>
  <c r="Q32" i="1"/>
  <c r="P32" i="1"/>
  <c r="O32" i="1"/>
  <c r="N32" i="1"/>
  <c r="L32" i="1"/>
  <c r="K32" i="1"/>
  <c r="J32" i="1"/>
  <c r="I32" i="1"/>
  <c r="H32" i="1"/>
  <c r="W31" i="1"/>
  <c r="V31" i="1"/>
  <c r="U31" i="1"/>
  <c r="T31" i="1"/>
  <c r="M31" i="1"/>
  <c r="M32" i="1" s="1"/>
  <c r="W30" i="1"/>
  <c r="V30" i="1"/>
  <c r="U30" i="1"/>
  <c r="T30" i="1"/>
  <c r="Q30" i="1"/>
  <c r="P30" i="1"/>
  <c r="O30" i="1"/>
  <c r="N30" i="1"/>
  <c r="I30" i="1"/>
  <c r="X29" i="1"/>
  <c r="R29" i="1"/>
  <c r="R30" i="1" s="1"/>
  <c r="M29" i="1"/>
  <c r="Q28" i="1"/>
  <c r="P28" i="1"/>
  <c r="O28" i="1"/>
  <c r="N28" i="1"/>
  <c r="M28" i="1"/>
  <c r="L28" i="1"/>
  <c r="K28" i="1"/>
  <c r="J28" i="1"/>
  <c r="I28" i="1"/>
  <c r="H28" i="1"/>
  <c r="W27" i="1"/>
  <c r="V27" i="1"/>
  <c r="U27" i="1"/>
  <c r="T27" i="1"/>
  <c r="M27" i="1"/>
  <c r="W26" i="1"/>
  <c r="V26" i="1"/>
  <c r="U26" i="1"/>
  <c r="T26" i="1"/>
  <c r="Q26" i="1"/>
  <c r="P26" i="1"/>
  <c r="O26" i="1"/>
  <c r="N26" i="1"/>
  <c r="I26" i="1"/>
  <c r="X25" i="1"/>
  <c r="S25" i="1"/>
  <c r="M25" i="1"/>
  <c r="R26" i="1" s="1"/>
  <c r="Q24" i="1"/>
  <c r="P24" i="1"/>
  <c r="O24" i="1"/>
  <c r="N24" i="1"/>
  <c r="L24" i="1"/>
  <c r="K24" i="1"/>
  <c r="J24" i="1"/>
  <c r="I24" i="1"/>
  <c r="H24" i="1"/>
  <c r="M23" i="1"/>
  <c r="M24" i="1" s="1"/>
  <c r="R22" i="1"/>
  <c r="Q22" i="1"/>
  <c r="P22" i="1"/>
  <c r="L22" i="1"/>
  <c r="K22" i="1"/>
  <c r="R21" i="1"/>
  <c r="Q21" i="1"/>
  <c r="P21" i="1"/>
  <c r="O21" i="1"/>
  <c r="N21" i="1"/>
  <c r="I21" i="1"/>
  <c r="W20" i="1"/>
  <c r="W23" i="1" s="1"/>
  <c r="W45" i="1" s="1"/>
  <c r="V20" i="1"/>
  <c r="V42" i="1" s="1"/>
  <c r="T20" i="1"/>
  <c r="T22" i="1" s="1"/>
  <c r="S20" i="1"/>
  <c r="M20" i="1"/>
  <c r="O22" i="1" s="1"/>
  <c r="W19" i="1"/>
  <c r="V19" i="1"/>
  <c r="U19" i="1"/>
  <c r="U20" i="1" s="1"/>
  <c r="T19" i="1"/>
  <c r="Q19" i="1"/>
  <c r="R18" i="1"/>
  <c r="R19" i="1" s="1"/>
  <c r="Q18" i="1"/>
  <c r="R12" i="1"/>
  <c r="Q12" i="1"/>
  <c r="P12" i="1"/>
  <c r="E3" i="1"/>
  <c r="I72" i="2" l="1"/>
  <c r="I78" i="2"/>
  <c r="G53" i="2"/>
  <c r="G59" i="2" s="1"/>
  <c r="G62" i="2" s="1"/>
  <c r="F53" i="2"/>
  <c r="F59" i="2" s="1"/>
  <c r="F62" i="2" s="1"/>
  <c r="J58" i="2"/>
  <c r="L27" i="2"/>
  <c r="M14" i="2"/>
  <c r="O53" i="2"/>
  <c r="O59" i="2" s="1"/>
  <c r="O62" i="2" s="1"/>
  <c r="M26" i="2"/>
  <c r="M28" i="2" s="1"/>
  <c r="P25" i="2"/>
  <c r="N23" i="2"/>
  <c r="N24" i="2" s="1"/>
  <c r="L24" i="2"/>
  <c r="P28" i="2"/>
  <c r="N26" i="2"/>
  <c r="N27" i="2" s="1"/>
  <c r="H26" i="2"/>
  <c r="K28" i="2"/>
  <c r="L28" i="2"/>
  <c r="K53" i="2"/>
  <c r="P54" i="2" s="1"/>
  <c r="K27" i="2"/>
  <c r="M23" i="2"/>
  <c r="M9" i="2"/>
  <c r="M8" i="2"/>
  <c r="P59" i="2"/>
  <c r="M11" i="2"/>
  <c r="O12" i="2"/>
  <c r="K25" i="2"/>
  <c r="M12" i="2"/>
  <c r="K24" i="2"/>
  <c r="M15" i="2"/>
  <c r="M17" i="2"/>
  <c r="P24" i="2"/>
  <c r="M18" i="2"/>
  <c r="L53" i="2"/>
  <c r="M20" i="2"/>
  <c r="O21" i="2"/>
  <c r="H23" i="2"/>
  <c r="J25" i="2" s="1"/>
  <c r="O24" i="2"/>
  <c r="P27" i="2"/>
  <c r="O27" i="2"/>
  <c r="D36" i="2"/>
  <c r="I39" i="2"/>
  <c r="I42" i="2"/>
  <c r="I36" i="2"/>
  <c r="I44" i="2"/>
  <c r="I45" i="2" s="1"/>
  <c r="D45" i="2"/>
  <c r="J24" i="2"/>
  <c r="J27" i="2"/>
  <c r="D42" i="2"/>
  <c r="I24" i="2"/>
  <c r="C38" i="2"/>
  <c r="D39" i="2" s="1"/>
  <c r="I27" i="2"/>
  <c r="D24" i="2"/>
  <c r="E53" i="2"/>
  <c r="D27" i="2"/>
  <c r="D53" i="2"/>
  <c r="I54" i="2" s="1"/>
  <c r="C53" i="2"/>
  <c r="I57" i="2"/>
  <c r="D57" i="2"/>
  <c r="I59" i="2"/>
  <c r="S29" i="1"/>
  <c r="S41" i="1" s="1"/>
  <c r="Q43" i="1"/>
  <c r="AA53" i="1"/>
  <c r="M42" i="1"/>
  <c r="R43" i="1" s="1"/>
  <c r="Y53" i="1"/>
  <c r="M22" i="1"/>
  <c r="N55" i="1"/>
  <c r="N56" i="1" s="1"/>
  <c r="N59" i="1" s="1"/>
  <c r="Q14" i="1"/>
  <c r="O43" i="1"/>
  <c r="Z53" i="1"/>
  <c r="H61" i="1"/>
  <c r="V49" i="1"/>
  <c r="V43" i="1"/>
  <c r="Q48" i="1"/>
  <c r="S55" i="1"/>
  <c r="S57" i="1"/>
  <c r="S52" i="1"/>
  <c r="W44" i="1"/>
  <c r="Z52" i="1"/>
  <c r="Z55" i="1"/>
  <c r="Z56" i="1" s="1"/>
  <c r="AA55" i="1"/>
  <c r="AA56" i="1" s="1"/>
  <c r="AA52" i="1"/>
  <c r="U22" i="1"/>
  <c r="U42" i="1"/>
  <c r="U23" i="1"/>
  <c r="U45" i="1" s="1"/>
  <c r="U21" i="1"/>
  <c r="V22" i="1"/>
  <c r="Y52" i="1"/>
  <c r="Y55" i="1"/>
  <c r="Y56" i="1" s="1"/>
  <c r="W49" i="1"/>
  <c r="W53" i="1" s="1"/>
  <c r="W52" i="1" s="1"/>
  <c r="W22" i="1"/>
  <c r="T21" i="1"/>
  <c r="T23" i="1"/>
  <c r="T45" i="1" s="1"/>
  <c r="X20" i="1"/>
  <c r="X41" i="1" s="1"/>
  <c r="T42" i="1"/>
  <c r="H52" i="1"/>
  <c r="S58" i="1"/>
  <c r="V21" i="1"/>
  <c r="V23" i="1"/>
  <c r="V45" i="1" s="1"/>
  <c r="I52" i="1"/>
  <c r="Q13" i="1"/>
  <c r="W21" i="1"/>
  <c r="D78" i="2" l="1"/>
  <c r="D72" i="2"/>
  <c r="D101" i="2"/>
  <c r="C101" i="2"/>
  <c r="I101" i="2"/>
  <c r="I102" i="2" s="1"/>
  <c r="I85" i="2"/>
  <c r="I79" i="2"/>
  <c r="I97" i="2"/>
  <c r="I104" i="2" s="1"/>
  <c r="I73" i="2"/>
  <c r="C72" i="2"/>
  <c r="C78" i="2"/>
  <c r="C59" i="2"/>
  <c r="P55" i="2"/>
  <c r="O28" i="2"/>
  <c r="M53" i="2"/>
  <c r="O55" i="2" s="1"/>
  <c r="O60" i="2"/>
  <c r="O54" i="2"/>
  <c r="M27" i="2"/>
  <c r="N53" i="2"/>
  <c r="N59" i="2" s="1"/>
  <c r="J28" i="2"/>
  <c r="M24" i="2"/>
  <c r="M25" i="2"/>
  <c r="J54" i="2"/>
  <c r="E59" i="2"/>
  <c r="O25" i="2"/>
  <c r="O63" i="2"/>
  <c r="K55" i="2"/>
  <c r="K54" i="2"/>
  <c r="K59" i="2"/>
  <c r="D59" i="2"/>
  <c r="H53" i="2"/>
  <c r="L55" i="2"/>
  <c r="L54" i="2"/>
  <c r="L59" i="2"/>
  <c r="P61" i="2"/>
  <c r="P62" i="2"/>
  <c r="D54" i="2"/>
  <c r="I62" i="2"/>
  <c r="U49" i="1"/>
  <c r="U43" i="1"/>
  <c r="X62" i="1"/>
  <c r="AA59" i="1"/>
  <c r="V53" i="1"/>
  <c r="V52" i="1" s="1"/>
  <c r="V44" i="1"/>
  <c r="H63" i="1"/>
  <c r="S59" i="1"/>
  <c r="H62" i="1"/>
  <c r="N62" i="1"/>
  <c r="T49" i="1"/>
  <c r="X49" i="1" s="1"/>
  <c r="X42" i="1"/>
  <c r="T43" i="1"/>
  <c r="T44" i="1"/>
  <c r="X45" i="1"/>
  <c r="U44" i="1"/>
  <c r="U53" i="1"/>
  <c r="U52" i="1" s="1"/>
  <c r="D62" i="2" l="1"/>
  <c r="D90" i="2"/>
  <c r="D73" i="2"/>
  <c r="D85" i="2"/>
  <c r="D102" i="2"/>
  <c r="D79" i="2"/>
  <c r="C62" i="2"/>
  <c r="D63" i="2" s="1"/>
  <c r="C90" i="2"/>
  <c r="M59" i="2"/>
  <c r="M55" i="2"/>
  <c r="M54" i="2"/>
  <c r="N54" i="2"/>
  <c r="I60" i="2"/>
  <c r="D60" i="2"/>
  <c r="I63" i="2"/>
  <c r="K61" i="2"/>
  <c r="K60" i="2"/>
  <c r="K62" i="2"/>
  <c r="N62" i="2"/>
  <c r="N60" i="2"/>
  <c r="L61" i="2"/>
  <c r="L60" i="2"/>
  <c r="L62" i="2"/>
  <c r="P64" i="2"/>
  <c r="M62" i="2"/>
  <c r="M61" i="2"/>
  <c r="O61" i="2"/>
  <c r="P60" i="2"/>
  <c r="H59" i="2"/>
  <c r="M60" i="2" s="1"/>
  <c r="J55" i="2"/>
  <c r="E62" i="2"/>
  <c r="J63" i="2" s="1"/>
  <c r="J60" i="2"/>
  <c r="Y43" i="1"/>
  <c r="X43" i="1"/>
  <c r="X44" i="1"/>
  <c r="H64" i="1"/>
  <c r="X48" i="1"/>
  <c r="T53" i="1"/>
  <c r="D97" i="2" l="1"/>
  <c r="D104" i="2" s="1"/>
  <c r="D91" i="2"/>
  <c r="I91" i="2"/>
  <c r="C97" i="2"/>
  <c r="C104" i="2" s="1"/>
  <c r="C107" i="2" s="1"/>
  <c r="M64" i="2"/>
  <c r="O64" i="2"/>
  <c r="H62" i="2"/>
  <c r="J64" i="2" s="1"/>
  <c r="J61" i="2"/>
  <c r="L64" i="2"/>
  <c r="L63" i="2"/>
  <c r="K64" i="2"/>
  <c r="K63" i="2"/>
  <c r="P63" i="2"/>
  <c r="X53" i="1"/>
  <c r="T52" i="1"/>
  <c r="D94" i="2" l="1"/>
  <c r="D107" i="2"/>
  <c r="D105" i="2"/>
  <c r="I105" i="2"/>
  <c r="M63" i="2"/>
  <c r="X52" i="1"/>
  <c r="X55" i="1"/>
  <c r="X56" i="1" s="1"/>
  <c r="X57" i="1"/>
  <c r="D108" i="2" l="1"/>
  <c r="I108" i="2"/>
  <c r="I63" i="1"/>
  <c r="Y57" i="1"/>
  <c r="I62" i="1"/>
  <c r="I64" i="1" s="1"/>
  <c r="I65" i="1" s="1"/>
  <c r="N63" i="1" l="1"/>
  <c r="N64" i="1" s="1"/>
  <c r="N65" i="1" s="1"/>
  <c r="Z57" i="1"/>
  <c r="S64" i="1" l="1"/>
  <c r="AA57" i="1"/>
  <c r="X63" i="1" s="1"/>
  <c r="X64" i="1" s="1"/>
  <c r="X65" i="1" s="1"/>
  <c r="S65" i="1" l="1"/>
  <c r="AC62" i="1" s="1"/>
  <c r="AC54" i="1" l="1"/>
  <c r="N2" i="1"/>
  <c r="AC63" i="1"/>
  <c r="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tc={8268CF47-963C-C54A-9507-35E8ABD4CC3B}</author>
  </authors>
  <commentList>
    <comment ref="S42" authorId="0" shapeId="0" xr:uid="{8268CF47-963C-C54A-9507-35E8ABD4CC3B}">
      <text>
        <t>[Threaded comment]
Your version of Excel allows you to read this threaded comment; however, any edits to it will get removed if the file is opened in a newer version of Excel. Learn more: https://go.microsoft.com/fwlink/?linkid=870924
Comment:
    222-226 update</t>
      </text>
    </comment>
  </commentList>
</comments>
</file>

<file path=xl/sharedStrings.xml><?xml version="1.0" encoding="utf-8"?>
<sst xmlns="http://schemas.openxmlformats.org/spreadsheetml/2006/main" count="252" uniqueCount="126">
  <si>
    <t>Price</t>
  </si>
  <si>
    <t>PFV</t>
  </si>
  <si>
    <t>Delta</t>
  </si>
  <si>
    <t>Notes:</t>
  </si>
  <si>
    <t>Q1</t>
  </si>
  <si>
    <t>Q2</t>
  </si>
  <si>
    <t>Q3</t>
  </si>
  <si>
    <t>Q4</t>
  </si>
  <si>
    <t>Rev/GP by Product</t>
  </si>
  <si>
    <t>Sales Prod</t>
  </si>
  <si>
    <t>New</t>
  </si>
  <si>
    <t>Old</t>
  </si>
  <si>
    <t>Reps</t>
  </si>
  <si>
    <t>Sales/Rep</t>
  </si>
  <si>
    <t>An example of how to look at segments.</t>
  </si>
  <si>
    <t>PMT REV</t>
  </si>
  <si>
    <t>Also Geos.</t>
  </si>
  <si>
    <t>YoY Growth</t>
  </si>
  <si>
    <t>QoQ Growh</t>
  </si>
  <si>
    <t xml:space="preserve">Observe the change in the growth rate. </t>
  </si>
  <si>
    <t>PMT GP</t>
  </si>
  <si>
    <t>GP%</t>
  </si>
  <si>
    <t>Canvys Rev</t>
  </si>
  <si>
    <t>Canvys GP</t>
  </si>
  <si>
    <t>Healthcare Rev</t>
  </si>
  <si>
    <t>Healthcare GP</t>
  </si>
  <si>
    <t>176m</t>
  </si>
  <si>
    <t>Rev/GP by Geo</t>
  </si>
  <si>
    <t>PMT</t>
  </si>
  <si>
    <t>Canvys</t>
  </si>
  <si>
    <t>Healthcare</t>
  </si>
  <si>
    <t>Total Revenue</t>
  </si>
  <si>
    <t>Ticker</t>
  </si>
  <si>
    <t>NYSE</t>
  </si>
  <si>
    <t>Exchange</t>
  </si>
  <si>
    <t>Gross Margin%</t>
  </si>
  <si>
    <t>Rev Growth</t>
  </si>
  <si>
    <t>Gross Profits</t>
  </si>
  <si>
    <t>Current Price</t>
  </si>
  <si>
    <t>Shares Out</t>
  </si>
  <si>
    <t>Avg. Dilution</t>
  </si>
  <si>
    <t>SG&amp;A %</t>
  </si>
  <si>
    <t>Cap (M)</t>
  </si>
  <si>
    <t>SG&amp;A $</t>
  </si>
  <si>
    <t>Cash</t>
  </si>
  <si>
    <t>Net Operating Margin</t>
  </si>
  <si>
    <t>Debt</t>
  </si>
  <si>
    <t>Operating Income</t>
  </si>
  <si>
    <t>Tax Rate</t>
  </si>
  <si>
    <t>Interest Expense</t>
  </si>
  <si>
    <t>PS at PT</t>
  </si>
  <si>
    <t>Taxed Operating Income</t>
  </si>
  <si>
    <t>Target PE</t>
  </si>
  <si>
    <t>Market Value Using P/E</t>
  </si>
  <si>
    <t>Discount Rate</t>
  </si>
  <si>
    <t>Net Cash Position</t>
  </si>
  <si>
    <t>Shares (M)</t>
  </si>
  <si>
    <t>Period Share Price</t>
  </si>
  <si>
    <t>Consensus EPS</t>
  </si>
  <si>
    <t>P/E Ratio</t>
  </si>
  <si>
    <t>PV of MV 3 Years Out</t>
  </si>
  <si>
    <t>PV of Cash 3 Years Out</t>
  </si>
  <si>
    <t>Up/Downside</t>
  </si>
  <si>
    <t>PV MV + Cash</t>
  </si>
  <si>
    <t>PV Value Per Share</t>
  </si>
  <si>
    <t>Airbnb</t>
  </si>
  <si>
    <t>ABNB</t>
  </si>
  <si>
    <t>December</t>
  </si>
  <si>
    <t xml:space="preserve">Apple </t>
  </si>
  <si>
    <t>AAPL</t>
  </si>
  <si>
    <t>iPhone Rev</t>
  </si>
  <si>
    <t>QoQ Growth</t>
  </si>
  <si>
    <t>Mac Rev</t>
  </si>
  <si>
    <t>Wearables, Home &amp; Acc Rev</t>
  </si>
  <si>
    <t>Services Rev</t>
  </si>
  <si>
    <t>Americas Rev</t>
  </si>
  <si>
    <t>Europe Rev</t>
  </si>
  <si>
    <t>Greater China Rev</t>
  </si>
  <si>
    <t>Japan Rev</t>
  </si>
  <si>
    <t>Products Rev</t>
  </si>
  <si>
    <t>Products Cost of Sales</t>
  </si>
  <si>
    <t>Services Cost of Sales</t>
  </si>
  <si>
    <t>Services GP</t>
  </si>
  <si>
    <t>Total Cost of Sales</t>
  </si>
  <si>
    <t>Products GP%</t>
  </si>
  <si>
    <t>Services GP%</t>
  </si>
  <si>
    <t xml:space="preserve">Products GP </t>
  </si>
  <si>
    <t>Gross Profits %</t>
  </si>
  <si>
    <t>Rev by Product (billions)</t>
  </si>
  <si>
    <t>Rev by Geo (billions)</t>
  </si>
  <si>
    <t>Be wary of the difference between rates and absolutes</t>
  </si>
  <si>
    <t>Rest of Asia Pacifc Rev</t>
  </si>
  <si>
    <t>Add Operating</t>
  </si>
  <si>
    <t>iPad Rev</t>
  </si>
  <si>
    <t>Q1 December Prev YR</t>
  </si>
  <si>
    <t>Iohone sales growth or shrinkage  are a dterming factor</t>
  </si>
  <si>
    <t>2022(6Mth End)</t>
  </si>
  <si>
    <t>(on track to growing rev by 8% a year)</t>
  </si>
  <si>
    <t>(products movign with iphones)</t>
  </si>
  <si>
    <t>(as they grow operation/profits  rev and cost increase in tandem)</t>
  </si>
  <si>
    <t>(management succesfully shrank operations decreasin both rev and cost in response to covid didwell to maintain 38% although historic fall in yoy gross profit  rate from 10 to abt 2% q2)</t>
  </si>
  <si>
    <t>(No new iphone in Q4)</t>
  </si>
  <si>
    <t>(I think AAPL can average 8 percent growth rate in revenues per year)</t>
  </si>
  <si>
    <t>R&amp;D</t>
  </si>
  <si>
    <t>SG&amp;A</t>
  </si>
  <si>
    <t>Operating Expenses</t>
  </si>
  <si>
    <t>R&amp;D %</t>
  </si>
  <si>
    <t>Operating Expenses %</t>
  </si>
  <si>
    <t>Operating Income %</t>
  </si>
  <si>
    <t>Income Tax</t>
  </si>
  <si>
    <t>Income Tax %</t>
  </si>
  <si>
    <t>Total Income</t>
  </si>
  <si>
    <t>Net Income %</t>
  </si>
  <si>
    <t>Net Income</t>
  </si>
  <si>
    <t>Other Income/(expense), net</t>
  </si>
  <si>
    <t>(WOW those stimulus checks)</t>
  </si>
  <si>
    <t>2022 Projected</t>
  </si>
  <si>
    <t>2023 Proj</t>
  </si>
  <si>
    <t>2024 Proj</t>
  </si>
  <si>
    <t>2025 Proj</t>
  </si>
  <si>
    <t>2026 Proj</t>
  </si>
  <si>
    <t>NASDAQ</t>
  </si>
  <si>
    <t>Cap (B)</t>
  </si>
  <si>
    <t>Shares Out(B)</t>
  </si>
  <si>
    <t>Cash (B)</t>
  </si>
  <si>
    <t>Debt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</si>
</sst>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GH₵&quot;* #,##0.00_);_(&quot;GH₵&quot;* \(#,##0.00\);_(&quot;GH₵&quot;* &quot;-&quot;??_);_(@_)"/>
    <numFmt numFmtId="43" formatCode="_(* #,##0.00_);_(* \(#,##0.00\);_(* &quot;-&quot;??_);_(@_)"/>
    <numFmt numFmtId="164" formatCode="&quot;$&quot;#,##0.00"/>
    <numFmt numFmtId="165" formatCode="[$$-409]#,##0.00_);\([$$-409]#,##0.00\)"/>
    <numFmt numFmtId="166" formatCode="&quot;$&quot;#,##0"/>
    <numFmt numFmtId="167" formatCode="&quot;$&quot;#,##0.0"/>
    <numFmt numFmtId="168" formatCode="0.0%"/>
    <numFmt numFmtId="169" formatCode="0.0"/>
    <numFmt numFmtId="170" formatCode="_(* #,##0_);_(* \(#,##0\);_(* &quot;-&quot;??_);_(@_)"/>
    <numFmt numFmtId="171" formatCode="[$-409]d\-mmm"/>
    <numFmt numFmtId="172" formatCode="_([$$-409]* #,##0.00_);_([$$-409]* \(#,##0.00\);_([$$-409]* &quot;-&quot;??_);_(@_)"/>
    <numFmt numFmtId="173" formatCode="#,##0.0"/>
    <numFmt numFmtId="180" formatCode="#,##0.0000000000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ntarell"/>
    </font>
    <font>
      <b/>
      <sz val="10"/>
      <name val="Cantarell"/>
    </font>
    <font>
      <sz val="12"/>
      <name val="Cantarell"/>
    </font>
    <font>
      <b/>
      <sz val="12"/>
      <name val="Cantarell"/>
    </font>
    <font>
      <sz val="10"/>
      <name val="Arial"/>
      <family val="2"/>
    </font>
    <font>
      <b/>
      <i/>
      <sz val="10"/>
      <color rgb="FFA61C00"/>
      <name val="Cantarel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ntarell"/>
    </font>
    <font>
      <sz val="10"/>
      <color theme="1"/>
      <name val="Cantarell"/>
    </font>
    <font>
      <sz val="10"/>
      <color rgb="FF000000"/>
      <name val="Calibri"/>
      <family val="2"/>
      <scheme val="minor"/>
    </font>
    <font>
      <sz val="10"/>
      <color rgb="FF000000"/>
      <name val="Cantarell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0" fontId="2" fillId="0" borderId="0" xfId="4"/>
    <xf numFmtId="0" fontId="3" fillId="0" borderId="0" xfId="4" applyFont="1"/>
    <xf numFmtId="0" fontId="4" fillId="0" borderId="0" xfId="4" applyFont="1"/>
    <xf numFmtId="164" fontId="4" fillId="0" borderId="0" xfId="4" applyNumberFormat="1" applyFont="1"/>
    <xf numFmtId="0" fontId="5" fillId="0" borderId="0" xfId="4" applyFont="1"/>
    <xf numFmtId="0" fontId="5" fillId="0" borderId="0" xfId="4" applyFont="1" applyAlignment="1">
      <alignment horizontal="center"/>
    </xf>
    <xf numFmtId="15" fontId="4" fillId="0" borderId="0" xfId="4" applyNumberFormat="1" applyFont="1"/>
    <xf numFmtId="9" fontId="4" fillId="0" borderId="0" xfId="4" applyNumberFormat="1" applyFont="1"/>
    <xf numFmtId="0" fontId="7" fillId="0" borderId="0" xfId="4" applyFont="1"/>
    <xf numFmtId="165" fontId="5" fillId="0" borderId="0" xfId="4" applyNumberFormat="1" applyFont="1" applyAlignment="1">
      <alignment horizontal="right" vertical="center"/>
    </xf>
    <xf numFmtId="0" fontId="8" fillId="0" borderId="1" xfId="4" applyFont="1" applyBorder="1" applyAlignment="1">
      <alignment horizontal="right"/>
    </xf>
    <xf numFmtId="0" fontId="4" fillId="0" borderId="2" xfId="4" applyFont="1" applyBorder="1" applyAlignment="1">
      <alignment horizontal="center"/>
    </xf>
    <xf numFmtId="9" fontId="3" fillId="0" borderId="2" xfId="4" applyNumberFormat="1" applyFont="1" applyBorder="1" applyAlignment="1">
      <alignment horizontal="center"/>
    </xf>
    <xf numFmtId="0" fontId="3" fillId="0" borderId="3" xfId="4" applyFont="1" applyBorder="1"/>
    <xf numFmtId="17" fontId="5" fillId="0" borderId="0" xfId="4" applyNumberFormat="1" applyFont="1"/>
    <xf numFmtId="16" fontId="5" fillId="0" borderId="0" xfId="4" applyNumberFormat="1" applyFont="1"/>
    <xf numFmtId="0" fontId="8" fillId="0" borderId="4" xfId="4" applyFont="1" applyBorder="1" applyAlignment="1">
      <alignment horizontal="right"/>
    </xf>
    <xf numFmtId="0" fontId="4" fillId="0" borderId="0" xfId="4" applyFont="1" applyAlignment="1">
      <alignment horizontal="center"/>
    </xf>
    <xf numFmtId="9" fontId="3" fillId="0" borderId="0" xfId="4" applyNumberFormat="1" applyFont="1" applyAlignment="1">
      <alignment horizontal="center"/>
    </xf>
    <xf numFmtId="0" fontId="3" fillId="0" borderId="5" xfId="4" applyFont="1" applyBorder="1"/>
    <xf numFmtId="9" fontId="4" fillId="0" borderId="0" xfId="4" applyNumberFormat="1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3" fillId="0" borderId="6" xfId="4" applyFont="1" applyBorder="1" applyAlignment="1">
      <alignment horizontal="right"/>
    </xf>
    <xf numFmtId="166" fontId="3" fillId="0" borderId="7" xfId="4" applyNumberFormat="1" applyFont="1" applyBorder="1"/>
    <xf numFmtId="167" fontId="3" fillId="0" borderId="7" xfId="4" applyNumberFormat="1" applyFont="1" applyBorder="1"/>
    <xf numFmtId="0" fontId="4" fillId="0" borderId="7" xfId="4" applyFont="1" applyBorder="1" applyAlignment="1">
      <alignment horizontal="center"/>
    </xf>
    <xf numFmtId="9" fontId="3" fillId="0" borderId="7" xfId="4" applyNumberFormat="1" applyFont="1" applyBorder="1" applyAlignment="1">
      <alignment horizontal="center"/>
    </xf>
    <xf numFmtId="0" fontId="3" fillId="0" borderId="8" xfId="4" applyFont="1" applyBorder="1"/>
    <xf numFmtId="0" fontId="3" fillId="0" borderId="4" xfId="4" applyFont="1" applyBorder="1" applyAlignment="1">
      <alignment horizontal="right"/>
    </xf>
    <xf numFmtId="166" fontId="3" fillId="0" borderId="0" xfId="4" applyNumberFormat="1" applyFont="1"/>
    <xf numFmtId="167" fontId="3" fillId="0" borderId="0" xfId="4" applyNumberFormat="1" applyFont="1"/>
    <xf numFmtId="168" fontId="3" fillId="0" borderId="0" xfId="4" applyNumberFormat="1" applyFont="1"/>
    <xf numFmtId="168" fontId="3" fillId="2" borderId="0" xfId="4" applyNumberFormat="1" applyFont="1" applyFill="1"/>
    <xf numFmtId="0" fontId="3" fillId="0" borderId="9" xfId="4" applyFont="1" applyBorder="1" applyAlignment="1">
      <alignment horizontal="right"/>
    </xf>
    <xf numFmtId="166" fontId="3" fillId="0" borderId="10" xfId="4" applyNumberFormat="1" applyFont="1" applyBorder="1"/>
    <xf numFmtId="9" fontId="3" fillId="0" borderId="10" xfId="3" applyFont="1" applyBorder="1" applyAlignment="1"/>
    <xf numFmtId="0" fontId="4" fillId="0" borderId="10" xfId="4" applyFont="1" applyBorder="1" applyAlignment="1">
      <alignment horizontal="center"/>
    </xf>
    <xf numFmtId="9" fontId="3" fillId="0" borderId="10" xfId="4" applyNumberFormat="1" applyFont="1" applyBorder="1" applyAlignment="1">
      <alignment horizontal="center"/>
    </xf>
    <xf numFmtId="0" fontId="3" fillId="0" borderId="11" xfId="4" applyFont="1" applyBorder="1"/>
    <xf numFmtId="9" fontId="3" fillId="0" borderId="0" xfId="3" applyFont="1" applyAlignment="1"/>
    <xf numFmtId="167" fontId="3" fillId="0" borderId="10" xfId="4" applyNumberFormat="1" applyFont="1" applyBorder="1"/>
    <xf numFmtId="0" fontId="3" fillId="0" borderId="0" xfId="4" applyFont="1" applyAlignment="1">
      <alignment horizontal="center"/>
    </xf>
    <xf numFmtId="2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right" vertical="center"/>
    </xf>
    <xf numFmtId="168" fontId="3" fillId="3" borderId="0" xfId="4" applyNumberFormat="1" applyFont="1" applyFill="1"/>
    <xf numFmtId="0" fontId="4" fillId="0" borderId="1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164" fontId="5" fillId="0" borderId="0" xfId="4" applyNumberFormat="1" applyFont="1" applyAlignment="1">
      <alignment horizontal="right"/>
    </xf>
    <xf numFmtId="3" fontId="5" fillId="0" borderId="0" xfId="4" applyNumberFormat="1" applyFont="1"/>
    <xf numFmtId="9" fontId="3" fillId="0" borderId="0" xfId="4" applyNumberFormat="1" applyFont="1"/>
    <xf numFmtId="9" fontId="3" fillId="0" borderId="4" xfId="4" applyNumberFormat="1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64" fontId="4" fillId="0" borderId="4" xfId="4" applyNumberFormat="1" applyFont="1" applyBorder="1" applyAlignment="1">
      <alignment horizontal="center"/>
    </xf>
    <xf numFmtId="0" fontId="3" fillId="0" borderId="4" xfId="4" applyFont="1" applyBorder="1"/>
    <xf numFmtId="1" fontId="3" fillId="0" borderId="4" xfId="4" applyNumberFormat="1" applyFont="1" applyBorder="1" applyAlignment="1">
      <alignment horizontal="center"/>
    </xf>
    <xf numFmtId="169" fontId="5" fillId="0" borderId="0" xfId="4" applyNumberFormat="1" applyFont="1"/>
    <xf numFmtId="166" fontId="3" fillId="0" borderId="4" xfId="4" applyNumberFormat="1" applyFont="1" applyBorder="1" applyAlignment="1">
      <alignment horizontal="center"/>
    </xf>
    <xf numFmtId="2" fontId="5" fillId="0" borderId="0" xfId="4" applyNumberFormat="1" applyFont="1"/>
    <xf numFmtId="170" fontId="5" fillId="0" borderId="0" xfId="1" applyNumberFormat="1" applyFont="1"/>
    <xf numFmtId="166" fontId="5" fillId="0" borderId="0" xfId="4" applyNumberFormat="1" applyFont="1" applyAlignment="1">
      <alignment horizontal="right"/>
    </xf>
    <xf numFmtId="169" fontId="5" fillId="0" borderId="0" xfId="4" applyNumberFormat="1" applyFont="1" applyAlignment="1">
      <alignment horizontal="right"/>
    </xf>
    <xf numFmtId="2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" fontId="3" fillId="0" borderId="0" xfId="4" applyNumberFormat="1" applyFont="1"/>
    <xf numFmtId="164" fontId="3" fillId="0" borderId="0" xfId="4" applyNumberFormat="1" applyFont="1"/>
    <xf numFmtId="9" fontId="3" fillId="0" borderId="12" xfId="4" applyNumberFormat="1" applyFont="1" applyBorder="1" applyAlignment="1">
      <alignment horizontal="center"/>
    </xf>
    <xf numFmtId="0" fontId="3" fillId="0" borderId="13" xfId="4" applyFont="1" applyBorder="1" applyAlignment="1">
      <alignment horizontal="center"/>
    </xf>
    <xf numFmtId="0" fontId="3" fillId="0" borderId="12" xfId="4" applyFont="1" applyBorder="1" applyAlignment="1">
      <alignment horizontal="right"/>
    </xf>
    <xf numFmtId="164" fontId="3" fillId="0" borderId="14" xfId="4" applyNumberFormat="1" applyFont="1" applyBorder="1"/>
    <xf numFmtId="166" fontId="3" fillId="0" borderId="14" xfId="4" applyNumberFormat="1" applyFont="1" applyBorder="1"/>
    <xf numFmtId="166" fontId="4" fillId="0" borderId="14" xfId="4" applyNumberFormat="1" applyFont="1" applyBorder="1" applyAlignment="1">
      <alignment horizontal="center"/>
    </xf>
    <xf numFmtId="0" fontId="3" fillId="0" borderId="14" xfId="4" applyFont="1" applyBorder="1" applyAlignment="1">
      <alignment horizontal="center"/>
    </xf>
    <xf numFmtId="0" fontId="3" fillId="0" borderId="13" xfId="4" applyFont="1" applyBorder="1"/>
    <xf numFmtId="4" fontId="5" fillId="0" borderId="0" xfId="4" applyNumberFormat="1" applyFont="1"/>
    <xf numFmtId="164" fontId="7" fillId="0" borderId="0" xfId="4" applyNumberFormat="1" applyFont="1"/>
    <xf numFmtId="15" fontId="7" fillId="0" borderId="0" xfId="4" applyNumberFormat="1" applyFont="1"/>
    <xf numFmtId="9" fontId="7" fillId="0" borderId="0" xfId="4" applyNumberFormat="1" applyFont="1"/>
    <xf numFmtId="171" fontId="7" fillId="0" borderId="0" xfId="4" applyNumberFormat="1" applyFont="1"/>
    <xf numFmtId="166" fontId="7" fillId="0" borderId="0" xfId="4" applyNumberFormat="1" applyFont="1"/>
    <xf numFmtId="168" fontId="7" fillId="0" borderId="0" xfId="4" applyNumberFormat="1" applyFont="1"/>
    <xf numFmtId="167" fontId="7" fillId="0" borderId="0" xfId="4" applyNumberFormat="1" applyFont="1"/>
    <xf numFmtId="1" fontId="7" fillId="0" borderId="0" xfId="4" applyNumberFormat="1" applyFont="1"/>
    <xf numFmtId="0" fontId="10" fillId="0" borderId="0" xfId="0" applyFont="1"/>
    <xf numFmtId="172" fontId="10" fillId="0" borderId="0" xfId="2" applyNumberFormat="1" applyFont="1"/>
    <xf numFmtId="0" fontId="10" fillId="0" borderId="0" xfId="0" applyFont="1" applyAlignment="1">
      <alignment horizontal="center"/>
    </xf>
    <xf numFmtId="0" fontId="11" fillId="0" borderId="4" xfId="4" applyFont="1" applyBorder="1" applyAlignment="1">
      <alignment horizontal="left"/>
    </xf>
    <xf numFmtId="0" fontId="8" fillId="0" borderId="0" xfId="4" applyFont="1" applyBorder="1" applyAlignment="1">
      <alignment horizontal="right"/>
    </xf>
    <xf numFmtId="0" fontId="11" fillId="0" borderId="4" xfId="4" applyFont="1" applyBorder="1" applyAlignment="1">
      <alignment horizontal="right"/>
    </xf>
    <xf numFmtId="0" fontId="12" fillId="0" borderId="4" xfId="4" applyFont="1" applyBorder="1" applyAlignment="1">
      <alignment horizontal="left"/>
    </xf>
    <xf numFmtId="9" fontId="3" fillId="0" borderId="0" xfId="3" applyFont="1"/>
    <xf numFmtId="0" fontId="12" fillId="0" borderId="0" xfId="4" applyFont="1" applyBorder="1" applyAlignment="1">
      <alignment horizontal="left"/>
    </xf>
    <xf numFmtId="0" fontId="6" fillId="0" borderId="0" xfId="4" applyFont="1" applyAlignment="1">
      <alignment horizontal="center"/>
    </xf>
    <xf numFmtId="0" fontId="2" fillId="0" borderId="0" xfId="4"/>
    <xf numFmtId="0" fontId="5" fillId="0" borderId="0" xfId="4" applyFont="1" applyAlignment="1">
      <alignment horizontal="center"/>
    </xf>
    <xf numFmtId="0" fontId="12" fillId="0" borderId="0" xfId="4" applyFont="1" applyFill="1" applyBorder="1" applyAlignment="1">
      <alignment horizontal="left"/>
    </xf>
    <xf numFmtId="167" fontId="10" fillId="0" borderId="0" xfId="0" applyNumberFormat="1" applyFont="1"/>
    <xf numFmtId="173" fontId="10" fillId="0" borderId="0" xfId="0" applyNumberFormat="1" applyFont="1"/>
    <xf numFmtId="9" fontId="10" fillId="0" borderId="0" xfId="3" applyFont="1"/>
    <xf numFmtId="167" fontId="3" fillId="0" borderId="0" xfId="4" applyNumberFormat="1" applyFont="1" applyAlignment="1">
      <alignment horizontal="center"/>
    </xf>
    <xf numFmtId="0" fontId="12" fillId="0" borderId="4" xfId="4" applyFont="1" applyFill="1" applyBorder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169" fontId="10" fillId="0" borderId="0" xfId="0" applyNumberFormat="1" applyFont="1"/>
    <xf numFmtId="168" fontId="10" fillId="0" borderId="0" xfId="3" applyNumberFormat="1" applyFont="1"/>
    <xf numFmtId="9" fontId="10" fillId="0" borderId="0" xfId="3" applyNumberFormat="1" applyFont="1"/>
    <xf numFmtId="9" fontId="3" fillId="0" borderId="0" xfId="3" applyNumberFormat="1" applyFont="1"/>
    <xf numFmtId="9" fontId="0" fillId="0" borderId="0" xfId="3" applyFont="1"/>
    <xf numFmtId="9" fontId="0" fillId="0" borderId="0" xfId="3" applyNumberFormat="1" applyFont="1"/>
    <xf numFmtId="1" fontId="10" fillId="0" borderId="0" xfId="0" applyNumberFormat="1" applyFont="1"/>
    <xf numFmtId="180" fontId="10" fillId="0" borderId="0" xfId="0" applyNumberFormat="1" applyFont="1"/>
    <xf numFmtId="164" fontId="10" fillId="0" borderId="0" xfId="0" applyNumberFormat="1" applyFont="1"/>
    <xf numFmtId="9" fontId="10" fillId="0" borderId="0" xfId="0" applyNumberFormat="1" applyFont="1"/>
  </cellXfs>
  <cellStyles count="5">
    <cellStyle name="Comma" xfId="1" builtinId="3"/>
    <cellStyle name="Currency" xfId="2" builtinId="4"/>
    <cellStyle name="Normal" xfId="0" builtinId="0"/>
    <cellStyle name="Normal 2" xfId="4" xr:uid="{646585C2-3663-0842-85D4-8949C93F21F1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AAPL!$J$4:$M$4</c:f>
            </c:strRef>
          </c:cat>
          <c:val>
            <c:numRef>
              <c:f>AAPL!$J$25:$M$25</c:f>
            </c:numRef>
          </c:val>
          <c:extLst>
            <c:ext xmlns:c16="http://schemas.microsoft.com/office/drawing/2014/chart" uri="{C3380CC4-5D6E-409C-BE32-E72D297353CC}">
              <c16:uniqueId val="{00000000-06F8-5747-BD37-BF788F30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603200"/>
        <c:axId val="755604848"/>
      </c:barChart>
      <c:catAx>
        <c:axId val="7556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2021 Time 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4848"/>
        <c:crosses val="autoZero"/>
        <c:auto val="1"/>
        <c:lblAlgn val="ctr"/>
        <c:lblOffset val="100"/>
        <c:noMultiLvlLbl val="0"/>
      </c:catAx>
      <c:valAx>
        <c:axId val="755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QoQ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Services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AAPL!$J$28:$M$28</c:f>
            </c:numRef>
          </c:val>
          <c:extLst>
            <c:ext xmlns:c16="http://schemas.microsoft.com/office/drawing/2014/chart" uri="{C3380CC4-5D6E-409C-BE32-E72D297353CC}">
              <c16:uniqueId val="{00000000-DB37-FC4E-B7EB-C93E4A07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09696"/>
        <c:axId val="797711344"/>
      </c:barChart>
      <c:catAx>
        <c:axId val="7977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11344"/>
        <c:crosses val="autoZero"/>
        <c:auto val="1"/>
        <c:lblAlgn val="ctr"/>
        <c:lblOffset val="100"/>
        <c:noMultiLvlLbl val="0"/>
      </c:catAx>
      <c:valAx>
        <c:axId val="797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Rev</a:t>
            </a:r>
            <a:r>
              <a:rPr lang="en-GB" baseline="0"/>
              <a:t> QoQ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AAPL!$J$55:$M$55</c:f>
            </c:numRef>
          </c:val>
          <c:extLst>
            <c:ext xmlns:c16="http://schemas.microsoft.com/office/drawing/2014/chart" uri="{C3380CC4-5D6E-409C-BE32-E72D297353CC}">
              <c16:uniqueId val="{00000000-CCB5-7C4D-BB59-9092666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35232"/>
        <c:axId val="904461520"/>
      </c:barChart>
      <c:catAx>
        <c:axId val="90453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461520"/>
        <c:crosses val="autoZero"/>
        <c:auto val="1"/>
        <c:lblAlgn val="ctr"/>
        <c:lblOffset val="100"/>
        <c:noMultiLvlLbl val="0"/>
      </c:catAx>
      <c:valAx>
        <c:axId val="904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696146</xdr:colOff>
      <xdr:row>25</xdr:row>
      <xdr:rowOff>99781</xdr:rowOff>
    </xdr:from>
    <xdr:to>
      <xdr:col>25</xdr:col>
      <xdr:colOff>52781</xdr:colOff>
      <xdr:row>36</xdr:row>
      <xdr:rowOff>89323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3AE-2662-D84B-2EF2-22606DBD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738940</xdr:colOff>
      <xdr:row>37</xdr:row>
      <xdr:rowOff>94909</xdr:rowOff>
    </xdr:from>
    <xdr:to>
      <xdr:col>25</xdr:col>
      <xdr:colOff>22736</xdr:colOff>
      <xdr:row>46</xdr:row>
      <xdr:rowOff>140480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C45DF-5BD2-B57A-FFCE-37959664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85262</xdr:colOff>
      <xdr:row>48</xdr:row>
      <xdr:rowOff>20202</xdr:rowOff>
    </xdr:from>
    <xdr:to>
      <xdr:col>26</xdr:col>
      <xdr:colOff>272026</xdr:colOff>
      <xdr:row>58</xdr:row>
      <xdr:rowOff>84450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8C3A0-405B-EB58-B94E-CCA5E9E6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 Tuttle" id="{83031AAD-2DA8-BB46-AE7D-971978EC1C72}" userId="941db28ae6eab2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06-23T19:47:26.77" personId="{83031AAD-2DA8-BB46-AE7D-971978EC1C72}" id="{8268CF47-963C-C54A-9507-35E8ABD4CC3B}">
    <text>222-226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B030-6029-4447-BB99-7A7F8376F45B}">
  <dimension ref="B1:Z174"/>
  <sheetViews>
    <sheetView tabSelected="1" zoomScale="62" zoomScaleNormal="207" workbookViewId="0">
      <selection activeCell="AB29" sqref="AB29"/>
    </sheetView>
  </sheetViews>
  <sheetFormatPr baseColWidth="10" defaultRowHeight="15"/>
  <cols>
    <col min="2" max="2" width="24" customWidth="1"/>
    <col min="4" max="4" width="10.83203125" customWidth="1"/>
    <col min="5" max="8" width="10.83203125" hidden="1" customWidth="1"/>
    <col min="9" max="9" width="10.83203125" customWidth="1"/>
    <col min="10" max="10" width="11.1640625" hidden="1" customWidth="1"/>
    <col min="11" max="13" width="0" hidden="1" customWidth="1"/>
    <col min="14" max="14" width="13.1640625" hidden="1" customWidth="1"/>
    <col min="15" max="16" width="0" hidden="1" customWidth="1"/>
    <col min="17" max="17" width="16.5" bestFit="1" customWidth="1"/>
  </cols>
  <sheetData>
    <row r="1" spans="2:23">
      <c r="B1" s="86" t="s">
        <v>68</v>
      </c>
      <c r="C1" s="83"/>
      <c r="D1" s="83"/>
      <c r="E1" s="83"/>
      <c r="F1" s="84"/>
      <c r="G1" s="83"/>
      <c r="K1" s="83"/>
      <c r="L1" s="83"/>
      <c r="M1" s="83"/>
      <c r="N1" s="83"/>
      <c r="O1" s="83"/>
      <c r="P1" s="83"/>
      <c r="Q1" s="86" t="s">
        <v>0</v>
      </c>
      <c r="R1" s="4">
        <v>148.47</v>
      </c>
    </row>
    <row r="2" spans="2:23">
      <c r="B2" s="86" t="s">
        <v>69</v>
      </c>
      <c r="C2" s="83"/>
      <c r="D2" s="83"/>
      <c r="E2" s="83"/>
      <c r="F2" s="83"/>
      <c r="G2" s="83"/>
      <c r="K2" s="83"/>
      <c r="L2" s="83"/>
      <c r="M2" s="83"/>
      <c r="N2" s="83"/>
      <c r="O2" s="83"/>
      <c r="P2" s="83"/>
      <c r="Q2" s="86" t="s">
        <v>1</v>
      </c>
      <c r="R2" s="4">
        <f>Y134</f>
        <v>105.07580337213949</v>
      </c>
    </row>
    <row r="3" spans="2:23">
      <c r="B3" s="7">
        <f ca="1" xml:space="preserve"> TODAY()</f>
        <v>44766</v>
      </c>
      <c r="C3" s="83"/>
      <c r="D3" s="83"/>
      <c r="E3" s="83"/>
      <c r="F3" s="83"/>
      <c r="G3" s="83"/>
      <c r="K3" s="83"/>
      <c r="L3" s="83"/>
      <c r="M3" s="83"/>
      <c r="N3" s="83"/>
      <c r="O3" s="83"/>
      <c r="P3" s="83"/>
      <c r="Q3" s="86" t="s">
        <v>2</v>
      </c>
      <c r="R3" s="113">
        <f>Y135</f>
        <v>-0.31808810842923302</v>
      </c>
    </row>
    <row r="4" spans="2:23">
      <c r="B4" s="17" t="s">
        <v>94</v>
      </c>
      <c r="C4" s="88">
        <v>2019</v>
      </c>
      <c r="D4" s="88">
        <v>2020</v>
      </c>
      <c r="E4" s="88" t="s">
        <v>4</v>
      </c>
      <c r="F4" s="88" t="s">
        <v>5</v>
      </c>
      <c r="G4" s="88" t="s">
        <v>6</v>
      </c>
      <c r="H4" s="88" t="s">
        <v>7</v>
      </c>
      <c r="I4" s="88">
        <v>2021</v>
      </c>
      <c r="J4" s="88" t="s">
        <v>4</v>
      </c>
      <c r="K4" s="88" t="s">
        <v>5</v>
      </c>
      <c r="L4" s="88" t="s">
        <v>6</v>
      </c>
      <c r="M4" s="88" t="s">
        <v>7</v>
      </c>
      <c r="N4" s="88" t="s">
        <v>96</v>
      </c>
      <c r="O4" s="88" t="s">
        <v>4</v>
      </c>
      <c r="P4" s="88" t="s">
        <v>5</v>
      </c>
      <c r="Q4" s="83" t="s">
        <v>116</v>
      </c>
      <c r="R4" s="83" t="s">
        <v>117</v>
      </c>
      <c r="S4" s="83" t="s">
        <v>118</v>
      </c>
      <c r="T4" s="83" t="s">
        <v>119</v>
      </c>
      <c r="U4" s="101" t="s">
        <v>120</v>
      </c>
    </row>
    <row r="5" spans="2:23">
      <c r="B5" s="17" t="s">
        <v>88</v>
      </c>
      <c r="C5" s="83"/>
      <c r="D5" s="83"/>
      <c r="E5" s="85"/>
      <c r="F5" s="85"/>
      <c r="G5" s="85"/>
      <c r="H5" s="85"/>
      <c r="I5" s="83"/>
      <c r="J5" s="85"/>
      <c r="K5" s="85"/>
      <c r="L5" s="85"/>
      <c r="M5" s="85"/>
      <c r="N5" s="83"/>
      <c r="O5" s="85"/>
      <c r="P5" s="85"/>
      <c r="Q5" s="83"/>
    </row>
    <row r="6" spans="2:23">
      <c r="B6" s="87"/>
      <c r="C6" s="83"/>
      <c r="D6" s="83"/>
      <c r="E6" s="85"/>
      <c r="F6" s="85"/>
      <c r="G6" s="85"/>
      <c r="H6" s="85"/>
      <c r="I6" s="83"/>
      <c r="J6" s="85"/>
      <c r="K6" s="85"/>
      <c r="L6" s="85"/>
      <c r="M6" s="85"/>
      <c r="N6" s="83"/>
      <c r="O6" s="85"/>
      <c r="P6" s="85"/>
      <c r="Q6" s="83"/>
    </row>
    <row r="7" spans="2:23">
      <c r="B7" s="89" t="s">
        <v>70</v>
      </c>
      <c r="C7" s="31">
        <v>142.4</v>
      </c>
      <c r="D7" s="31">
        <v>137.80000000000001</v>
      </c>
      <c r="E7" s="31">
        <v>55.9</v>
      </c>
      <c r="F7" s="31">
        <v>29</v>
      </c>
      <c r="G7" s="31">
        <v>26.4</v>
      </c>
      <c r="H7" s="96">
        <f>26.4</f>
        <v>26.4</v>
      </c>
      <c r="I7" s="31">
        <v>192</v>
      </c>
      <c r="J7" s="31">
        <v>65.599999999999994</v>
      </c>
      <c r="K7" s="31">
        <v>47.9</v>
      </c>
      <c r="L7" s="31">
        <v>39.6</v>
      </c>
      <c r="M7" s="31">
        <f>I7-J7-K7-L7</f>
        <v>38.9</v>
      </c>
      <c r="N7" s="96">
        <f>SUM(O7,P7)</f>
        <v>122.19999999999999</v>
      </c>
      <c r="O7" s="31">
        <v>71.599999999999994</v>
      </c>
      <c r="P7" s="31">
        <v>50.6</v>
      </c>
      <c r="Q7" s="83"/>
    </row>
    <row r="8" spans="2:23">
      <c r="B8" s="89" t="s">
        <v>17</v>
      </c>
      <c r="C8" s="83"/>
      <c r="D8" s="90">
        <f xml:space="preserve"> (D7 - C7)/C7</f>
        <v>-3.2303370786516815E-2</v>
      </c>
      <c r="E8" s="90">
        <v>0.08</v>
      </c>
      <c r="F8" s="90">
        <v>-7.0000000000000007E-2</v>
      </c>
      <c r="G8" s="90">
        <v>0.02</v>
      </c>
      <c r="H8" s="90">
        <v>-0.21</v>
      </c>
      <c r="I8" s="90">
        <f xml:space="preserve"> (I7 - D7)/D7</f>
        <v>0.39332365747460074</v>
      </c>
      <c r="J8" s="90">
        <f>(J7-E7)/E7</f>
        <v>0.17352415026833623</v>
      </c>
      <c r="K8" s="90">
        <v>0.66</v>
      </c>
      <c r="L8" s="90">
        <f>(L7-G7)/G7</f>
        <v>0.50000000000000011</v>
      </c>
      <c r="M8" s="90">
        <f>(M7-H7)/H7</f>
        <v>0.47348484848484851</v>
      </c>
      <c r="N8" s="98">
        <f>(N7-J7-K7)/(J7+K7)</f>
        <v>7.6651982378854594E-2</v>
      </c>
      <c r="O8" s="90">
        <f>(O7-J7)/J7</f>
        <v>9.1463414634146353E-2</v>
      </c>
      <c r="P8" s="90">
        <f>0.05</f>
        <v>0.05</v>
      </c>
      <c r="Q8" s="83"/>
    </row>
    <row r="9" spans="2:23">
      <c r="B9" s="89" t="s">
        <v>71</v>
      </c>
      <c r="C9" s="83"/>
      <c r="D9" s="99"/>
      <c r="E9" s="31"/>
      <c r="F9" s="85"/>
      <c r="G9" s="85"/>
      <c r="H9" s="90"/>
      <c r="I9" s="31"/>
      <c r="J9" s="90">
        <f>(J7-H7)/H7</f>
        <v>1.4848484848484849</v>
      </c>
      <c r="K9" s="98">
        <f>(K7-J7)/J7</f>
        <v>-0.26981707317073167</v>
      </c>
      <c r="L9" s="98">
        <f>(L7-K7)/K7</f>
        <v>-0.17327766179540705</v>
      </c>
      <c r="M9" s="98">
        <f>(M7-L7)/L7</f>
        <v>-1.7676767676767749E-2</v>
      </c>
      <c r="N9" s="83"/>
      <c r="O9" s="90">
        <f>(O7-M7)/M7</f>
        <v>0.84061696658097673</v>
      </c>
      <c r="P9" s="98">
        <f>(P7-O7)/O7</f>
        <v>-0.2932960893854748</v>
      </c>
      <c r="Q9" s="83"/>
    </row>
    <row r="10" spans="2:23">
      <c r="B10" s="89" t="s">
        <v>72</v>
      </c>
      <c r="C10" s="31">
        <v>25.7</v>
      </c>
      <c r="D10" s="31">
        <v>28.6</v>
      </c>
      <c r="E10" s="31">
        <v>7.2</v>
      </c>
      <c r="F10" s="31">
        <v>5.3</v>
      </c>
      <c r="G10" s="31">
        <v>7.1</v>
      </c>
      <c r="H10" s="96">
        <f>D10-E10-F10-G10</f>
        <v>9.0000000000000018</v>
      </c>
      <c r="I10" s="31">
        <v>35.200000000000003</v>
      </c>
      <c r="J10" s="31">
        <v>8.6999999999999993</v>
      </c>
      <c r="K10" s="31">
        <v>9.1</v>
      </c>
      <c r="L10" s="31">
        <v>8.1999999999999993</v>
      </c>
      <c r="M10" s="31">
        <f>I10-J10-K10-L10</f>
        <v>9.2000000000000064</v>
      </c>
      <c r="N10" s="96">
        <f>SUM(O10,P10)</f>
        <v>21.3</v>
      </c>
      <c r="O10" s="31">
        <v>10.9</v>
      </c>
      <c r="P10" s="31">
        <v>10.4</v>
      </c>
      <c r="Q10" s="83"/>
    </row>
    <row r="11" spans="2:23">
      <c r="B11" s="89" t="s">
        <v>17</v>
      </c>
      <c r="C11" s="83"/>
      <c r="D11" s="90">
        <f xml:space="preserve"> (D10 - C10)/C10</f>
        <v>0.11284046692607012</v>
      </c>
      <c r="E11" s="90">
        <v>-0.03</v>
      </c>
      <c r="F11" s="90">
        <v>-0.03</v>
      </c>
      <c r="G11" s="90">
        <v>0.22</v>
      </c>
      <c r="H11" s="90">
        <v>0.28999999999999998</v>
      </c>
      <c r="I11" s="90">
        <f xml:space="preserve"> (I10 - D10)/D10</f>
        <v>0.23076923076923081</v>
      </c>
      <c r="J11" s="90">
        <f>(J10-E10)/E10</f>
        <v>0.2083333333333332</v>
      </c>
      <c r="K11" s="90">
        <v>0.7</v>
      </c>
      <c r="L11" s="90">
        <f>(L10-G10)/G10</f>
        <v>0.15492957746478869</v>
      </c>
      <c r="M11" s="90">
        <f>(M10-H10)/H10</f>
        <v>2.222222222222273E-2</v>
      </c>
      <c r="N11" s="98">
        <f>(N10-J10-K10)/(J10+K10)</f>
        <v>0.19662921348314619</v>
      </c>
      <c r="O11" s="90">
        <f>(O10-J10)/J10</f>
        <v>0.25287356321839094</v>
      </c>
      <c r="P11" s="90">
        <f>0.15</f>
        <v>0.15</v>
      </c>
      <c r="Q11" s="83"/>
    </row>
    <row r="12" spans="2:23">
      <c r="B12" s="89" t="s">
        <v>71</v>
      </c>
      <c r="C12" s="83"/>
      <c r="D12" s="99"/>
      <c r="E12" s="31"/>
      <c r="F12" s="83"/>
      <c r="G12" s="83"/>
      <c r="H12" s="83"/>
      <c r="I12" s="31"/>
      <c r="J12" s="90">
        <f>(J10-H10)/H10</f>
        <v>-3.3333333333333603E-2</v>
      </c>
      <c r="K12" s="98">
        <f>(K10-J10)/J10</f>
        <v>4.5977011494252921E-2</v>
      </c>
      <c r="L12" s="98">
        <f>(L10-K10)/K10</f>
        <v>-9.8901098901098938E-2</v>
      </c>
      <c r="M12" s="98">
        <f>(M10-L10)/L10</f>
        <v>0.12195121951219599</v>
      </c>
      <c r="N12" s="83"/>
      <c r="O12" s="90">
        <f>(O10-M10)/M10</f>
        <v>0.18478260869565138</v>
      </c>
      <c r="P12" s="98">
        <f>(P10-O10)/O10</f>
        <v>-4.5871559633027519E-2</v>
      </c>
      <c r="Q12" s="83"/>
      <c r="T12" t="s">
        <v>95</v>
      </c>
    </row>
    <row r="13" spans="2:23">
      <c r="B13" s="89" t="s">
        <v>93</v>
      </c>
      <c r="C13" s="31">
        <v>21.3</v>
      </c>
      <c r="D13" s="31">
        <v>23.7</v>
      </c>
      <c r="E13" s="31">
        <v>6</v>
      </c>
      <c r="F13" s="31">
        <v>4.4000000000000004</v>
      </c>
      <c r="G13" s="31">
        <v>6.6</v>
      </c>
      <c r="H13" s="96">
        <f>6.8</f>
        <v>6.8</v>
      </c>
      <c r="I13" s="31">
        <v>31.9</v>
      </c>
      <c r="J13" s="31">
        <v>8.4</v>
      </c>
      <c r="K13" s="31">
        <v>7.8</v>
      </c>
      <c r="L13" s="31">
        <v>7.4</v>
      </c>
      <c r="M13" s="31">
        <f>I13-J13-K13-L13</f>
        <v>8.2999999999999989</v>
      </c>
      <c r="N13" s="96">
        <f>14.9</f>
        <v>14.9</v>
      </c>
      <c r="O13" s="31">
        <v>7.2</v>
      </c>
      <c r="P13" s="31">
        <v>7.6</v>
      </c>
      <c r="Q13" s="83"/>
    </row>
    <row r="14" spans="2:23">
      <c r="B14" s="89" t="s">
        <v>17</v>
      </c>
      <c r="C14" s="83"/>
      <c r="D14" s="90">
        <f xml:space="preserve"> (D13 - C13)/C13</f>
        <v>0.1126760563380281</v>
      </c>
      <c r="E14" s="90">
        <v>-0.11</v>
      </c>
      <c r="F14" s="98">
        <v>-0.1</v>
      </c>
      <c r="G14" s="90">
        <v>0.31</v>
      </c>
      <c r="H14" s="90">
        <v>0.46</v>
      </c>
      <c r="I14" s="90">
        <f xml:space="preserve"> (I13 - D13)/D13</f>
        <v>0.34599156118143459</v>
      </c>
      <c r="J14" s="90">
        <f>(J13-E13)/E13</f>
        <v>0.40000000000000008</v>
      </c>
      <c r="K14" s="90">
        <v>0.79</v>
      </c>
      <c r="L14" s="90">
        <f>(L13-G13)/G13</f>
        <v>0.12121212121212133</v>
      </c>
      <c r="M14" s="90">
        <f>(M13-H13)/H13</f>
        <v>0.22058823529411753</v>
      </c>
      <c r="N14" s="98">
        <f>(N13-J13-K13)/(J13+K13)</f>
        <v>-8.0246913580246909E-2</v>
      </c>
      <c r="O14" s="90">
        <f>(O13-J13)/J13</f>
        <v>-0.14285714285714288</v>
      </c>
      <c r="P14" s="90">
        <f>-0.02</f>
        <v>-0.02</v>
      </c>
      <c r="Q14" s="83"/>
      <c r="T14" t="s">
        <v>90</v>
      </c>
    </row>
    <row r="15" spans="2:23">
      <c r="B15" s="89" t="s">
        <v>71</v>
      </c>
      <c r="C15" s="83"/>
      <c r="D15" s="31"/>
      <c r="E15" s="31"/>
      <c r="F15" s="83"/>
      <c r="G15" s="83"/>
      <c r="H15" s="83"/>
      <c r="I15" s="31"/>
      <c r="J15" s="90">
        <f>(J13-H13)/H13</f>
        <v>0.2352941176470589</v>
      </c>
      <c r="K15" s="98">
        <f>(K13-J13)/J13</f>
        <v>-7.1428571428571494E-2</v>
      </c>
      <c r="L15" s="98">
        <f>(L13-K13)/K13</f>
        <v>-5.1282051282051218E-2</v>
      </c>
      <c r="M15" s="98">
        <f>(M13-L13)/L13</f>
        <v>0.12162162162162142</v>
      </c>
      <c r="N15" s="83"/>
      <c r="O15" s="90">
        <f>(O13-M13)/M13</f>
        <v>-0.13253012048192758</v>
      </c>
      <c r="P15" s="98">
        <f>(P13-O13)/O13</f>
        <v>5.5555555555555483E-2</v>
      </c>
      <c r="Q15" s="83"/>
    </row>
    <row r="16" spans="2:23">
      <c r="B16" s="89" t="s">
        <v>73</v>
      </c>
      <c r="C16" s="31">
        <v>24.5</v>
      </c>
      <c r="D16" s="31">
        <v>30.6</v>
      </c>
      <c r="E16" s="31">
        <v>10</v>
      </c>
      <c r="F16" s="31">
        <v>6.3</v>
      </c>
      <c r="G16" s="31">
        <v>6.4</v>
      </c>
      <c r="H16" s="96">
        <f>D16-E16-F16-G16</f>
        <v>7.9</v>
      </c>
      <c r="I16" s="31">
        <v>38.4</v>
      </c>
      <c r="J16" s="31">
        <v>13</v>
      </c>
      <c r="K16" s="31">
        <v>7.8</v>
      </c>
      <c r="L16" s="31">
        <v>8.8000000000000007</v>
      </c>
      <c r="M16" s="31">
        <f>I16-J16-K16-L16</f>
        <v>8.7999999999999972</v>
      </c>
      <c r="N16" s="96">
        <f>SUM(O16,P16)</f>
        <v>23.5</v>
      </c>
      <c r="O16" s="31">
        <v>14.7</v>
      </c>
      <c r="P16" s="31">
        <v>8.8000000000000007</v>
      </c>
      <c r="Q16" s="83"/>
      <c r="T16" t="s">
        <v>90</v>
      </c>
      <c r="U16" s="83"/>
      <c r="V16" s="83"/>
      <c r="W16" s="83"/>
    </row>
    <row r="17" spans="2:17">
      <c r="B17" s="89" t="s">
        <v>17</v>
      </c>
      <c r="C17" s="83"/>
      <c r="D17" s="90">
        <f xml:space="preserve"> (D16 - C16)/C16</f>
        <v>0.24897959183673476</v>
      </c>
      <c r="E17" s="90">
        <v>0.37</v>
      </c>
      <c r="F17" s="98">
        <v>0.23</v>
      </c>
      <c r="G17" s="90">
        <v>0.17</v>
      </c>
      <c r="H17" s="90">
        <v>0.21</v>
      </c>
      <c r="I17" s="90">
        <f xml:space="preserve"> (I16 - D16)/D16</f>
        <v>0.2549019607843136</v>
      </c>
      <c r="J17" s="90">
        <f>(J16-E16)/E16</f>
        <v>0.3</v>
      </c>
      <c r="K17" s="90">
        <v>0.25</v>
      </c>
      <c r="L17" s="90">
        <f>36%</f>
        <v>0.36</v>
      </c>
      <c r="M17" s="90">
        <f>(M16-H16)/H16</f>
        <v>0.11392405063291099</v>
      </c>
      <c r="N17" s="98">
        <f>(N16-J16-K16)/(J16+K16)</f>
        <v>0.12980769230769232</v>
      </c>
      <c r="O17" s="90">
        <f>(O16-J16)/J16</f>
        <v>0.13076923076923072</v>
      </c>
      <c r="P17" s="90">
        <v>0.12</v>
      </c>
      <c r="Q17" s="83"/>
    </row>
    <row r="18" spans="2:17">
      <c r="B18" s="89" t="s">
        <v>71</v>
      </c>
      <c r="C18" s="83"/>
      <c r="D18" s="31"/>
      <c r="E18" s="31"/>
      <c r="F18" s="83"/>
      <c r="G18" s="83"/>
      <c r="H18" s="83"/>
      <c r="I18" s="31"/>
      <c r="J18" s="90">
        <f>(J16-H16)/H16</f>
        <v>0.64556962025316444</v>
      </c>
      <c r="K18" s="98">
        <f>(K16-J16)/J16</f>
        <v>-0.4</v>
      </c>
      <c r="L18" s="98">
        <f>(L16-K16)/K16</f>
        <v>0.12820512820512833</v>
      </c>
      <c r="M18" s="98">
        <f>(M16-L16)/L16</f>
        <v>-4.0371746350005691E-16</v>
      </c>
      <c r="N18" s="83"/>
      <c r="O18" s="90">
        <f>(O16-M16)/M16</f>
        <v>0.67045454545454586</v>
      </c>
      <c r="P18" s="98">
        <f>(P16-O16)/O16</f>
        <v>-0.40136054421768702</v>
      </c>
      <c r="Q18" s="83"/>
    </row>
    <row r="19" spans="2:17">
      <c r="B19" s="89" t="s">
        <v>74</v>
      </c>
      <c r="C19" s="31">
        <v>46.3</v>
      </c>
      <c r="D19" s="31">
        <v>53.8</v>
      </c>
      <c r="E19" s="31">
        <v>12.7</v>
      </c>
      <c r="F19" s="31">
        <v>13.3</v>
      </c>
      <c r="G19" s="31">
        <v>13.2</v>
      </c>
      <c r="H19" s="96">
        <f>D19-E19-F19-G19</f>
        <v>14.599999999999994</v>
      </c>
      <c r="I19" s="31">
        <v>68.400000000000006</v>
      </c>
      <c r="J19" s="31">
        <v>15.8</v>
      </c>
      <c r="K19" s="31">
        <v>16.899999999999999</v>
      </c>
      <c r="L19" s="31">
        <v>17.5</v>
      </c>
      <c r="M19" s="31">
        <f>I19-J19-K19-L19</f>
        <v>18.20000000000001</v>
      </c>
      <c r="N19" s="96">
        <f>SUM(O19,P19)</f>
        <v>39.299999999999997</v>
      </c>
      <c r="O19" s="31">
        <v>19.5</v>
      </c>
      <c r="P19" s="31">
        <v>19.8</v>
      </c>
      <c r="Q19" s="83"/>
    </row>
    <row r="20" spans="2:17">
      <c r="B20" s="89" t="s">
        <v>17</v>
      </c>
      <c r="C20" s="31"/>
      <c r="D20" s="90">
        <f xml:space="preserve"> (D19 - C19)/C19</f>
        <v>0.16198704103671707</v>
      </c>
      <c r="E20" s="98">
        <v>0.17</v>
      </c>
      <c r="F20" s="98">
        <v>0.17</v>
      </c>
      <c r="G20" s="90">
        <v>0.15</v>
      </c>
      <c r="H20" s="90">
        <v>0.16</v>
      </c>
      <c r="I20" s="90">
        <f xml:space="preserve"> (I19 - D19)/D19</f>
        <v>0.27137546468401502</v>
      </c>
      <c r="J20" s="90">
        <f>(J19-E19)/E19</f>
        <v>0.2440944881889765</v>
      </c>
      <c r="K20" s="90">
        <f>(K19-F19)/F19</f>
        <v>0.27067669172932313</v>
      </c>
      <c r="L20" s="90">
        <f>(L19-G19)/G19</f>
        <v>0.3257575757575758</v>
      </c>
      <c r="M20" s="90">
        <f>(M19-H19)/H19</f>
        <v>0.2465753424657546</v>
      </c>
      <c r="N20" s="98">
        <f>(N19-J19-K19)/(J19+K19)</f>
        <v>0.20183486238532103</v>
      </c>
      <c r="O20" s="90">
        <f>(O19-J19)/J19</f>
        <v>0.23417721518987336</v>
      </c>
      <c r="P20" s="90">
        <f>(P19-K19)/K19</f>
        <v>0.1715976331360948</v>
      </c>
      <c r="Q20" s="83"/>
    </row>
    <row r="21" spans="2:17">
      <c r="B21" s="89" t="s">
        <v>71</v>
      </c>
      <c r="C21" s="83"/>
      <c r="D21" s="83"/>
      <c r="E21" s="83"/>
      <c r="F21" s="83"/>
      <c r="G21" s="83"/>
      <c r="H21" s="83"/>
      <c r="I21" s="31"/>
      <c r="J21" s="90">
        <f>(J19-H19)/H19</f>
        <v>8.2191780821918276E-2</v>
      </c>
      <c r="K21" s="98">
        <f>(K19-J19)/J19</f>
        <v>6.962025316455682E-2</v>
      </c>
      <c r="L21" s="98">
        <f>(L19-K19)/K19</f>
        <v>3.5502958579881741E-2</v>
      </c>
      <c r="M21" s="98">
        <f>(M19-L19)/L19</f>
        <v>4.000000000000057E-2</v>
      </c>
      <c r="N21" s="83"/>
      <c r="O21" s="90">
        <f>(O19-M19)/M19</f>
        <v>7.1428571428570842E-2</v>
      </c>
      <c r="P21" s="98">
        <f>(P19-O19)/O19</f>
        <v>1.5384615384615422E-2</v>
      </c>
      <c r="Q21" s="83"/>
    </row>
    <row r="22" spans="2:17">
      <c r="B22" s="91"/>
      <c r="C22" s="83"/>
      <c r="D22" s="83"/>
      <c r="E22" s="83"/>
      <c r="F22" s="83"/>
      <c r="G22" s="83"/>
      <c r="H22" s="83"/>
      <c r="I22" s="31"/>
      <c r="J22" s="83"/>
      <c r="K22" s="83"/>
      <c r="L22" s="83"/>
      <c r="M22" s="83"/>
      <c r="N22" s="83" t="s">
        <v>98</v>
      </c>
      <c r="O22" s="83"/>
      <c r="P22" s="83"/>
      <c r="Q22" s="83"/>
    </row>
    <row r="23" spans="2:17">
      <c r="B23" s="91" t="s">
        <v>79</v>
      </c>
      <c r="C23" s="96">
        <f xml:space="preserve"> SUM(C7,C10,C13,C16)</f>
        <v>213.9</v>
      </c>
      <c r="D23" s="96">
        <f xml:space="preserve"> SUM(D7,D10,D13,D16)</f>
        <v>220.7</v>
      </c>
      <c r="E23" s="96">
        <f xml:space="preserve"> SUM(E7,E10,E13,E16)</f>
        <v>79.099999999999994</v>
      </c>
      <c r="F23" s="96">
        <f xml:space="preserve"> SUM(F7,F10,F13,F16)</f>
        <v>44.999999999999993</v>
      </c>
      <c r="G23" s="96">
        <f xml:space="preserve"> SUM(G7,G10,G13,G16)</f>
        <v>46.5</v>
      </c>
      <c r="H23" s="96">
        <f>SUM(H7,H10,H13,H16)</f>
        <v>50.099999999999994</v>
      </c>
      <c r="I23" s="96">
        <f xml:space="preserve"> SUM(I7,I10,I13,I16)</f>
        <v>297.49999999999994</v>
      </c>
      <c r="J23" s="96">
        <f xml:space="preserve"> SUM(J7,J10,J13,J16)</f>
        <v>95.7</v>
      </c>
      <c r="K23" s="96">
        <v>72.7</v>
      </c>
      <c r="L23" s="96">
        <f xml:space="preserve"> 63.9</f>
        <v>63.9</v>
      </c>
      <c r="M23" s="96">
        <f xml:space="preserve"> SUM(M7,M10,M13,M16)</f>
        <v>65.2</v>
      </c>
      <c r="N23" s="96">
        <f xml:space="preserve"> SUM(N7,N10,N13,N16)</f>
        <v>181.9</v>
      </c>
      <c r="O23" s="96">
        <f xml:space="preserve"> SUM(O7,O10,O13,O16)</f>
        <v>104.4</v>
      </c>
      <c r="P23" s="96">
        <f xml:space="preserve"> SUM(P7,P10,P13,P16)</f>
        <v>77.399999999999991</v>
      </c>
      <c r="Q23" s="83"/>
    </row>
    <row r="24" spans="2:17">
      <c r="B24" s="95" t="s">
        <v>17</v>
      </c>
      <c r="C24" s="83"/>
      <c r="D24" s="90">
        <f xml:space="preserve"> (D23 - C23)/C23</f>
        <v>3.1790556334735778E-2</v>
      </c>
      <c r="E24" s="98">
        <v>0.08</v>
      </c>
      <c r="F24" s="98">
        <v>-0.03</v>
      </c>
      <c r="G24" s="98">
        <v>0.1</v>
      </c>
      <c r="H24" s="98">
        <v>-0.03</v>
      </c>
      <c r="I24" s="90">
        <f xml:space="preserve"> (I23 - D23)/D23</f>
        <v>0.3479836882646124</v>
      </c>
      <c r="J24" s="90">
        <f>(J23-E23)/E23</f>
        <v>0.20986093552465246</v>
      </c>
      <c r="K24" s="90">
        <f>(K23-F23)/F23</f>
        <v>0.61555555555555586</v>
      </c>
      <c r="L24" s="90">
        <f>(L23-G23)/G23</f>
        <v>0.37419354838709673</v>
      </c>
      <c r="M24" s="90">
        <f>(M23-H23)/H23</f>
        <v>0.30139720558882255</v>
      </c>
      <c r="N24" s="98">
        <f>(N23-J23-K23)/(J23+K23)</f>
        <v>8.0166270783847984E-2</v>
      </c>
      <c r="O24" s="90">
        <f>(O23-J23)/J23</f>
        <v>9.0909090909090939E-2</v>
      </c>
      <c r="P24" s="90">
        <f>(P23-K23)/K23</f>
        <v>6.4649243466299702E-2</v>
      </c>
      <c r="Q24" s="83"/>
    </row>
    <row r="25" spans="2:17">
      <c r="B25" s="89" t="s">
        <v>71</v>
      </c>
      <c r="C25" s="83"/>
      <c r="D25" s="83"/>
      <c r="E25" s="83"/>
      <c r="F25" s="83"/>
      <c r="G25" s="83"/>
      <c r="H25" s="83"/>
      <c r="I25" s="31"/>
      <c r="J25" s="90">
        <f>(J23-H23)/H23</f>
        <v>0.91017964071856317</v>
      </c>
      <c r="K25" s="98">
        <f>(K23-J23)/J23</f>
        <v>-0.24033437826541273</v>
      </c>
      <c r="L25" s="98">
        <f>(L23-K23)/K23</f>
        <v>-0.12104539202200831</v>
      </c>
      <c r="M25" s="98">
        <f>(M23-L23)/L23</f>
        <v>2.0344287949921821E-2</v>
      </c>
      <c r="N25" s="83"/>
      <c r="O25" s="90">
        <f>(O23-M23)/M23</f>
        <v>0.60122699386503065</v>
      </c>
      <c r="P25" s="98">
        <f>(P23-O23)/O23</f>
        <v>-0.25862068965517254</v>
      </c>
      <c r="Q25" s="83"/>
    </row>
    <row r="26" spans="2:17">
      <c r="B26" s="91" t="s">
        <v>74</v>
      </c>
      <c r="C26" s="96">
        <f xml:space="preserve"> C19</f>
        <v>46.3</v>
      </c>
      <c r="D26" s="96">
        <f xml:space="preserve"> D19</f>
        <v>53.8</v>
      </c>
      <c r="E26" s="96">
        <f xml:space="preserve"> E19</f>
        <v>12.7</v>
      </c>
      <c r="F26" s="96">
        <f xml:space="preserve"> F19</f>
        <v>13.3</v>
      </c>
      <c r="G26" s="96">
        <f xml:space="preserve"> G19</f>
        <v>13.2</v>
      </c>
      <c r="H26" s="96">
        <f>D26-E26-F26-G26</f>
        <v>14.599999999999994</v>
      </c>
      <c r="I26" s="96">
        <f xml:space="preserve"> I19</f>
        <v>68.400000000000006</v>
      </c>
      <c r="J26" s="96">
        <f xml:space="preserve"> J19</f>
        <v>15.8</v>
      </c>
      <c r="K26" s="96">
        <f xml:space="preserve"> K19</f>
        <v>16.899999999999999</v>
      </c>
      <c r="L26" s="96">
        <f xml:space="preserve"> L19</f>
        <v>17.5</v>
      </c>
      <c r="M26" s="96">
        <f xml:space="preserve"> M19</f>
        <v>18.20000000000001</v>
      </c>
      <c r="N26" s="96">
        <f xml:space="preserve"> N19</f>
        <v>39.299999999999997</v>
      </c>
      <c r="O26" s="96">
        <f xml:space="preserve"> O19</f>
        <v>19.5</v>
      </c>
      <c r="P26" s="96">
        <f xml:space="preserve"> P19</f>
        <v>19.8</v>
      </c>
      <c r="Q26" s="83"/>
    </row>
    <row r="27" spans="2:17">
      <c r="B27" s="95" t="s">
        <v>17</v>
      </c>
      <c r="C27" s="83"/>
      <c r="D27" s="90">
        <f xml:space="preserve"> (D26 - C26)/C26</f>
        <v>0.16198704103671707</v>
      </c>
      <c r="E27" s="98">
        <v>0.17</v>
      </c>
      <c r="F27" s="98">
        <v>0.17</v>
      </c>
      <c r="G27" s="90">
        <v>0.15</v>
      </c>
      <c r="H27" s="90">
        <v>0.16</v>
      </c>
      <c r="I27" s="90">
        <f xml:space="preserve"> (I26 - D26)/D26</f>
        <v>0.27137546468401502</v>
      </c>
      <c r="J27" s="90">
        <f>(J26-E26)/E26</f>
        <v>0.2440944881889765</v>
      </c>
      <c r="K27" s="90">
        <f>(K26-F26)/F26</f>
        <v>0.27067669172932313</v>
      </c>
      <c r="L27" s="90">
        <f>(L26-G26)/G26</f>
        <v>0.3257575757575758</v>
      </c>
      <c r="M27" s="90">
        <f>(M26-H26)/H26</f>
        <v>0.2465753424657546</v>
      </c>
      <c r="N27" s="98">
        <f>(N26-J26-K26)/(J26+K26)</f>
        <v>0.20183486238532103</v>
      </c>
      <c r="O27" s="90">
        <f>(O26-J26)/J26</f>
        <v>0.23417721518987336</v>
      </c>
      <c r="P27" s="90">
        <f>(P26-K26)/K26</f>
        <v>0.1715976331360948</v>
      </c>
      <c r="Q27" s="83"/>
    </row>
    <row r="28" spans="2:17">
      <c r="B28" s="89" t="s">
        <v>71</v>
      </c>
      <c r="C28" s="83"/>
      <c r="D28" s="83"/>
      <c r="E28" s="83"/>
      <c r="F28" s="83"/>
      <c r="G28" s="83"/>
      <c r="H28" s="83"/>
      <c r="I28" s="31"/>
      <c r="J28" s="90">
        <f>(J26-H26)/H26</f>
        <v>8.2191780821918276E-2</v>
      </c>
      <c r="K28" s="98">
        <f>(K26-J26)/J26</f>
        <v>6.962025316455682E-2</v>
      </c>
      <c r="L28" s="98">
        <f>(L26-K26)/K26</f>
        <v>3.5502958579881741E-2</v>
      </c>
      <c r="M28" s="98">
        <f>(M26-L26)/L26</f>
        <v>4.000000000000057E-2</v>
      </c>
      <c r="N28" s="83"/>
      <c r="O28" s="90">
        <f>(O26-M26)/M26</f>
        <v>7.1428571428570842E-2</v>
      </c>
      <c r="P28" s="98">
        <f>(P26-O26)/O26</f>
        <v>1.5384615384615422E-2</v>
      </c>
      <c r="Q28" s="83"/>
    </row>
    <row r="29" spans="2:17">
      <c r="B29" s="95" t="s">
        <v>80</v>
      </c>
      <c r="C29" s="96">
        <v>145</v>
      </c>
      <c r="D29" s="96">
        <v>151.30000000000001</v>
      </c>
      <c r="E29" s="83">
        <v>52.1</v>
      </c>
      <c r="F29" s="83"/>
      <c r="G29" s="83"/>
      <c r="H29" s="83"/>
      <c r="I29" s="31">
        <v>192.3</v>
      </c>
      <c r="J29" s="83"/>
      <c r="K29" s="83"/>
      <c r="L29" s="83"/>
      <c r="M29" s="83"/>
      <c r="N29" s="83"/>
      <c r="O29" s="83"/>
      <c r="P29" s="83"/>
      <c r="Q29" s="83"/>
    </row>
    <row r="30" spans="2:17">
      <c r="B30" s="95" t="s">
        <v>17</v>
      </c>
      <c r="C30" s="83"/>
      <c r="D30" s="90">
        <f xml:space="preserve"> (D29 - C29)/C29</f>
        <v>4.3448275862069043E-2</v>
      </c>
      <c r="E30" s="83"/>
      <c r="F30" s="83"/>
      <c r="G30" s="83"/>
      <c r="H30" s="83"/>
      <c r="I30" s="90">
        <f xml:space="preserve"> (I29 - D29)/D29</f>
        <v>0.27098479841374751</v>
      </c>
      <c r="J30" s="83"/>
      <c r="K30" s="83"/>
      <c r="L30" s="83"/>
      <c r="M30" s="83"/>
      <c r="N30" s="83"/>
      <c r="O30" s="83"/>
      <c r="P30" s="83"/>
      <c r="Q30" s="83"/>
    </row>
    <row r="31" spans="2:17">
      <c r="B31" s="89" t="s">
        <v>71</v>
      </c>
      <c r="D31" s="83"/>
      <c r="E31" s="83"/>
      <c r="F31" s="83"/>
      <c r="G31" s="83"/>
      <c r="H31" s="83"/>
      <c r="I31" s="31"/>
      <c r="J31" s="83"/>
      <c r="K31" s="83"/>
      <c r="L31" s="83"/>
      <c r="M31" s="83"/>
      <c r="N31" s="83"/>
      <c r="O31" s="83"/>
      <c r="P31" s="83"/>
      <c r="Q31" s="83"/>
    </row>
    <row r="32" spans="2:17">
      <c r="B32" s="95" t="s">
        <v>81</v>
      </c>
      <c r="C32" s="96">
        <v>16.8</v>
      </c>
      <c r="D32" s="96">
        <v>18.3</v>
      </c>
      <c r="E32" s="83">
        <v>4.5</v>
      </c>
      <c r="F32" s="83"/>
      <c r="G32" s="83"/>
      <c r="H32" s="83"/>
      <c r="I32" s="31">
        <v>20.7</v>
      </c>
      <c r="J32" s="83"/>
      <c r="K32" s="83"/>
      <c r="L32" s="83"/>
      <c r="M32" s="83"/>
      <c r="N32" s="83"/>
      <c r="O32" s="83"/>
      <c r="P32" s="83"/>
      <c r="Q32" s="83"/>
    </row>
    <row r="33" spans="2:17">
      <c r="B33" s="95" t="s">
        <v>17</v>
      </c>
      <c r="C33" s="83"/>
      <c r="D33" s="90">
        <f xml:space="preserve"> (D32 - C32)/C32</f>
        <v>8.9285714285714288E-2</v>
      </c>
      <c r="E33" s="83"/>
      <c r="F33" s="83"/>
      <c r="G33" s="83"/>
      <c r="H33" s="83"/>
      <c r="I33" s="90">
        <f xml:space="preserve"> (I32 - D32)/D32</f>
        <v>0.13114754098360648</v>
      </c>
      <c r="J33" s="83"/>
      <c r="K33" s="83"/>
      <c r="L33" s="83"/>
      <c r="M33" s="83"/>
      <c r="N33" s="83"/>
      <c r="O33" s="83"/>
      <c r="P33" s="83"/>
      <c r="Q33" s="83"/>
    </row>
    <row r="34" spans="2:17">
      <c r="B34" s="89" t="s">
        <v>71</v>
      </c>
      <c r="C34" s="83"/>
      <c r="D34" s="83"/>
      <c r="E34" s="83"/>
      <c r="F34" s="83"/>
      <c r="G34" s="83"/>
      <c r="H34" s="83"/>
      <c r="I34" s="31"/>
      <c r="J34" s="83"/>
      <c r="K34" s="83"/>
      <c r="L34" s="83"/>
      <c r="M34" s="83"/>
      <c r="N34" s="83"/>
      <c r="O34" s="83"/>
      <c r="P34" s="83"/>
      <c r="Q34" s="83"/>
    </row>
    <row r="35" spans="2:17">
      <c r="B35" s="95" t="s">
        <v>86</v>
      </c>
      <c r="C35" s="96">
        <f xml:space="preserve"> C23-C29</f>
        <v>68.900000000000006</v>
      </c>
      <c r="D35" s="96">
        <f xml:space="preserve"> D23-D29</f>
        <v>69.399999999999977</v>
      </c>
      <c r="E35" s="83"/>
      <c r="F35" s="83"/>
      <c r="G35" s="83"/>
      <c r="H35" s="83"/>
      <c r="I35" s="96">
        <f xml:space="preserve"> I23-I29</f>
        <v>105.19999999999993</v>
      </c>
      <c r="J35" s="83"/>
      <c r="K35" s="83"/>
      <c r="L35" s="83"/>
      <c r="M35" s="83"/>
      <c r="N35" s="83"/>
      <c r="O35" s="83"/>
      <c r="P35" s="83"/>
      <c r="Q35" s="83"/>
    </row>
    <row r="36" spans="2:17">
      <c r="B36" s="95" t="s">
        <v>17</v>
      </c>
      <c r="C36" s="83"/>
      <c r="D36" s="90">
        <f xml:space="preserve"> (D35 - C35)/C35</f>
        <v>7.2568940493464669E-3</v>
      </c>
      <c r="E36" s="83"/>
      <c r="F36" s="83"/>
      <c r="G36" s="83"/>
      <c r="H36" s="83"/>
      <c r="I36" s="90">
        <f xml:space="preserve"> (I35 - D35)/D35</f>
        <v>0.51585014409221852</v>
      </c>
      <c r="J36" s="83"/>
      <c r="K36" s="83"/>
      <c r="L36" s="83"/>
      <c r="M36" s="83"/>
      <c r="N36" s="83"/>
      <c r="O36" s="83"/>
      <c r="P36" s="83"/>
      <c r="Q36" s="83"/>
    </row>
    <row r="37" spans="2:17">
      <c r="B37" s="89" t="s">
        <v>71</v>
      </c>
      <c r="C37" s="83"/>
      <c r="D37" s="83"/>
      <c r="E37" s="83"/>
      <c r="F37" s="83"/>
      <c r="G37" s="83"/>
      <c r="H37" s="83"/>
      <c r="I37" s="31"/>
      <c r="J37" s="83"/>
      <c r="K37" s="83"/>
      <c r="L37" s="83"/>
      <c r="M37" s="83"/>
      <c r="N37" s="83"/>
      <c r="O37" s="83"/>
      <c r="P37" s="83"/>
      <c r="Q37" s="83"/>
    </row>
    <row r="38" spans="2:17">
      <c r="B38" s="95" t="s">
        <v>84</v>
      </c>
      <c r="C38" s="98">
        <f>C35/C23</f>
        <v>0.32211313697989719</v>
      </c>
      <c r="D38" s="98">
        <f>D35/D23</f>
        <v>0.31445400996828266</v>
      </c>
      <c r="E38" s="83"/>
      <c r="F38" s="83"/>
      <c r="G38" s="83"/>
      <c r="H38" s="83"/>
      <c r="I38" s="90">
        <f>I35/I23</f>
        <v>0.35361344537815109</v>
      </c>
      <c r="J38" s="83"/>
      <c r="K38" s="83"/>
      <c r="L38" s="83"/>
      <c r="M38" s="83"/>
      <c r="N38" s="83"/>
      <c r="O38" s="83"/>
      <c r="P38" s="83"/>
      <c r="Q38" s="83"/>
    </row>
    <row r="39" spans="2:17">
      <c r="B39" s="95" t="s">
        <v>17</v>
      </c>
      <c r="C39" s="83"/>
      <c r="D39" s="90">
        <f xml:space="preserve"> (D38 - C38)/C38</f>
        <v>-2.3777754249409984E-2</v>
      </c>
      <c r="E39" s="83"/>
      <c r="F39" s="83"/>
      <c r="G39" s="83"/>
      <c r="H39" s="83"/>
      <c r="I39" s="90">
        <f xml:space="preserve"> (I38 - D38)/D38</f>
        <v>0.12453151865933669</v>
      </c>
      <c r="J39" s="83"/>
      <c r="K39" s="83"/>
      <c r="L39" s="83"/>
      <c r="M39" s="83"/>
      <c r="N39" s="83"/>
      <c r="O39" s="83"/>
      <c r="P39" s="83"/>
      <c r="Q39" s="83"/>
    </row>
    <row r="40" spans="2:17">
      <c r="B40" s="89" t="s">
        <v>71</v>
      </c>
      <c r="C40" s="83"/>
      <c r="D40" s="83"/>
      <c r="E40" s="83"/>
      <c r="F40" s="83"/>
      <c r="G40" s="83"/>
      <c r="H40" s="83"/>
      <c r="I40" s="31"/>
      <c r="J40" s="83"/>
      <c r="K40" s="83"/>
      <c r="L40" s="83"/>
      <c r="M40" s="83"/>
      <c r="N40" s="83"/>
      <c r="O40" s="83"/>
      <c r="P40" s="83"/>
      <c r="Q40" s="83"/>
    </row>
    <row r="41" spans="2:17">
      <c r="B41" s="95" t="s">
        <v>82</v>
      </c>
      <c r="C41" s="96">
        <f xml:space="preserve"> C26-C32</f>
        <v>29.499999999999996</v>
      </c>
      <c r="D41" s="96">
        <f xml:space="preserve"> D26-D32</f>
        <v>35.5</v>
      </c>
      <c r="E41" s="83"/>
      <c r="F41" s="83"/>
      <c r="G41" s="83"/>
      <c r="H41" s="83"/>
      <c r="I41" s="96">
        <f xml:space="preserve"> I26-I32</f>
        <v>47.7</v>
      </c>
      <c r="J41" s="83"/>
      <c r="K41" s="83"/>
      <c r="L41" s="83"/>
      <c r="M41" s="83"/>
      <c r="N41" s="83"/>
      <c r="O41" s="83"/>
      <c r="P41" s="83"/>
      <c r="Q41" s="83"/>
    </row>
    <row r="42" spans="2:17">
      <c r="B42" s="95" t="s">
        <v>17</v>
      </c>
      <c r="C42" s="83"/>
      <c r="D42" s="90">
        <f xml:space="preserve"> (D41 - C41)/C41</f>
        <v>0.20338983050847473</v>
      </c>
      <c r="E42" s="83"/>
      <c r="F42" s="83"/>
      <c r="G42" s="83"/>
      <c r="H42" s="83"/>
      <c r="I42" s="90">
        <f xml:space="preserve"> (I41 - D41)/D41</f>
        <v>0.34366197183098601</v>
      </c>
      <c r="J42" s="83"/>
      <c r="K42" s="83"/>
      <c r="L42" s="83"/>
      <c r="M42" s="83"/>
      <c r="N42" s="83"/>
      <c r="O42" s="83"/>
      <c r="P42" s="83"/>
      <c r="Q42" s="83"/>
    </row>
    <row r="43" spans="2:17">
      <c r="B43" s="89" t="s">
        <v>71</v>
      </c>
      <c r="C43" s="83"/>
      <c r="D43" s="83"/>
      <c r="E43" s="83"/>
      <c r="F43" s="83"/>
      <c r="G43" s="83"/>
      <c r="H43" s="83"/>
      <c r="I43" s="90"/>
      <c r="J43" s="83"/>
      <c r="K43" s="83"/>
      <c r="L43" s="83"/>
      <c r="M43" s="83"/>
      <c r="N43" s="83"/>
      <c r="O43" s="83"/>
      <c r="P43" s="83"/>
      <c r="Q43" s="83"/>
    </row>
    <row r="44" spans="2:17">
      <c r="B44" s="95" t="s">
        <v>85</v>
      </c>
      <c r="C44" s="98">
        <f>C41/C26</f>
        <v>0.63714902807775375</v>
      </c>
      <c r="D44" s="98">
        <f>D41/D26</f>
        <v>0.65985130111524171</v>
      </c>
      <c r="E44" s="83"/>
      <c r="F44" s="83"/>
      <c r="G44" s="83"/>
      <c r="H44" s="83"/>
      <c r="I44" s="90">
        <f>I41/I26</f>
        <v>0.69736842105263153</v>
      </c>
      <c r="J44" s="83"/>
      <c r="K44" s="83"/>
      <c r="L44" s="83"/>
      <c r="M44" s="83"/>
      <c r="N44" s="83"/>
      <c r="O44" s="83"/>
      <c r="P44" s="83"/>
      <c r="Q44" s="83"/>
    </row>
    <row r="45" spans="2:17">
      <c r="B45" s="95" t="s">
        <v>17</v>
      </c>
      <c r="C45" s="83"/>
      <c r="D45" s="90">
        <f xml:space="preserve"> (D44 - C44)/C44</f>
        <v>3.5631025140192958E-2</v>
      </c>
      <c r="E45" s="83"/>
      <c r="F45" s="83"/>
      <c r="G45" s="83"/>
      <c r="H45" s="83"/>
      <c r="I45" s="90">
        <f xml:space="preserve"> (I44 - D44)/D44</f>
        <v>5.6856931060044281E-2</v>
      </c>
      <c r="J45" s="83"/>
      <c r="K45" s="83"/>
      <c r="L45" s="83"/>
      <c r="M45" s="83"/>
      <c r="N45" s="83"/>
      <c r="O45" s="83"/>
      <c r="P45" s="83"/>
      <c r="Q45" s="83"/>
    </row>
    <row r="46" spans="2:17">
      <c r="B46" s="89" t="s">
        <v>71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 spans="2:17">
      <c r="B47" s="95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2:17">
      <c r="B48" s="95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 t="s">
        <v>102</v>
      </c>
      <c r="O48" s="83"/>
      <c r="P48" s="83"/>
      <c r="Q48" s="83"/>
    </row>
    <row r="49" spans="2:21">
      <c r="B49" s="95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 spans="2:21">
      <c r="B50" s="95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2:21">
      <c r="B51" s="95"/>
      <c r="C51" s="83"/>
      <c r="D51" s="83"/>
      <c r="E51" s="83" t="s">
        <v>99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21">
      <c r="B52" s="95"/>
      <c r="C52" s="83"/>
      <c r="D52" s="83"/>
      <c r="E52" s="83" t="s">
        <v>100</v>
      </c>
      <c r="F52" s="83"/>
      <c r="G52" s="83"/>
      <c r="H52" s="83"/>
      <c r="I52" s="83"/>
      <c r="J52" s="83"/>
      <c r="K52" s="83"/>
      <c r="L52" s="83"/>
      <c r="M52" s="83"/>
      <c r="N52" s="83" t="s">
        <v>97</v>
      </c>
      <c r="O52" s="83"/>
      <c r="P52" s="83"/>
      <c r="Q52" s="83"/>
    </row>
    <row r="53" spans="2:21">
      <c r="B53" s="95" t="s">
        <v>31</v>
      </c>
      <c r="C53" s="96">
        <f>SUM(C23,C26)</f>
        <v>260.2</v>
      </c>
      <c r="D53" s="96">
        <f>SUM(D23,D26)</f>
        <v>274.5</v>
      </c>
      <c r="E53" s="96">
        <f>SUM(E23,E26)</f>
        <v>91.8</v>
      </c>
      <c r="F53" s="96">
        <f>SUM(F23,F26)</f>
        <v>58.3</v>
      </c>
      <c r="G53" s="96">
        <f>SUM(G23,G26)</f>
        <v>59.7</v>
      </c>
      <c r="H53" s="96">
        <f>D53-E53-F53-G53</f>
        <v>64.699999999999989</v>
      </c>
      <c r="I53" s="96">
        <f>365.8</f>
        <v>365.8</v>
      </c>
      <c r="J53" s="96">
        <f>111.4</f>
        <v>111.4</v>
      </c>
      <c r="K53" s="96">
        <f>SUM(K23,K26)</f>
        <v>89.6</v>
      </c>
      <c r="L53" s="96">
        <f>SUM(L23,L26)</f>
        <v>81.400000000000006</v>
      </c>
      <c r="M53" s="96">
        <f>I53-J53-K53-L53</f>
        <v>83.4</v>
      </c>
      <c r="N53" s="96">
        <f>SUM(N23,N26)</f>
        <v>221.2</v>
      </c>
      <c r="O53" s="96">
        <f>SUM(O23,O26)</f>
        <v>123.9</v>
      </c>
      <c r="P53" s="96">
        <f>97.3</f>
        <v>97.3</v>
      </c>
      <c r="Q53" s="83">
        <f>1.06*I53</f>
        <v>387.74800000000005</v>
      </c>
      <c r="R53">
        <f>1.01*Q53</f>
        <v>391.62548000000004</v>
      </c>
      <c r="S53">
        <f>1.03*R53</f>
        <v>403.37424440000007</v>
      </c>
      <c r="T53">
        <f>1.06*S53</f>
        <v>427.57669906400008</v>
      </c>
      <c r="U53">
        <f>1.09*T53</f>
        <v>466.05860197976011</v>
      </c>
    </row>
    <row r="54" spans="2:21">
      <c r="B54" s="95" t="s">
        <v>17</v>
      </c>
      <c r="C54" s="83"/>
      <c r="D54" s="90">
        <f xml:space="preserve"> (D53 - C53)/C53</f>
        <v>5.4957724827056159E-2</v>
      </c>
      <c r="E54" s="98">
        <v>0.09</v>
      </c>
      <c r="F54" s="98">
        <v>0.01</v>
      </c>
      <c r="G54" s="98">
        <v>0.11</v>
      </c>
      <c r="H54" s="98">
        <v>0.01</v>
      </c>
      <c r="I54" s="90">
        <f xml:space="preserve"> (I53 - D53)/D53</f>
        <v>0.33260473588342443</v>
      </c>
      <c r="J54" s="90">
        <f>(J53-E53)/E53</f>
        <v>0.21350762527233125</v>
      </c>
      <c r="K54" s="90">
        <f>(K53-F53)/F53</f>
        <v>0.53687821612349917</v>
      </c>
      <c r="L54" s="90">
        <f>(L53-G53)/G53</f>
        <v>0.36348408710217761</v>
      </c>
      <c r="M54" s="90">
        <f>(M53-H53)/H53</f>
        <v>0.28902627511591994</v>
      </c>
      <c r="N54" s="98">
        <f>(N53-J53-K53)/(J53+K53)</f>
        <v>0.10049751243781088</v>
      </c>
      <c r="O54" s="90">
        <f>(O53-J53)/J53</f>
        <v>0.11220825852782765</v>
      </c>
      <c r="P54" s="90">
        <f>(P53-K53)/K53</f>
        <v>8.5937500000000042E-2</v>
      </c>
      <c r="Q54" s="98">
        <f>(Q53-I53)/I53</f>
        <v>6.0000000000000095E-2</v>
      </c>
      <c r="R54" s="108">
        <f>(R53-Q53)/Q53</f>
        <v>9.9999999999999759E-3</v>
      </c>
      <c r="S54" s="108">
        <f t="shared" ref="S54:U54" si="0">(S53-R53)/R53</f>
        <v>3.0000000000000068E-2</v>
      </c>
      <c r="T54" s="108">
        <f t="shared" si="0"/>
        <v>6.0000000000000026E-2</v>
      </c>
      <c r="U54" s="108">
        <f t="shared" si="0"/>
        <v>9.0000000000000052E-2</v>
      </c>
    </row>
    <row r="55" spans="2:21">
      <c r="B55" s="89" t="s">
        <v>71</v>
      </c>
      <c r="C55" s="83"/>
      <c r="D55" s="83"/>
      <c r="E55" s="83"/>
      <c r="F55" s="83"/>
      <c r="G55" s="83"/>
      <c r="H55" s="83"/>
      <c r="I55" s="83"/>
      <c r="J55" s="90">
        <f>(J53-H53)/H53</f>
        <v>0.72179289026275151</v>
      </c>
      <c r="K55" s="98">
        <f>(K53-J53)/J53</f>
        <v>-0.1956912028725315</v>
      </c>
      <c r="L55" s="98">
        <f>(L53-K53)/K53</f>
        <v>-9.1517857142857026E-2</v>
      </c>
      <c r="M55" s="98">
        <f>(M53-L53)/L53</f>
        <v>2.4570024570024569E-2</v>
      </c>
      <c r="N55" s="83"/>
      <c r="O55" s="90">
        <f>(O53-M53)/M53</f>
        <v>0.48561151079136688</v>
      </c>
      <c r="P55" s="98">
        <f>(P53-O53)/O53</f>
        <v>-0.21468926553672321</v>
      </c>
      <c r="Q55" s="83"/>
    </row>
    <row r="56" spans="2:21">
      <c r="B56" s="95" t="s">
        <v>83</v>
      </c>
      <c r="C56" s="96">
        <f>C29 + C32</f>
        <v>161.80000000000001</v>
      </c>
      <c r="D56" s="96">
        <f>D29 + D32</f>
        <v>169.60000000000002</v>
      </c>
      <c r="E56" s="96">
        <f>E29 + E32</f>
        <v>56.6</v>
      </c>
      <c r="F56" s="96">
        <v>35.9</v>
      </c>
      <c r="G56" s="96">
        <v>37</v>
      </c>
      <c r="H56" s="96">
        <f>40</f>
        <v>40</v>
      </c>
      <c r="I56" s="96">
        <f>I29 + I32</f>
        <v>213</v>
      </c>
      <c r="J56" s="96">
        <v>67.099999999999994</v>
      </c>
      <c r="K56" s="96">
        <v>51.5</v>
      </c>
      <c r="L56" s="96">
        <v>46.2</v>
      </c>
      <c r="M56" s="96">
        <v>48.2</v>
      </c>
      <c r="N56" s="96">
        <v>124.4</v>
      </c>
      <c r="O56" s="96">
        <v>69.7</v>
      </c>
      <c r="P56" s="96">
        <v>54.7</v>
      </c>
      <c r="Q56" s="83">
        <f>1.06*I56</f>
        <v>225.78</v>
      </c>
      <c r="R56">
        <f>1.01*Q56</f>
        <v>228.0378</v>
      </c>
      <c r="S56">
        <f>1.03*R56</f>
        <v>234.87893400000002</v>
      </c>
      <c r="T56">
        <f>1.06*S56</f>
        <v>248.97167004000002</v>
      </c>
      <c r="U56">
        <f>1.09*T56</f>
        <v>271.37912034360005</v>
      </c>
    </row>
    <row r="57" spans="2:21">
      <c r="B57" s="95" t="s">
        <v>17</v>
      </c>
      <c r="C57" s="83"/>
      <c r="D57" s="90">
        <f xml:space="preserve"> (D56 - C56)/C56</f>
        <v>4.8207663782447535E-2</v>
      </c>
      <c r="E57" s="98">
        <v>0.08</v>
      </c>
      <c r="F57" s="98">
        <v>-0.01</v>
      </c>
      <c r="G57" s="98">
        <v>0.1</v>
      </c>
      <c r="H57" s="98">
        <v>0.01</v>
      </c>
      <c r="I57" s="90">
        <f xml:space="preserve"> (I56 - D56)/D56</f>
        <v>0.25589622641509419</v>
      </c>
      <c r="J57" s="90">
        <f xml:space="preserve"> (J56 - E56)/E56</f>
        <v>0.18551236749116595</v>
      </c>
      <c r="K57" s="90">
        <f xml:space="preserve"> (K56 - F56)/F56</f>
        <v>0.43454038997214489</v>
      </c>
      <c r="L57" s="90">
        <f xml:space="preserve"> (L56 - G56)/G56</f>
        <v>0.24864864864864872</v>
      </c>
      <c r="M57" s="90">
        <f>(M56-H56)/H56</f>
        <v>0.20500000000000007</v>
      </c>
      <c r="N57" s="98">
        <f>(N56-J56-K56)/(J56+K56)</f>
        <v>4.8903878583473961E-2</v>
      </c>
      <c r="O57" s="90">
        <f>(O56-J56)/J56</f>
        <v>3.8748137108792977E-2</v>
      </c>
      <c r="P57" s="90">
        <f>(P56-K56)/K56</f>
        <v>6.213592233009714E-2</v>
      </c>
      <c r="Q57" s="98">
        <f>(Q56-I56)/I56</f>
        <v>6.0000000000000005E-2</v>
      </c>
      <c r="R57" s="108">
        <f>(R56-Q56)/Q56</f>
        <v>1.0000000000000014E-2</v>
      </c>
      <c r="S57" s="108">
        <f t="shared" ref="S57:U57" si="1">(S56-R56)/R56</f>
        <v>3.0000000000000047E-2</v>
      </c>
      <c r="T57" s="108">
        <f t="shared" si="1"/>
        <v>6.0000000000000019E-2</v>
      </c>
      <c r="U57" s="108">
        <f t="shared" si="1"/>
        <v>9.0000000000000108E-2</v>
      </c>
    </row>
    <row r="58" spans="2:21">
      <c r="B58" s="89" t="s">
        <v>71</v>
      </c>
      <c r="C58" s="83"/>
      <c r="D58" s="83"/>
      <c r="E58" s="83"/>
      <c r="F58" s="83"/>
      <c r="G58" s="83"/>
      <c r="H58" s="83"/>
      <c r="I58" s="83"/>
      <c r="J58" s="90">
        <f>(J56-H56)/H56</f>
        <v>0.67749999999999988</v>
      </c>
      <c r="K58" s="98">
        <f>(K56-J56)/J56</f>
        <v>-0.23248882265275703</v>
      </c>
      <c r="L58" s="98">
        <f>(L56-K56)/K56</f>
        <v>-0.10291262135922324</v>
      </c>
      <c r="M58" s="98">
        <f>(M56-L56)/L56</f>
        <v>4.3290043290043288E-2</v>
      </c>
      <c r="N58" s="83"/>
      <c r="O58" s="90">
        <f>(O56-M56)/M56</f>
        <v>0.44605809128630702</v>
      </c>
      <c r="P58" s="98">
        <f>(P56-O56)/O56</f>
        <v>-0.21520803443328551</v>
      </c>
      <c r="Q58" s="83"/>
    </row>
    <row r="59" spans="2:21">
      <c r="B59" s="95" t="s">
        <v>37</v>
      </c>
      <c r="C59" s="96">
        <f>C53-C56</f>
        <v>98.399999999999977</v>
      </c>
      <c r="D59" s="96">
        <f>D53-D56</f>
        <v>104.89999999999998</v>
      </c>
      <c r="E59" s="96">
        <f>E53-E56</f>
        <v>35.199999999999996</v>
      </c>
      <c r="F59" s="96">
        <f>F53-F56</f>
        <v>22.4</v>
      </c>
      <c r="G59" s="96">
        <f>G53-G56</f>
        <v>22.700000000000003</v>
      </c>
      <c r="H59" s="96">
        <f>H53-H56</f>
        <v>24.699999999999989</v>
      </c>
      <c r="I59" s="96">
        <f>I53-I56</f>
        <v>152.80000000000001</v>
      </c>
      <c r="J59" s="96">
        <f>J53-J56</f>
        <v>44.300000000000011</v>
      </c>
      <c r="K59" s="96">
        <f>K53-K56</f>
        <v>38.099999999999994</v>
      </c>
      <c r="L59" s="96">
        <f>L53-L56</f>
        <v>35.200000000000003</v>
      </c>
      <c r="M59" s="96">
        <f>M53-M56</f>
        <v>35.200000000000003</v>
      </c>
      <c r="N59" s="96">
        <f>N53-N56</f>
        <v>96.799999999999983</v>
      </c>
      <c r="O59" s="96">
        <f>O53-O56</f>
        <v>54.2</v>
      </c>
      <c r="P59" s="96">
        <f>P53-P56</f>
        <v>42.599999999999994</v>
      </c>
      <c r="Q59" s="83">
        <f>1.07*I59</f>
        <v>163.49600000000001</v>
      </c>
      <c r="R59" s="96">
        <f>0.93*Q59</f>
        <v>152.05128000000002</v>
      </c>
      <c r="S59">
        <f>1.04*R59</f>
        <v>158.13333120000001</v>
      </c>
      <c r="T59">
        <f>1.06*S59</f>
        <v>167.62133107200003</v>
      </c>
      <c r="U59">
        <f>1.08*T59</f>
        <v>181.03103755776004</v>
      </c>
    </row>
    <row r="60" spans="2:21">
      <c r="B60" s="95" t="s">
        <v>17</v>
      </c>
      <c r="C60" s="96"/>
      <c r="D60" s="90">
        <f xml:space="preserve"> (D59 - C59)/C59</f>
        <v>6.6056910569105703E-2</v>
      </c>
      <c r="E60" s="98">
        <v>0.1</v>
      </c>
      <c r="F60" s="98">
        <v>0.02</v>
      </c>
      <c r="G60" s="98">
        <v>0.12</v>
      </c>
      <c r="H60" s="98">
        <v>1.54E-2</v>
      </c>
      <c r="I60" s="90">
        <f xml:space="preserve"> (I59 - D59)/D59</f>
        <v>0.4566253574833179</v>
      </c>
      <c r="J60" s="90">
        <f xml:space="preserve"> (J59 - E59)/E59</f>
        <v>0.25852272727272774</v>
      </c>
      <c r="K60" s="90">
        <f xml:space="preserve"> (K59 - F59)/F59</f>
        <v>0.70089285714285698</v>
      </c>
      <c r="L60" s="90">
        <f xml:space="preserve"> (L59 - G59)/G59</f>
        <v>0.5506607929515418</v>
      </c>
      <c r="M60" s="90">
        <f xml:space="preserve"> (M59 - H59)/H59</f>
        <v>0.42510121457489958</v>
      </c>
      <c r="N60" s="98">
        <f>(N59-J59-K59)/(J59+K59)</f>
        <v>0.17475728155339776</v>
      </c>
      <c r="O60" s="90">
        <f>(O59-J59)/J59</f>
        <v>0.22347629796839705</v>
      </c>
      <c r="P60" s="90">
        <f>(P59-K59)/K59</f>
        <v>0.11811023622047245</v>
      </c>
      <c r="Q60" s="98">
        <f>(Q59-I59)/I59</f>
        <v>6.9999999999999979E-2</v>
      </c>
      <c r="R60" s="109">
        <f>(R59-Q59)/Q59</f>
        <v>-6.9999999999999937E-2</v>
      </c>
      <c r="S60" s="108">
        <f t="shared" ref="S60" si="2">(S59-R59)/R59</f>
        <v>3.9999999999999959E-2</v>
      </c>
      <c r="T60" s="108">
        <f t="shared" ref="T60" si="3">(T59-S59)/S59</f>
        <v>6.0000000000000102E-2</v>
      </c>
      <c r="U60" s="108">
        <f t="shared" ref="U60" si="4">(U59-T59)/T59</f>
        <v>8.0000000000000057E-2</v>
      </c>
    </row>
    <row r="61" spans="2:21">
      <c r="B61" s="89" t="s">
        <v>71</v>
      </c>
      <c r="C61" s="96"/>
      <c r="D61" s="96"/>
      <c r="E61" s="83"/>
      <c r="F61" s="83"/>
      <c r="G61" s="83"/>
      <c r="H61" s="83"/>
      <c r="I61" s="96"/>
      <c r="J61" s="90">
        <f>(J59-H59)/H59</f>
        <v>0.793522267206479</v>
      </c>
      <c r="K61" s="98">
        <f>(K59-J59)/J59</f>
        <v>-0.13995485327313806</v>
      </c>
      <c r="L61" s="98">
        <f>(L59-K59)/K59</f>
        <v>-7.6115485564304253E-2</v>
      </c>
      <c r="M61" s="98">
        <f>(M59-L59)/L59</f>
        <v>0</v>
      </c>
      <c r="N61" s="83"/>
      <c r="O61" s="90">
        <f>(O59-M59)/M59</f>
        <v>0.53977272727272718</v>
      </c>
      <c r="P61" s="98">
        <f>(P59-O59)/O59</f>
        <v>-0.21402214022140237</v>
      </c>
      <c r="Q61" s="83"/>
    </row>
    <row r="62" spans="2:21">
      <c r="B62" s="95" t="s">
        <v>87</v>
      </c>
      <c r="C62" s="98">
        <f>C59/C53</f>
        <v>0.37817063797079165</v>
      </c>
      <c r="D62" s="98">
        <f>D59/D53</f>
        <v>0.38214936247723125</v>
      </c>
      <c r="E62" s="98">
        <f>E59/E53</f>
        <v>0.38344226579520696</v>
      </c>
      <c r="F62" s="98">
        <f>F59/F53</f>
        <v>0.38421955403087477</v>
      </c>
      <c r="G62" s="98">
        <f>G59/G53</f>
        <v>0.38023450586264662</v>
      </c>
      <c r="H62" s="98">
        <f>H59/H53</f>
        <v>0.38176197836166914</v>
      </c>
      <c r="I62" s="98">
        <f>I59/I53</f>
        <v>0.41771459814106071</v>
      </c>
      <c r="J62" s="98">
        <f>J59/J53</f>
        <v>0.39766606822262129</v>
      </c>
      <c r="K62" s="98">
        <f>K59/K53</f>
        <v>0.42522321428571425</v>
      </c>
      <c r="L62" s="98">
        <f>L59/L53</f>
        <v>0.43243243243243246</v>
      </c>
      <c r="M62" s="98">
        <f>M59/M53</f>
        <v>0.42206235011990406</v>
      </c>
      <c r="N62" s="98">
        <f>N59/N53</f>
        <v>0.43761301989150087</v>
      </c>
      <c r="O62" s="98">
        <f>O59/O53</f>
        <v>0.4374495560936239</v>
      </c>
      <c r="P62" s="98">
        <f>P59/P53</f>
        <v>0.43782117163412121</v>
      </c>
      <c r="Q62" s="98">
        <f>Q59/Q53</f>
        <v>0.42165530189710843</v>
      </c>
      <c r="R62" s="98">
        <f>R59/R53</f>
        <v>0.38825686214288202</v>
      </c>
      <c r="S62" s="98">
        <f>S59/S53</f>
        <v>0.39202634624135657</v>
      </c>
      <c r="T62" s="98">
        <f>T59/T53</f>
        <v>0.39202634624135663</v>
      </c>
      <c r="U62" s="98">
        <f>U59/U53</f>
        <v>0.38842977425749092</v>
      </c>
    </row>
    <row r="63" spans="2:21">
      <c r="B63" s="95" t="s">
        <v>17</v>
      </c>
      <c r="C63" s="83"/>
      <c r="D63" s="90">
        <f xml:space="preserve"> (D62 - C62)/C62</f>
        <v>1.0520976794467321E-2</v>
      </c>
      <c r="E63" s="90">
        <v>0</v>
      </c>
      <c r="F63" s="98">
        <v>0.02</v>
      </c>
      <c r="G63" s="98">
        <v>0.01</v>
      </c>
      <c r="H63" s="98">
        <v>0.01</v>
      </c>
      <c r="I63" s="90">
        <f xml:space="preserve"> (I62 - D62)/D62</f>
        <v>9.3066322113643379E-2</v>
      </c>
      <c r="J63" s="90">
        <f xml:space="preserve"> (J62 - E62)/E62</f>
        <v>3.7095030194222611E-2</v>
      </c>
      <c r="K63" s="90">
        <f xml:space="preserve"> (K62 - F62)/F62</f>
        <v>0.10671934789540811</v>
      </c>
      <c r="L63" s="90">
        <f xml:space="preserve"> (L62 - G62)/G62</f>
        <v>0.1372782474104059</v>
      </c>
      <c r="M63" s="90">
        <f xml:space="preserve"> (M62 - H62)/H62</f>
        <v>0.10556413169059919</v>
      </c>
      <c r="N63" s="98">
        <v>6.7400000000000002E-2</v>
      </c>
      <c r="O63" s="90">
        <f>(O62-J62)/J62</f>
        <v>0.1000424503121826</v>
      </c>
      <c r="P63" s="90">
        <f>(P62-K62)/K62</f>
        <v>2.9626692346909816E-2</v>
      </c>
      <c r="Q63" s="83"/>
    </row>
    <row r="64" spans="2:21">
      <c r="B64" s="89" t="s">
        <v>71</v>
      </c>
      <c r="C64" s="83"/>
      <c r="D64" s="83"/>
      <c r="E64" s="83"/>
      <c r="F64" s="83"/>
      <c r="G64" s="83"/>
      <c r="H64" s="83"/>
      <c r="I64" s="83"/>
      <c r="J64" s="90">
        <f>(J62-H62)/H62</f>
        <v>4.1659700971805852E-2</v>
      </c>
      <c r="K64" s="98">
        <f>(K62-J62)/J62</f>
        <v>6.9297202515317249E-2</v>
      </c>
      <c r="L64" s="98">
        <f>(L62-K62)/K62</f>
        <v>1.6953961835851752E-2</v>
      </c>
      <c r="M64" s="98">
        <f>(M62-L62)/L62</f>
        <v>-2.3980815347721913E-2</v>
      </c>
      <c r="N64" s="83"/>
      <c r="O64" s="90">
        <f>(O62-M62)/M62</f>
        <v>3.6457186880915766E-2</v>
      </c>
      <c r="P64" s="98">
        <f>(P62-O62)/O62</f>
        <v>8.4950489792649699E-4</v>
      </c>
      <c r="Q64" s="83"/>
    </row>
    <row r="65" spans="2:17">
      <c r="B65" s="95"/>
      <c r="C65" s="83"/>
      <c r="D65" s="83"/>
      <c r="E65" s="83"/>
      <c r="F65" s="83"/>
      <c r="G65" s="83"/>
      <c r="H65" s="83" t="s">
        <v>101</v>
      </c>
      <c r="I65" s="83"/>
      <c r="J65" s="83"/>
      <c r="K65" s="83"/>
      <c r="L65" s="83"/>
      <c r="M65" s="83"/>
      <c r="N65" s="83"/>
      <c r="O65" s="83"/>
      <c r="P65" s="83"/>
      <c r="Q65" s="83"/>
    </row>
    <row r="66" spans="2:17">
      <c r="B66" s="95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2:17">
      <c r="B67" s="95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2:17">
      <c r="B68" s="95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2:17">
      <c r="B69" s="95" t="s">
        <v>103</v>
      </c>
      <c r="C69" s="96">
        <v>16.25</v>
      </c>
      <c r="D69" s="96">
        <v>18.7</v>
      </c>
      <c r="E69" s="96"/>
      <c r="F69" s="83"/>
      <c r="G69" s="83"/>
      <c r="H69" s="83"/>
      <c r="I69" s="96">
        <v>21.9</v>
      </c>
      <c r="J69" s="83"/>
      <c r="K69" s="83"/>
      <c r="L69" s="83"/>
      <c r="M69" s="83"/>
      <c r="N69" s="83"/>
      <c r="O69" s="83"/>
      <c r="P69" s="83"/>
      <c r="Q69" s="83"/>
    </row>
    <row r="70" spans="2:17">
      <c r="B70" s="95" t="s">
        <v>17</v>
      </c>
      <c r="C70" s="96"/>
      <c r="D70" s="90">
        <f xml:space="preserve"> (D69 - C69)/C69</f>
        <v>0.15076923076923074</v>
      </c>
      <c r="E70" s="96"/>
      <c r="F70" s="83"/>
      <c r="G70" s="83"/>
      <c r="H70" s="83"/>
      <c r="I70" s="90">
        <f xml:space="preserve"> (I69 - D69)/D69</f>
        <v>0.17112299465240638</v>
      </c>
      <c r="J70" s="83"/>
      <c r="K70" s="83"/>
      <c r="L70" s="83"/>
      <c r="M70" s="83"/>
      <c r="N70" s="83"/>
      <c r="O70" s="83"/>
      <c r="P70" s="83"/>
      <c r="Q70" s="83"/>
    </row>
    <row r="71" spans="2:17">
      <c r="B71" s="89" t="s">
        <v>71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2:17">
      <c r="B72" s="95" t="s">
        <v>106</v>
      </c>
      <c r="C72" s="98">
        <f>C69/$C$53</f>
        <v>6.245196003074558E-2</v>
      </c>
      <c r="D72" s="98">
        <f>D69/$C$53</f>
        <v>7.1867794004611837E-2</v>
      </c>
      <c r="E72" s="83"/>
      <c r="F72" s="83"/>
      <c r="G72" s="83"/>
      <c r="H72" s="83"/>
      <c r="I72" s="98">
        <f>I69/$I$53</f>
        <v>5.9868780754510659E-2</v>
      </c>
      <c r="J72" s="83"/>
      <c r="K72" s="83"/>
      <c r="L72" s="83"/>
      <c r="M72" s="83"/>
      <c r="N72" s="83"/>
      <c r="O72" s="83"/>
      <c r="P72" s="83"/>
      <c r="Q72" s="83"/>
    </row>
    <row r="73" spans="2:17">
      <c r="B73" s="95" t="s">
        <v>17</v>
      </c>
      <c r="C73" s="83"/>
      <c r="D73" s="90">
        <f xml:space="preserve"> (D72 - C72)/C72</f>
        <v>0.15076923076923077</v>
      </c>
      <c r="E73" s="83"/>
      <c r="F73" s="83"/>
      <c r="G73" s="83"/>
      <c r="H73" s="83"/>
      <c r="I73" s="90">
        <f xml:space="preserve"> (I72 - D72)/D72</f>
        <v>-0.16695953196130089</v>
      </c>
      <c r="J73" s="83"/>
      <c r="K73" s="83"/>
      <c r="L73" s="83"/>
      <c r="M73" s="83"/>
      <c r="N73" s="83"/>
      <c r="O73" s="83"/>
      <c r="P73" s="83"/>
      <c r="Q73" s="83"/>
    </row>
    <row r="74" spans="2:17">
      <c r="B74" s="89" t="s">
        <v>71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2:17">
      <c r="B75" s="95" t="s">
        <v>104</v>
      </c>
      <c r="C75" s="104">
        <v>18.25</v>
      </c>
      <c r="D75" s="83">
        <v>19.899999999999999</v>
      </c>
      <c r="E75" s="83"/>
      <c r="F75" s="83"/>
      <c r="G75" s="83"/>
      <c r="H75" s="83"/>
      <c r="I75" s="96">
        <v>22</v>
      </c>
      <c r="J75" s="83"/>
      <c r="K75" s="83"/>
      <c r="L75" s="83"/>
      <c r="M75" s="83"/>
      <c r="N75" s="83"/>
      <c r="O75" s="83"/>
      <c r="P75" s="83"/>
      <c r="Q75" s="83"/>
    </row>
    <row r="76" spans="2:17">
      <c r="B76" s="95" t="s">
        <v>17</v>
      </c>
      <c r="C76" s="98"/>
      <c r="D76" s="90">
        <f xml:space="preserve"> (D75 - C75)/C75</f>
        <v>9.0410958904109509E-2</v>
      </c>
      <c r="E76" s="83"/>
      <c r="F76" s="83"/>
      <c r="G76" s="83"/>
      <c r="H76" s="83"/>
      <c r="I76" s="90">
        <f xml:space="preserve"> (I75 - D75)/D75</f>
        <v>0.10552763819095486</v>
      </c>
      <c r="J76" s="83"/>
      <c r="K76" s="83"/>
      <c r="L76" s="83"/>
      <c r="M76" s="83"/>
      <c r="N76" s="83"/>
      <c r="O76" s="83"/>
      <c r="P76" s="83"/>
      <c r="Q76" s="83"/>
    </row>
    <row r="77" spans="2:17">
      <c r="B77" s="89" t="s">
        <v>71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spans="2:17">
      <c r="B78" s="95" t="s">
        <v>41</v>
      </c>
      <c r="C78" s="98">
        <f>C75/$C$53</f>
        <v>7.0138355111452735E-2</v>
      </c>
      <c r="D78" s="98">
        <f>D75/$C$53</f>
        <v>7.6479631053036123E-2</v>
      </c>
      <c r="E78" s="83"/>
      <c r="F78" s="83"/>
      <c r="G78" s="83"/>
      <c r="H78" s="83"/>
      <c r="I78" s="98">
        <f>I75/$I$53</f>
        <v>6.0142154182613448E-2</v>
      </c>
      <c r="J78" s="83"/>
      <c r="K78" s="83"/>
      <c r="L78" s="83"/>
      <c r="M78" s="83"/>
      <c r="N78" s="83"/>
      <c r="O78" s="83"/>
      <c r="P78" s="83"/>
      <c r="Q78" s="83"/>
    </row>
    <row r="79" spans="2:17">
      <c r="B79" s="95" t="s">
        <v>17</v>
      </c>
      <c r="C79" s="83"/>
      <c r="D79" s="90">
        <f xml:space="preserve"> (D78 - C78)/C78</f>
        <v>9.0410958904109454E-2</v>
      </c>
      <c r="E79" s="83"/>
      <c r="F79" s="83"/>
      <c r="G79" s="83"/>
      <c r="H79" s="83"/>
      <c r="I79" s="90">
        <f xml:space="preserve"> (I78 - D78)/D78</f>
        <v>-0.21361866742130553</v>
      </c>
      <c r="J79" s="83"/>
      <c r="K79" s="83"/>
      <c r="L79" s="83"/>
      <c r="M79" s="83"/>
      <c r="N79" s="83"/>
      <c r="O79" s="83"/>
      <c r="P79" s="83"/>
      <c r="Q79" s="83"/>
    </row>
    <row r="80" spans="2:17">
      <c r="B80" s="89" t="s">
        <v>71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 spans="2:21">
      <c r="B81" s="95" t="s">
        <v>105</v>
      </c>
      <c r="C81" s="83">
        <f>C75+C69</f>
        <v>34.5</v>
      </c>
      <c r="D81" s="83">
        <f>D75+D69</f>
        <v>38.599999999999994</v>
      </c>
      <c r="E81" s="83"/>
      <c r="F81" s="83"/>
      <c r="G81" s="83"/>
      <c r="H81" s="83"/>
      <c r="I81" s="96">
        <f>I75+I69</f>
        <v>43.9</v>
      </c>
      <c r="J81" s="83"/>
      <c r="K81" s="83"/>
      <c r="L81" s="83"/>
      <c r="M81" s="83"/>
      <c r="N81" s="83"/>
      <c r="O81" s="83"/>
      <c r="P81" s="83"/>
      <c r="Q81" s="83">
        <f>1.1*I81</f>
        <v>48.29</v>
      </c>
      <c r="R81">
        <f>0.91*Q81</f>
        <v>43.943899999999999</v>
      </c>
      <c r="S81">
        <f>1.05*R81</f>
        <v>46.141095</v>
      </c>
      <c r="T81">
        <f>1.1*S81</f>
        <v>50.755204500000005</v>
      </c>
      <c r="U81">
        <f>1.14*T81</f>
        <v>57.860933129999999</v>
      </c>
    </row>
    <row r="82" spans="2:21">
      <c r="B82" s="102" t="s">
        <v>17</v>
      </c>
      <c r="C82" s="83"/>
      <c r="D82" s="90">
        <f xml:space="preserve"> (D81 - C81)/C81</f>
        <v>0.11884057971014476</v>
      </c>
      <c r="E82" s="83"/>
      <c r="F82" s="83"/>
      <c r="G82" s="83"/>
      <c r="H82" s="83"/>
      <c r="I82" s="90">
        <f xml:space="preserve"> (I81 - D81)/D81</f>
        <v>0.13730569948186541</v>
      </c>
      <c r="J82" s="83"/>
      <c r="K82" s="83"/>
      <c r="L82" s="83"/>
      <c r="M82" s="83"/>
      <c r="N82" s="83"/>
      <c r="O82" s="83"/>
      <c r="P82" s="83"/>
      <c r="Q82" s="98">
        <f>(Q81-I81)/I81</f>
        <v>0.10000000000000002</v>
      </c>
      <c r="R82" s="109">
        <f>(R81-Q81)/Q81</f>
        <v>-0.09</v>
      </c>
      <c r="S82" s="109">
        <f t="shared" ref="S82:U82" si="5">(S81-R81)/R81</f>
        <v>5.0000000000000017E-2</v>
      </c>
      <c r="T82" s="109">
        <f t="shared" si="5"/>
        <v>0.1000000000000001</v>
      </c>
      <c r="U82" s="109">
        <f t="shared" si="5"/>
        <v>0.13999999999999987</v>
      </c>
    </row>
    <row r="83" spans="2:21">
      <c r="B83" s="103" t="s">
        <v>71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spans="2:21">
      <c r="B84" s="95" t="s">
        <v>107</v>
      </c>
      <c r="C84" s="98">
        <f>C81/C$53</f>
        <v>0.13259031514219832</v>
      </c>
      <c r="D84" s="98">
        <f>D81/D$53</f>
        <v>0.14061930783242257</v>
      </c>
      <c r="E84" s="83"/>
      <c r="F84" s="83"/>
      <c r="G84" s="83"/>
      <c r="H84" s="83"/>
      <c r="I84" s="98">
        <f>I81/I$53</f>
        <v>0.1200109349371241</v>
      </c>
      <c r="J84" s="83"/>
      <c r="K84" s="83"/>
      <c r="L84" s="83"/>
      <c r="M84" s="83"/>
      <c r="N84" s="83"/>
      <c r="O84" s="83"/>
      <c r="P84" s="83"/>
      <c r="Q84" s="98">
        <f>Q81/Q$53</f>
        <v>0.12453964946305331</v>
      </c>
      <c r="R84" s="98">
        <f>R81/R$53</f>
        <v>0.11220899110037476</v>
      </c>
      <c r="S84" s="98">
        <f>S81/S$53</f>
        <v>0.11438780646154709</v>
      </c>
      <c r="T84" s="98">
        <f>T81/T$53</f>
        <v>0.11870432746009604</v>
      </c>
      <c r="U84" s="98">
        <f>U81/U$53</f>
        <v>0.12414948009588024</v>
      </c>
    </row>
    <row r="85" spans="2:21">
      <c r="B85" s="102" t="s">
        <v>17</v>
      </c>
      <c r="C85" s="83"/>
      <c r="D85" s="90">
        <f xml:space="preserve"> (D84 - C84)/C84</f>
        <v>6.0554895594097102E-2</v>
      </c>
      <c r="E85" s="83"/>
      <c r="F85" s="83"/>
      <c r="G85" s="83"/>
      <c r="H85" s="83"/>
      <c r="I85" s="90">
        <f xml:space="preserve"> (I84 - D84)/D84</f>
        <v>-0.14655436165179875</v>
      </c>
      <c r="J85" s="83"/>
      <c r="K85" s="83"/>
      <c r="L85" s="83"/>
      <c r="M85" s="83"/>
      <c r="N85" s="83"/>
      <c r="O85" s="83"/>
      <c r="P85" s="83"/>
      <c r="Q85" s="83"/>
    </row>
    <row r="86" spans="2:21">
      <c r="B86" s="103" t="s">
        <v>71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spans="2:21">
      <c r="B87" s="10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spans="2:21">
      <c r="B88" s="95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 spans="2:21">
      <c r="B89" s="95"/>
      <c r="C89" s="83"/>
      <c r="D89" s="83"/>
      <c r="E89" s="83"/>
      <c r="F89" s="83"/>
      <c r="G89" s="83"/>
      <c r="H89" s="83"/>
      <c r="I89" s="83" t="s">
        <v>115</v>
      </c>
      <c r="J89" s="83"/>
      <c r="K89" s="83"/>
      <c r="L89" s="83"/>
      <c r="M89" s="83"/>
      <c r="N89" s="83"/>
      <c r="O89" s="83"/>
      <c r="P89" s="83"/>
      <c r="Q89" s="83"/>
    </row>
    <row r="90" spans="2:21">
      <c r="B90" s="95" t="s">
        <v>47</v>
      </c>
      <c r="C90" s="97">
        <f>C59-C81</f>
        <v>63.899999999999977</v>
      </c>
      <c r="D90" s="97">
        <f>D59-D81</f>
        <v>66.299999999999983</v>
      </c>
      <c r="E90" s="83"/>
      <c r="F90" s="83"/>
      <c r="G90" s="83"/>
      <c r="H90" s="83"/>
      <c r="I90" s="97">
        <f>I59-I81</f>
        <v>108.9</v>
      </c>
      <c r="J90" s="83"/>
      <c r="K90" s="83"/>
      <c r="L90" s="83"/>
      <c r="M90" s="83"/>
      <c r="N90" s="83"/>
      <c r="O90" s="83"/>
      <c r="P90" s="83"/>
      <c r="Q90" s="97">
        <f>Q59-Q81</f>
        <v>115.20600000000002</v>
      </c>
      <c r="R90" s="97">
        <f>R59-R81</f>
        <v>108.10738000000002</v>
      </c>
      <c r="S90" s="97">
        <f>S59-S81</f>
        <v>111.99223620000001</v>
      </c>
      <c r="T90" s="97">
        <f>T59-T81</f>
        <v>116.86612657200003</v>
      </c>
      <c r="U90" s="97">
        <f>U59-U81</f>
        <v>123.17010442776004</v>
      </c>
    </row>
    <row r="91" spans="2:21">
      <c r="B91" s="102" t="s">
        <v>17</v>
      </c>
      <c r="C91" s="83"/>
      <c r="D91" s="90">
        <f xml:space="preserve"> (D90 - C90)/C90</f>
        <v>3.7558685446009495E-2</v>
      </c>
      <c r="E91" s="83"/>
      <c r="F91" s="83"/>
      <c r="G91" s="83"/>
      <c r="H91" s="83"/>
      <c r="I91" s="107">
        <f xml:space="preserve"> (I90 - D90)/D90</f>
        <v>0.6425339366515842</v>
      </c>
      <c r="J91" s="83"/>
      <c r="K91" s="83"/>
      <c r="L91" s="83"/>
      <c r="M91" s="83"/>
      <c r="N91" s="83"/>
      <c r="O91" s="83"/>
      <c r="P91" s="83"/>
      <c r="Q91" s="98">
        <f>(Q90-I90)/I90</f>
        <v>5.7906336088154375E-2</v>
      </c>
      <c r="R91" s="109">
        <f>(R90-Q90)/Q90</f>
        <v>-6.1616756071732337E-2</v>
      </c>
      <c r="S91" s="109">
        <f>(S90-R90)/R90</f>
        <v>3.5935161873315094E-2</v>
      </c>
      <c r="T91" s="109">
        <f>(T90-S90)/S90</f>
        <v>4.3519895105014604E-2</v>
      </c>
      <c r="U91" s="109">
        <f>(U90-T90)/T90</f>
        <v>5.3941873840374042E-2</v>
      </c>
    </row>
    <row r="92" spans="2:21">
      <c r="B92" s="103" t="s">
        <v>71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 spans="2:21">
      <c r="B93" s="95" t="s">
        <v>108</v>
      </c>
      <c r="C93" s="106">
        <f>C90/$C$53</f>
        <v>0.24558032282859332</v>
      </c>
      <c r="D93" s="106">
        <f>D90/$D$53</f>
        <v>0.24153005464480867</v>
      </c>
      <c r="E93" s="83"/>
      <c r="F93" s="83"/>
      <c r="G93" s="83"/>
      <c r="H93" s="83"/>
      <c r="I93" s="98">
        <f>I90/I$53</f>
        <v>0.2977036632039366</v>
      </c>
      <c r="J93" s="83"/>
      <c r="K93" s="83"/>
      <c r="L93" s="83"/>
      <c r="M93" s="83"/>
      <c r="N93" s="83"/>
      <c r="O93" s="83"/>
      <c r="P93" s="83"/>
      <c r="Q93" s="105">
        <f>Q90/Q$53</f>
        <v>0.29711565243405513</v>
      </c>
      <c r="R93" s="106">
        <f>R90/R$53</f>
        <v>0.27604787104250728</v>
      </c>
      <c r="S93" s="98">
        <f>S90/S$53</f>
        <v>0.27763853977980946</v>
      </c>
      <c r="T93" s="98">
        <f>T90/T$53</f>
        <v>0.27332201878126056</v>
      </c>
      <c r="U93" s="98">
        <f>U90/U$53</f>
        <v>0.2642802941616107</v>
      </c>
    </row>
    <row r="94" spans="2:21">
      <c r="B94" s="102" t="s">
        <v>17</v>
      </c>
      <c r="C94" s="83"/>
      <c r="D94" s="90">
        <f xml:space="preserve"> (D93 - C93)/C93</f>
        <v>-1.6492641336788204E-2</v>
      </c>
      <c r="E94" s="83"/>
      <c r="F94" s="83"/>
      <c r="G94" s="83"/>
      <c r="H94" s="83"/>
      <c r="I94" s="107">
        <f xml:space="preserve"> (I93 - D93)/D93</f>
        <v>0.23257399018824465</v>
      </c>
      <c r="J94" s="83"/>
      <c r="K94" s="83"/>
      <c r="L94" s="83"/>
      <c r="M94" s="83"/>
      <c r="N94" s="83"/>
      <c r="O94" s="83"/>
      <c r="P94" s="83"/>
      <c r="Q94" s="83"/>
    </row>
    <row r="95" spans="2:21">
      <c r="B95" s="103" t="s">
        <v>71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2:21">
      <c r="B96" s="95" t="s">
        <v>114</v>
      </c>
      <c r="C96" s="83">
        <v>1.8</v>
      </c>
      <c r="D96" s="83">
        <v>0.8</v>
      </c>
      <c r="E96" s="83"/>
      <c r="F96" s="83"/>
      <c r="G96" s="83"/>
      <c r="H96" s="83"/>
      <c r="I96" s="104">
        <v>0.26</v>
      </c>
      <c r="J96" s="83"/>
      <c r="K96" s="83"/>
      <c r="L96" s="83"/>
      <c r="M96" s="83"/>
      <c r="N96" s="83"/>
      <c r="O96" s="83"/>
      <c r="P96" s="83"/>
      <c r="Q96" s="83"/>
    </row>
    <row r="97" spans="2:21">
      <c r="B97" s="95" t="s">
        <v>111</v>
      </c>
      <c r="C97" s="97">
        <f>C96+C90</f>
        <v>65.699999999999974</v>
      </c>
      <c r="D97" s="97">
        <f>D96+D90</f>
        <v>67.09999999999998</v>
      </c>
      <c r="E97" s="83"/>
      <c r="F97" s="83"/>
      <c r="G97" s="83"/>
      <c r="H97" s="83"/>
      <c r="I97" s="97">
        <f>I96+I90</f>
        <v>109.16000000000001</v>
      </c>
      <c r="J97" s="83"/>
      <c r="K97" s="83"/>
      <c r="L97" s="83"/>
      <c r="M97" s="83"/>
      <c r="N97" s="83"/>
      <c r="O97" s="83"/>
      <c r="P97" s="83"/>
      <c r="Q97" s="83">
        <f>(1+Q$91)*I97</f>
        <v>115.48105564738295</v>
      </c>
      <c r="R97" s="83">
        <f>(1+R$91)*Q97</f>
        <v>108.365487610652</v>
      </c>
      <c r="S97" s="83">
        <f>(1+S$91)*R97</f>
        <v>112.25961894942149</v>
      </c>
      <c r="T97" s="83">
        <f t="shared" ref="S97:U97" si="6">(1+T$91)*S97</f>
        <v>117.14514579062923</v>
      </c>
      <c r="U97" s="83">
        <f t="shared" si="6"/>
        <v>123.46417446587958</v>
      </c>
    </row>
    <row r="98" spans="2:21">
      <c r="B98" s="95" t="s">
        <v>109</v>
      </c>
      <c r="C98" s="83">
        <v>10.5</v>
      </c>
      <c r="D98" s="83">
        <v>9.6999999999999993</v>
      </c>
      <c r="E98" s="83"/>
      <c r="F98" s="83"/>
      <c r="G98" s="83"/>
      <c r="H98" s="83"/>
      <c r="I98" s="83">
        <v>14.5</v>
      </c>
      <c r="J98" s="83"/>
      <c r="K98" s="83"/>
      <c r="L98" s="83"/>
      <c r="M98" s="83"/>
      <c r="N98" s="83"/>
      <c r="O98" s="83"/>
      <c r="P98" s="83"/>
      <c r="Q98" s="83"/>
    </row>
    <row r="99" spans="2:21">
      <c r="B99" s="102" t="s">
        <v>17</v>
      </c>
      <c r="C99" s="83"/>
      <c r="D99" s="107">
        <f xml:space="preserve"> (D98 - C98)/C98</f>
        <v>-7.6190476190476253E-2</v>
      </c>
      <c r="E99" s="83"/>
      <c r="F99" s="83"/>
      <c r="G99" s="83"/>
      <c r="H99" s="83"/>
      <c r="I99" s="107">
        <f xml:space="preserve"> (I98 - D98)/D98</f>
        <v>0.4948453608247424</v>
      </c>
      <c r="J99" s="83"/>
      <c r="K99" s="83"/>
      <c r="L99" s="83"/>
      <c r="M99" s="83"/>
      <c r="N99" s="83"/>
      <c r="O99" s="83"/>
      <c r="P99" s="83"/>
      <c r="Q99" s="83"/>
    </row>
    <row r="100" spans="2:21">
      <c r="B100" s="103" t="s">
        <v>71</v>
      </c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2:21">
      <c r="B101" s="95" t="s">
        <v>110</v>
      </c>
      <c r="C101" s="106">
        <f>C98/$C$53</f>
        <v>4.0353574173712534E-2</v>
      </c>
      <c r="D101" s="106">
        <f>D98/$C$53</f>
        <v>3.7279016141429672E-2</v>
      </c>
      <c r="E101" s="83"/>
      <c r="F101" s="83"/>
      <c r="G101" s="83"/>
      <c r="H101" s="83"/>
      <c r="I101" s="106">
        <f>I98/$C$53</f>
        <v>5.572636433512683E-2</v>
      </c>
      <c r="J101" s="83"/>
      <c r="K101" s="83"/>
      <c r="L101" s="83"/>
      <c r="M101" s="83"/>
      <c r="N101" s="83"/>
      <c r="O101" s="83"/>
      <c r="P101" s="83"/>
      <c r="Q101" s="83"/>
    </row>
    <row r="102" spans="2:21">
      <c r="B102" s="102" t="s">
        <v>17</v>
      </c>
      <c r="C102" s="83"/>
      <c r="D102" s="90">
        <f xml:space="preserve"> (D101 - C101)/C101</f>
        <v>-7.6190476190476253E-2</v>
      </c>
      <c r="E102" s="83"/>
      <c r="F102" s="83"/>
      <c r="G102" s="83"/>
      <c r="H102" s="83"/>
      <c r="I102" s="107">
        <f xml:space="preserve"> (I101 - D101)/D101</f>
        <v>0.49484536082474229</v>
      </c>
      <c r="J102" s="83"/>
      <c r="K102" s="83"/>
      <c r="L102" s="83"/>
      <c r="M102" s="83"/>
      <c r="N102" s="83"/>
      <c r="O102" s="83"/>
      <c r="P102" s="83"/>
      <c r="Q102" s="83"/>
    </row>
    <row r="103" spans="2:21">
      <c r="B103" s="103" t="s">
        <v>71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2:21">
      <c r="B104" s="95" t="s">
        <v>113</v>
      </c>
      <c r="C104" s="97">
        <f>C97-C98</f>
        <v>55.199999999999974</v>
      </c>
      <c r="D104" s="97">
        <f>D97-D98</f>
        <v>57.399999999999977</v>
      </c>
      <c r="E104" s="83"/>
      <c r="F104" s="83"/>
      <c r="G104" s="83"/>
      <c r="H104" s="83"/>
      <c r="I104" s="97">
        <f>I97-I98</f>
        <v>94.660000000000011</v>
      </c>
      <c r="J104" s="83"/>
      <c r="K104" s="83"/>
      <c r="L104" s="83"/>
      <c r="M104" s="83"/>
      <c r="N104" s="83"/>
      <c r="O104" s="83"/>
      <c r="P104" s="83"/>
      <c r="Q104" s="83">
        <f>(1+Q$91)*I104</f>
        <v>100.14141377410471</v>
      </c>
      <c r="R104" s="83">
        <f>(1+R$91)*Q104</f>
        <v>93.971024708907279</v>
      </c>
      <c r="S104" s="83">
        <f t="shared" ref="S104:U104" si="7">(1+S$91)*R104</f>
        <v>97.347888693223155</v>
      </c>
      <c r="T104" s="83">
        <f t="shared" si="7"/>
        <v>101.58445859784686</v>
      </c>
      <c r="U104" s="83">
        <f t="shared" si="7"/>
        <v>107.06411464767461</v>
      </c>
    </row>
    <row r="105" spans="2:21">
      <c r="B105" s="102" t="s">
        <v>17</v>
      </c>
      <c r="C105" s="83"/>
      <c r="D105" s="107">
        <f xml:space="preserve"> (D104 - C104)/C104</f>
        <v>3.9855072463768189E-2</v>
      </c>
      <c r="E105" s="83"/>
      <c r="F105" s="83"/>
      <c r="G105" s="83"/>
      <c r="H105" s="83"/>
      <c r="I105" s="107">
        <f xml:space="preserve"> (I104 - D104)/D104</f>
        <v>0.64912891986062804</v>
      </c>
      <c r="J105" s="83"/>
      <c r="K105" s="83"/>
      <c r="L105" s="83"/>
      <c r="M105" s="83"/>
      <c r="N105" s="83"/>
      <c r="O105" s="83"/>
      <c r="P105" s="83"/>
      <c r="Q105" s="83"/>
    </row>
    <row r="106" spans="2:21">
      <c r="B106" s="103" t="s">
        <v>71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2:21">
      <c r="B107" s="95" t="s">
        <v>112</v>
      </c>
      <c r="C107" s="98">
        <f>C104/$C$53</f>
        <v>0.21214450422751721</v>
      </c>
      <c r="D107" s="98">
        <f>D104/$C$53</f>
        <v>0.22059953881629507</v>
      </c>
      <c r="E107" s="83"/>
      <c r="F107" s="83"/>
      <c r="G107" s="83"/>
      <c r="H107" s="83"/>
      <c r="I107" s="98">
        <f>I104/$C$53</f>
        <v>0.36379707916986936</v>
      </c>
      <c r="J107" s="83"/>
      <c r="K107" s="83"/>
      <c r="L107" s="83"/>
      <c r="M107" s="83"/>
      <c r="N107" s="83"/>
      <c r="O107" s="83"/>
      <c r="P107" s="83"/>
      <c r="Q107" s="105">
        <f>Q104/Q$53</f>
        <v>0.25826416583478107</v>
      </c>
      <c r="R107" s="105">
        <f>R104/R$53</f>
        <v>0.23995125319452471</v>
      </c>
      <c r="S107" s="105">
        <f>S104/S$53</f>
        <v>0.241333922640558</v>
      </c>
      <c r="T107" s="105">
        <f>T104/T$53</f>
        <v>0.23758183928222337</v>
      </c>
      <c r="U107" s="105">
        <f>U104/U$53</f>
        <v>0.22972243016839367</v>
      </c>
    </row>
    <row r="108" spans="2:21">
      <c r="B108" s="102" t="s">
        <v>17</v>
      </c>
      <c r="C108" s="83"/>
      <c r="D108" s="90">
        <f xml:space="preserve"> (D107 - C107)/C107</f>
        <v>3.9855072463768119E-2</v>
      </c>
      <c r="E108" s="83"/>
      <c r="F108" s="83"/>
      <c r="G108" s="83"/>
      <c r="H108" s="83"/>
      <c r="I108" s="107">
        <f xml:space="preserve"> (I107 - D107)/D107</f>
        <v>0.64912891986062793</v>
      </c>
      <c r="J108" s="83"/>
      <c r="K108" s="83"/>
      <c r="L108" s="83"/>
      <c r="M108" s="83"/>
      <c r="N108" s="83"/>
      <c r="O108" s="83"/>
      <c r="P108" s="83"/>
      <c r="Q108" s="83"/>
    </row>
    <row r="109" spans="2:21">
      <c r="B109" s="103" t="s">
        <v>71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 spans="2:21">
      <c r="B110" s="95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 spans="2:21">
      <c r="B111" s="95" t="s">
        <v>49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 spans="2:21">
      <c r="B112" s="102" t="s">
        <v>17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 spans="2:26">
      <c r="B113" s="103" t="s">
        <v>71</v>
      </c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 spans="2:26">
      <c r="B114" s="95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Y114" s="46" t="s">
        <v>69</v>
      </c>
      <c r="Z114" s="47" t="s">
        <v>32</v>
      </c>
    </row>
    <row r="115" spans="2:26">
      <c r="B115" s="95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Y115" s="46" t="s">
        <v>121</v>
      </c>
      <c r="Z115" s="47" t="s">
        <v>34</v>
      </c>
    </row>
    <row r="116" spans="2:26">
      <c r="B116" s="91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Y116" s="51">
        <f>AVERAGE(D54,Q54,R54,S54,T54,U54)</f>
        <v>5.0826287471176068E-2</v>
      </c>
      <c r="Z116" s="52" t="s">
        <v>36</v>
      </c>
    </row>
    <row r="117" spans="2:26">
      <c r="J117" s="83"/>
      <c r="K117" s="83"/>
      <c r="L117" s="83"/>
      <c r="M117" s="83"/>
      <c r="N117" s="83"/>
      <c r="O117" s="83"/>
      <c r="P117" s="83"/>
      <c r="Q117" s="83"/>
      <c r="Y117" s="53">
        <v>154.09</v>
      </c>
      <c r="Z117" s="52" t="s">
        <v>38</v>
      </c>
    </row>
    <row r="118" spans="2:26">
      <c r="J118" s="83"/>
      <c r="K118" s="83"/>
      <c r="L118" s="83"/>
      <c r="M118" s="83"/>
      <c r="N118" s="83"/>
      <c r="O118" s="83"/>
      <c r="P118" s="83"/>
      <c r="Q118" s="83"/>
      <c r="Y118" s="55">
        <v>16.350000000000001</v>
      </c>
      <c r="Z118" s="52" t="s">
        <v>123</v>
      </c>
    </row>
    <row r="119" spans="2:26">
      <c r="B119" s="29" t="s">
        <v>53</v>
      </c>
      <c r="C119">
        <f>C104*$Y$127</f>
        <v>1379.9999999999993</v>
      </c>
      <c r="D119">
        <f t="shared" ref="D119:U119" si="8">D104*$Y$127</f>
        <v>1434.9999999999995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2366.5000000000005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2503.5353443526178</v>
      </c>
      <c r="R119">
        <f t="shared" si="8"/>
        <v>2349.275617722682</v>
      </c>
      <c r="S119">
        <f t="shared" si="8"/>
        <v>2433.697217330579</v>
      </c>
      <c r="T119">
        <f t="shared" si="8"/>
        <v>2539.6114649461715</v>
      </c>
      <c r="U119">
        <f t="shared" si="8"/>
        <v>2676.6028661918654</v>
      </c>
      <c r="Y119" s="51">
        <v>0.01</v>
      </c>
      <c r="Z119" s="52" t="s">
        <v>40</v>
      </c>
    </row>
    <row r="120" spans="2:26">
      <c r="B120" s="29" t="s">
        <v>55</v>
      </c>
      <c r="C120">
        <v>48.8</v>
      </c>
      <c r="D120">
        <f>1.07*C120</f>
        <v>52.216000000000001</v>
      </c>
      <c r="E120">
        <f t="shared" ref="E120:U120" si="9">1.1*D120</f>
        <v>57.437600000000003</v>
      </c>
      <c r="F120">
        <f t="shared" si="9"/>
        <v>63.181360000000012</v>
      </c>
      <c r="G120">
        <f t="shared" si="9"/>
        <v>69.499496000000022</v>
      </c>
      <c r="H120">
        <f t="shared" si="9"/>
        <v>76.449445600000033</v>
      </c>
      <c r="I120">
        <f>1.07*D120</f>
        <v>55.871120000000005</v>
      </c>
      <c r="J120">
        <f t="shared" si="9"/>
        <v>61.45823200000001</v>
      </c>
      <c r="K120">
        <f t="shared" si="9"/>
        <v>67.604055200000019</v>
      </c>
      <c r="L120">
        <f t="shared" si="9"/>
        <v>74.364460720000025</v>
      </c>
      <c r="M120">
        <f t="shared" si="9"/>
        <v>81.800906792000035</v>
      </c>
      <c r="N120">
        <f t="shared" si="9"/>
        <v>89.980997471200041</v>
      </c>
      <c r="O120">
        <f t="shared" si="9"/>
        <v>98.979097218320049</v>
      </c>
      <c r="P120">
        <f t="shared" si="9"/>
        <v>108.87700694015206</v>
      </c>
      <c r="Q120">
        <f t="shared" ref="Q120:S120" si="10">1.07*I120</f>
        <v>59.78209840000001</v>
      </c>
      <c r="R120">
        <f>1.07*Q120</f>
        <v>63.966845288000016</v>
      </c>
      <c r="S120">
        <f t="shared" ref="S120:U120" si="11">1.07*R120</f>
        <v>68.444524458160018</v>
      </c>
      <c r="T120">
        <f t="shared" si="11"/>
        <v>73.235641170231219</v>
      </c>
      <c r="U120">
        <f t="shared" si="11"/>
        <v>78.362136052147406</v>
      </c>
      <c r="Y120" s="57">
        <f>Y118*Y117</f>
        <v>2519.3715000000002</v>
      </c>
      <c r="Z120" s="52" t="s">
        <v>122</v>
      </c>
    </row>
    <row r="121" spans="2:26">
      <c r="B121" s="29" t="s">
        <v>56</v>
      </c>
      <c r="J121" s="83"/>
      <c r="K121" s="83"/>
      <c r="L121" s="83"/>
      <c r="M121" s="83"/>
      <c r="N121" s="83"/>
      <c r="O121" s="83"/>
      <c r="P121" s="83"/>
      <c r="Q121" s="110">
        <f>Y118</f>
        <v>16.350000000000001</v>
      </c>
      <c r="R121">
        <f>Q121*(1+$Y$119)</f>
        <v>16.513500000000001</v>
      </c>
      <c r="S121">
        <f t="shared" ref="S121:U121" si="12">R121*(1+$Y$119)</f>
        <v>16.678635</v>
      </c>
      <c r="T121">
        <f t="shared" si="12"/>
        <v>16.845421349999999</v>
      </c>
      <c r="U121">
        <f t="shared" si="12"/>
        <v>17.013875563499997</v>
      </c>
      <c r="Y121" s="57">
        <v>45</v>
      </c>
      <c r="Z121" s="52" t="s">
        <v>124</v>
      </c>
    </row>
    <row r="122" spans="2:26">
      <c r="B122" s="29" t="s">
        <v>57</v>
      </c>
      <c r="J122" s="83"/>
      <c r="K122" s="83"/>
      <c r="L122" s="83"/>
      <c r="M122" s="83"/>
      <c r="N122" s="83"/>
      <c r="O122" s="83"/>
      <c r="P122" s="83"/>
      <c r="Q122" s="83">
        <f>Q119/Q121</f>
        <v>153.12142778915091</v>
      </c>
      <c r="R122" s="83">
        <f t="shared" ref="R122:U122" si="13">R119/R121</f>
        <v>142.26394269674398</v>
      </c>
      <c r="S122" s="83">
        <f t="shared" si="13"/>
        <v>145.91705000622528</v>
      </c>
      <c r="T122" s="83">
        <f t="shared" si="13"/>
        <v>150.75974724408849</v>
      </c>
      <c r="U122" s="83">
        <f t="shared" si="13"/>
        <v>157.31882228726315</v>
      </c>
      <c r="Y122" s="57"/>
      <c r="Z122" s="52"/>
    </row>
    <row r="123" spans="2:26">
      <c r="B123" s="29" t="s">
        <v>60</v>
      </c>
      <c r="J123" s="83"/>
      <c r="K123" s="83"/>
      <c r="L123" s="83"/>
      <c r="M123" s="83"/>
      <c r="N123" s="83"/>
      <c r="O123" s="83"/>
      <c r="P123" s="83"/>
      <c r="Q123" s="96">
        <f>(PV($Y$128,3,,T119)*-1)</f>
        <v>1669.8357622724893</v>
      </c>
      <c r="Y123" s="57"/>
      <c r="Z123" s="52"/>
    </row>
    <row r="124" spans="2:26">
      <c r="B124" s="29" t="s">
        <v>61</v>
      </c>
      <c r="J124" s="83"/>
      <c r="K124" s="83"/>
      <c r="L124" s="83"/>
      <c r="M124" s="83"/>
      <c r="N124" s="83"/>
      <c r="O124" s="83"/>
      <c r="P124" s="83"/>
      <c r="Q124" s="96">
        <f>(PV($Y$128,3,,T120)*-1)</f>
        <v>48.153622861991444</v>
      </c>
      <c r="Y124" s="57">
        <v>15.6</v>
      </c>
      <c r="Z124" s="52" t="s">
        <v>125</v>
      </c>
    </row>
    <row r="125" spans="2:26">
      <c r="B125" s="29" t="s">
        <v>63</v>
      </c>
      <c r="J125" s="83"/>
      <c r="K125" s="83"/>
      <c r="L125" s="83"/>
      <c r="M125" s="83"/>
      <c r="N125" s="83"/>
      <c r="O125" s="83"/>
      <c r="P125" s="83"/>
      <c r="Q125" s="111">
        <f>Q123+Q124</f>
        <v>1717.9893851344807</v>
      </c>
      <c r="Y125" s="51">
        <v>0.35</v>
      </c>
      <c r="Z125" s="52" t="s">
        <v>48</v>
      </c>
    </row>
    <row r="126" spans="2:26">
      <c r="B126" s="68" t="s">
        <v>64</v>
      </c>
      <c r="J126" s="83"/>
      <c r="K126" s="83"/>
      <c r="L126" s="83"/>
      <c r="M126" s="83"/>
      <c r="N126" s="83"/>
      <c r="O126" s="83"/>
      <c r="P126" s="83"/>
      <c r="Q126" s="112">
        <f>Q125/Q121</f>
        <v>105.07580337213949</v>
      </c>
      <c r="Y126" s="62" t="e">
        <f>(Y134*Y118)/T114</f>
        <v>#DIV/0!</v>
      </c>
      <c r="Z126" s="52" t="s">
        <v>50</v>
      </c>
    </row>
    <row r="127" spans="2:26">
      <c r="J127" s="83"/>
      <c r="K127" s="83"/>
      <c r="L127" s="83"/>
      <c r="M127" s="83"/>
      <c r="N127" s="83"/>
      <c r="O127" s="83"/>
      <c r="P127" s="83"/>
      <c r="Q127" s="83"/>
      <c r="Y127" s="63">
        <v>25</v>
      </c>
      <c r="Z127" s="52" t="s">
        <v>52</v>
      </c>
    </row>
    <row r="128" spans="2:26">
      <c r="K128" s="83"/>
      <c r="L128" s="83"/>
      <c r="M128" s="83"/>
      <c r="N128" s="83"/>
      <c r="O128" s="83"/>
      <c r="P128" s="83"/>
      <c r="Q128" s="83"/>
      <c r="Y128" s="51">
        <v>0.15</v>
      </c>
      <c r="Z128" s="52" t="s">
        <v>54</v>
      </c>
    </row>
    <row r="129" spans="11:26">
      <c r="K129" s="83"/>
      <c r="L129" s="83"/>
      <c r="M129" s="83"/>
      <c r="N129" s="83"/>
      <c r="O129" s="83"/>
      <c r="P129" s="83"/>
      <c r="Q129" s="83"/>
      <c r="Y129" s="54"/>
      <c r="Z129" s="20"/>
    </row>
    <row r="130" spans="11:26">
      <c r="M130" s="83"/>
      <c r="N130" s="83"/>
      <c r="O130" s="83"/>
      <c r="P130" s="83"/>
      <c r="Q130" s="83"/>
      <c r="Y130" s="54"/>
      <c r="Z130" s="20"/>
    </row>
    <row r="131" spans="11:26">
      <c r="Y131" s="54"/>
      <c r="Z131" s="20"/>
    </row>
    <row r="132" spans="11:26">
      <c r="Y132" s="54"/>
      <c r="Z132" s="20"/>
    </row>
    <row r="133" spans="11:26">
      <c r="Y133" s="54"/>
      <c r="Z133" s="20"/>
    </row>
    <row r="134" spans="11:26">
      <c r="Y134" s="53">
        <f>Q126</f>
        <v>105.07580337213949</v>
      </c>
      <c r="Z134" s="52" t="s">
        <v>1</v>
      </c>
    </row>
    <row r="135" spans="11:26">
      <c r="Y135" s="66">
        <f>(Y134-Y117)/Y117</f>
        <v>-0.31808810842923302</v>
      </c>
      <c r="Z135" s="67" t="s">
        <v>62</v>
      </c>
    </row>
    <row r="154" spans="2:9">
      <c r="B154" s="17" t="s">
        <v>89</v>
      </c>
      <c r="C154" s="83"/>
      <c r="D154" s="83"/>
      <c r="E154" s="83"/>
      <c r="F154" s="83"/>
      <c r="G154" s="83"/>
      <c r="H154" s="83"/>
      <c r="I154" s="83"/>
    </row>
    <row r="155" spans="2:9">
      <c r="B155" s="89" t="s">
        <v>75</v>
      </c>
      <c r="C155" s="83"/>
      <c r="D155" s="83"/>
      <c r="E155" s="83"/>
      <c r="F155" s="83"/>
      <c r="G155" s="83"/>
      <c r="H155" s="83"/>
      <c r="I155" s="83"/>
    </row>
    <row r="156" spans="2:9">
      <c r="B156" s="89" t="s">
        <v>17</v>
      </c>
      <c r="C156" s="83"/>
      <c r="D156" s="83"/>
      <c r="E156" s="83"/>
      <c r="F156" s="83"/>
      <c r="G156" s="83"/>
      <c r="H156" s="83"/>
      <c r="I156" s="83"/>
    </row>
    <row r="157" spans="2:9">
      <c r="B157" s="89" t="s">
        <v>71</v>
      </c>
      <c r="C157" s="83"/>
      <c r="D157" s="83"/>
      <c r="E157" s="83"/>
      <c r="F157" s="83"/>
      <c r="G157" s="83"/>
      <c r="H157" s="83"/>
      <c r="I157" s="83"/>
    </row>
    <row r="158" spans="2:9">
      <c r="B158" s="89" t="s">
        <v>76</v>
      </c>
      <c r="C158" s="83"/>
      <c r="D158" s="83"/>
      <c r="E158" s="83"/>
      <c r="F158" s="83"/>
      <c r="G158" s="83"/>
      <c r="H158" s="83"/>
      <c r="I158" s="83"/>
    </row>
    <row r="159" spans="2:9">
      <c r="B159" s="89" t="s">
        <v>17</v>
      </c>
      <c r="C159" s="83"/>
      <c r="D159" s="83"/>
      <c r="E159" s="83"/>
      <c r="F159" s="83"/>
      <c r="G159" s="83"/>
      <c r="H159" s="83"/>
      <c r="I159" s="83"/>
    </row>
    <row r="160" spans="2:9">
      <c r="B160" s="89" t="s">
        <v>71</v>
      </c>
      <c r="C160" s="31">
        <v>116.9</v>
      </c>
      <c r="D160" s="31">
        <v>124.6</v>
      </c>
      <c r="E160" s="83"/>
      <c r="F160" s="83"/>
      <c r="G160" s="83"/>
      <c r="H160" s="83"/>
      <c r="I160" s="31">
        <v>153.30000000000001</v>
      </c>
    </row>
    <row r="161" spans="2:9">
      <c r="B161" s="89" t="s">
        <v>77</v>
      </c>
      <c r="C161" s="31"/>
      <c r="D161" s="90">
        <f xml:space="preserve"> (D160 - C160)/C160</f>
        <v>6.5868263473053787E-2</v>
      </c>
      <c r="E161" s="83"/>
      <c r="F161" s="83"/>
      <c r="G161" s="83"/>
      <c r="H161" s="83"/>
      <c r="I161" s="90">
        <f xml:space="preserve"> (I160 - D160)/D160</f>
        <v>0.23033707865168554</v>
      </c>
    </row>
    <row r="162" spans="2:9">
      <c r="B162" s="89" t="s">
        <v>17</v>
      </c>
      <c r="C162" s="31"/>
      <c r="D162" s="31"/>
      <c r="E162" s="83"/>
      <c r="F162" s="83"/>
      <c r="G162" s="83"/>
      <c r="H162" s="83"/>
      <c r="I162" s="31"/>
    </row>
    <row r="163" spans="2:9">
      <c r="B163" s="89" t="s">
        <v>71</v>
      </c>
      <c r="C163" s="31">
        <v>60.3</v>
      </c>
      <c r="D163" s="31">
        <v>68.599999999999994</v>
      </c>
      <c r="E163" s="83"/>
      <c r="F163" s="83"/>
      <c r="G163" s="83"/>
      <c r="H163" s="83"/>
      <c r="I163" s="31">
        <v>89.3</v>
      </c>
    </row>
    <row r="164" spans="2:9">
      <c r="B164" s="89" t="s">
        <v>78</v>
      </c>
      <c r="C164" s="31"/>
      <c r="D164" s="90">
        <f xml:space="preserve"> (D163 - C163)/C163</f>
        <v>0.13764510779436148</v>
      </c>
      <c r="E164" s="83"/>
      <c r="F164" s="83"/>
      <c r="G164" s="83"/>
      <c r="H164" s="83"/>
      <c r="I164" s="90">
        <f xml:space="preserve"> (I163 - D163)/D163</f>
        <v>0.30174927113702632</v>
      </c>
    </row>
    <row r="165" spans="2:9">
      <c r="B165" s="89" t="s">
        <v>17</v>
      </c>
      <c r="C165" s="31"/>
      <c r="D165" s="31"/>
      <c r="I165" s="31"/>
    </row>
    <row r="166" spans="2:9">
      <c r="B166" s="89" t="s">
        <v>71</v>
      </c>
      <c r="C166" s="31">
        <v>43.7</v>
      </c>
      <c r="D166" s="31">
        <v>40.299999999999997</v>
      </c>
      <c r="I166" s="31">
        <v>68.400000000000006</v>
      </c>
    </row>
    <row r="167" spans="2:9">
      <c r="B167" s="89" t="s">
        <v>91</v>
      </c>
      <c r="C167" s="31"/>
      <c r="D167" s="90">
        <f xml:space="preserve"> (D166 - C166)/C166</f>
        <v>-7.7803203661327355E-2</v>
      </c>
      <c r="I167" s="90">
        <f xml:space="preserve"> (I166 - D166)/D166</f>
        <v>0.6972704714640201</v>
      </c>
    </row>
    <row r="168" spans="2:9">
      <c r="B168" s="89" t="s">
        <v>17</v>
      </c>
      <c r="C168" s="31"/>
      <c r="D168" s="31"/>
      <c r="I168" s="31"/>
    </row>
    <row r="169" spans="2:9">
      <c r="B169" s="89" t="s">
        <v>71</v>
      </c>
      <c r="C169" s="31">
        <v>21.5</v>
      </c>
      <c r="D169" s="31">
        <v>21.4</v>
      </c>
      <c r="I169" s="31">
        <v>28.5</v>
      </c>
    </row>
    <row r="170" spans="2:9">
      <c r="B170" s="100" t="s">
        <v>92</v>
      </c>
      <c r="C170" s="31"/>
      <c r="D170" s="90">
        <f xml:space="preserve"> (D169 - C169)/C169</f>
        <v>-4.6511627906977403E-3</v>
      </c>
      <c r="I170" s="90">
        <f xml:space="preserve"> (I169 - D169)/D169</f>
        <v>0.33177570093457953</v>
      </c>
    </row>
    <row r="171" spans="2:9">
      <c r="C171" s="31"/>
      <c r="D171" s="31"/>
      <c r="I171" s="31"/>
    </row>
    <row r="172" spans="2:9">
      <c r="C172" s="31">
        <v>17.8</v>
      </c>
      <c r="D172" s="31">
        <v>19.600000000000001</v>
      </c>
      <c r="I172" s="31">
        <v>26.4</v>
      </c>
    </row>
    <row r="173" spans="2:9">
      <c r="C173" s="31"/>
      <c r="D173" s="90">
        <f xml:space="preserve"> (D172 - C172)/C172</f>
        <v>0.10112359550561802</v>
      </c>
      <c r="I173" s="90">
        <f xml:space="preserve"> (I172 - D172)/D172</f>
        <v>0.34693877551020391</v>
      </c>
    </row>
    <row r="174" spans="2:9">
      <c r="C174" s="31"/>
      <c r="I174" s="31"/>
    </row>
  </sheetData>
  <pageMargins left="0.7" right="0.7" top="0.75" bottom="0.75" header="0.3" footer="0.3"/>
  <ignoredErrors>
    <ignoredError sqref="H26 H23 M5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2D2-0C98-3A4B-A2DF-3374752AD328}">
  <dimension ref="B1:AT1035"/>
  <sheetViews>
    <sheetView showGridLines="0" topLeftCell="A35" zoomScale="92" zoomScaleNormal="150" workbookViewId="0">
      <selection activeCell="AC63" sqref="AC63"/>
    </sheetView>
  </sheetViews>
  <sheetFormatPr baseColWidth="10" defaultColWidth="14.33203125" defaultRowHeight="15.75" customHeight="1"/>
  <cols>
    <col min="1" max="1" width="14.33203125" style="1"/>
    <col min="2" max="2" width="33.33203125" style="1" customWidth="1"/>
    <col min="3" max="3" width="14.33203125" style="1"/>
    <col min="4" max="4" width="4.6640625" style="1" customWidth="1"/>
    <col min="5" max="5" width="21.6640625" style="1" customWidth="1"/>
    <col min="6" max="27" width="8.83203125" style="1" customWidth="1"/>
    <col min="28" max="28" width="2.83203125" style="1" customWidth="1"/>
    <col min="29" max="29" width="10.33203125" style="1" customWidth="1"/>
    <col min="30" max="30" width="15.33203125" style="1" customWidth="1"/>
    <col min="31" max="31" width="1" style="1" customWidth="1"/>
    <col min="32" max="32" width="1.33203125" style="1" customWidth="1"/>
    <col min="33" max="33" width="9.83203125" style="1" customWidth="1"/>
    <col min="34" max="34" width="31.33203125" style="1" customWidth="1"/>
    <col min="35" max="37" width="9.83203125" style="1" customWidth="1"/>
    <col min="38" max="46" width="11.33203125" style="1" customWidth="1"/>
    <col min="47" max="16384" width="14.33203125" style="1"/>
  </cols>
  <sheetData>
    <row r="1" spans="2:46" ht="15.75" customHeight="1">
      <c r="D1" s="2"/>
      <c r="E1" s="3" t="s">
        <v>65</v>
      </c>
      <c r="I1" s="3" t="s">
        <v>0</v>
      </c>
      <c r="J1" s="3"/>
      <c r="K1" s="3"/>
      <c r="L1" s="3"/>
      <c r="M1" s="3"/>
      <c r="N1" s="4">
        <v>91.3</v>
      </c>
      <c r="O1" s="4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2:46" ht="15.75" customHeight="1">
      <c r="D2" s="2"/>
      <c r="E2" s="3" t="s">
        <v>66</v>
      </c>
      <c r="H2" s="2"/>
      <c r="I2" s="3" t="s">
        <v>1</v>
      </c>
      <c r="J2" s="3"/>
      <c r="K2" s="3"/>
      <c r="L2" s="3"/>
      <c r="M2" s="3"/>
      <c r="N2" s="4">
        <f>AC62</f>
        <v>24.349922515523694</v>
      </c>
      <c r="O2" s="4"/>
      <c r="P2" s="4"/>
      <c r="Q2" s="4"/>
      <c r="R2" s="4"/>
      <c r="S2" s="2"/>
      <c r="T2" s="2"/>
      <c r="U2" s="2"/>
      <c r="V2" s="2"/>
      <c r="W2" s="2"/>
      <c r="X2" s="2"/>
      <c r="Y2" s="2"/>
      <c r="Z2" s="2"/>
      <c r="AA2" s="2"/>
      <c r="AD2" s="2"/>
      <c r="AE2" s="2"/>
      <c r="AF2" s="2"/>
      <c r="AG2" s="2"/>
      <c r="AH2" s="92"/>
      <c r="AI2" s="93"/>
      <c r="AJ2" s="6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2:46" ht="14.25" customHeight="1">
      <c r="D3" s="2"/>
      <c r="E3" s="7">
        <f ca="1">TODAY()</f>
        <v>44766</v>
      </c>
      <c r="H3" s="2"/>
      <c r="I3" s="3" t="s">
        <v>2</v>
      </c>
      <c r="J3" s="3"/>
      <c r="K3" s="3"/>
      <c r="L3" s="3"/>
      <c r="M3" s="3"/>
      <c r="N3" s="8">
        <f>AC63</f>
        <v>-0.73329767233818521</v>
      </c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  <c r="AI3" s="9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ht="5.25" customHeight="1"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ht="15.75" customHeight="1">
      <c r="B5" s="1" t="s">
        <v>3</v>
      </c>
      <c r="D5" s="2"/>
      <c r="E5" s="11" t="s">
        <v>67</v>
      </c>
      <c r="F5" s="12"/>
      <c r="G5" s="12"/>
      <c r="H5" s="12">
        <v>2019</v>
      </c>
      <c r="I5" s="12">
        <v>2020</v>
      </c>
      <c r="J5" s="12" t="s">
        <v>4</v>
      </c>
      <c r="K5" s="12" t="s">
        <v>5</v>
      </c>
      <c r="L5" s="12" t="s">
        <v>6</v>
      </c>
      <c r="M5" s="12" t="s">
        <v>7</v>
      </c>
      <c r="N5" s="12">
        <v>2021</v>
      </c>
      <c r="O5" s="12" t="s">
        <v>4</v>
      </c>
      <c r="P5" s="12" t="s">
        <v>5</v>
      </c>
      <c r="Q5" s="12" t="s">
        <v>6</v>
      </c>
      <c r="R5" s="12" t="s">
        <v>7</v>
      </c>
      <c r="S5" s="12">
        <v>2022</v>
      </c>
      <c r="T5" s="12" t="s">
        <v>4</v>
      </c>
      <c r="U5" s="12" t="s">
        <v>5</v>
      </c>
      <c r="V5" s="12" t="s">
        <v>6</v>
      </c>
      <c r="W5" s="12" t="s">
        <v>7</v>
      </c>
      <c r="X5" s="12">
        <v>2023</v>
      </c>
      <c r="Y5" s="12">
        <v>2024</v>
      </c>
      <c r="Z5" s="12">
        <v>2025</v>
      </c>
      <c r="AA5" s="12">
        <v>2026</v>
      </c>
      <c r="AB5" s="12"/>
      <c r="AC5" s="13"/>
      <c r="AD5" s="13"/>
      <c r="AE5" s="14"/>
      <c r="AF5" s="2"/>
      <c r="AG5" s="2"/>
      <c r="AH5" s="5"/>
      <c r="AI5" s="9"/>
      <c r="AJ5" s="6"/>
      <c r="AK5" s="5"/>
      <c r="AL5" s="15"/>
      <c r="AM5" s="16"/>
      <c r="AN5" s="15"/>
      <c r="AO5" s="15"/>
      <c r="AP5" s="15"/>
      <c r="AQ5" s="15"/>
      <c r="AR5" s="15"/>
      <c r="AS5" s="15"/>
      <c r="AT5" s="15"/>
    </row>
    <row r="6" spans="2:46" ht="15.75" customHeight="1">
      <c r="D6" s="2"/>
      <c r="E6" s="17" t="s">
        <v>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9"/>
      <c r="AE6" s="20"/>
      <c r="AF6" s="2"/>
      <c r="AG6" s="2"/>
      <c r="AH6" s="5"/>
      <c r="AI6" s="9"/>
      <c r="AJ6" s="6"/>
      <c r="AK6" s="5"/>
      <c r="AL6" s="15"/>
      <c r="AM6" s="16"/>
      <c r="AN6" s="15"/>
      <c r="AO6" s="15"/>
      <c r="AP6" s="15"/>
      <c r="AQ6" s="15"/>
      <c r="AR6" s="15"/>
      <c r="AS6" s="15"/>
      <c r="AT6" s="15"/>
    </row>
    <row r="7" spans="2:46" ht="15.75" customHeight="1">
      <c r="D7" s="2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20"/>
      <c r="AF7" s="2"/>
      <c r="AG7" s="2"/>
      <c r="AH7" s="5"/>
      <c r="AI7" s="9"/>
      <c r="AJ7" s="6"/>
      <c r="AK7" s="5"/>
      <c r="AL7" s="15"/>
      <c r="AM7" s="16"/>
      <c r="AN7" s="15"/>
      <c r="AO7" s="15"/>
      <c r="AP7" s="15"/>
      <c r="AQ7" s="15"/>
      <c r="AR7" s="15"/>
      <c r="AS7" s="15"/>
      <c r="AT7" s="15"/>
    </row>
    <row r="8" spans="2:46" ht="15.75" customHeight="1">
      <c r="D8" s="2"/>
      <c r="E8" s="17" t="s">
        <v>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20"/>
      <c r="AF8" s="2"/>
      <c r="AG8" s="2"/>
      <c r="AH8" s="5"/>
      <c r="AI8" s="9"/>
      <c r="AJ8" s="6"/>
      <c r="AK8" s="5"/>
      <c r="AL8" s="15"/>
      <c r="AM8" s="16"/>
      <c r="AN8" s="15"/>
      <c r="AO8" s="15"/>
      <c r="AP8" s="15"/>
      <c r="AQ8" s="15"/>
      <c r="AR8" s="15"/>
      <c r="AS8" s="15"/>
      <c r="AT8" s="15"/>
    </row>
    <row r="9" spans="2:46" ht="15.75" customHeight="1">
      <c r="D9" s="2"/>
      <c r="E9" s="17" t="s">
        <v>10</v>
      </c>
      <c r="F9" s="21">
        <v>0.5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  <c r="AD9" s="19"/>
      <c r="AE9" s="20"/>
      <c r="AF9" s="2"/>
      <c r="AG9" s="2"/>
      <c r="AH9" s="5"/>
      <c r="AI9" s="9"/>
      <c r="AJ9" s="6"/>
      <c r="AK9" s="5"/>
      <c r="AL9" s="15"/>
      <c r="AM9" s="16"/>
      <c r="AN9" s="15"/>
      <c r="AO9" s="15"/>
      <c r="AP9" s="15"/>
      <c r="AQ9" s="15"/>
      <c r="AR9" s="15"/>
      <c r="AS9" s="15"/>
      <c r="AT9" s="15"/>
    </row>
    <row r="10" spans="2:46" ht="15.75" customHeight="1">
      <c r="D10" s="2"/>
      <c r="E10" s="17" t="s">
        <v>11</v>
      </c>
      <c r="F10" s="21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  <c r="AD10" s="19"/>
      <c r="AE10" s="20"/>
      <c r="AF10" s="2"/>
      <c r="AG10" s="2"/>
      <c r="AH10" s="5"/>
      <c r="AI10" s="9"/>
      <c r="AJ10" s="6"/>
      <c r="AK10" s="5"/>
      <c r="AL10" s="15"/>
      <c r="AM10" s="16"/>
      <c r="AN10" s="15"/>
      <c r="AO10" s="15"/>
      <c r="AP10" s="15"/>
      <c r="AQ10" s="15"/>
      <c r="AR10" s="15"/>
      <c r="AS10" s="15"/>
      <c r="AT10" s="15"/>
    </row>
    <row r="11" spans="2:46" ht="15.75" customHeight="1">
      <c r="D11" s="2"/>
      <c r="E11" s="17" t="s">
        <v>12</v>
      </c>
      <c r="F11" s="18"/>
      <c r="G11" s="18"/>
      <c r="H11" s="18"/>
      <c r="I11" s="18"/>
      <c r="J11" s="18"/>
      <c r="K11" s="18"/>
      <c r="L11" s="18"/>
      <c r="M11" s="18"/>
      <c r="N11" s="18"/>
      <c r="O11" s="18">
        <v>18</v>
      </c>
      <c r="P11" s="18">
        <v>20</v>
      </c>
      <c r="Q11" s="18">
        <v>22</v>
      </c>
      <c r="R11" s="18">
        <v>24</v>
      </c>
      <c r="S11" s="18"/>
      <c r="T11" s="18">
        <v>26</v>
      </c>
      <c r="U11" s="18">
        <v>28</v>
      </c>
      <c r="V11" s="18">
        <v>30</v>
      </c>
      <c r="W11" s="18">
        <v>32</v>
      </c>
      <c r="X11" s="18"/>
      <c r="Y11" s="18"/>
      <c r="Z11" s="18"/>
      <c r="AA11" s="18"/>
      <c r="AB11" s="18"/>
      <c r="AC11" s="19"/>
      <c r="AD11" s="19"/>
      <c r="AE11" s="20"/>
      <c r="AF11" s="2"/>
      <c r="AG11" s="2"/>
      <c r="AH11" s="5"/>
      <c r="AI11" s="9"/>
      <c r="AJ11" s="6"/>
      <c r="AK11" s="5"/>
      <c r="AL11" s="15"/>
      <c r="AM11" s="16"/>
      <c r="AN11" s="15"/>
      <c r="AO11" s="15"/>
      <c r="AP11" s="15"/>
      <c r="AQ11" s="15"/>
      <c r="AR11" s="15"/>
      <c r="AS11" s="15"/>
      <c r="AT11" s="15"/>
    </row>
    <row r="12" spans="2:46" ht="15.75" customHeight="1">
      <c r="D12" s="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>
        <f>P11-O11</f>
        <v>2</v>
      </c>
      <c r="Q12" s="18">
        <f t="shared" ref="Q12:R12" si="0">Q11-P11</f>
        <v>2</v>
      </c>
      <c r="R12" s="18">
        <f t="shared" si="0"/>
        <v>2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20"/>
      <c r="AF12" s="2"/>
      <c r="AG12" s="2"/>
      <c r="AH12" s="5"/>
      <c r="AI12" s="9"/>
      <c r="AJ12" s="6"/>
      <c r="AK12" s="5"/>
      <c r="AL12" s="15"/>
      <c r="AM12" s="16"/>
      <c r="AN12" s="15"/>
      <c r="AO12" s="15"/>
      <c r="AP12" s="15"/>
      <c r="AQ12" s="15"/>
      <c r="AR12" s="15"/>
      <c r="AS12" s="15"/>
      <c r="AT12" s="15"/>
    </row>
    <row r="13" spans="2:46" ht="15.75" customHeight="1">
      <c r="D13" s="2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2">
        <f>(Q11-Q12)*Q18*F10</f>
        <v>40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  <c r="AD13" s="19"/>
      <c r="AE13" s="20"/>
      <c r="AF13" s="2"/>
      <c r="AG13" s="2"/>
      <c r="AH13" s="5"/>
      <c r="AI13" s="9"/>
      <c r="AJ13" s="6"/>
      <c r="AK13" s="5"/>
      <c r="AL13" s="15"/>
      <c r="AM13" s="16"/>
      <c r="AN13" s="15"/>
      <c r="AO13" s="15"/>
      <c r="AP13" s="15"/>
      <c r="AQ13" s="15"/>
      <c r="AR13" s="15"/>
      <c r="AS13" s="15"/>
      <c r="AT13" s="15"/>
    </row>
    <row r="14" spans="2:46" ht="15.75" customHeight="1">
      <c r="D14" s="2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2">
        <f>Q12*Q18*F9</f>
        <v>2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20"/>
      <c r="AF14" s="2"/>
      <c r="AG14" s="2"/>
      <c r="AH14" s="5"/>
      <c r="AI14" s="9"/>
      <c r="AJ14" s="6"/>
      <c r="AK14" s="5"/>
      <c r="AL14" s="15"/>
      <c r="AM14" s="16"/>
      <c r="AN14" s="15"/>
      <c r="AO14" s="15"/>
      <c r="AP14" s="15"/>
      <c r="AQ14" s="15"/>
      <c r="AR14" s="15"/>
      <c r="AS14" s="15"/>
      <c r="AT14" s="15"/>
    </row>
    <row r="15" spans="2:46" ht="15.75" customHeight="1">
      <c r="D15" s="2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  <c r="AD15" s="19"/>
      <c r="AE15" s="20"/>
      <c r="AF15" s="2"/>
      <c r="AG15" s="2"/>
      <c r="AH15" s="5"/>
      <c r="AI15" s="9"/>
      <c r="AJ15" s="6"/>
      <c r="AK15" s="5"/>
      <c r="AL15" s="15"/>
      <c r="AM15" s="16"/>
      <c r="AN15" s="15"/>
      <c r="AO15" s="15"/>
      <c r="AP15" s="15"/>
      <c r="AQ15" s="15"/>
      <c r="AR15" s="15"/>
      <c r="AS15" s="15"/>
      <c r="AT15" s="15"/>
    </row>
    <row r="16" spans="2:46" ht="15.75" customHeight="1">
      <c r="D16" s="2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  <c r="AD16" s="19"/>
      <c r="AE16" s="20"/>
      <c r="AF16" s="2"/>
      <c r="AG16" s="2"/>
      <c r="AH16" s="5"/>
      <c r="AI16" s="9"/>
      <c r="AJ16" s="6"/>
      <c r="AK16" s="5"/>
      <c r="AL16" s="15"/>
      <c r="AM16" s="16"/>
      <c r="AN16" s="15"/>
      <c r="AO16" s="15"/>
      <c r="AP16" s="15"/>
      <c r="AQ16" s="15"/>
      <c r="AR16" s="15"/>
      <c r="AS16" s="15"/>
      <c r="AT16" s="15"/>
    </row>
    <row r="17" spans="2:46" ht="15.75" customHeight="1">
      <c r="D17" s="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9"/>
      <c r="AE17" s="20"/>
      <c r="AF17" s="2"/>
      <c r="AG17" s="2"/>
      <c r="AH17" s="5"/>
      <c r="AI17" s="9"/>
      <c r="AJ17" s="6"/>
      <c r="AK17" s="5"/>
      <c r="AL17" s="15"/>
      <c r="AM17" s="16"/>
      <c r="AN17" s="15"/>
      <c r="AO17" s="15"/>
      <c r="AP17" s="15"/>
      <c r="AQ17" s="15"/>
      <c r="AR17" s="15"/>
      <c r="AS17" s="15"/>
      <c r="AT17" s="15"/>
    </row>
    <row r="18" spans="2:46" ht="15.75" customHeight="1">
      <c r="D18" s="2"/>
      <c r="E18" s="17" t="s">
        <v>13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2">
        <f>Q20/Q11</f>
        <v>2</v>
      </c>
      <c r="R18" s="22">
        <f>R20/R11</f>
        <v>2.0833333333333335</v>
      </c>
      <c r="S18" s="18"/>
      <c r="T18" s="22">
        <v>2.1</v>
      </c>
      <c r="U18" s="22">
        <v>2</v>
      </c>
      <c r="V18" s="22">
        <v>2</v>
      </c>
      <c r="W18" s="22">
        <v>2.4</v>
      </c>
      <c r="X18" s="18"/>
      <c r="Y18" s="18"/>
      <c r="Z18" s="18"/>
      <c r="AA18" s="18"/>
      <c r="AB18" s="18"/>
      <c r="AC18" s="19"/>
      <c r="AD18" s="19"/>
      <c r="AE18" s="20"/>
      <c r="AF18" s="2"/>
      <c r="AG18" s="2"/>
      <c r="AH18" s="5"/>
      <c r="AI18" s="9"/>
      <c r="AJ18" s="6"/>
      <c r="AK18" s="5"/>
      <c r="AL18" s="15"/>
      <c r="AM18" s="16"/>
      <c r="AN18" s="15"/>
      <c r="AO18" s="15"/>
      <c r="AP18" s="15"/>
      <c r="AQ18" s="15"/>
      <c r="AR18" s="15"/>
      <c r="AS18" s="15"/>
      <c r="AT18" s="15"/>
    </row>
    <row r="19" spans="2:46" ht="15.75" customHeight="1">
      <c r="D19" s="2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">
        <f>Q11*Q18</f>
        <v>44</v>
      </c>
      <c r="R19" s="22">
        <f>R11*R18</f>
        <v>50</v>
      </c>
      <c r="S19" s="18"/>
      <c r="T19" s="22">
        <f>T11*T18</f>
        <v>54.6</v>
      </c>
      <c r="U19" s="22">
        <f t="shared" ref="U19:W19" si="1">U11*U18</f>
        <v>56</v>
      </c>
      <c r="V19" s="22">
        <f t="shared" si="1"/>
        <v>60</v>
      </c>
      <c r="W19" s="22">
        <f t="shared" si="1"/>
        <v>76.8</v>
      </c>
      <c r="X19" s="18"/>
      <c r="Y19" s="18"/>
      <c r="Z19" s="18"/>
      <c r="AA19" s="18"/>
      <c r="AB19" s="18"/>
      <c r="AC19" s="19"/>
      <c r="AD19" s="19"/>
      <c r="AE19" s="20"/>
      <c r="AF19" s="2"/>
      <c r="AG19" s="2"/>
      <c r="AH19" s="5"/>
      <c r="AI19" s="9"/>
      <c r="AJ19" s="6"/>
      <c r="AK19" s="5"/>
      <c r="AL19" s="15"/>
      <c r="AM19" s="16"/>
      <c r="AN19" s="15"/>
      <c r="AO19" s="15"/>
      <c r="AP19" s="15"/>
      <c r="AQ19" s="15"/>
      <c r="AR19" s="15"/>
      <c r="AS19" s="15"/>
      <c r="AT19" s="15"/>
    </row>
    <row r="20" spans="2:46" ht="15.75" customHeight="1">
      <c r="B20" s="1" t="s">
        <v>14</v>
      </c>
      <c r="D20" s="2"/>
      <c r="E20" s="23" t="s">
        <v>15</v>
      </c>
      <c r="F20" s="24"/>
      <c r="G20" s="24"/>
      <c r="H20" s="25">
        <v>128.9</v>
      </c>
      <c r="I20" s="25">
        <v>118.4</v>
      </c>
      <c r="J20" s="25">
        <v>30.2</v>
      </c>
      <c r="K20" s="25">
        <v>33</v>
      </c>
      <c r="L20" s="25">
        <v>35.200000000000003</v>
      </c>
      <c r="M20" s="25">
        <f>N20-L20-K20-J20</f>
        <v>38.900000000000006</v>
      </c>
      <c r="N20" s="25">
        <v>137.30000000000001</v>
      </c>
      <c r="O20" s="25">
        <v>43</v>
      </c>
      <c r="P20" s="25">
        <v>41.7</v>
      </c>
      <c r="Q20" s="25">
        <v>44</v>
      </c>
      <c r="R20" s="25">
        <v>50</v>
      </c>
      <c r="S20" s="25">
        <f>SUM(O20:R20)</f>
        <v>178.7</v>
      </c>
      <c r="T20" s="25">
        <f>T19</f>
        <v>54.6</v>
      </c>
      <c r="U20" s="25">
        <f t="shared" ref="U20:W20" si="2">U19</f>
        <v>56</v>
      </c>
      <c r="V20" s="25">
        <f t="shared" si="2"/>
        <v>60</v>
      </c>
      <c r="W20" s="25">
        <f t="shared" si="2"/>
        <v>76.8</v>
      </c>
      <c r="X20" s="25">
        <f>SUM(T20:W20)</f>
        <v>247.39999999999998</v>
      </c>
      <c r="Y20" s="25"/>
      <c r="Z20" s="25"/>
      <c r="AA20" s="25"/>
      <c r="AB20" s="26"/>
      <c r="AC20" s="27"/>
      <c r="AD20" s="27"/>
      <c r="AE20" s="28"/>
      <c r="AF20" s="2"/>
      <c r="AG20" s="2"/>
      <c r="AH20" s="5"/>
      <c r="AI20" s="9"/>
      <c r="AJ20" s="6"/>
      <c r="AK20" s="5"/>
      <c r="AL20" s="15"/>
      <c r="AM20" s="16"/>
      <c r="AN20" s="15"/>
      <c r="AO20" s="15"/>
      <c r="AP20" s="15"/>
      <c r="AQ20" s="15"/>
      <c r="AR20" s="15"/>
      <c r="AS20" s="15"/>
      <c r="AT20" s="15"/>
    </row>
    <row r="21" spans="2:46" ht="15.75" customHeight="1">
      <c r="B21" s="1" t="s">
        <v>16</v>
      </c>
      <c r="D21" s="2"/>
      <c r="E21" s="29" t="s">
        <v>17</v>
      </c>
      <c r="F21" s="30"/>
      <c r="G21" s="30"/>
      <c r="H21" s="31"/>
      <c r="I21" s="32">
        <f>(I20-H20)/H20</f>
        <v>-8.1458494957331262E-2</v>
      </c>
      <c r="J21" s="32"/>
      <c r="K21" s="32"/>
      <c r="L21" s="32"/>
      <c r="M21" s="32"/>
      <c r="N21" s="32">
        <f>(N20-I20)/I20</f>
        <v>0.15962837837837843</v>
      </c>
      <c r="O21" s="33">
        <f>(O20-J20)/J20</f>
        <v>0.42384105960264906</v>
      </c>
      <c r="P21" s="33">
        <f t="shared" ref="P21:R21" si="3">(P20-K20)/K20</f>
        <v>0.26363636363636372</v>
      </c>
      <c r="Q21" s="33">
        <f t="shared" si="3"/>
        <v>0.24999999999999989</v>
      </c>
      <c r="R21" s="33">
        <f t="shared" si="3"/>
        <v>0.28534704370179931</v>
      </c>
      <c r="S21" s="18"/>
      <c r="T21" s="33">
        <f>(T20-O20)/O20</f>
        <v>0.26976744186046514</v>
      </c>
      <c r="U21" s="33">
        <f t="shared" ref="U21:W21" si="4">(U20-P20)/P20</f>
        <v>0.34292565947242198</v>
      </c>
      <c r="V21" s="33">
        <f t="shared" si="4"/>
        <v>0.36363636363636365</v>
      </c>
      <c r="W21" s="33">
        <f t="shared" si="4"/>
        <v>0.53599999999999992</v>
      </c>
      <c r="X21" s="18"/>
      <c r="Y21" s="18"/>
      <c r="Z21" s="18"/>
      <c r="AA21" s="18"/>
      <c r="AB21" s="18"/>
      <c r="AC21" s="19"/>
      <c r="AD21" s="19"/>
      <c r="AE21" s="20"/>
      <c r="AF21" s="2"/>
      <c r="AG21" s="2"/>
      <c r="AH21" s="5"/>
      <c r="AI21" s="9"/>
      <c r="AJ21" s="6"/>
      <c r="AK21" s="5"/>
      <c r="AL21" s="15"/>
      <c r="AM21" s="16"/>
      <c r="AN21" s="15"/>
      <c r="AO21" s="15"/>
      <c r="AP21" s="15"/>
      <c r="AQ21" s="15"/>
      <c r="AR21" s="15"/>
      <c r="AS21" s="15"/>
      <c r="AT21" s="15"/>
    </row>
    <row r="22" spans="2:46" ht="15.75" customHeight="1">
      <c r="D22" s="2"/>
      <c r="E22" s="29" t="s">
        <v>18</v>
      </c>
      <c r="F22" s="30"/>
      <c r="G22" s="30"/>
      <c r="H22" s="31"/>
      <c r="I22" s="32"/>
      <c r="J22" s="32"/>
      <c r="K22" s="32">
        <f>(K20-J20)/J20</f>
        <v>9.27152317880795E-2</v>
      </c>
      <c r="L22" s="32">
        <f t="shared" ref="L22:M22" si="5">(L20-K20)/K20</f>
        <v>6.6666666666666749E-2</v>
      </c>
      <c r="M22" s="32">
        <f t="shared" si="5"/>
        <v>0.10511363636363644</v>
      </c>
      <c r="N22" s="32"/>
      <c r="O22" s="33">
        <f>(O20-M20)/M20</f>
        <v>0.10539845758354739</v>
      </c>
      <c r="P22" s="32">
        <f>(P20-O20)/O20</f>
        <v>-3.0232558139534817E-2</v>
      </c>
      <c r="Q22" s="32">
        <f t="shared" ref="Q22:R22" si="6">(Q20-P20)/P20</f>
        <v>5.515587529976012E-2</v>
      </c>
      <c r="R22" s="32">
        <f t="shared" si="6"/>
        <v>0.13636363636363635</v>
      </c>
      <c r="S22" s="18"/>
      <c r="T22" s="33">
        <f>(T20-R20)/R20</f>
        <v>9.2000000000000026E-2</v>
      </c>
      <c r="U22" s="32">
        <f>(U20-T20)/T20</f>
        <v>2.5641025641025616E-2</v>
      </c>
      <c r="V22" s="32">
        <f t="shared" ref="V22:W22" si="7">(V20-U20)/U20</f>
        <v>7.1428571428571425E-2</v>
      </c>
      <c r="W22" s="32">
        <f t="shared" si="7"/>
        <v>0.27999999999999997</v>
      </c>
      <c r="X22" s="18"/>
      <c r="Y22" s="18"/>
      <c r="Z22" s="18"/>
      <c r="AA22" s="18"/>
      <c r="AB22" s="18"/>
      <c r="AC22" s="19"/>
      <c r="AD22" s="19"/>
      <c r="AE22" s="20"/>
      <c r="AF22" s="2"/>
      <c r="AG22" s="2"/>
      <c r="AH22" s="5"/>
      <c r="AI22" s="9"/>
      <c r="AJ22" s="6"/>
      <c r="AK22" s="5"/>
      <c r="AL22" s="15"/>
      <c r="AM22" s="16"/>
      <c r="AN22" s="15"/>
      <c r="AO22" s="15"/>
      <c r="AP22" s="15"/>
      <c r="AQ22" s="15"/>
      <c r="AR22" s="15"/>
      <c r="AS22" s="15"/>
      <c r="AT22" s="15"/>
    </row>
    <row r="23" spans="2:46" ht="15.75" customHeight="1">
      <c r="B23" s="1" t="s">
        <v>19</v>
      </c>
      <c r="D23" s="2"/>
      <c r="E23" s="29" t="s">
        <v>20</v>
      </c>
      <c r="F23" s="30"/>
      <c r="G23" s="30"/>
      <c r="H23" s="31">
        <v>40.299999999999997</v>
      </c>
      <c r="I23" s="31">
        <v>38.299999999999997</v>
      </c>
      <c r="J23" s="31">
        <v>10</v>
      </c>
      <c r="K23" s="31">
        <v>11.3</v>
      </c>
      <c r="L23" s="31">
        <v>12.3</v>
      </c>
      <c r="M23" s="25">
        <f>N23-L23-K23-J23</f>
        <v>12.400000000000002</v>
      </c>
      <c r="N23" s="31">
        <v>46</v>
      </c>
      <c r="O23" s="31">
        <v>12.9</v>
      </c>
      <c r="P23" s="31">
        <v>14</v>
      </c>
      <c r="Q23" s="31">
        <v>14.2</v>
      </c>
      <c r="R23" s="31"/>
      <c r="S23" s="18"/>
      <c r="T23" s="31">
        <f>T24*T20</f>
        <v>17.472000000000001</v>
      </c>
      <c r="U23" s="31">
        <f t="shared" ref="U23:W23" si="8">U24*U20</f>
        <v>17.920000000000002</v>
      </c>
      <c r="V23" s="31">
        <f t="shared" si="8"/>
        <v>19.2</v>
      </c>
      <c r="W23" s="31">
        <f t="shared" si="8"/>
        <v>24.576000000000001</v>
      </c>
      <c r="X23" s="18"/>
      <c r="Y23" s="18"/>
      <c r="Z23" s="18"/>
      <c r="AA23" s="18"/>
      <c r="AB23" s="18"/>
      <c r="AC23" s="19"/>
      <c r="AD23" s="19"/>
      <c r="AE23" s="20"/>
      <c r="AF23" s="2"/>
      <c r="AG23" s="2"/>
      <c r="AH23" s="5"/>
      <c r="AI23" s="9"/>
      <c r="AJ23" s="6"/>
      <c r="AK23" s="5"/>
      <c r="AL23" s="15"/>
      <c r="AM23" s="16"/>
      <c r="AN23" s="15"/>
      <c r="AO23" s="15"/>
      <c r="AP23" s="15"/>
      <c r="AQ23" s="15"/>
      <c r="AR23" s="15"/>
      <c r="AS23" s="15"/>
      <c r="AT23" s="15"/>
    </row>
    <row r="24" spans="2:46" ht="15.75" customHeight="1">
      <c r="D24" s="2"/>
      <c r="E24" s="34" t="s">
        <v>21</v>
      </c>
      <c r="F24" s="35"/>
      <c r="G24" s="35"/>
      <c r="H24" s="36">
        <f>H23/H20</f>
        <v>0.31264546159813805</v>
      </c>
      <c r="I24" s="36">
        <f t="shared" ref="I24:Q24" si="9">I23/I20</f>
        <v>0.32347972972972971</v>
      </c>
      <c r="J24" s="36">
        <f t="shared" si="9"/>
        <v>0.33112582781456956</v>
      </c>
      <c r="K24" s="36">
        <f t="shared" si="9"/>
        <v>0.34242424242424246</v>
      </c>
      <c r="L24" s="36">
        <f t="shared" si="9"/>
        <v>0.34943181818181818</v>
      </c>
      <c r="M24" s="36">
        <f t="shared" si="9"/>
        <v>0.31876606683804626</v>
      </c>
      <c r="N24" s="36">
        <f t="shared" si="9"/>
        <v>0.33503277494537509</v>
      </c>
      <c r="O24" s="36">
        <f t="shared" si="9"/>
        <v>0.3</v>
      </c>
      <c r="P24" s="36">
        <f t="shared" si="9"/>
        <v>0.33573141486810548</v>
      </c>
      <c r="Q24" s="36">
        <f t="shared" si="9"/>
        <v>0.3227272727272727</v>
      </c>
      <c r="R24" s="36"/>
      <c r="S24" s="37"/>
      <c r="T24" s="33">
        <v>0.32</v>
      </c>
      <c r="U24" s="33">
        <v>0.32</v>
      </c>
      <c r="V24" s="33">
        <v>0.32</v>
      </c>
      <c r="W24" s="33">
        <v>0.32</v>
      </c>
      <c r="X24" s="37"/>
      <c r="Y24" s="37"/>
      <c r="Z24" s="37"/>
      <c r="AA24" s="37"/>
      <c r="AB24" s="37"/>
      <c r="AC24" s="38"/>
      <c r="AD24" s="38"/>
      <c r="AE24" s="39"/>
      <c r="AF24" s="2"/>
      <c r="AG24" s="2"/>
      <c r="AH24" s="5"/>
      <c r="AI24" s="9"/>
      <c r="AJ24" s="6"/>
      <c r="AK24" s="5"/>
      <c r="AL24" s="15"/>
      <c r="AM24" s="16"/>
      <c r="AN24" s="15"/>
      <c r="AO24" s="15"/>
      <c r="AP24" s="15"/>
      <c r="AQ24" s="15"/>
      <c r="AR24" s="15"/>
      <c r="AS24" s="15"/>
      <c r="AT24" s="15"/>
    </row>
    <row r="25" spans="2:46" ht="15.75" customHeight="1">
      <c r="D25" s="2"/>
      <c r="E25" s="29" t="s">
        <v>22</v>
      </c>
      <c r="F25" s="30"/>
      <c r="G25" s="30"/>
      <c r="H25" s="31">
        <v>28</v>
      </c>
      <c r="I25" s="31">
        <v>29</v>
      </c>
      <c r="J25" s="31">
        <v>6.7</v>
      </c>
      <c r="K25" s="31">
        <v>6.7</v>
      </c>
      <c r="L25" s="31">
        <v>7.0780000000000003</v>
      </c>
      <c r="M25" s="25">
        <f>N25-L25-K25-J25</f>
        <v>8.8220000000000027</v>
      </c>
      <c r="N25" s="31">
        <v>29.3</v>
      </c>
      <c r="O25" s="31">
        <v>8.4</v>
      </c>
      <c r="P25" s="31">
        <v>9.1999999999999993</v>
      </c>
      <c r="Q25" s="31">
        <v>8.141</v>
      </c>
      <c r="R25" s="31">
        <v>9</v>
      </c>
      <c r="S25" s="25">
        <f>SUM(O25:R25)</f>
        <v>34.741</v>
      </c>
      <c r="T25" s="31">
        <v>9</v>
      </c>
      <c r="U25" s="31">
        <v>9</v>
      </c>
      <c r="V25" s="31">
        <v>9</v>
      </c>
      <c r="W25" s="31">
        <v>9</v>
      </c>
      <c r="X25" s="25">
        <f>SUM(T25:W25)</f>
        <v>36</v>
      </c>
      <c r="Y25" s="31"/>
      <c r="Z25" s="31"/>
      <c r="AA25" s="31"/>
      <c r="AB25" s="18"/>
      <c r="AC25" s="19"/>
      <c r="AD25" s="19"/>
      <c r="AE25" s="20"/>
      <c r="AF25" s="2"/>
      <c r="AG25" s="2"/>
      <c r="AH25" s="5"/>
      <c r="AI25" s="9"/>
      <c r="AJ25" s="6"/>
      <c r="AK25" s="5"/>
      <c r="AL25" s="15"/>
      <c r="AM25" s="16"/>
      <c r="AN25" s="15"/>
      <c r="AO25" s="15"/>
      <c r="AP25" s="15"/>
      <c r="AQ25" s="15"/>
      <c r="AR25" s="15"/>
      <c r="AS25" s="15"/>
      <c r="AT25" s="15"/>
    </row>
    <row r="26" spans="2:46" ht="15.75" customHeight="1">
      <c r="D26" s="2"/>
      <c r="E26" s="29" t="s">
        <v>17</v>
      </c>
      <c r="F26" s="30"/>
      <c r="G26" s="30"/>
      <c r="H26" s="31"/>
      <c r="I26" s="32">
        <f>(I25-H25)/H25</f>
        <v>3.5714285714285712E-2</v>
      </c>
      <c r="J26" s="32"/>
      <c r="K26" s="32"/>
      <c r="L26" s="32"/>
      <c r="M26" s="32"/>
      <c r="N26" s="32">
        <f>(N25-I25)/I25</f>
        <v>1.0344827586206921E-2</v>
      </c>
      <c r="O26" s="33">
        <f>(O25-J25)/J25</f>
        <v>0.2537313432835821</v>
      </c>
      <c r="P26" s="33">
        <f t="shared" ref="P26:R26" si="10">(P25-K25)/K25</f>
        <v>0.37313432835820881</v>
      </c>
      <c r="Q26" s="33">
        <f t="shared" si="10"/>
        <v>0.15018366770274083</v>
      </c>
      <c r="R26" s="33">
        <f t="shared" si="10"/>
        <v>2.0176830650645797E-2</v>
      </c>
      <c r="S26" s="18"/>
      <c r="T26" s="33">
        <f>(T25-O25)/O25</f>
        <v>7.1428571428571383E-2</v>
      </c>
      <c r="U26" s="33">
        <f t="shared" ref="U26:W26" si="11">(U25-P25)/P25</f>
        <v>-2.1739130434782532E-2</v>
      </c>
      <c r="V26" s="33">
        <f t="shared" si="11"/>
        <v>0.10551529296155264</v>
      </c>
      <c r="W26" s="33">
        <f t="shared" si="11"/>
        <v>0</v>
      </c>
      <c r="X26" s="18"/>
      <c r="Y26" s="18"/>
      <c r="Z26" s="18"/>
      <c r="AA26" s="18"/>
      <c r="AB26" s="18"/>
      <c r="AC26" s="19"/>
      <c r="AD26" s="19"/>
      <c r="AE26" s="20"/>
      <c r="AF26" s="2"/>
      <c r="AG26" s="2"/>
      <c r="AH26" s="5"/>
      <c r="AI26" s="9"/>
      <c r="AJ26" s="6"/>
      <c r="AK26" s="5"/>
      <c r="AL26" s="15"/>
      <c r="AM26" s="16"/>
      <c r="AN26" s="15"/>
      <c r="AO26" s="15"/>
      <c r="AP26" s="15"/>
      <c r="AQ26" s="15"/>
      <c r="AR26" s="15"/>
      <c r="AS26" s="15"/>
      <c r="AT26" s="15"/>
    </row>
    <row r="27" spans="2:46" ht="15.75" customHeight="1">
      <c r="D27" s="2"/>
      <c r="E27" s="29" t="s">
        <v>23</v>
      </c>
      <c r="F27" s="30"/>
      <c r="G27" s="30"/>
      <c r="H27" s="31">
        <v>9.1</v>
      </c>
      <c r="I27" s="31">
        <v>9.3000000000000007</v>
      </c>
      <c r="J27" s="31">
        <v>2.2999999999999998</v>
      </c>
      <c r="K27" s="31">
        <v>2.4</v>
      </c>
      <c r="L27" s="31">
        <v>2.5</v>
      </c>
      <c r="M27" s="25">
        <f>N27-L27-K27-J27</f>
        <v>3.1000000000000005</v>
      </c>
      <c r="N27" s="31">
        <v>10.3</v>
      </c>
      <c r="O27" s="31">
        <v>2.8</v>
      </c>
      <c r="P27" s="31">
        <v>2.9</v>
      </c>
      <c r="Q27" s="31">
        <v>2.6</v>
      </c>
      <c r="R27" s="31"/>
      <c r="S27" s="18"/>
      <c r="T27" s="31">
        <f>T28*T25</f>
        <v>2.88</v>
      </c>
      <c r="U27" s="31">
        <f t="shared" ref="U27:W27" si="12">U28*U25</f>
        <v>2.88</v>
      </c>
      <c r="V27" s="31">
        <f t="shared" si="12"/>
        <v>2.88</v>
      </c>
      <c r="W27" s="31">
        <f t="shared" si="12"/>
        <v>2.88</v>
      </c>
      <c r="X27" s="18"/>
      <c r="Y27" s="18"/>
      <c r="Z27" s="18"/>
      <c r="AA27" s="18"/>
      <c r="AB27" s="18"/>
      <c r="AC27" s="19"/>
      <c r="AD27" s="19"/>
      <c r="AE27" s="20"/>
      <c r="AF27" s="2"/>
      <c r="AG27" s="2"/>
      <c r="AH27" s="5"/>
      <c r="AI27" s="9"/>
      <c r="AJ27" s="6"/>
      <c r="AK27" s="5"/>
      <c r="AL27" s="15"/>
      <c r="AM27" s="16"/>
      <c r="AN27" s="15"/>
      <c r="AO27" s="15"/>
      <c r="AP27" s="15"/>
      <c r="AQ27" s="15"/>
      <c r="AR27" s="15"/>
      <c r="AS27" s="15"/>
      <c r="AT27" s="15"/>
    </row>
    <row r="28" spans="2:46" ht="15.75" customHeight="1">
      <c r="D28" s="2"/>
      <c r="E28" s="29" t="s">
        <v>21</v>
      </c>
      <c r="F28" s="30"/>
      <c r="G28" s="30"/>
      <c r="H28" s="40">
        <f>H27/H25</f>
        <v>0.32500000000000001</v>
      </c>
      <c r="I28" s="40">
        <f t="shared" ref="I28:Q28" si="13">I27/I25</f>
        <v>0.32068965517241382</v>
      </c>
      <c r="J28" s="40">
        <f t="shared" si="13"/>
        <v>0.34328358208955223</v>
      </c>
      <c r="K28" s="40">
        <f t="shared" si="13"/>
        <v>0.35820895522388058</v>
      </c>
      <c r="L28" s="40">
        <f t="shared" si="13"/>
        <v>0.35320712065555238</v>
      </c>
      <c r="M28" s="40">
        <f t="shared" si="13"/>
        <v>0.35139424166855582</v>
      </c>
      <c r="N28" s="40">
        <f t="shared" si="13"/>
        <v>0.35153583617747441</v>
      </c>
      <c r="O28" s="36">
        <f t="shared" si="13"/>
        <v>0.33333333333333331</v>
      </c>
      <c r="P28" s="36">
        <f t="shared" si="13"/>
        <v>0.31521739130434784</v>
      </c>
      <c r="Q28" s="36">
        <f t="shared" si="13"/>
        <v>0.31937108463333747</v>
      </c>
      <c r="R28" s="40"/>
      <c r="S28" s="18"/>
      <c r="T28" s="33">
        <v>0.32</v>
      </c>
      <c r="U28" s="33">
        <v>0.32</v>
      </c>
      <c r="V28" s="33">
        <v>0.32</v>
      </c>
      <c r="W28" s="33">
        <v>0.32</v>
      </c>
      <c r="X28" s="18"/>
      <c r="Y28" s="18"/>
      <c r="Z28" s="18"/>
      <c r="AA28" s="18"/>
      <c r="AB28" s="18"/>
      <c r="AC28" s="19"/>
      <c r="AD28" s="19"/>
      <c r="AE28" s="20"/>
      <c r="AF28" s="2"/>
      <c r="AG28" s="2"/>
      <c r="AH28" s="5"/>
      <c r="AI28" s="9"/>
      <c r="AJ28" s="6"/>
      <c r="AK28" s="5"/>
      <c r="AL28" s="15"/>
      <c r="AM28" s="16"/>
      <c r="AN28" s="15"/>
      <c r="AO28" s="15"/>
      <c r="AP28" s="15"/>
      <c r="AQ28" s="15"/>
      <c r="AR28" s="15"/>
      <c r="AS28" s="15"/>
      <c r="AT28" s="15"/>
    </row>
    <row r="29" spans="2:46" ht="15.75" customHeight="1">
      <c r="D29" s="2"/>
      <c r="E29" s="23" t="s">
        <v>24</v>
      </c>
      <c r="F29" s="24"/>
      <c r="G29" s="24"/>
      <c r="H29" s="25">
        <v>9.8000000000000007</v>
      </c>
      <c r="I29" s="25">
        <v>8.5</v>
      </c>
      <c r="J29" s="25">
        <v>1.8</v>
      </c>
      <c r="K29" s="25">
        <v>2.8</v>
      </c>
      <c r="L29" s="25">
        <v>2.9</v>
      </c>
      <c r="M29" s="25">
        <f>N29-L29-K29-J29</f>
        <v>2.8000000000000007</v>
      </c>
      <c r="N29" s="25">
        <v>10.3</v>
      </c>
      <c r="O29" s="25">
        <v>2.2999999999999998</v>
      </c>
      <c r="P29" s="25">
        <v>3.1</v>
      </c>
      <c r="Q29" s="25">
        <v>3.1</v>
      </c>
      <c r="R29" s="25">
        <f>R42-R20-R25</f>
        <v>3</v>
      </c>
      <c r="S29" s="25">
        <f>SUM(O29:R29)</f>
        <v>11.5</v>
      </c>
      <c r="T29" s="25">
        <v>3</v>
      </c>
      <c r="U29" s="25">
        <v>4</v>
      </c>
      <c r="V29" s="25">
        <v>4.5</v>
      </c>
      <c r="W29" s="25">
        <v>5.5</v>
      </c>
      <c r="X29" s="25">
        <f>SUM(T29:W29)</f>
        <v>17</v>
      </c>
      <c r="Y29" s="25"/>
      <c r="Z29" s="25"/>
      <c r="AA29" s="25"/>
      <c r="AB29" s="26"/>
      <c r="AC29" s="27"/>
      <c r="AD29" s="27"/>
      <c r="AE29" s="28"/>
      <c r="AF29" s="2"/>
      <c r="AG29" s="2"/>
      <c r="AH29" s="5"/>
      <c r="AI29" s="9"/>
      <c r="AJ29" s="6"/>
      <c r="AK29" s="5"/>
      <c r="AL29" s="15"/>
      <c r="AM29" s="16"/>
      <c r="AN29" s="15"/>
      <c r="AO29" s="15"/>
      <c r="AP29" s="15"/>
      <c r="AQ29" s="15"/>
      <c r="AR29" s="15"/>
      <c r="AS29" s="15"/>
      <c r="AT29" s="15"/>
    </row>
    <row r="30" spans="2:46" ht="15.75" customHeight="1">
      <c r="D30" s="2"/>
      <c r="E30" s="29" t="s">
        <v>17</v>
      </c>
      <c r="F30" s="30"/>
      <c r="G30" s="30"/>
      <c r="H30" s="31"/>
      <c r="I30" s="32">
        <f>(I29-H29)/H29</f>
        <v>-0.13265306122448986</v>
      </c>
      <c r="J30" s="32"/>
      <c r="K30" s="32"/>
      <c r="L30" s="32"/>
      <c r="M30" s="32"/>
      <c r="N30" s="32">
        <f>(N29-I29)/I29</f>
        <v>0.21176470588235302</v>
      </c>
      <c r="O30" s="33">
        <f>(O29-J29)/J29</f>
        <v>0.27777777777777762</v>
      </c>
      <c r="P30" s="33">
        <f t="shared" ref="P30:R30" si="14">(P29-K29)/K29</f>
        <v>0.10714285714285725</v>
      </c>
      <c r="Q30" s="33">
        <f t="shared" si="14"/>
        <v>6.8965517241379379E-2</v>
      </c>
      <c r="R30" s="33">
        <f t="shared" si="14"/>
        <v>7.1428571428571161E-2</v>
      </c>
      <c r="S30" s="31"/>
      <c r="T30" s="33">
        <f>(T29-O29)/O29</f>
        <v>0.3043478260869566</v>
      </c>
      <c r="U30" s="33">
        <f t="shared" ref="U30:W30" si="15">(U29-P29)/P29</f>
        <v>0.29032258064516125</v>
      </c>
      <c r="V30" s="33">
        <f t="shared" si="15"/>
        <v>0.45161290322580638</v>
      </c>
      <c r="W30" s="33">
        <f t="shared" si="15"/>
        <v>0.83333333333333337</v>
      </c>
      <c r="X30" s="31"/>
      <c r="Y30" s="31"/>
      <c r="Z30" s="31"/>
      <c r="AA30" s="31"/>
      <c r="AB30" s="18"/>
      <c r="AC30" s="19"/>
      <c r="AD30" s="19"/>
      <c r="AE30" s="20"/>
      <c r="AF30" s="2"/>
      <c r="AG30" s="2"/>
      <c r="AH30" s="5"/>
      <c r="AI30" s="9"/>
      <c r="AJ30" s="6"/>
      <c r="AK30" s="5"/>
      <c r="AL30" s="15"/>
      <c r="AM30" s="16"/>
      <c r="AN30" s="15"/>
      <c r="AO30" s="15"/>
      <c r="AP30" s="15"/>
      <c r="AQ30" s="15"/>
      <c r="AR30" s="15"/>
      <c r="AS30" s="15"/>
      <c r="AT30" s="15"/>
    </row>
    <row r="31" spans="2:46" ht="15.75" customHeight="1">
      <c r="D31" s="2"/>
      <c r="E31" s="29" t="s">
        <v>25</v>
      </c>
      <c r="F31" s="30"/>
      <c r="G31" s="30"/>
      <c r="H31" s="31">
        <v>2.4</v>
      </c>
      <c r="I31" s="31">
        <v>2.1</v>
      </c>
      <c r="J31" s="31">
        <v>0.104</v>
      </c>
      <c r="K31" s="31">
        <v>0.71299999999999997</v>
      </c>
      <c r="L31" s="31">
        <v>0.96499999999999997</v>
      </c>
      <c r="M31" s="25">
        <f>N31-L31-K31-J31</f>
        <v>0.81800000000000028</v>
      </c>
      <c r="N31" s="31">
        <v>2.6</v>
      </c>
      <c r="O31" s="31">
        <v>0.54800000000000004</v>
      </c>
      <c r="P31" s="31">
        <v>0.76</v>
      </c>
      <c r="Q31" s="31">
        <v>0.8</v>
      </c>
      <c r="R31" s="31"/>
      <c r="S31" s="31"/>
      <c r="T31" s="31">
        <f>T32*T29</f>
        <v>0.75</v>
      </c>
      <c r="U31" s="31">
        <f t="shared" ref="U31:W31" si="16">U32*U29</f>
        <v>1</v>
      </c>
      <c r="V31" s="31">
        <f t="shared" si="16"/>
        <v>1.125</v>
      </c>
      <c r="W31" s="31">
        <f t="shared" si="16"/>
        <v>1.375</v>
      </c>
      <c r="X31" s="31"/>
      <c r="Y31" s="31"/>
      <c r="Z31" s="31"/>
      <c r="AA31" s="31"/>
      <c r="AB31" s="18"/>
      <c r="AC31" s="19"/>
      <c r="AD31" s="19"/>
      <c r="AE31" s="20"/>
      <c r="AF31" s="2"/>
      <c r="AG31" s="2"/>
      <c r="AH31" s="5"/>
      <c r="AI31" s="9"/>
      <c r="AJ31" s="6"/>
      <c r="AK31" s="5"/>
      <c r="AL31" s="15"/>
      <c r="AM31" s="16"/>
      <c r="AN31" s="15"/>
      <c r="AO31" s="15"/>
      <c r="AP31" s="15"/>
      <c r="AQ31" s="15"/>
      <c r="AR31" s="15"/>
      <c r="AS31" s="15"/>
      <c r="AT31" s="15"/>
    </row>
    <row r="32" spans="2:46" ht="15.75" customHeight="1">
      <c r="D32" s="2"/>
      <c r="E32" s="34" t="s">
        <v>21</v>
      </c>
      <c r="F32" s="41"/>
      <c r="G32" s="35"/>
      <c r="H32" s="36">
        <f>H31/H29</f>
        <v>0.24489795918367344</v>
      </c>
      <c r="I32" s="36">
        <f t="shared" ref="I32:Q32" si="17">I31/I29</f>
        <v>0.24705882352941178</v>
      </c>
      <c r="J32" s="36">
        <f t="shared" si="17"/>
        <v>5.7777777777777775E-2</v>
      </c>
      <c r="K32" s="36">
        <f t="shared" si="17"/>
        <v>0.25464285714285717</v>
      </c>
      <c r="L32" s="36">
        <f t="shared" si="17"/>
        <v>0.33275862068965517</v>
      </c>
      <c r="M32" s="36">
        <f t="shared" si="17"/>
        <v>0.29214285714285715</v>
      </c>
      <c r="N32" s="36">
        <f t="shared" si="17"/>
        <v>0.25242718446601942</v>
      </c>
      <c r="O32" s="36">
        <f t="shared" si="17"/>
        <v>0.23826086956521741</v>
      </c>
      <c r="P32" s="36">
        <f t="shared" si="17"/>
        <v>0.24516129032258063</v>
      </c>
      <c r="Q32" s="36">
        <f t="shared" si="17"/>
        <v>0.25806451612903225</v>
      </c>
      <c r="R32" s="36"/>
      <c r="S32" s="41"/>
      <c r="T32" s="33">
        <v>0.25</v>
      </c>
      <c r="U32" s="33">
        <v>0.25</v>
      </c>
      <c r="V32" s="33">
        <v>0.25</v>
      </c>
      <c r="W32" s="33">
        <v>0.25</v>
      </c>
      <c r="X32" s="41"/>
      <c r="Y32" s="41"/>
      <c r="Z32" s="41"/>
      <c r="AA32" s="41"/>
      <c r="AB32" s="37"/>
      <c r="AC32" s="38"/>
      <c r="AD32" s="38"/>
      <c r="AE32" s="39"/>
      <c r="AF32" s="2"/>
      <c r="AG32" s="2"/>
      <c r="AH32" s="5"/>
      <c r="AI32" s="9"/>
      <c r="AJ32" s="6"/>
      <c r="AK32" s="5"/>
      <c r="AL32" s="15"/>
      <c r="AM32" s="16"/>
      <c r="AN32" s="15"/>
      <c r="AO32" s="15"/>
      <c r="AP32" s="15"/>
      <c r="AQ32" s="15"/>
      <c r="AR32" s="15"/>
      <c r="AS32" s="15"/>
      <c r="AT32" s="15"/>
    </row>
    <row r="33" spans="4:46" ht="15.75" customHeight="1">
      <c r="D33" s="2"/>
      <c r="E33" s="29"/>
      <c r="F33" s="30"/>
      <c r="G33" s="30"/>
      <c r="H33" s="31"/>
      <c r="I33" s="32"/>
      <c r="J33" s="32"/>
      <c r="K33" s="32"/>
      <c r="L33" s="32"/>
      <c r="M33" s="32"/>
      <c r="N33" s="32"/>
      <c r="O33" s="32"/>
      <c r="P33" s="32"/>
      <c r="Q33" s="32" t="s">
        <v>26</v>
      </c>
      <c r="R33" s="3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9"/>
      <c r="AD33" s="19"/>
      <c r="AE33" s="20"/>
      <c r="AF33" s="2"/>
      <c r="AG33" s="2"/>
      <c r="AH33" s="5"/>
      <c r="AI33" s="9"/>
      <c r="AJ33" s="6"/>
      <c r="AK33" s="5"/>
      <c r="AL33" s="15"/>
      <c r="AM33" s="16"/>
      <c r="AN33" s="15"/>
      <c r="AO33" s="15"/>
      <c r="AP33" s="15"/>
      <c r="AQ33" s="15"/>
      <c r="AR33" s="15"/>
      <c r="AS33" s="15"/>
      <c r="AT33" s="15"/>
    </row>
    <row r="34" spans="4:46" ht="15.75" customHeight="1">
      <c r="D34" s="2"/>
      <c r="E34" s="17" t="s">
        <v>27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9"/>
      <c r="AD34" s="19"/>
      <c r="AE34" s="20"/>
      <c r="AF34" s="2"/>
      <c r="AG34" s="2"/>
      <c r="AH34" s="5"/>
      <c r="AI34" s="9"/>
      <c r="AJ34" s="6"/>
      <c r="AK34" s="5"/>
      <c r="AL34" s="15"/>
      <c r="AM34" s="16"/>
      <c r="AN34" s="15"/>
      <c r="AO34" s="15"/>
      <c r="AP34" s="15"/>
      <c r="AQ34" s="15"/>
      <c r="AR34" s="15"/>
      <c r="AS34" s="15"/>
      <c r="AT34" s="15"/>
    </row>
    <row r="35" spans="4:46" ht="15.75" customHeight="1">
      <c r="D35" s="2"/>
      <c r="E35" s="29" t="s">
        <v>28</v>
      </c>
      <c r="F35" s="30"/>
      <c r="G35" s="30"/>
      <c r="H35" s="31">
        <v>40.299999999999997</v>
      </c>
      <c r="I35" s="31">
        <v>38.299999999999997</v>
      </c>
      <c r="J35" s="31"/>
      <c r="K35" s="31"/>
      <c r="L35" s="31"/>
      <c r="M35" s="31"/>
      <c r="N35" s="31">
        <v>46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8"/>
      <c r="AC35" s="19"/>
      <c r="AD35" s="19"/>
      <c r="AE35" s="20"/>
      <c r="AF35" s="2"/>
      <c r="AG35" s="2"/>
      <c r="AH35" s="5"/>
      <c r="AI35" s="9"/>
      <c r="AJ35" s="6"/>
      <c r="AK35" s="5"/>
      <c r="AL35" s="15"/>
      <c r="AM35" s="16"/>
      <c r="AN35" s="15"/>
      <c r="AO35" s="15"/>
      <c r="AP35" s="15"/>
      <c r="AQ35" s="15"/>
      <c r="AR35" s="15"/>
      <c r="AS35" s="15"/>
      <c r="AT35" s="15"/>
    </row>
    <row r="36" spans="4:46" ht="15.75" customHeight="1">
      <c r="D36" s="2"/>
      <c r="E36" s="29" t="s">
        <v>21</v>
      </c>
      <c r="F36" s="30"/>
      <c r="G36" s="30"/>
      <c r="H36" s="40">
        <f>H35/H20</f>
        <v>0.31264546159813805</v>
      </c>
      <c r="I36" s="40">
        <f t="shared" ref="I36:N36" si="18">I35/I20</f>
        <v>0.32347972972972971</v>
      </c>
      <c r="J36" s="40"/>
      <c r="K36" s="40"/>
      <c r="L36" s="40"/>
      <c r="M36" s="40"/>
      <c r="N36" s="40">
        <f t="shared" si="18"/>
        <v>0.33503277494537509</v>
      </c>
      <c r="O36" s="40"/>
      <c r="P36" s="40"/>
      <c r="Q36" s="40"/>
      <c r="R36" s="4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9"/>
      <c r="AD36" s="19"/>
      <c r="AE36" s="20"/>
      <c r="AF36" s="2"/>
      <c r="AG36" s="2"/>
      <c r="AH36" s="5"/>
      <c r="AI36" s="9"/>
      <c r="AJ36" s="6"/>
      <c r="AK36" s="5"/>
      <c r="AL36" s="15"/>
      <c r="AM36" s="16"/>
      <c r="AN36" s="15"/>
      <c r="AO36" s="15"/>
      <c r="AP36" s="15"/>
      <c r="AQ36" s="15"/>
      <c r="AR36" s="15"/>
      <c r="AS36" s="15"/>
      <c r="AT36" s="15"/>
    </row>
    <row r="37" spans="4:46" ht="15.75" customHeight="1">
      <c r="D37" s="2"/>
      <c r="E37" s="29" t="s">
        <v>29</v>
      </c>
      <c r="F37" s="30"/>
      <c r="G37" s="30"/>
      <c r="H37" s="31">
        <v>9.1</v>
      </c>
      <c r="I37" s="31">
        <v>9.3000000000000007</v>
      </c>
      <c r="J37" s="31"/>
      <c r="K37" s="31"/>
      <c r="L37" s="31"/>
      <c r="M37" s="31"/>
      <c r="N37" s="31">
        <v>10.3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8"/>
      <c r="AC37" s="19"/>
      <c r="AD37" s="19"/>
      <c r="AE37" s="20"/>
      <c r="AF37" s="2"/>
      <c r="AG37" s="2"/>
      <c r="AH37" s="5"/>
      <c r="AI37" s="9"/>
      <c r="AJ37" s="6"/>
      <c r="AK37" s="5"/>
      <c r="AL37" s="15"/>
      <c r="AM37" s="16"/>
      <c r="AN37" s="15"/>
      <c r="AO37" s="15"/>
      <c r="AP37" s="15"/>
      <c r="AQ37" s="15"/>
      <c r="AR37" s="15"/>
      <c r="AS37" s="15"/>
      <c r="AT37" s="15"/>
    </row>
    <row r="38" spans="4:46" ht="15.75" customHeight="1">
      <c r="D38" s="2"/>
      <c r="E38" s="29" t="s">
        <v>21</v>
      </c>
      <c r="F38" s="30"/>
      <c r="G38" s="30"/>
      <c r="H38" s="40">
        <f>H37/H25</f>
        <v>0.32500000000000001</v>
      </c>
      <c r="I38" s="40">
        <f t="shared" ref="I38:N38" si="19">I37/I25</f>
        <v>0.32068965517241382</v>
      </c>
      <c r="J38" s="40"/>
      <c r="K38" s="40"/>
      <c r="L38" s="40"/>
      <c r="M38" s="40"/>
      <c r="N38" s="40">
        <f t="shared" si="19"/>
        <v>0.35153583617747441</v>
      </c>
      <c r="O38" s="40"/>
      <c r="P38" s="40"/>
      <c r="Q38" s="40"/>
      <c r="R38" s="4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9"/>
      <c r="AD38" s="19"/>
      <c r="AE38" s="20"/>
      <c r="AF38" s="2"/>
      <c r="AG38" s="2"/>
      <c r="AH38" s="5"/>
      <c r="AI38" s="9"/>
      <c r="AJ38" s="6"/>
      <c r="AK38" s="5"/>
      <c r="AL38" s="15"/>
      <c r="AM38" s="16"/>
      <c r="AN38" s="15"/>
      <c r="AO38" s="15"/>
      <c r="AP38" s="15"/>
      <c r="AQ38" s="15"/>
      <c r="AR38" s="15"/>
      <c r="AS38" s="15"/>
      <c r="AT38" s="15"/>
    </row>
    <row r="39" spans="4:46" ht="15.75" customHeight="1">
      <c r="D39" s="2"/>
      <c r="E39" s="29" t="s">
        <v>30</v>
      </c>
      <c r="F39" s="30"/>
      <c r="G39" s="30"/>
      <c r="H39" s="31">
        <v>2.4</v>
      </c>
      <c r="I39" s="31">
        <v>2.1</v>
      </c>
      <c r="J39" s="31"/>
      <c r="K39" s="31"/>
      <c r="L39" s="31"/>
      <c r="M39" s="31"/>
      <c r="N39" s="31">
        <v>2.6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0"/>
      <c r="AC39" s="18"/>
      <c r="AD39" s="42"/>
      <c r="AE39" s="20"/>
      <c r="AF39" s="2"/>
      <c r="AG39" s="2"/>
      <c r="AH39" s="5"/>
      <c r="AI39" s="43"/>
      <c r="AJ39" s="44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4:46" ht="15.75" customHeight="1">
      <c r="D40" s="2"/>
      <c r="E40" s="29" t="s">
        <v>21</v>
      </c>
      <c r="F40" s="31"/>
      <c r="G40" s="30"/>
      <c r="H40" s="40">
        <f>H39/H29</f>
        <v>0.24489795918367344</v>
      </c>
      <c r="I40" s="40">
        <f t="shared" ref="I40:N40" si="20">I39/I29</f>
        <v>0.24705882352941178</v>
      </c>
      <c r="J40" s="40"/>
      <c r="K40" s="40"/>
      <c r="L40" s="40"/>
      <c r="M40" s="40"/>
      <c r="N40" s="40">
        <f t="shared" si="20"/>
        <v>0.25242718446601942</v>
      </c>
      <c r="O40" s="40"/>
      <c r="P40" s="40"/>
      <c r="Q40" s="40"/>
      <c r="R40" s="4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18"/>
      <c r="AD40" s="42"/>
      <c r="AE40" s="20"/>
      <c r="AF40" s="2"/>
      <c r="AG40" s="2"/>
      <c r="AH40" s="5"/>
      <c r="AI40" s="43"/>
      <c r="AJ40" s="44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4:46" ht="15.75" customHeight="1">
      <c r="D41" s="2"/>
      <c r="E41" s="29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>
        <f>S29+S25+S20</f>
        <v>224.94099999999997</v>
      </c>
      <c r="T41" s="45">
        <v>0.22</v>
      </c>
      <c r="U41" s="45">
        <v>0.25</v>
      </c>
      <c r="V41" s="45">
        <v>0.27</v>
      </c>
      <c r="W41" s="45">
        <v>0.32</v>
      </c>
      <c r="X41" s="30">
        <f>X29+X25+X20</f>
        <v>300.39999999999998</v>
      </c>
      <c r="Y41" s="30"/>
      <c r="Z41" s="30"/>
      <c r="AA41" s="30"/>
      <c r="AB41" s="30"/>
      <c r="AC41" s="18"/>
      <c r="AD41" s="42"/>
      <c r="AE41" s="20"/>
      <c r="AF41" s="2"/>
      <c r="AG41" s="2"/>
      <c r="AH41" s="5"/>
      <c r="AI41" s="43"/>
      <c r="AJ41" s="44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4:46" ht="15.75" customHeight="1">
      <c r="D42" s="2"/>
      <c r="E42" s="29" t="s">
        <v>31</v>
      </c>
      <c r="F42" s="30"/>
      <c r="G42" s="30"/>
      <c r="H42" s="30">
        <v>167</v>
      </c>
      <c r="I42" s="30">
        <v>156</v>
      </c>
      <c r="J42" s="30">
        <f t="shared" ref="J42:L42" si="21">J20+J25+J29</f>
        <v>38.699999999999996</v>
      </c>
      <c r="K42" s="30">
        <f t="shared" si="21"/>
        <v>42.5</v>
      </c>
      <c r="L42" s="30">
        <f t="shared" si="21"/>
        <v>45.178000000000004</v>
      </c>
      <c r="M42" s="30">
        <f>M20+M25+M29</f>
        <v>50.522000000000006</v>
      </c>
      <c r="N42" s="30">
        <v>177</v>
      </c>
      <c r="O42" s="30">
        <f>O20+O25+O29</f>
        <v>53.699999999999996</v>
      </c>
      <c r="P42" s="30">
        <f t="shared" ref="P42:Q42" si="22">P20+P25+P29</f>
        <v>54.000000000000007</v>
      </c>
      <c r="Q42" s="30">
        <f t="shared" si="22"/>
        <v>55.241</v>
      </c>
      <c r="R42" s="30">
        <v>62</v>
      </c>
      <c r="S42" s="30">
        <v>220</v>
      </c>
      <c r="T42" s="30">
        <f>T20+T25+T29</f>
        <v>66.599999999999994</v>
      </c>
      <c r="U42" s="30">
        <f t="shared" ref="U42:W42" si="23">U20+U25+U29</f>
        <v>69</v>
      </c>
      <c r="V42" s="30">
        <f t="shared" si="23"/>
        <v>73.5</v>
      </c>
      <c r="W42" s="30">
        <f t="shared" si="23"/>
        <v>91.3</v>
      </c>
      <c r="X42" s="30">
        <f>SUM(T42:W42)</f>
        <v>300.39999999999998</v>
      </c>
      <c r="Y42" s="30">
        <v>335</v>
      </c>
      <c r="Z42" s="30">
        <v>400</v>
      </c>
      <c r="AA42" s="30">
        <v>470</v>
      </c>
      <c r="AB42" s="30"/>
      <c r="AC42" s="46" t="str">
        <f>E2</f>
        <v>ABNB</v>
      </c>
      <c r="AD42" s="47" t="s">
        <v>32</v>
      </c>
      <c r="AE42" s="20"/>
      <c r="AF42" s="2"/>
      <c r="AG42" s="2"/>
      <c r="AH42" s="5"/>
      <c r="AI42" s="43"/>
      <c r="AJ42" s="44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4:46" ht="15.75" customHeight="1">
      <c r="D43" s="2"/>
      <c r="E43" s="29" t="s">
        <v>17</v>
      </c>
      <c r="F43" s="32"/>
      <c r="G43" s="32"/>
      <c r="H43" s="32"/>
      <c r="I43" s="32">
        <f t="shared" ref="I43:AA43" si="24">(I42-H42)/H42</f>
        <v>-6.5868263473053898E-2</v>
      </c>
      <c r="J43" s="32"/>
      <c r="K43" s="32"/>
      <c r="L43" s="32"/>
      <c r="M43" s="32"/>
      <c r="N43" s="32">
        <f>(N42-I42)/I42</f>
        <v>0.13461538461538461</v>
      </c>
      <c r="O43" s="32">
        <f t="shared" ref="O43:Q43" si="25">(O42-J42)/J42</f>
        <v>0.38759689922480622</v>
      </c>
      <c r="P43" s="32">
        <f t="shared" si="25"/>
        <v>0.2705882352941178</v>
      </c>
      <c r="Q43" s="32">
        <f t="shared" si="25"/>
        <v>0.22274115720040716</v>
      </c>
      <c r="R43" s="32">
        <f>(R42-M42)/M42</f>
        <v>0.22718815565496206</v>
      </c>
      <c r="S43" s="32">
        <f>(S42-N42)/N42</f>
        <v>0.24293785310734464</v>
      </c>
      <c r="T43" s="32">
        <f t="shared" ref="T43:V43" si="26">(T42-O42)/O42</f>
        <v>0.24022346368715083</v>
      </c>
      <c r="U43" s="32">
        <f t="shared" si="26"/>
        <v>0.27777777777777762</v>
      </c>
      <c r="V43" s="32">
        <f t="shared" si="26"/>
        <v>0.33053348056697018</v>
      </c>
      <c r="W43" s="32">
        <f>(W42-R42)/R42</f>
        <v>0.47258064516129028</v>
      </c>
      <c r="X43" s="32">
        <f>(X42-S42)/S42</f>
        <v>0.36545454545454537</v>
      </c>
      <c r="Y43" s="32">
        <f t="shared" si="24"/>
        <v>0.11517976031957398</v>
      </c>
      <c r="Z43" s="32">
        <f t="shared" si="24"/>
        <v>0.19402985074626866</v>
      </c>
      <c r="AA43" s="32">
        <f t="shared" si="24"/>
        <v>0.17499999999999999</v>
      </c>
      <c r="AB43" s="32"/>
      <c r="AC43" s="46" t="s">
        <v>33</v>
      </c>
      <c r="AD43" s="47" t="s">
        <v>34</v>
      </c>
      <c r="AE43" s="20"/>
      <c r="AF43" s="2"/>
      <c r="AG43" s="2"/>
      <c r="AH43" s="5"/>
      <c r="AI43" s="48"/>
      <c r="AJ43" s="6"/>
      <c r="AK43" s="5"/>
      <c r="AL43" s="49"/>
      <c r="AM43" s="49"/>
      <c r="AN43" s="49"/>
      <c r="AO43" s="49"/>
      <c r="AP43" s="49"/>
      <c r="AQ43" s="49"/>
      <c r="AR43" s="49"/>
      <c r="AS43" s="49"/>
      <c r="AT43" s="49"/>
    </row>
    <row r="44" spans="4:46" ht="15.75" customHeight="1">
      <c r="D44" s="2"/>
      <c r="E44" s="29" t="s">
        <v>35</v>
      </c>
      <c r="F44" s="50"/>
      <c r="G44" s="50"/>
      <c r="H44" s="50">
        <f>H45/H42</f>
        <v>0.31137724550898205</v>
      </c>
      <c r="I44" s="50">
        <f>I45/I42</f>
        <v>0.32051282051282054</v>
      </c>
      <c r="J44" s="50"/>
      <c r="K44" s="50"/>
      <c r="L44" s="50"/>
      <c r="M44" s="50"/>
      <c r="N44" s="50">
        <f>N45/N42</f>
        <v>0.33333333333333331</v>
      </c>
      <c r="O44" s="50"/>
      <c r="P44" s="50"/>
      <c r="Q44" s="50"/>
      <c r="R44" s="50"/>
      <c r="S44" s="50">
        <f t="shared" ref="S44:X44" si="27">S45/S42</f>
        <v>0.32727272727272727</v>
      </c>
      <c r="T44" s="32">
        <f t="shared" si="27"/>
        <v>0.31684684684684689</v>
      </c>
      <c r="U44" s="32">
        <f t="shared" si="27"/>
        <v>0.31594202898550727</v>
      </c>
      <c r="V44" s="32">
        <f t="shared" si="27"/>
        <v>0.31571428571428567</v>
      </c>
      <c r="W44" s="32">
        <f t="shared" si="27"/>
        <v>0.31578313253012047</v>
      </c>
      <c r="X44" s="50">
        <f t="shared" si="27"/>
        <v>0.31603861517976034</v>
      </c>
      <c r="Y44" s="50">
        <v>0.33</v>
      </c>
      <c r="Z44" s="50">
        <v>0.33</v>
      </c>
      <c r="AA44" s="50">
        <v>0.33</v>
      </c>
      <c r="AB44" s="32"/>
      <c r="AC44" s="51">
        <f>AVERAGE(H43:Z43)</f>
        <v>0.24396992466696751</v>
      </c>
      <c r="AD44" s="52" t="s">
        <v>36</v>
      </c>
      <c r="AE44" s="20"/>
      <c r="AF44" s="2"/>
      <c r="AG44" s="2"/>
      <c r="AH44" s="5"/>
      <c r="AI44" s="48"/>
      <c r="AJ44" s="6"/>
      <c r="AK44" s="5"/>
      <c r="AL44" s="5"/>
      <c r="AM44" s="49"/>
      <c r="AN44" s="49"/>
      <c r="AO44" s="49"/>
      <c r="AP44" s="49"/>
      <c r="AQ44" s="49"/>
      <c r="AR44" s="49"/>
      <c r="AS44" s="49"/>
      <c r="AT44" s="49"/>
    </row>
    <row r="45" spans="4:46" ht="15.75" customHeight="1">
      <c r="D45" s="2"/>
      <c r="E45" s="29" t="s">
        <v>37</v>
      </c>
      <c r="F45" s="30"/>
      <c r="G45" s="30"/>
      <c r="H45" s="30">
        <v>52</v>
      </c>
      <c r="I45" s="30">
        <v>50</v>
      </c>
      <c r="J45" s="30"/>
      <c r="K45" s="30"/>
      <c r="L45" s="30"/>
      <c r="M45" s="30"/>
      <c r="N45" s="30">
        <v>59</v>
      </c>
      <c r="O45" s="30"/>
      <c r="P45" s="30"/>
      <c r="Q45" s="30"/>
      <c r="R45" s="30"/>
      <c r="S45" s="30">
        <v>72</v>
      </c>
      <c r="T45" s="30">
        <f>T23+T27+T31</f>
        <v>21.102</v>
      </c>
      <c r="U45" s="30">
        <f t="shared" ref="U45:W45" si="28">U23+U27+U31</f>
        <v>21.8</v>
      </c>
      <c r="V45" s="30">
        <f t="shared" si="28"/>
        <v>23.204999999999998</v>
      </c>
      <c r="W45" s="30">
        <f t="shared" si="28"/>
        <v>28.831</v>
      </c>
      <c r="X45" s="30">
        <f>SUM(T45:W45)</f>
        <v>94.938000000000002</v>
      </c>
      <c r="Y45" s="30">
        <f>Y42*Y44</f>
        <v>110.55000000000001</v>
      </c>
      <c r="Z45" s="30">
        <f>Z42*Z44</f>
        <v>132</v>
      </c>
      <c r="AA45" s="30">
        <f>AA42*AA44</f>
        <v>155.1</v>
      </c>
      <c r="AB45" s="30"/>
      <c r="AC45" s="53">
        <f>N1</f>
        <v>91.3</v>
      </c>
      <c r="AD45" s="52" t="s">
        <v>38</v>
      </c>
      <c r="AE45" s="2"/>
      <c r="AF45" s="54"/>
      <c r="AG45" s="2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4:46" ht="15.75" customHeight="1">
      <c r="D46" s="2"/>
      <c r="E46" s="2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X46" s="32"/>
      <c r="Y46" s="32"/>
      <c r="Z46" s="32"/>
      <c r="AA46" s="32"/>
      <c r="AB46" s="32"/>
      <c r="AC46" s="55">
        <f>11.7+2.1</f>
        <v>13.799999999999999</v>
      </c>
      <c r="AD46" s="52" t="s">
        <v>39</v>
      </c>
      <c r="AE46" s="2"/>
      <c r="AF46" s="54"/>
      <c r="AG46" s="2"/>
      <c r="AH46" s="92"/>
      <c r="AI46" s="93"/>
      <c r="AJ46" s="6"/>
      <c r="AK46" s="5"/>
      <c r="AL46" s="56"/>
      <c r="AM46" s="56"/>
      <c r="AN46" s="56"/>
      <c r="AO46" s="56"/>
      <c r="AP46" s="56"/>
      <c r="AQ46" s="56"/>
      <c r="AR46" s="56"/>
      <c r="AS46" s="56"/>
      <c r="AT46" s="56"/>
    </row>
    <row r="47" spans="4:46" ht="15.75" customHeight="1">
      <c r="D47" s="2"/>
      <c r="E47" s="29"/>
      <c r="F47" s="3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0"/>
      <c r="AC47" s="51">
        <v>0.01</v>
      </c>
      <c r="AD47" s="52" t="s">
        <v>40</v>
      </c>
      <c r="AE47" s="20"/>
      <c r="AF47" s="2"/>
      <c r="AG47" s="2"/>
      <c r="AH47" s="94"/>
      <c r="AI47" s="93"/>
      <c r="AJ47" s="6"/>
      <c r="AK47" s="5"/>
      <c r="AL47" s="5"/>
      <c r="AM47" s="56"/>
      <c r="AN47" s="56"/>
      <c r="AO47" s="56"/>
      <c r="AP47" s="56"/>
      <c r="AQ47" s="56"/>
      <c r="AR47" s="56"/>
      <c r="AS47" s="56"/>
      <c r="AT47" s="56"/>
    </row>
    <row r="48" spans="4:46" ht="15.75" customHeight="1">
      <c r="D48" s="2"/>
      <c r="E48" s="29" t="s">
        <v>41</v>
      </c>
      <c r="F48" s="32"/>
      <c r="G48" s="32"/>
      <c r="H48" s="32">
        <f>H49/H42</f>
        <v>0.31137724550898205</v>
      </c>
      <c r="I48" s="32">
        <f>I49/I42</f>
        <v>0.32692307692307693</v>
      </c>
      <c r="J48" s="32"/>
      <c r="K48" s="32"/>
      <c r="L48" s="32"/>
      <c r="M48" s="32"/>
      <c r="N48" s="32">
        <f>N49/N42</f>
        <v>0.31638418079096048</v>
      </c>
      <c r="O48" s="32"/>
      <c r="P48" s="32"/>
      <c r="Q48" s="32">
        <f>Q49/V42</f>
        <v>0.18911564625850341</v>
      </c>
      <c r="R48" s="32"/>
      <c r="S48" s="32">
        <v>0.31</v>
      </c>
      <c r="T48" s="32">
        <v>0.2</v>
      </c>
      <c r="U48" s="32">
        <v>0.2</v>
      </c>
      <c r="V48" s="32">
        <v>0.2</v>
      </c>
      <c r="W48" s="32">
        <v>0.2</v>
      </c>
      <c r="X48" s="32">
        <f>X49/X42</f>
        <v>0.2</v>
      </c>
      <c r="Y48" s="32">
        <v>0.28999999999999998</v>
      </c>
      <c r="Z48" s="32">
        <v>0.28000000000000003</v>
      </c>
      <c r="AA48" s="32">
        <v>0.27</v>
      </c>
      <c r="AB48" s="32"/>
      <c r="AC48" s="57">
        <f>AC46*AC45</f>
        <v>1259.9399999999998</v>
      </c>
      <c r="AD48" s="52" t="s">
        <v>42</v>
      </c>
      <c r="AE48" s="20"/>
      <c r="AF48" s="2"/>
      <c r="AG48" s="2"/>
      <c r="AH48" s="94"/>
      <c r="AI48" s="93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4:46" ht="16" customHeight="1">
      <c r="D49" s="2"/>
      <c r="E49" s="29" t="s">
        <v>43</v>
      </c>
      <c r="F49" s="30"/>
      <c r="G49" s="30"/>
      <c r="H49" s="30">
        <v>52</v>
      </c>
      <c r="I49" s="30">
        <v>51</v>
      </c>
      <c r="J49" s="30"/>
      <c r="K49" s="30"/>
      <c r="L49" s="30"/>
      <c r="M49" s="30"/>
      <c r="N49" s="30">
        <v>56</v>
      </c>
      <c r="O49" s="30"/>
      <c r="P49" s="30"/>
      <c r="Q49" s="30">
        <v>13.9</v>
      </c>
      <c r="R49" s="30"/>
      <c r="S49" s="30">
        <f t="shared" ref="S49:AA49" si="29">S48*S42</f>
        <v>68.2</v>
      </c>
      <c r="T49" s="30">
        <f>T42*T48</f>
        <v>13.32</v>
      </c>
      <c r="U49" s="30">
        <f t="shared" ref="U49:W49" si="30">U42*U48</f>
        <v>13.8</v>
      </c>
      <c r="V49" s="30">
        <f t="shared" si="30"/>
        <v>14.700000000000001</v>
      </c>
      <c r="W49" s="30">
        <f t="shared" si="30"/>
        <v>18.260000000000002</v>
      </c>
      <c r="X49" s="30">
        <f>SUM(T49:W49)</f>
        <v>60.08</v>
      </c>
      <c r="Y49" s="30">
        <f t="shared" si="29"/>
        <v>97.149999999999991</v>
      </c>
      <c r="Z49" s="30">
        <f t="shared" si="29"/>
        <v>112.00000000000001</v>
      </c>
      <c r="AA49" s="30">
        <f t="shared" si="29"/>
        <v>126.9</v>
      </c>
      <c r="AB49" s="30"/>
      <c r="AC49" s="57">
        <v>39</v>
      </c>
      <c r="AD49" s="52" t="s">
        <v>44</v>
      </c>
      <c r="AE49" s="20"/>
      <c r="AF49" s="2"/>
      <c r="AG49" s="2"/>
      <c r="AH49" s="5"/>
      <c r="AI49" s="5"/>
      <c r="AJ49" s="6"/>
      <c r="AK49" s="5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4:46" ht="15.75" customHeight="1">
      <c r="D50" s="2"/>
      <c r="E50" s="29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57"/>
      <c r="AD50" s="52"/>
      <c r="AE50" s="20"/>
      <c r="AF50" s="2"/>
      <c r="AG50" s="2"/>
      <c r="AH50" s="92"/>
      <c r="AI50" s="92"/>
      <c r="AJ50" s="6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4:46" ht="15.75" customHeight="1">
      <c r="D51" s="2"/>
      <c r="E51" s="29"/>
      <c r="F51" s="3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0"/>
      <c r="AC51" s="57"/>
      <c r="AD51" s="52"/>
      <c r="AE51" s="20"/>
      <c r="AF51" s="2"/>
      <c r="AG51" s="2"/>
      <c r="AH51" s="59"/>
      <c r="AI51" s="60"/>
      <c r="AJ51" s="6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4:46" ht="14.25" customHeight="1">
      <c r="D52" s="2"/>
      <c r="E52" s="29" t="s">
        <v>45</v>
      </c>
      <c r="F52" s="32"/>
      <c r="G52" s="32"/>
      <c r="H52" s="32">
        <f>H53/H42</f>
        <v>0</v>
      </c>
      <c r="I52" s="32">
        <f>I53/I42</f>
        <v>-6.41025641025641E-3</v>
      </c>
      <c r="J52" s="32"/>
      <c r="K52" s="32"/>
      <c r="L52" s="32"/>
      <c r="M52" s="32"/>
      <c r="N52" s="32">
        <f>N53/N42</f>
        <v>1.6949152542372881E-2</v>
      </c>
      <c r="O52" s="32"/>
      <c r="P52" s="32"/>
      <c r="Q52" s="32"/>
      <c r="R52" s="32"/>
      <c r="S52" s="32">
        <f t="shared" ref="S52:AA52" si="31">S53/S42</f>
        <v>1.7272727272727259E-2</v>
      </c>
      <c r="T52" s="32">
        <f t="shared" si="31"/>
        <v>0.11684684684684686</v>
      </c>
      <c r="U52" s="32">
        <f t="shared" si="31"/>
        <v>0.11594202898550725</v>
      </c>
      <c r="V52" s="32">
        <f t="shared" si="31"/>
        <v>0.11571428571428567</v>
      </c>
      <c r="W52" s="32">
        <f t="shared" si="31"/>
        <v>0.11578313253012046</v>
      </c>
      <c r="X52" s="32">
        <f t="shared" si="31"/>
        <v>0.11603861517976032</v>
      </c>
      <c r="Y52" s="32">
        <f t="shared" si="31"/>
        <v>4.0000000000000056E-2</v>
      </c>
      <c r="Z52" s="32">
        <f t="shared" si="31"/>
        <v>4.9999999999999961E-2</v>
      </c>
      <c r="AA52" s="32">
        <f t="shared" si="31"/>
        <v>5.9999999999999977E-2</v>
      </c>
      <c r="AB52" s="32"/>
      <c r="AC52" s="57">
        <v>0</v>
      </c>
      <c r="AD52" s="52" t="s">
        <v>46</v>
      </c>
      <c r="AE52" s="20"/>
      <c r="AF52" s="2"/>
      <c r="AG52" s="2"/>
      <c r="AH52"/>
      <c r="AI52" s="61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4:46" ht="15.75" customHeight="1">
      <c r="D53" s="2"/>
      <c r="E53" s="29" t="s">
        <v>47</v>
      </c>
      <c r="F53" s="30"/>
      <c r="G53" s="30"/>
      <c r="H53" s="31">
        <f>H45-H47-H49-H51</f>
        <v>0</v>
      </c>
      <c r="I53" s="31">
        <f>I45-I47-I49-I51</f>
        <v>-1</v>
      </c>
      <c r="J53" s="31"/>
      <c r="K53" s="31"/>
      <c r="L53" s="31"/>
      <c r="M53" s="31"/>
      <c r="N53" s="31">
        <f>N45-N47-N49-N51</f>
        <v>3</v>
      </c>
      <c r="O53" s="31"/>
      <c r="P53" s="31"/>
      <c r="Q53" s="31"/>
      <c r="R53" s="31"/>
      <c r="S53" s="31">
        <f>S45-S47-S49-S51</f>
        <v>3.7999999999999972</v>
      </c>
      <c r="T53" s="31">
        <f>T45-T49</f>
        <v>7.782</v>
      </c>
      <c r="U53" s="31">
        <f t="shared" ref="U53:W53" si="32">U45-U49</f>
        <v>8</v>
      </c>
      <c r="V53" s="31">
        <f t="shared" si="32"/>
        <v>8.5049999999999972</v>
      </c>
      <c r="W53" s="31">
        <f t="shared" si="32"/>
        <v>10.570999999999998</v>
      </c>
      <c r="X53" s="31">
        <f>SUM(T53:W53)</f>
        <v>34.857999999999997</v>
      </c>
      <c r="Y53" s="31">
        <f>Y45-Y47-Y49-Y51</f>
        <v>13.40000000000002</v>
      </c>
      <c r="Z53" s="31">
        <f>Z45-Z47-Z49-Z51</f>
        <v>19.999999999999986</v>
      </c>
      <c r="AA53" s="31">
        <f>AA45-AA47-AA49-AA51</f>
        <v>28.199999999999989</v>
      </c>
      <c r="AB53" s="30"/>
      <c r="AC53" s="51">
        <v>0.35</v>
      </c>
      <c r="AD53" s="52" t="s">
        <v>48</v>
      </c>
      <c r="AE53" s="20"/>
      <c r="AF53" s="2"/>
      <c r="AG53" s="2"/>
      <c r="AH53" s="5"/>
      <c r="AI53" s="48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4:46" ht="15.75" customHeight="1">
      <c r="D54" s="2"/>
      <c r="E54" s="29" t="s">
        <v>49</v>
      </c>
      <c r="F54" s="31"/>
      <c r="G54" s="31"/>
      <c r="H54" s="30">
        <v>0</v>
      </c>
      <c r="I54" s="30">
        <v>0</v>
      </c>
      <c r="J54" s="30"/>
      <c r="K54" s="30"/>
      <c r="L54" s="30"/>
      <c r="M54" s="30"/>
      <c r="N54" s="30">
        <v>0</v>
      </c>
      <c r="O54" s="30"/>
      <c r="P54" s="30"/>
      <c r="Q54" s="30"/>
      <c r="R54" s="30"/>
      <c r="S54" s="30">
        <v>0</v>
      </c>
      <c r="T54" s="30"/>
      <c r="U54" s="30"/>
      <c r="V54" s="30"/>
      <c r="W54" s="30"/>
      <c r="X54" s="30">
        <v>0</v>
      </c>
      <c r="Y54" s="30">
        <v>0</v>
      </c>
      <c r="Z54" s="30">
        <v>0</v>
      </c>
      <c r="AA54" s="30">
        <v>0</v>
      </c>
      <c r="AB54" s="30"/>
      <c r="AC54" s="62">
        <f>(AC62*AC46)/X42</f>
        <v>1.1186049624308487</v>
      </c>
      <c r="AD54" s="52" t="s">
        <v>50</v>
      </c>
      <c r="AE54" s="20"/>
      <c r="AF54" s="2"/>
      <c r="AG54" s="2"/>
      <c r="AH54" s="5"/>
      <c r="AI54" s="48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4:46" ht="15.75" customHeight="1">
      <c r="D55" s="2"/>
      <c r="E55" s="29" t="s">
        <v>51</v>
      </c>
      <c r="F55" s="31"/>
      <c r="G55" s="31"/>
      <c r="H55" s="30">
        <f>H53-H54</f>
        <v>0</v>
      </c>
      <c r="I55" s="30">
        <f>I53-I54</f>
        <v>-1</v>
      </c>
      <c r="J55" s="30"/>
      <c r="K55" s="30"/>
      <c r="L55" s="30"/>
      <c r="M55" s="30"/>
      <c r="N55" s="30">
        <f t="shared" ref="N55:AA55" si="33">N53-N54</f>
        <v>3</v>
      </c>
      <c r="O55" s="30"/>
      <c r="P55" s="30"/>
      <c r="Q55" s="30"/>
      <c r="R55" s="30"/>
      <c r="S55" s="30">
        <f t="shared" si="33"/>
        <v>3.7999999999999972</v>
      </c>
      <c r="T55" s="30"/>
      <c r="U55" s="30"/>
      <c r="V55" s="30"/>
      <c r="W55" s="30"/>
      <c r="X55" s="30">
        <f t="shared" si="33"/>
        <v>34.857999999999997</v>
      </c>
      <c r="Y55" s="30">
        <f t="shared" si="33"/>
        <v>13.40000000000002</v>
      </c>
      <c r="Z55" s="30">
        <f t="shared" si="33"/>
        <v>19.999999999999986</v>
      </c>
      <c r="AA55" s="30">
        <f t="shared" si="33"/>
        <v>28.199999999999989</v>
      </c>
      <c r="AB55" s="30"/>
      <c r="AC55" s="63">
        <v>20</v>
      </c>
      <c r="AD55" s="52" t="s">
        <v>52</v>
      </c>
      <c r="AE55" s="20"/>
      <c r="AF55" s="2"/>
      <c r="AG55" s="2"/>
      <c r="AH55" s="5"/>
      <c r="AI55" s="60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4:46" ht="15.75" customHeight="1">
      <c r="D56" s="2"/>
      <c r="E56" s="29" t="s">
        <v>53</v>
      </c>
      <c r="F56" s="30"/>
      <c r="G56" s="30"/>
      <c r="H56" s="30">
        <f>$AC55*H55</f>
        <v>0</v>
      </c>
      <c r="I56" s="30">
        <f>$AC55*I55</f>
        <v>-20</v>
      </c>
      <c r="J56" s="30"/>
      <c r="K56" s="30"/>
      <c r="L56" s="30"/>
      <c r="M56" s="30"/>
      <c r="N56" s="30">
        <f>$AC55*N55</f>
        <v>60</v>
      </c>
      <c r="O56" s="30"/>
      <c r="P56" s="30"/>
      <c r="Q56" s="30"/>
      <c r="R56" s="30"/>
      <c r="S56" s="30">
        <f>$AC55*S55</f>
        <v>75.999999999999943</v>
      </c>
      <c r="T56" s="30"/>
      <c r="U56" s="30"/>
      <c r="V56" s="30"/>
      <c r="W56" s="30"/>
      <c r="X56" s="30">
        <f>$AC55*X55</f>
        <v>697.16</v>
      </c>
      <c r="Y56" s="30">
        <f>$AC55*Y55</f>
        <v>268.0000000000004</v>
      </c>
      <c r="Z56" s="30">
        <f>$AC55*Z55</f>
        <v>399.99999999999972</v>
      </c>
      <c r="AA56" s="30">
        <f>$AC55*AA55</f>
        <v>563.99999999999977</v>
      </c>
      <c r="AB56" s="30"/>
      <c r="AC56" s="51">
        <v>0.15</v>
      </c>
      <c r="AD56" s="52" t="s">
        <v>54</v>
      </c>
      <c r="AE56" s="20"/>
      <c r="AF56" s="2"/>
      <c r="AG56" s="2"/>
      <c r="AH56" s="5"/>
      <c r="AI56" s="61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4:46" ht="15.75" customHeight="1">
      <c r="D57" s="2"/>
      <c r="E57" s="29" t="s">
        <v>55</v>
      </c>
      <c r="F57" s="30"/>
      <c r="G57" s="30"/>
      <c r="H57" s="30">
        <f>AB49-AB52</f>
        <v>0</v>
      </c>
      <c r="I57" s="30">
        <v>0</v>
      </c>
      <c r="J57" s="30"/>
      <c r="K57" s="30"/>
      <c r="L57" s="30"/>
      <c r="M57" s="30"/>
      <c r="N57" s="30">
        <f>AC49</f>
        <v>39</v>
      </c>
      <c r="O57" s="30"/>
      <c r="P57" s="30"/>
      <c r="Q57" s="30"/>
      <c r="R57" s="30"/>
      <c r="S57" s="30">
        <f>N57+S53</f>
        <v>42.8</v>
      </c>
      <c r="T57" s="30"/>
      <c r="U57" s="30"/>
      <c r="V57" s="30"/>
      <c r="W57" s="30"/>
      <c r="X57" s="30">
        <f>S57+X53</f>
        <v>77.657999999999987</v>
      </c>
      <c r="Y57" s="30">
        <f>X57+Y53</f>
        <v>91.058000000000007</v>
      </c>
      <c r="Z57" s="30">
        <f>Y57+Z53</f>
        <v>111.05799999999999</v>
      </c>
      <c r="AA57" s="30">
        <f>Z57+AA53</f>
        <v>139.25799999999998</v>
      </c>
      <c r="AB57" s="30"/>
      <c r="AC57" s="54"/>
      <c r="AD57" s="20"/>
      <c r="AE57" s="20"/>
      <c r="AF57" s="2"/>
      <c r="AG57" s="2"/>
      <c r="AH57" s="5"/>
      <c r="AI57" s="48"/>
      <c r="AJ57" s="6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4:46" ht="15.75" customHeight="1">
      <c r="D58" s="2"/>
      <c r="E58" s="29" t="s">
        <v>56</v>
      </c>
      <c r="F58" s="64"/>
      <c r="G58" s="64"/>
      <c r="H58" s="64">
        <v>14</v>
      </c>
      <c r="I58" s="64">
        <v>14</v>
      </c>
      <c r="J58" s="64"/>
      <c r="K58" s="64"/>
      <c r="L58" s="64"/>
      <c r="M58" s="64"/>
      <c r="N58" s="64">
        <v>14</v>
      </c>
      <c r="O58" s="64"/>
      <c r="P58" s="64"/>
      <c r="Q58" s="64"/>
      <c r="R58" s="64"/>
      <c r="S58" s="64">
        <f>AC46</f>
        <v>13.799999999999999</v>
      </c>
      <c r="T58" s="64"/>
      <c r="U58" s="64"/>
      <c r="V58" s="64"/>
      <c r="W58" s="64"/>
      <c r="X58" s="64">
        <f>AC46</f>
        <v>13.799999999999999</v>
      </c>
      <c r="Y58" s="64">
        <f>X58*(1+$AC$47)</f>
        <v>13.937999999999999</v>
      </c>
      <c r="Z58" s="64">
        <f>Y58*(1+$AC$47)</f>
        <v>14.07738</v>
      </c>
      <c r="AA58" s="64">
        <f>Z58*(1+$AC$47)</f>
        <v>14.2181538</v>
      </c>
      <c r="AB58" s="64"/>
      <c r="AC58" s="54"/>
      <c r="AD58" s="20"/>
      <c r="AE58" s="20"/>
      <c r="AF58" s="2"/>
      <c r="AG58" s="2"/>
      <c r="AH58" s="5"/>
      <c r="AI58" s="5"/>
      <c r="AJ58" s="6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4:46" ht="15.75" customHeight="1">
      <c r="D59" s="2"/>
      <c r="E59" s="29" t="s">
        <v>57</v>
      </c>
      <c r="F59" s="30"/>
      <c r="G59" s="30"/>
      <c r="H59" s="30"/>
      <c r="I59" s="31">
        <f t="shared" ref="I59:AA59" si="34">I56/I58</f>
        <v>-1.4285714285714286</v>
      </c>
      <c r="J59" s="31"/>
      <c r="K59" s="31"/>
      <c r="L59" s="31"/>
      <c r="M59" s="31"/>
      <c r="N59" s="31">
        <f t="shared" si="34"/>
        <v>4.2857142857142856</v>
      </c>
      <c r="O59" s="31"/>
      <c r="P59" s="31"/>
      <c r="Q59" s="31"/>
      <c r="R59" s="31"/>
      <c r="S59" s="31">
        <f t="shared" si="34"/>
        <v>5.5072463768115902</v>
      </c>
      <c r="T59" s="31"/>
      <c r="U59" s="31"/>
      <c r="V59" s="31"/>
      <c r="W59" s="31"/>
      <c r="X59" s="31">
        <f>X56/X58</f>
        <v>50.518840579710144</v>
      </c>
      <c r="Y59" s="31">
        <f>Y56/Y58</f>
        <v>19.228009757497517</v>
      </c>
      <c r="Z59" s="31">
        <f>Z56/Z58</f>
        <v>28.414378243678847</v>
      </c>
      <c r="AA59" s="31">
        <f t="shared" si="34"/>
        <v>39.667597350086325</v>
      </c>
      <c r="AB59" s="30"/>
      <c r="AC59" s="54"/>
      <c r="AD59" s="20"/>
      <c r="AE59" s="20"/>
      <c r="AF59" s="2"/>
      <c r="AG59" s="2"/>
      <c r="AH59" s="92"/>
      <c r="AI59" s="93"/>
      <c r="AJ59" s="6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4:46" ht="15.75" hidden="1" customHeight="1">
      <c r="D60" s="2"/>
      <c r="E60" s="29" t="s">
        <v>58</v>
      </c>
      <c r="F60" s="65"/>
      <c r="G60" s="65"/>
      <c r="H60" s="65">
        <v>1.35</v>
      </c>
      <c r="I60" s="65">
        <v>1.35</v>
      </c>
      <c r="J60" s="65"/>
      <c r="K60" s="65"/>
      <c r="L60" s="65"/>
      <c r="M60" s="65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54"/>
      <c r="AD60" s="20"/>
      <c r="AE60" s="20"/>
      <c r="AF60" s="2"/>
      <c r="AG60" s="2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4:46" ht="15.75" hidden="1" customHeight="1">
      <c r="D61" s="2"/>
      <c r="E61" s="29" t="s">
        <v>59</v>
      </c>
      <c r="F61" s="64"/>
      <c r="G61" s="64"/>
      <c r="H61" s="64">
        <f>$AC$45/H60</f>
        <v>67.629629629629619</v>
      </c>
      <c r="I61" s="64">
        <f>$AC$45/I60</f>
        <v>67.629629629629619</v>
      </c>
      <c r="J61" s="64"/>
      <c r="K61" s="64"/>
      <c r="L61" s="64"/>
      <c r="M61" s="64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54"/>
      <c r="AD61" s="20"/>
      <c r="AE61" s="20"/>
      <c r="AF61" s="2"/>
      <c r="AG61" s="2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4:46" ht="15.75" customHeight="1">
      <c r="D62" s="2"/>
      <c r="E62" s="29" t="s">
        <v>60</v>
      </c>
      <c r="F62" s="30"/>
      <c r="G62" s="30"/>
      <c r="H62" s="30">
        <f>(PV($AC$56,3, ,S56)*-1)</f>
        <v>49.971233664831075</v>
      </c>
      <c r="I62" s="30">
        <f>(PV($AC$56,3, ,X56)*-1)</f>
        <v>458.39401660228498</v>
      </c>
      <c r="J62" s="30"/>
      <c r="K62" s="30"/>
      <c r="L62" s="30"/>
      <c r="M62" s="30"/>
      <c r="N62" s="30">
        <f>(PV($AC$56,3, ,Y56)*-1)</f>
        <v>176.21435029177314</v>
      </c>
      <c r="O62" s="30"/>
      <c r="P62" s="30"/>
      <c r="Q62" s="30"/>
      <c r="R62" s="30"/>
      <c r="S62" s="30">
        <f>(PV($AC$56,3, ,Z56)*-1)</f>
        <v>263.00649297279517</v>
      </c>
      <c r="T62" s="30"/>
      <c r="U62" s="30"/>
      <c r="V62" s="30"/>
      <c r="W62" s="30"/>
      <c r="X62" s="30">
        <f>(PV($AC$56,3, ,AA56)*-1)</f>
        <v>370.83915509164132</v>
      </c>
      <c r="Y62" s="2"/>
      <c r="Z62" s="2"/>
      <c r="AA62" s="2"/>
      <c r="AB62" s="2"/>
      <c r="AC62" s="53">
        <f>S65</f>
        <v>24.349922515523694</v>
      </c>
      <c r="AD62" s="52" t="s">
        <v>1</v>
      </c>
      <c r="AE62" s="20"/>
      <c r="AF62" s="2"/>
      <c r="AG62" s="2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4:46" ht="15.75" customHeight="1">
      <c r="D63" s="2"/>
      <c r="E63" s="29" t="s">
        <v>61</v>
      </c>
      <c r="F63" s="30"/>
      <c r="G63" s="30"/>
      <c r="H63" s="30">
        <f>(PV($AC$56,3, ,S57)*-1)</f>
        <v>28.141694748089101</v>
      </c>
      <c r="I63" s="30">
        <f>(PV($AC$56,3, ,X57)*-1)</f>
        <v>51.061395578203346</v>
      </c>
      <c r="J63" s="30"/>
      <c r="K63" s="30"/>
      <c r="L63" s="30"/>
      <c r="M63" s="30"/>
      <c r="N63" s="30">
        <f>(PV($AC$56,3, ,Y57)*-1)</f>
        <v>59.872113092791999</v>
      </c>
      <c r="O63" s="30"/>
      <c r="P63" s="30"/>
      <c r="Q63" s="30"/>
      <c r="R63" s="30"/>
      <c r="S63" s="30">
        <f>(PV($AC$56,3, ,Z57)*-1)</f>
        <v>73.022437741431759</v>
      </c>
      <c r="T63" s="30"/>
      <c r="U63" s="30"/>
      <c r="V63" s="30"/>
      <c r="W63" s="30"/>
      <c r="X63" s="30">
        <f>(PV($AC$56,3, ,AA57)*-1)</f>
        <v>91.56439549601383</v>
      </c>
      <c r="Y63" s="2"/>
      <c r="Z63" s="2"/>
      <c r="AA63" s="2"/>
      <c r="AB63" s="2"/>
      <c r="AC63" s="66">
        <f>(AC62-AC45)/AC45</f>
        <v>-0.73329767233818521</v>
      </c>
      <c r="AD63" s="67" t="s">
        <v>62</v>
      </c>
      <c r="AE63" s="20"/>
      <c r="AF63" s="2"/>
      <c r="AG63" s="2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4:46" ht="15.75" customHeight="1">
      <c r="D64" s="2"/>
      <c r="E64" s="29" t="s">
        <v>63</v>
      </c>
      <c r="F64" s="30"/>
      <c r="G64" s="30"/>
      <c r="H64" s="30">
        <f>H62+H63</f>
        <v>78.112928412920184</v>
      </c>
      <c r="I64" s="30">
        <f>I62+I63</f>
        <v>509.45541218048834</v>
      </c>
      <c r="J64" s="30"/>
      <c r="K64" s="30"/>
      <c r="L64" s="30"/>
      <c r="M64" s="30"/>
      <c r="N64" s="30">
        <f>N62+N63</f>
        <v>236.08646338456515</v>
      </c>
      <c r="O64" s="30"/>
      <c r="P64" s="30"/>
      <c r="Q64" s="30"/>
      <c r="R64" s="30"/>
      <c r="S64" s="30">
        <f>S62+S63</f>
        <v>336.02893071422693</v>
      </c>
      <c r="T64" s="30"/>
      <c r="U64" s="30"/>
      <c r="V64" s="30"/>
      <c r="W64" s="30"/>
      <c r="X64" s="30">
        <f>X62+X63</f>
        <v>462.40355058765516</v>
      </c>
      <c r="Y64" s="2"/>
      <c r="Z64" s="2"/>
      <c r="AA64" s="2"/>
      <c r="AB64" s="2"/>
      <c r="AC64" s="19"/>
      <c r="AD64" s="42"/>
      <c r="AE64" s="20"/>
      <c r="AF64" s="2"/>
      <c r="AG64" s="2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4:46" ht="15.75" customHeight="1">
      <c r="D65" s="2"/>
      <c r="E65" s="68" t="s">
        <v>64</v>
      </c>
      <c r="F65" s="69"/>
      <c r="G65" s="69"/>
      <c r="H65" s="69"/>
      <c r="I65" s="69">
        <f>I64/I58</f>
        <v>36.389672298606307</v>
      </c>
      <c r="J65" s="69"/>
      <c r="K65" s="69"/>
      <c r="L65" s="69"/>
      <c r="M65" s="69"/>
      <c r="N65" s="69">
        <f>N64/N58</f>
        <v>16.863318813183223</v>
      </c>
      <c r="O65" s="69"/>
      <c r="P65" s="69"/>
      <c r="Q65" s="69"/>
      <c r="R65" s="69"/>
      <c r="S65" s="69">
        <f>S64/S58</f>
        <v>24.349922515523694</v>
      </c>
      <c r="T65" s="69"/>
      <c r="U65" s="69"/>
      <c r="V65" s="69"/>
      <c r="W65" s="69"/>
      <c r="X65" s="69">
        <f>X64/X58</f>
        <v>33.507503665772113</v>
      </c>
      <c r="Y65" s="70"/>
      <c r="Z65" s="70"/>
      <c r="AA65" s="70"/>
      <c r="AB65" s="70"/>
      <c r="AC65" s="71"/>
      <c r="AD65" s="72"/>
      <c r="AE65" s="73"/>
      <c r="AF65" s="2"/>
      <c r="AG65" s="2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4:46" ht="15.75" customHeight="1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4:46" ht="15.75" customHeight="1">
      <c r="D67" s="5"/>
      <c r="E67" s="5"/>
      <c r="F67" s="5"/>
      <c r="G67" s="5"/>
      <c r="H67" s="74"/>
      <c r="I67" s="49"/>
      <c r="J67" s="49"/>
      <c r="K67" s="49"/>
      <c r="L67" s="49"/>
      <c r="M67" s="4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4:46" ht="15.75" customHeight="1">
      <c r="G68" s="7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4:46" ht="15.75" customHeight="1">
      <c r="G69" s="7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4:46" ht="15.75" customHeight="1">
      <c r="E70" s="76"/>
      <c r="G70" s="77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4:46" ht="15.75" customHeight="1"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4:46" ht="15.75" customHeight="1">
      <c r="E72" s="78"/>
      <c r="AC72" s="77"/>
      <c r="AD72" s="77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4:46" ht="15.75" customHeight="1"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7"/>
      <c r="AD73" s="77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4:46" ht="15.75" customHeight="1"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7"/>
      <c r="AD74" s="77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4:46" ht="15.75" customHeight="1"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4:46" ht="15.75" customHeight="1"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4:46" ht="15.75" hidden="1" customHeight="1"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77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4:46" ht="15.75" hidden="1" customHeight="1">
      <c r="F78" s="81"/>
      <c r="G78" s="81"/>
      <c r="H78" s="81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4:46" ht="15.75" customHeight="1"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2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4:46" ht="15.75" customHeight="1"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79"/>
      <c r="AC80" s="77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6:46" ht="15.75" customHeight="1"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79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6:46" ht="15.75" customHeight="1"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79"/>
      <c r="AC82" s="79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6:46" ht="15.75" customHeight="1"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79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6:46" ht="15.75" customHeight="1"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79"/>
      <c r="AC84" s="79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6:46" ht="15.75" customHeight="1"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79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6:46" ht="15.75" customHeight="1"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7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6:46" ht="15.75" customHeight="1"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6:46" ht="15.75" customHeight="1"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7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6:46" ht="15.75" customHeight="1"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6:46" ht="15.75" customHeight="1"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6:46" ht="15.75" customHeight="1"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6:46" ht="15.75" customHeight="1">
      <c r="F92" s="75"/>
      <c r="G92" s="75"/>
      <c r="H92" s="75"/>
      <c r="I92" s="75"/>
      <c r="J92" s="75"/>
      <c r="K92" s="75"/>
      <c r="L92" s="75"/>
      <c r="M92" s="75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6:46" ht="15.75" customHeight="1">
      <c r="F93" s="82"/>
      <c r="G93" s="82"/>
      <c r="H93" s="82"/>
      <c r="I93" s="82"/>
      <c r="J93" s="82"/>
      <c r="K93" s="82"/>
      <c r="L93" s="82"/>
      <c r="M93" s="82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6:46" ht="15.75" customHeight="1"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AC94" s="7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6:46" ht="15.75" customHeight="1"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AC95" s="77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6:46" ht="15.75" customHeight="1"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AC96" s="77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4:46" ht="15.75" customHeight="1"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4:46" ht="15.75" customHeight="1"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4:46" ht="15.75" customHeight="1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4:46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4:46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4:46" ht="15.75" customHeight="1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4:46" ht="15.75" customHeight="1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4:46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4:46" ht="15.75" customHeight="1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4:4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4:46" ht="15.75" customHeight="1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4:46" ht="15.75" customHeight="1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4:46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4:46" ht="15.75" customHeight="1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4:46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4:46" ht="15.75" customHeight="1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4:46" ht="15.75" customHeight="1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4:46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4:46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4:4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4:46" ht="15.75" customHeight="1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4:46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4:46" ht="15.75" customHeight="1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4:46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4:46" ht="15.75" customHeight="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4:46" ht="15.75" customHeight="1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4:46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4:46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4:46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4:46" ht="15.75" customHeight="1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4:46" ht="15.75" customHeight="1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4:46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4:46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4:46" ht="15.75" customHeight="1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4:46" ht="15.75" customHeight="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4:46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4:46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4:46" ht="15.75" customHeight="1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4:46" ht="15.75" customHeight="1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4:46" ht="15.75" customHeight="1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4:46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4:46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4:46" ht="15.75" customHeight="1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4:46" ht="15.75" customHeight="1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4:46" ht="15.75" customHeight="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4:46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4:46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4:46" ht="15.75" customHeight="1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4:46" ht="15.75" customHeight="1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4: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4:46" ht="15.75" customHeight="1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4:46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4:46" ht="15.75" customHeight="1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4:46" ht="15.75" customHeight="1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4:46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4:46" ht="15.75" customHeight="1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4:46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4:46" ht="15.75" customHeight="1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4:46" ht="15.75" customHeight="1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4:4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4:46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4:46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4:46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4:46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4:46" ht="15.75" customHeight="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4:46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4:46" ht="15.75" customHeight="1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4:46" ht="15.75" customHeight="1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4:46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4:46" ht="15.75" customHeight="1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4:46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4:46" ht="15.75" customHeight="1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4:46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4:46" ht="15.75" customHeight="1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4:46" ht="15.75" customHeight="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4:46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4:46" ht="15.75" customHeight="1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4:46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4:46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4:46" ht="15.75" customHeight="1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4:46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4:46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4:46" ht="15.75" customHeight="1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4:46" ht="15.75" customHeight="1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4:46" ht="15.75" customHeight="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4:46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4:46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4:46" ht="15.75" customHeight="1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4:46" ht="15.75" customHeight="1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4:46" ht="15.75" customHeight="1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4:46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4:46" ht="15.75" customHeight="1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4:46" ht="15.75" customHeight="1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4:46" ht="15.75" customHeight="1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4:46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4:46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4:46" ht="15.75" customHeight="1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4:46" ht="15.75" customHeight="1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4:46" ht="15.75" customHeight="1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4:4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4:46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4:46" ht="15.75" customHeight="1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4:46" ht="15.75" customHeight="1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4:46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4:46" ht="15.75" customHeight="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4:46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4:46" ht="15.75" customHeight="1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4:46" ht="15.75" customHeight="1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4:46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4:46" ht="15.75" customHeight="1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4:46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4:46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4:46" ht="15.75" customHeight="1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4:46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4:46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4:46" ht="15.75" customHeight="1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4:46" ht="15.75" customHeight="1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4:46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4:46" ht="15.75" customHeight="1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4:4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4:46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4:46" ht="15.75" customHeight="1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4:46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4:46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4:46" ht="15.75" customHeight="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4:46" ht="15.75" customHeight="1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4:46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4:46" ht="15.75" customHeight="1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4:46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4:4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4:46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4:46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4:46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4:46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4:46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4:46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4:46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4:46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4:46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4:4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4:46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4:46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4:46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4:46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4:46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4:46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4:46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4:46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4:46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4: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4:46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4:46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4:46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4:46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4:46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4:46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4:46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4:46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4:46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4:4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4:46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4:46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4:46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4:46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4:46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4:46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4:46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4:46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4:46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4:4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4:46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4:46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4:46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4:46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4:46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4:46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4:46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4:46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4:46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4:4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4:46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4:46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4:46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4:46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4:46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4:46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4:46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4:46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4:46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4:4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4:46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4:46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4:46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4:46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4:46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4:46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4:46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4:46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4:46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4:4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4:46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4:46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4:46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4:46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4:46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4:46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4:46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4:46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4:46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4:4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4:46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4:46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4:46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4:46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4:46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4:46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4:46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4:46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4:46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4:4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4:46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4:46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4:46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4:46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4:46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4:46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4:46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4:46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4:46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4:4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4:46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4:46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4:46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4:46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4:46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4:46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4:46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4:46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4:46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4:4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4:46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4:46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4:46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4:46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4:46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4:46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4:46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4:46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4:46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4: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4:46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4:46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4:46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4:46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4:46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4:46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4:46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4:46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4:46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4:4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4:46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4:46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4:46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4:46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4:46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4:46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4:46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4:46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4:46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4:4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4:46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4:46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4:46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4:46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4:46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4:46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4:46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4:46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4:46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4:4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4:46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4:46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4:46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4:46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4:46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4:46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4:46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4:46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4:46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4:4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4:46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4:46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4:46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4:46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4:46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4:46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4:46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4:46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4:46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4:4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4:46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4:46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4:46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4:46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4:46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4:46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4:46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4:46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4:46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4:4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4:46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4:46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4:46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4:46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4:46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4:46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4:46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4:46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4:46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4:4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4:46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4:46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4:46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4:46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4:46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4:46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4:46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4:46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4:46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4:4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4:46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4:46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4:46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4:46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4:46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4:46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4:46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4:46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4:46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4:4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4:46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4:46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4:46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4:46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4:46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4:46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4:46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4:46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4:46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4: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4:46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4:46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4:46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4:46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4:46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4:46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4:46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4:46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4:46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4:4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4:46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4:46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4:46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4:46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4:46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4:46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4:46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4:46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4:46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4:4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4:46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4:46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4:46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4:46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4:46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4:46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4:46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4:46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4:46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4:4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4:46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4:46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4:46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4:46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4:46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4:46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4:46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4:46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4:46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4:4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4:46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4:46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4:46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4:46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4:46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4:46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4:46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4:46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4:46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4:4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4:46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4:46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4:46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4:46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4:46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4:46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4:46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4:46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4:46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4:4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4:46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4:46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4:46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4:46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4:46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4:46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4:46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4:46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4:46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4:4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4:46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4:46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4:46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4:46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4:46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4:46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4:46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4:46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4:46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4:4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4:46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4:46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4:46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4:46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4:46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4:46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4:46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4:46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4:46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4:4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4:46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4:46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4:46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4:46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4:46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4:46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4:46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4:46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4:46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4: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4:46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4:46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4:46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4:46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4:46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4:46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4:46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4:46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4:46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4:4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4:46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4:46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4:46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4:46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4:46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4:46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4:46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4:46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4:46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4:4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4:46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4:46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4:46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4:46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4:46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4:46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4:46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4:46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4:46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4:4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4:46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4:46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4:46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4:46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4:46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4:46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4:46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4:46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4:46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4:4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4:46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4:46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4:46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4:46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4:46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4:46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4:46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4:46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4:46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4:4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4:46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4:46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4:46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4:46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4:46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4:46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4:46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4:46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4:46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4:4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4:46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4:46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4:46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4:46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4:46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4:46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4:46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4:46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4:46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4:4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4:46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4:46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4:46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4:46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4:46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4:46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4:46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4:46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4:46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4:4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4:46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4:46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4:46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4:46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4:46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4:46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4:46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4:46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4:46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4:4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4:46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4:46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4:46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4:46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4:46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4:46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4:46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4:46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4:46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4: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4:46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4:46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4:46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4:46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4:46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4:46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4:46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4:46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4:46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4:4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4:46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4:46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4:46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4:46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4:46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4:46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4:46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4:46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4:46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4:4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4:46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4:46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4:46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4:46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4:46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4:46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4:46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4:46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4:46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4:4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4:46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4:46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4:46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4:46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4:46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4:46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4:46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4:46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4:46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4:4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4:46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4:46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4:46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4:46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4:46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4:46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4:46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4:46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4:46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4:4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4:46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4:46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4:46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4:46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4:46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4:46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4:46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4:46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4:46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4:4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4:46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4:46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4:46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4:46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4:46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4:46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4:46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4:46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4:46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4:4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4:46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4:46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4:46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4:46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4:46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4:46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4:46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4:46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4:46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4:4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4:46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4:46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4:46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4:46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4:46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4:46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4:46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4:46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4:46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4:4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4:46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4:46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4:46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4:46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4:46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4:46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4:46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4:46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4:46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4: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4:46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4:46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4:46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4:46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4:46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4:46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4:46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4:46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4:46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4:4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4:46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4:46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4:46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4:46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4:46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4:46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4:46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4:46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4:46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4:4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4:46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4:46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4:46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4:46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4:46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4:46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4:46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4:46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4:46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4:4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4:46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4:46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4:46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4:46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4:46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4:46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4:46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4:46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4:46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4:4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4:46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4:46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4:46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4:46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4:46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4:46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4:46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4:46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4:46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4:4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4:46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4:46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4:46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4:46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4:46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4:46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4:46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4:46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4:46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4:4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4:46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4:46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4:46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4:46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4:46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4:46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4:46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4:46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4:46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4:4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4:46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4:46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4:46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4:46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4:46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4:46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4:46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4:46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4:46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4:4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4:46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4:46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4:46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4:46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4:46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4:46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4:46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4:46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4:46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4:4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4:46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4:46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4:46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4:46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4:46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4:46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4:46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4:46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4:46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4: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4:46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4:46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4:46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4:46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4:46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4:46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4:46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4:46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4:46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4:4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4:46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4:46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4:46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4:46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4:46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4:46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4:46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4:46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4:46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4:4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4:46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4:46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4:46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4:46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4:46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4:46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4:46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4:46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4:46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4:4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4:46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4:46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4:46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4:46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4:46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4:46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4:46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4:46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4:46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4:4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4:46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4:46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4:46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4:46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4:46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4:46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4:46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4:46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4:46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4:4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4:46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4:46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4:46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4:46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4:46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4:46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4:46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4:46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4:46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4:4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4:46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4:46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4:46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4:46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4:46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4:46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4:46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4:46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4:46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4:4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4:46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4:46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4:46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4:46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4:46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4:46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4:46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4:46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4:46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4:4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4:46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4:46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4:46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4:46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4:46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4:46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4:46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4:46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4:46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4:4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4:46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4:46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4:46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4:46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4:46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4:46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4:46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4:46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4:46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4: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4:46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4:46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4:46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4:46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4:46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4:46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4:46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4:46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4:46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4:4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4:46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4:46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4:46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4:46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4:46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4:46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4:46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4:46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4:46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4:4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4:46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4:46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4:46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4:46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4:46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4:46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4:46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4:46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4:46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4:4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4:46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4:46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4:46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4:46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4:46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4:46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4:46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4:46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4:46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4:4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4:46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4:46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4:46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4:46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4:46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4:46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4:46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4:46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4:46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4:4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4:46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4:46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4:46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spans="4:46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spans="4:46" ht="15.75" customHeight="1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spans="4:46" ht="15.75" customHeight="1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spans="4:46" ht="15.75" customHeight="1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spans="4:46" ht="15.75" customHeight="1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spans="4:46" ht="15.75" customHeight="1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spans="4:46" ht="15.75" customHeight="1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spans="4:46" ht="15.75" customHeight="1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spans="4:46" ht="15.75" customHeight="1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spans="4:46" ht="15.75" customHeight="1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spans="4:46" ht="15.75" customHeight="1"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spans="4:46" ht="15.75" customHeight="1"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spans="4:46" ht="15.75" customHeight="1"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spans="4:46" ht="15.75" customHeight="1"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spans="4:46" ht="15.75" customHeight="1"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spans="4:46" ht="15.75" customHeight="1"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spans="4:46" ht="15.75" customHeight="1"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spans="4:46" ht="15.75" customHeight="1"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spans="4:46" ht="15.75" customHeight="1"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spans="4:46" ht="15.75" customHeight="1"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spans="4:46" ht="15.75" customHeight="1"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  <row r="1021" spans="4:46" ht="15.75" customHeight="1"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</row>
    <row r="1022" spans="4:46" ht="15.75" customHeight="1"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</row>
    <row r="1023" spans="4:46" ht="15.75" customHeight="1"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</row>
    <row r="1024" spans="4:46" ht="15.75" customHeight="1"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</row>
    <row r="1025" spans="4:46" ht="15.75" customHeight="1"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</row>
    <row r="1026" spans="4:46" ht="15.75" customHeight="1"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</row>
    <row r="1027" spans="4:46" ht="15.75" customHeight="1"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</row>
    <row r="1028" spans="4:46" ht="15.75" customHeight="1"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</row>
    <row r="1029" spans="4:46" ht="15.75" customHeight="1"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</row>
    <row r="1030" spans="4:46" ht="15.75" customHeight="1"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</row>
    <row r="1031" spans="4:46" ht="15.75" customHeight="1"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</row>
    <row r="1032" spans="4:46" ht="15.75" customHeight="1"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</row>
    <row r="1033" spans="4:46" ht="15.75" customHeight="1"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</row>
    <row r="1034" spans="4:46" ht="15.75" customHeight="1"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</row>
    <row r="1035" spans="4:46" ht="15.75" customHeight="1"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</row>
  </sheetData>
  <mergeCells count="6">
    <mergeCell ref="AH59:AI59"/>
    <mergeCell ref="AH2:AI2"/>
    <mergeCell ref="AH46:AI46"/>
    <mergeCell ref="AH47:AI47"/>
    <mergeCell ref="AH48:AI48"/>
    <mergeCell ref="AH50:A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ABNB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2022-07-14T18:05:59Z</dcterms:created>
  <dcterms:modified xsi:type="dcterms:W3CDTF">2022-07-24T20:55:33Z</dcterms:modified>
</cp:coreProperties>
</file>