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yawakyea/Desktop/PFV-DCF-Valuations/AAPL/"/>
    </mc:Choice>
  </mc:AlternateContent>
  <xr:revisionPtr revIDLastSave="0" documentId="13_ncr:1_{F00F148F-500C-1A4B-BFCE-9684D3E53900}" xr6:coauthVersionLast="47" xr6:coauthVersionMax="47" xr10:uidLastSave="{00000000-0000-0000-0000-000000000000}"/>
  <bookViews>
    <workbookView xWindow="0" yWindow="500" windowWidth="28800" windowHeight="17500" xr2:uid="{63EC129F-FAE3-7B4F-8024-D78F97EC6E89}"/>
  </bookViews>
  <sheets>
    <sheet name="AAPL" sheetId="2" r:id="rId1"/>
    <sheet name="ABNB" sheetId="1" r:id="rId2"/>
  </sheets>
  <definedNames>
    <definedName name="CIQWBGuid" hidden="1">"60aadba8-9c5e-41de-9443-b6070dc7b523"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42382.5916782407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6" i="2" l="1"/>
  <c r="Q115" i="2"/>
  <c r="Q100" i="2"/>
  <c r="I111" i="2"/>
  <c r="P57" i="2"/>
  <c r="O57" i="2"/>
  <c r="L57" i="2"/>
  <c r="M57" i="2"/>
  <c r="K57" i="2"/>
  <c r="S113" i="2" l="1"/>
  <c r="T113" i="2" s="1"/>
  <c r="U113" i="2" s="1"/>
  <c r="D112" i="2"/>
  <c r="E112" i="2" s="1"/>
  <c r="F112" i="2" s="1"/>
  <c r="G112" i="2" s="1"/>
  <c r="H112" i="2" s="1"/>
  <c r="S57" i="1"/>
  <c r="X55" i="1"/>
  <c r="S55" i="1"/>
  <c r="S52" i="1"/>
  <c r="Y57" i="1"/>
  <c r="X57" i="1"/>
  <c r="U53" i="1"/>
  <c r="T53" i="1"/>
  <c r="S53" i="1"/>
  <c r="AC54" i="1"/>
  <c r="S62" i="1"/>
  <c r="S63" i="1"/>
  <c r="Z59" i="1"/>
  <c r="Y59" i="1"/>
  <c r="X59" i="1"/>
  <c r="AA58" i="1"/>
  <c r="Z58" i="1"/>
  <c r="Y58" i="1"/>
  <c r="E111" i="2"/>
  <c r="F111" i="2"/>
  <c r="G111" i="2"/>
  <c r="H111" i="2"/>
  <c r="J111" i="2"/>
  <c r="K111" i="2"/>
  <c r="L111" i="2"/>
  <c r="M111" i="2"/>
  <c r="N111" i="2"/>
  <c r="O111" i="2"/>
  <c r="P111" i="2"/>
  <c r="H56" i="1"/>
  <c r="W58" i="2"/>
  <c r="AC48" i="1"/>
  <c r="I78" i="2"/>
  <c r="Q78" i="2" s="1"/>
  <c r="I95" i="2"/>
  <c r="D73" i="2"/>
  <c r="D67" i="2"/>
  <c r="I73" i="2"/>
  <c r="I67" i="2"/>
  <c r="D95" i="2"/>
  <c r="D78" i="2"/>
  <c r="S56" i="1"/>
  <c r="C78" i="2"/>
  <c r="N53" i="1"/>
  <c r="N57" i="1"/>
  <c r="AC44" i="1"/>
  <c r="D79" i="2" l="1"/>
  <c r="R78" i="2"/>
  <c r="Q79" i="2"/>
  <c r="I112" i="2"/>
  <c r="I79" i="2"/>
  <c r="Q112" i="2" l="1"/>
  <c r="R112" i="2" s="1"/>
  <c r="S112" i="2" s="1"/>
  <c r="T112" i="2" s="1"/>
  <c r="J112" i="2"/>
  <c r="K112" i="2" s="1"/>
  <c r="R79" i="2"/>
  <c r="S78" i="2"/>
  <c r="U112" i="2" l="1"/>
  <c r="T78" i="2"/>
  <c r="S79" i="2"/>
  <c r="L112" i="2"/>
  <c r="U78" i="2" l="1"/>
  <c r="T79" i="2"/>
  <c r="M112" i="2"/>
  <c r="U79" i="2" l="1"/>
  <c r="N112" i="2"/>
  <c r="O112" i="2" s="1"/>
  <c r="P112" i="2" s="1"/>
  <c r="I53" i="1" l="1"/>
  <c r="P56" i="2"/>
  <c r="O56" i="2"/>
  <c r="N56" i="2"/>
  <c r="L56" i="2"/>
  <c r="K56" i="2"/>
  <c r="J52" i="2"/>
  <c r="H55" i="2"/>
  <c r="E55" i="2"/>
  <c r="J56" i="2" s="1"/>
  <c r="N20" i="2"/>
  <c r="N21" i="2" s="1"/>
  <c r="N14" i="2"/>
  <c r="N15" i="2" s="1"/>
  <c r="N17" i="2"/>
  <c r="N18" i="2" s="1"/>
  <c r="N11" i="2"/>
  <c r="N12" i="2" s="1"/>
  <c r="N8" i="2"/>
  <c r="N9" i="2" s="1"/>
  <c r="P52" i="2"/>
  <c r="P28" i="2"/>
  <c r="P25" i="2"/>
  <c r="P22" i="2"/>
  <c r="P19" i="2"/>
  <c r="P16" i="2"/>
  <c r="P13" i="2"/>
  <c r="P10" i="2"/>
  <c r="P9" i="2"/>
  <c r="P12" i="2"/>
  <c r="P15" i="2"/>
  <c r="P21" i="2"/>
  <c r="O21" i="2"/>
  <c r="O18" i="2"/>
  <c r="O15" i="2"/>
  <c r="O12" i="2"/>
  <c r="O9" i="2"/>
  <c r="O28" i="2"/>
  <c r="O25" i="2"/>
  <c r="M20" i="2"/>
  <c r="M22" i="2" s="1"/>
  <c r="M17" i="2"/>
  <c r="O19" i="2" s="1"/>
  <c r="M14" i="2"/>
  <c r="O16" i="2" s="1"/>
  <c r="M11" i="2"/>
  <c r="M8" i="2"/>
  <c r="O10" i="2" s="1"/>
  <c r="L22" i="2"/>
  <c r="L19" i="2"/>
  <c r="L16" i="2"/>
  <c r="L13" i="2"/>
  <c r="L10" i="2"/>
  <c r="L18" i="2"/>
  <c r="L9" i="2"/>
  <c r="L12" i="2"/>
  <c r="L15" i="2"/>
  <c r="L21" i="2"/>
  <c r="L28" i="2"/>
  <c r="L25" i="2"/>
  <c r="L27" i="2" s="1"/>
  <c r="K10" i="2"/>
  <c r="K13" i="2"/>
  <c r="K16" i="2"/>
  <c r="K19" i="2"/>
  <c r="K22" i="2"/>
  <c r="K28" i="2"/>
  <c r="K21" i="2"/>
  <c r="H14" i="2"/>
  <c r="J16" i="2" s="1"/>
  <c r="H8" i="2"/>
  <c r="J10" i="2" s="1"/>
  <c r="H11" i="2"/>
  <c r="J13" i="2" s="1"/>
  <c r="H17" i="2"/>
  <c r="J19" i="2" s="1"/>
  <c r="H20" i="2"/>
  <c r="J22" i="2" s="1"/>
  <c r="G28" i="2"/>
  <c r="G25" i="2"/>
  <c r="F28" i="2"/>
  <c r="F25" i="2"/>
  <c r="J21" i="2"/>
  <c r="J18" i="2"/>
  <c r="J15" i="2"/>
  <c r="J12" i="2"/>
  <c r="J9" i="2"/>
  <c r="E28" i="2"/>
  <c r="E25" i="2"/>
  <c r="J28" i="2"/>
  <c r="J25" i="2"/>
  <c r="I35" i="2"/>
  <c r="I32" i="2"/>
  <c r="D35" i="2"/>
  <c r="D32" i="2"/>
  <c r="I55" i="2"/>
  <c r="Q55" i="2" s="1"/>
  <c r="D55" i="2"/>
  <c r="C55" i="2"/>
  <c r="I52" i="2"/>
  <c r="I28" i="2"/>
  <c r="I43" i="2" s="1"/>
  <c r="I25" i="2"/>
  <c r="I37" i="2" s="1"/>
  <c r="I40" i="2" s="1"/>
  <c r="D25" i="2"/>
  <c r="D37" i="2" s="1"/>
  <c r="D40" i="2" s="1"/>
  <c r="D28" i="2"/>
  <c r="D43" i="2" s="1"/>
  <c r="D46" i="2" s="1"/>
  <c r="C28" i="2"/>
  <c r="C43" i="2" s="1"/>
  <c r="C46" i="2" s="1"/>
  <c r="C25" i="2"/>
  <c r="C37" i="2" s="1"/>
  <c r="I141" i="2"/>
  <c r="I138" i="2"/>
  <c r="I135" i="2"/>
  <c r="I132" i="2"/>
  <c r="I129" i="2"/>
  <c r="D141" i="2"/>
  <c r="D138" i="2"/>
  <c r="D135" i="2"/>
  <c r="D132" i="2"/>
  <c r="D129" i="2"/>
  <c r="I21" i="2"/>
  <c r="I18" i="2"/>
  <c r="I15" i="2"/>
  <c r="I12" i="2"/>
  <c r="I9" i="2"/>
  <c r="D21" i="2"/>
  <c r="D18" i="2"/>
  <c r="D15" i="2"/>
  <c r="D12" i="2"/>
  <c r="D9" i="2"/>
  <c r="B3" i="2"/>
  <c r="H57" i="1"/>
  <c r="N52" i="1"/>
  <c r="I55" i="1"/>
  <c r="I56" i="1" s="1"/>
  <c r="I59" i="1" s="1"/>
  <c r="H53" i="1"/>
  <c r="H55" i="1" s="1"/>
  <c r="AA49" i="1"/>
  <c r="Z49" i="1"/>
  <c r="Y49" i="1"/>
  <c r="S49" i="1"/>
  <c r="N48" i="1"/>
  <c r="I48" i="1"/>
  <c r="H48" i="1"/>
  <c r="AC46" i="1"/>
  <c r="X58" i="1" s="1"/>
  <c r="AC45" i="1"/>
  <c r="I61" i="1" s="1"/>
  <c r="AA45" i="1"/>
  <c r="Z45" i="1"/>
  <c r="Y45" i="1"/>
  <c r="S44" i="1"/>
  <c r="N44" i="1"/>
  <c r="I44" i="1"/>
  <c r="H44" i="1"/>
  <c r="AA43" i="1"/>
  <c r="Z43" i="1"/>
  <c r="S43" i="1"/>
  <c r="N43" i="1"/>
  <c r="I43" i="1"/>
  <c r="AC42" i="1"/>
  <c r="W42" i="1"/>
  <c r="W43" i="1" s="1"/>
  <c r="Q42" i="1"/>
  <c r="P42" i="1"/>
  <c r="P43" i="1" s="1"/>
  <c r="O42" i="1"/>
  <c r="L42" i="1"/>
  <c r="K42" i="1"/>
  <c r="J42" i="1"/>
  <c r="N40" i="1"/>
  <c r="I40" i="1"/>
  <c r="H40" i="1"/>
  <c r="N38" i="1"/>
  <c r="I38" i="1"/>
  <c r="H38" i="1"/>
  <c r="N36" i="1"/>
  <c r="I36" i="1"/>
  <c r="H36" i="1"/>
  <c r="Q32" i="1"/>
  <c r="P32" i="1"/>
  <c r="O32" i="1"/>
  <c r="N32" i="1"/>
  <c r="L32" i="1"/>
  <c r="K32" i="1"/>
  <c r="J32" i="1"/>
  <c r="I32" i="1"/>
  <c r="H32" i="1"/>
  <c r="W31" i="1"/>
  <c r="V31" i="1"/>
  <c r="U31" i="1"/>
  <c r="T31" i="1"/>
  <c r="M31" i="1"/>
  <c r="M32" i="1" s="1"/>
  <c r="W30" i="1"/>
  <c r="V30" i="1"/>
  <c r="U30" i="1"/>
  <c r="T30" i="1"/>
  <c r="Q30" i="1"/>
  <c r="P30" i="1"/>
  <c r="O30" i="1"/>
  <c r="N30" i="1"/>
  <c r="I30" i="1"/>
  <c r="X29" i="1"/>
  <c r="R29" i="1"/>
  <c r="R30" i="1" s="1"/>
  <c r="M29" i="1"/>
  <c r="Q28" i="1"/>
  <c r="P28" i="1"/>
  <c r="O28" i="1"/>
  <c r="N28" i="1"/>
  <c r="M28" i="1"/>
  <c r="L28" i="1"/>
  <c r="K28" i="1"/>
  <c r="J28" i="1"/>
  <c r="I28" i="1"/>
  <c r="H28" i="1"/>
  <c r="W27" i="1"/>
  <c r="V27" i="1"/>
  <c r="U27" i="1"/>
  <c r="T27" i="1"/>
  <c r="M27" i="1"/>
  <c r="W26" i="1"/>
  <c r="V26" i="1"/>
  <c r="U26" i="1"/>
  <c r="T26" i="1"/>
  <c r="Q26" i="1"/>
  <c r="P26" i="1"/>
  <c r="O26" i="1"/>
  <c r="N26" i="1"/>
  <c r="I26" i="1"/>
  <c r="X25" i="1"/>
  <c r="S25" i="1"/>
  <c r="M25" i="1"/>
  <c r="R26" i="1" s="1"/>
  <c r="Q24" i="1"/>
  <c r="P24" i="1"/>
  <c r="O24" i="1"/>
  <c r="N24" i="1"/>
  <c r="L24" i="1"/>
  <c r="K24" i="1"/>
  <c r="J24" i="1"/>
  <c r="I24" i="1"/>
  <c r="H24" i="1"/>
  <c r="M23" i="1"/>
  <c r="M24" i="1" s="1"/>
  <c r="R22" i="1"/>
  <c r="Q22" i="1"/>
  <c r="P22" i="1"/>
  <c r="L22" i="1"/>
  <c r="K22" i="1"/>
  <c r="R21" i="1"/>
  <c r="Q21" i="1"/>
  <c r="P21" i="1"/>
  <c r="O21" i="1"/>
  <c r="N21" i="1"/>
  <c r="I21" i="1"/>
  <c r="W20" i="1"/>
  <c r="W23" i="1" s="1"/>
  <c r="W45" i="1" s="1"/>
  <c r="V20" i="1"/>
  <c r="V42" i="1" s="1"/>
  <c r="T20" i="1"/>
  <c r="T22" i="1" s="1"/>
  <c r="S20" i="1"/>
  <c r="M20" i="1"/>
  <c r="O22" i="1" s="1"/>
  <c r="W19" i="1"/>
  <c r="V19" i="1"/>
  <c r="U19" i="1"/>
  <c r="U20" i="1" s="1"/>
  <c r="T19" i="1"/>
  <c r="Q19" i="1"/>
  <c r="R18" i="1"/>
  <c r="R19" i="1" s="1"/>
  <c r="Q18" i="1"/>
  <c r="R12" i="1"/>
  <c r="Q12" i="1"/>
  <c r="P12" i="1"/>
  <c r="E3" i="1"/>
  <c r="M56" i="2" l="1"/>
  <c r="J57" i="2"/>
  <c r="J58" i="2"/>
  <c r="Q52" i="2"/>
  <c r="I81" i="2"/>
  <c r="Q56" i="2"/>
  <c r="R55" i="2"/>
  <c r="I69" i="2"/>
  <c r="I75" i="2"/>
  <c r="G52" i="2"/>
  <c r="G58" i="2" s="1"/>
  <c r="G61" i="2" s="1"/>
  <c r="F52" i="2"/>
  <c r="F58" i="2" s="1"/>
  <c r="F61" i="2" s="1"/>
  <c r="L29" i="2"/>
  <c r="M15" i="2"/>
  <c r="O52" i="2"/>
  <c r="P54" i="2" s="1"/>
  <c r="M28" i="2"/>
  <c r="M30" i="2" s="1"/>
  <c r="P27" i="2"/>
  <c r="N25" i="2"/>
  <c r="N26" i="2" s="1"/>
  <c r="L26" i="2"/>
  <c r="P30" i="2"/>
  <c r="N28" i="2"/>
  <c r="N29" i="2" s="1"/>
  <c r="H28" i="2"/>
  <c r="K30" i="2"/>
  <c r="L30" i="2"/>
  <c r="K52" i="2"/>
  <c r="K29" i="2"/>
  <c r="M25" i="2"/>
  <c r="M10" i="2"/>
  <c r="M9" i="2"/>
  <c r="P58" i="2"/>
  <c r="M12" i="2"/>
  <c r="O13" i="2"/>
  <c r="K27" i="2"/>
  <c r="M13" i="2"/>
  <c r="K26" i="2"/>
  <c r="M16" i="2"/>
  <c r="M18" i="2"/>
  <c r="P26" i="2"/>
  <c r="M19" i="2"/>
  <c r="L52" i="2"/>
  <c r="L54" i="2" s="1"/>
  <c r="M21" i="2"/>
  <c r="O22" i="2"/>
  <c r="H25" i="2"/>
  <c r="J27" i="2" s="1"/>
  <c r="O26" i="2"/>
  <c r="P29" i="2"/>
  <c r="O29" i="2"/>
  <c r="D38" i="2"/>
  <c r="I41" i="2"/>
  <c r="I44" i="2"/>
  <c r="I38" i="2"/>
  <c r="I46" i="2"/>
  <c r="I47" i="2" s="1"/>
  <c r="D47" i="2"/>
  <c r="J26" i="2"/>
  <c r="J29" i="2"/>
  <c r="D44" i="2"/>
  <c r="I26" i="2"/>
  <c r="C40" i="2"/>
  <c r="D41" i="2" s="1"/>
  <c r="I29" i="2"/>
  <c r="D26" i="2"/>
  <c r="E52" i="2"/>
  <c r="D29" i="2"/>
  <c r="D52" i="2"/>
  <c r="C52" i="2"/>
  <c r="C81" i="2" s="1"/>
  <c r="I56" i="2"/>
  <c r="D56" i="2"/>
  <c r="I58" i="2"/>
  <c r="S29" i="1"/>
  <c r="S41" i="1" s="1"/>
  <c r="Q43" i="1"/>
  <c r="AA53" i="1"/>
  <c r="M42" i="1"/>
  <c r="R43" i="1" s="1"/>
  <c r="Y53" i="1"/>
  <c r="M22" i="1"/>
  <c r="N55" i="1"/>
  <c r="N56" i="1" s="1"/>
  <c r="N59" i="1" s="1"/>
  <c r="Q14" i="1"/>
  <c r="O43" i="1"/>
  <c r="Z53" i="1"/>
  <c r="H61" i="1"/>
  <c r="V49" i="1"/>
  <c r="V43" i="1"/>
  <c r="Q48" i="1"/>
  <c r="W44" i="1"/>
  <c r="Z52" i="1"/>
  <c r="Z55" i="1"/>
  <c r="Z56" i="1" s="1"/>
  <c r="AA55" i="1"/>
  <c r="AA56" i="1" s="1"/>
  <c r="AA52" i="1"/>
  <c r="U22" i="1"/>
  <c r="U42" i="1"/>
  <c r="U23" i="1"/>
  <c r="U45" i="1" s="1"/>
  <c r="U21" i="1"/>
  <c r="V22" i="1"/>
  <c r="Y52" i="1"/>
  <c r="Y55" i="1"/>
  <c r="Y56" i="1" s="1"/>
  <c r="W49" i="1"/>
  <c r="W53" i="1" s="1"/>
  <c r="W52" i="1" s="1"/>
  <c r="W22" i="1"/>
  <c r="T21" i="1"/>
  <c r="T23" i="1"/>
  <c r="T45" i="1" s="1"/>
  <c r="X20" i="1"/>
  <c r="X41" i="1" s="1"/>
  <c r="T42" i="1"/>
  <c r="H52" i="1"/>
  <c r="S58" i="1"/>
  <c r="V21" i="1"/>
  <c r="V23" i="1"/>
  <c r="V45" i="1" s="1"/>
  <c r="I52" i="1"/>
  <c r="Q13" i="1"/>
  <c r="W21" i="1"/>
  <c r="O58" i="2" l="1"/>
  <c r="P60" i="2" s="1"/>
  <c r="J61" i="2"/>
  <c r="P53" i="2"/>
  <c r="K54" i="2"/>
  <c r="I53" i="2"/>
  <c r="D81" i="2"/>
  <c r="I82" i="2" s="1"/>
  <c r="R52" i="2"/>
  <c r="Q53" i="2"/>
  <c r="Q81" i="2"/>
  <c r="Q58" i="2"/>
  <c r="I86" i="2"/>
  <c r="I89" i="2" s="1"/>
  <c r="R56" i="2"/>
  <c r="S55" i="2"/>
  <c r="D75" i="2"/>
  <c r="I76" i="2" s="1"/>
  <c r="D69" i="2"/>
  <c r="I70" i="2" s="1"/>
  <c r="D97" i="2"/>
  <c r="C97" i="2"/>
  <c r="I97" i="2"/>
  <c r="I98" i="2" s="1"/>
  <c r="C69" i="2"/>
  <c r="C75" i="2"/>
  <c r="C58" i="2"/>
  <c r="O30" i="2"/>
  <c r="M52" i="2"/>
  <c r="M54" i="2" s="1"/>
  <c r="O59" i="2"/>
  <c r="O53" i="2"/>
  <c r="M29" i="2"/>
  <c r="N52" i="2"/>
  <c r="N58" i="2" s="1"/>
  <c r="J30" i="2"/>
  <c r="M26" i="2"/>
  <c r="M27" i="2"/>
  <c r="J53" i="2"/>
  <c r="E58" i="2"/>
  <c r="O27" i="2"/>
  <c r="K53" i="2"/>
  <c r="K58" i="2"/>
  <c r="K60" i="2" s="1"/>
  <c r="D58" i="2"/>
  <c r="H52" i="2"/>
  <c r="J54" i="2" s="1"/>
  <c r="L53" i="2"/>
  <c r="L58" i="2"/>
  <c r="P61" i="2"/>
  <c r="D53" i="2"/>
  <c r="I61" i="2"/>
  <c r="U49" i="1"/>
  <c r="U43" i="1"/>
  <c r="X62" i="1"/>
  <c r="AA59" i="1"/>
  <c r="V53" i="1"/>
  <c r="V52" i="1" s="1"/>
  <c r="V44" i="1"/>
  <c r="H63" i="1"/>
  <c r="S59" i="1"/>
  <c r="H62" i="1"/>
  <c r="N62" i="1"/>
  <c r="T49" i="1"/>
  <c r="X49" i="1" s="1"/>
  <c r="X42" i="1"/>
  <c r="T43" i="1"/>
  <c r="T44" i="1"/>
  <c r="X45" i="1"/>
  <c r="U44" i="1"/>
  <c r="U52" i="1"/>
  <c r="L60" i="2" l="1"/>
  <c r="O54" i="2"/>
  <c r="O61" i="2"/>
  <c r="P63" i="2" s="1"/>
  <c r="R53" i="2"/>
  <c r="S52" i="2"/>
  <c r="R81" i="2"/>
  <c r="I93" i="2"/>
  <c r="I100" i="2" s="1"/>
  <c r="T55" i="2"/>
  <c r="S56" i="2"/>
  <c r="Q86" i="2"/>
  <c r="R58" i="2"/>
  <c r="Q59" i="2"/>
  <c r="Q61" i="2"/>
  <c r="D61" i="2"/>
  <c r="I62" i="2" s="1"/>
  <c r="D86" i="2"/>
  <c r="D89" i="2" s="1"/>
  <c r="I90" i="2" s="1"/>
  <c r="D70" i="2"/>
  <c r="D82" i="2"/>
  <c r="D98" i="2"/>
  <c r="D76" i="2"/>
  <c r="C61" i="2"/>
  <c r="C86" i="2"/>
  <c r="C89" i="2" s="1"/>
  <c r="M58" i="2"/>
  <c r="M60" i="2" s="1"/>
  <c r="M53" i="2"/>
  <c r="N53" i="2"/>
  <c r="I59" i="2"/>
  <c r="D59" i="2"/>
  <c r="K59" i="2"/>
  <c r="K61" i="2"/>
  <c r="K63" i="2" s="1"/>
  <c r="N61" i="2"/>
  <c r="N59" i="2"/>
  <c r="L59" i="2"/>
  <c r="L61" i="2"/>
  <c r="P59" i="2"/>
  <c r="H58" i="2"/>
  <c r="J60" i="2" s="1"/>
  <c r="E61" i="2"/>
  <c r="J62" i="2" s="1"/>
  <c r="J59" i="2"/>
  <c r="Y43" i="1"/>
  <c r="X43" i="1"/>
  <c r="X44" i="1"/>
  <c r="H64" i="1"/>
  <c r="X48" i="1"/>
  <c r="O60" i="2" l="1"/>
  <c r="O62" i="2"/>
  <c r="L63" i="2"/>
  <c r="I103" i="2"/>
  <c r="M61" i="2"/>
  <c r="M63" i="2" s="1"/>
  <c r="D62" i="2"/>
  <c r="T52" i="2"/>
  <c r="S53" i="2"/>
  <c r="S81" i="2"/>
  <c r="M59" i="2"/>
  <c r="Q87" i="2"/>
  <c r="Q89" i="2"/>
  <c r="T56" i="2"/>
  <c r="U55" i="2"/>
  <c r="U56" i="2" s="1"/>
  <c r="R61" i="2"/>
  <c r="S58" i="2"/>
  <c r="R86" i="2"/>
  <c r="R59" i="2"/>
  <c r="D93" i="2"/>
  <c r="D100" i="2" s="1"/>
  <c r="D111" i="2" s="1"/>
  <c r="D87" i="2"/>
  <c r="I87" i="2"/>
  <c r="C93" i="2"/>
  <c r="C100" i="2" s="1"/>
  <c r="H61" i="2"/>
  <c r="J63" i="2" s="1"/>
  <c r="L62" i="2"/>
  <c r="K62" i="2"/>
  <c r="P62" i="2"/>
  <c r="X53" i="1"/>
  <c r="T52" i="1"/>
  <c r="O63" i="2" l="1"/>
  <c r="T53" i="2"/>
  <c r="U52" i="2"/>
  <c r="T81" i="2"/>
  <c r="T58" i="2"/>
  <c r="S61" i="2"/>
  <c r="S86" i="2"/>
  <c r="S59" i="2"/>
  <c r="C103" i="2"/>
  <c r="C111" i="2"/>
  <c r="R87" i="2"/>
  <c r="R89" i="2"/>
  <c r="Q111" i="2"/>
  <c r="Q93" i="2"/>
  <c r="D90" i="2"/>
  <c r="D103" i="2"/>
  <c r="D101" i="2"/>
  <c r="I101" i="2"/>
  <c r="M62" i="2"/>
  <c r="X52" i="1"/>
  <c r="X56" i="1"/>
  <c r="U53" i="2" l="1"/>
  <c r="W54" i="2" s="1"/>
  <c r="U81" i="2"/>
  <c r="R93" i="2"/>
  <c r="R100" i="2"/>
  <c r="R111" i="2" s="1"/>
  <c r="S87" i="2"/>
  <c r="S89" i="2"/>
  <c r="Q103" i="2"/>
  <c r="Q114" i="2"/>
  <c r="U58" i="2"/>
  <c r="T86" i="2"/>
  <c r="T59" i="2"/>
  <c r="T61" i="2"/>
  <c r="D104" i="2"/>
  <c r="I104" i="2"/>
  <c r="I63" i="1"/>
  <c r="I62" i="1"/>
  <c r="I64" i="1" s="1"/>
  <c r="I65" i="1" s="1"/>
  <c r="T89" i="2" l="1"/>
  <c r="T87" i="2"/>
  <c r="U86" i="2"/>
  <c r="U61" i="2"/>
  <c r="U59" i="2"/>
  <c r="S100" i="2"/>
  <c r="S93" i="2"/>
  <c r="R114" i="2"/>
  <c r="R103" i="2"/>
  <c r="N63" i="1"/>
  <c r="N64" i="1" s="1"/>
  <c r="N65" i="1" s="1"/>
  <c r="Z57" i="1"/>
  <c r="T100" i="2" l="1"/>
  <c r="S111" i="2"/>
  <c r="S114" i="2" s="1"/>
  <c r="S103" i="2"/>
  <c r="U89" i="2"/>
  <c r="U87" i="2"/>
  <c r="T93" i="2"/>
  <c r="S64" i="1"/>
  <c r="AA57" i="1"/>
  <c r="X63" i="1" s="1"/>
  <c r="X64" i="1" s="1"/>
  <c r="X65" i="1" s="1"/>
  <c r="U93" i="2" l="1"/>
  <c r="U100" i="2"/>
  <c r="T103" i="2"/>
  <c r="T111" i="2"/>
  <c r="Q117" i="2" s="1"/>
  <c r="S65" i="1"/>
  <c r="AC62" i="1" s="1"/>
  <c r="T114" i="2" l="1"/>
  <c r="U111" i="2"/>
  <c r="U114" i="2" s="1"/>
  <c r="U103" i="2"/>
  <c r="N2" i="1"/>
  <c r="AC63" i="1"/>
  <c r="N3" i="1" s="1"/>
  <c r="Q118" i="2" l="1"/>
  <c r="W72" i="2" s="1"/>
  <c r="W64" i="2" s="1"/>
  <c r="R2" i="2" l="1"/>
  <c r="W73" i="2"/>
  <c r="R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tc={8268CF47-963C-C54A-9507-35E8ABD4CC3B}</author>
  </authors>
  <commentList>
    <comment ref="S42" authorId="0" shapeId="0" xr:uid="{8268CF47-963C-C54A-9507-35E8ABD4CC3B}">
      <text>
        <t>[Threaded comment]
Your version of Excel allows you to read this threaded comment; however, any edits to it will get removed if the file is opened in a newer version of Excel. Learn more: https://go.microsoft.com/fwlink/?linkid=870924
Comment:
    222-226 update</t>
      </text>
    </comment>
  </commentList>
</comments>
</file>

<file path=xl/sharedStrings.xml><?xml version="1.0" encoding="utf-8"?>
<sst xmlns="http://schemas.openxmlformats.org/spreadsheetml/2006/main" count="330" uniqueCount="132">
  <si>
    <t>Price</t>
  </si>
  <si>
    <t>PFV</t>
  </si>
  <si>
    <t>Delta</t>
  </si>
  <si>
    <t>Notes:</t>
  </si>
  <si>
    <t>Q1</t>
  </si>
  <si>
    <t>Q2</t>
  </si>
  <si>
    <t>Q3</t>
  </si>
  <si>
    <t>Q4</t>
  </si>
  <si>
    <t>Rev/GP by Product</t>
  </si>
  <si>
    <t>Sales Prod</t>
  </si>
  <si>
    <t>New</t>
  </si>
  <si>
    <t>Old</t>
  </si>
  <si>
    <t>Reps</t>
  </si>
  <si>
    <t>Sales/Rep</t>
  </si>
  <si>
    <t>An example of how to look at segments.</t>
  </si>
  <si>
    <t>PMT REV</t>
  </si>
  <si>
    <t>Also Geos.</t>
  </si>
  <si>
    <t>YoY Growth</t>
  </si>
  <si>
    <t>QoQ Growh</t>
  </si>
  <si>
    <t xml:space="preserve">Observe the change in the growth rate. </t>
  </si>
  <si>
    <t>PMT GP</t>
  </si>
  <si>
    <t>GP%</t>
  </si>
  <si>
    <t>Canvys Rev</t>
  </si>
  <si>
    <t>Canvys GP</t>
  </si>
  <si>
    <t>Healthcare Rev</t>
  </si>
  <si>
    <t>Healthcare GP</t>
  </si>
  <si>
    <t>176m</t>
  </si>
  <si>
    <t>Rev/GP by Geo</t>
  </si>
  <si>
    <t>PMT</t>
  </si>
  <si>
    <t>Canvys</t>
  </si>
  <si>
    <t>Healthcare</t>
  </si>
  <si>
    <t>Total Revenue</t>
  </si>
  <si>
    <t>Ticker</t>
  </si>
  <si>
    <t>NYSE</t>
  </si>
  <si>
    <t>Exchange</t>
  </si>
  <si>
    <t>Gross Margin%</t>
  </si>
  <si>
    <t>Rev Growth</t>
  </si>
  <si>
    <t>Gross Profits</t>
  </si>
  <si>
    <t>Current Price</t>
  </si>
  <si>
    <t>Shares Out</t>
  </si>
  <si>
    <t>Avg. Dilution</t>
  </si>
  <si>
    <t>SG&amp;A %</t>
  </si>
  <si>
    <t>Cap (M)</t>
  </si>
  <si>
    <t>SG&amp;A $</t>
  </si>
  <si>
    <t>Cash</t>
  </si>
  <si>
    <t>Net Operating Margin</t>
  </si>
  <si>
    <t>Debt</t>
  </si>
  <si>
    <t>Operating Income</t>
  </si>
  <si>
    <t>Tax Rate</t>
  </si>
  <si>
    <t>Interest Expense</t>
  </si>
  <si>
    <t>PS at PT</t>
  </si>
  <si>
    <t>Taxed Operating Income</t>
  </si>
  <si>
    <t>Target PE</t>
  </si>
  <si>
    <t>Market Value Using P/E</t>
  </si>
  <si>
    <t>Discount Rate</t>
  </si>
  <si>
    <t>Net Cash Position</t>
  </si>
  <si>
    <t>Shares (M)</t>
  </si>
  <si>
    <t>Period Share Price</t>
  </si>
  <si>
    <t>Consensus EPS</t>
  </si>
  <si>
    <t>P/E Ratio</t>
  </si>
  <si>
    <t>PV of MV 3 Years Out</t>
  </si>
  <si>
    <t>PV of Cash 3 Years Out</t>
  </si>
  <si>
    <t>Up/Downside</t>
  </si>
  <si>
    <t>PV MV + Cash</t>
  </si>
  <si>
    <t>PV Value Per Share</t>
  </si>
  <si>
    <t>Airbnb</t>
  </si>
  <si>
    <t>ABNB</t>
  </si>
  <si>
    <t>December</t>
  </si>
  <si>
    <t xml:space="preserve">Apple </t>
  </si>
  <si>
    <t>AAPL</t>
  </si>
  <si>
    <t>iPhone Rev</t>
  </si>
  <si>
    <t>QoQ Growth</t>
  </si>
  <si>
    <t>Mac Rev</t>
  </si>
  <si>
    <t>Wearables, Home &amp; Acc Rev</t>
  </si>
  <si>
    <t>Services Rev</t>
  </si>
  <si>
    <t>Americas Rev</t>
  </si>
  <si>
    <t>Europe Rev</t>
  </si>
  <si>
    <t>Greater China Rev</t>
  </si>
  <si>
    <t>Japan Rev</t>
  </si>
  <si>
    <t>Products Rev</t>
  </si>
  <si>
    <t>Products Cost of Sales</t>
  </si>
  <si>
    <t>Services Cost of Sales</t>
  </si>
  <si>
    <t>Services GP</t>
  </si>
  <si>
    <t>Total Cost of Sales</t>
  </si>
  <si>
    <t>Products GP%</t>
  </si>
  <si>
    <t>Services GP%</t>
  </si>
  <si>
    <t xml:space="preserve">Products GP </t>
  </si>
  <si>
    <t>Gross Profits %</t>
  </si>
  <si>
    <t>Rev by Geo (billions)</t>
  </si>
  <si>
    <t>Be wary of the difference between rates and absolutes</t>
  </si>
  <si>
    <t>Rest of Asia Pacifc Rev</t>
  </si>
  <si>
    <t>iPad Rev</t>
  </si>
  <si>
    <t>2022(6Mth End)</t>
  </si>
  <si>
    <t>R&amp;D</t>
  </si>
  <si>
    <t>SG&amp;A</t>
  </si>
  <si>
    <t>Operating Expenses</t>
  </si>
  <si>
    <t>R&amp;D %</t>
  </si>
  <si>
    <t>Operating Expenses %</t>
  </si>
  <si>
    <t>Operating Income %</t>
  </si>
  <si>
    <t>Income Tax</t>
  </si>
  <si>
    <t>Income Tax %</t>
  </si>
  <si>
    <t>Total Income</t>
  </si>
  <si>
    <t>Net Income %</t>
  </si>
  <si>
    <t>Net Income</t>
  </si>
  <si>
    <t>Other Income/(expense), net</t>
  </si>
  <si>
    <t>2023 Proj</t>
  </si>
  <si>
    <t>2024 Proj</t>
  </si>
  <si>
    <t>2025 Proj</t>
  </si>
  <si>
    <t>2026 Proj</t>
  </si>
  <si>
    <t>NASDAQ</t>
  </si>
  <si>
    <t>Cap (B)</t>
  </si>
  <si>
    <t>Shares Out(B)</t>
  </si>
  <si>
    <t>Cash (B)</t>
  </si>
  <si>
    <t>Debt (B)</t>
  </si>
  <si>
    <t>-</t>
  </si>
  <si>
    <t>2022 Proj</t>
  </si>
  <si>
    <t>Top Line (billions)</t>
  </si>
  <si>
    <t>Q1 December Prev YR (billions)</t>
  </si>
  <si>
    <t>Rev by Product (unhide)</t>
  </si>
  <si>
    <t>Shares (B)</t>
  </si>
  <si>
    <t>(I think AAPL can average 8 percent growth rate in revenues per year but will have to consider modelling through a possible recession)</t>
  </si>
  <si>
    <t>(management succesfully shrank operations decreasing both rev and cost in response to covid; they did well to maintain 38% GP througout covid and hopefully indicate they can maintain 38% in a full blown recession)</t>
  </si>
  <si>
    <t>(No new iphone in Q4  2020 and covid in q2 2022 means they had little to no YoY growth in those quarters)</t>
  </si>
  <si>
    <t>(The fed printing all that money and covid relief checks really drove up economic activity and consumer spending; crazy YoY OI growth!)</t>
  </si>
  <si>
    <t>(Consider AAPLs share repurchasing activity ask Mr Tuttle)</t>
  </si>
  <si>
    <t xml:space="preserve">(product revenue growth greatly determined by iphone revenue growth - makes sense) </t>
  </si>
  <si>
    <t>(Where does debt come in? Net cash position? ask Mr Tuttle)</t>
  </si>
  <si>
    <t>(have to segment these further later down the line)</t>
  </si>
  <si>
    <t>(What does PS at PT indicate ask Mr Tuttle)</t>
  </si>
  <si>
    <t>(2021 Product and Total Rev QoQ growth show similar patters than confirm AAPL's earnings cycle as being strongest in Q1 when people buy new iphones during the holiday period)</t>
  </si>
  <si>
    <t>(It's nice how the Services Rev doesn't follow that patttern acting as a hedge during other part of the year; would like to see them increase Services Rev/Total Rev with time)</t>
  </si>
  <si>
    <t>(I would attribute record YoY growth rates in revenue for 2021 to again fed printing more money and in Q4 2021 they announced a new iphone not having released one at the same time last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</si>
</sst>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GH₵&quot;* #,##0.00_);_(&quot;GH₵&quot;* \(#,##0.00\);_(&quot;GH₵&quot;* &quot;-&quot;??_);_(@_)"/>
    <numFmt numFmtId="43" formatCode="_(* #,##0.00_);_(* \(#,##0.00\);_(* &quot;-&quot;??_);_(@_)"/>
    <numFmt numFmtId="164" formatCode="&quot;$&quot;#,##0.00"/>
    <numFmt numFmtId="165" formatCode="[$$-409]#,##0.00_);\([$$-409]#,##0.00\)"/>
    <numFmt numFmtId="166" formatCode="&quot;$&quot;#,##0"/>
    <numFmt numFmtId="167" formatCode="&quot;$&quot;#,##0.0"/>
    <numFmt numFmtId="168" formatCode="0.0%"/>
    <numFmt numFmtId="169" formatCode="0.0"/>
    <numFmt numFmtId="170" formatCode="_(* #,##0_);_(* \(#,##0\);_(* &quot;-&quot;??_);_(@_)"/>
    <numFmt numFmtId="171" formatCode="[$-409]d\-mmm"/>
    <numFmt numFmtId="172" formatCode="_([$$-409]* #,##0.00_);_([$$-409]* \(#,##0.00\);_([$$-409]* &quot;-&quot;??_);_(@_)"/>
    <numFmt numFmtId="173" formatCode="0.00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ntarell"/>
    </font>
    <font>
      <b/>
      <sz val="10"/>
      <name val="Cantarell"/>
    </font>
    <font>
      <sz val="12"/>
      <name val="Cantarell"/>
    </font>
    <font>
      <b/>
      <sz val="12"/>
      <name val="Cantarell"/>
    </font>
    <font>
      <sz val="10"/>
      <name val="Arial"/>
      <family val="2"/>
    </font>
    <font>
      <b/>
      <i/>
      <sz val="10"/>
      <color rgb="FFA61C00"/>
      <name val="Cantarel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ntarell"/>
    </font>
    <font>
      <sz val="10"/>
      <color theme="1"/>
      <name val="Cantarell"/>
    </font>
    <font>
      <sz val="10"/>
      <color rgb="FF000000"/>
      <name val="Cantarell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" fillId="0" borderId="0"/>
  </cellStyleXfs>
  <cellXfs count="160">
    <xf numFmtId="0" fontId="0" fillId="0" borderId="0" xfId="0"/>
    <xf numFmtId="0" fontId="2" fillId="0" borderId="0" xfId="4"/>
    <xf numFmtId="0" fontId="3" fillId="0" borderId="0" xfId="4" applyFont="1"/>
    <xf numFmtId="0" fontId="4" fillId="0" borderId="0" xfId="4" applyFont="1"/>
    <xf numFmtId="164" fontId="4" fillId="0" borderId="0" xfId="4" applyNumberFormat="1" applyFont="1"/>
    <xf numFmtId="0" fontId="5" fillId="0" borderId="0" xfId="4" applyFont="1"/>
    <xf numFmtId="0" fontId="5" fillId="0" borderId="0" xfId="4" applyFont="1" applyAlignment="1">
      <alignment horizontal="center"/>
    </xf>
    <xf numFmtId="15" fontId="4" fillId="0" borderId="0" xfId="4" applyNumberFormat="1" applyFont="1"/>
    <xf numFmtId="9" fontId="4" fillId="0" borderId="0" xfId="4" applyNumberFormat="1" applyFont="1"/>
    <xf numFmtId="0" fontId="7" fillId="0" borderId="0" xfId="4" applyFont="1"/>
    <xf numFmtId="165" fontId="5" fillId="0" borderId="0" xfId="4" applyNumberFormat="1" applyFont="1" applyAlignment="1">
      <alignment horizontal="right" vertical="center"/>
    </xf>
    <xf numFmtId="0" fontId="8" fillId="0" borderId="1" xfId="4" applyFont="1" applyBorder="1" applyAlignment="1">
      <alignment horizontal="right"/>
    </xf>
    <xf numFmtId="0" fontId="4" fillId="0" borderId="2" xfId="4" applyFont="1" applyBorder="1" applyAlignment="1">
      <alignment horizontal="center"/>
    </xf>
    <xf numFmtId="9" fontId="3" fillId="0" borderId="2" xfId="4" applyNumberFormat="1" applyFont="1" applyBorder="1" applyAlignment="1">
      <alignment horizontal="center"/>
    </xf>
    <xf numFmtId="0" fontId="3" fillId="0" borderId="3" xfId="4" applyFont="1" applyBorder="1"/>
    <xf numFmtId="17" fontId="5" fillId="0" borderId="0" xfId="4" applyNumberFormat="1" applyFont="1"/>
    <xf numFmtId="16" fontId="5" fillId="0" borderId="0" xfId="4" applyNumberFormat="1" applyFont="1"/>
    <xf numFmtId="0" fontId="8" fillId="0" borderId="4" xfId="4" applyFont="1" applyBorder="1" applyAlignment="1">
      <alignment horizontal="right"/>
    </xf>
    <xf numFmtId="0" fontId="4" fillId="0" borderId="0" xfId="4" applyFont="1" applyAlignment="1">
      <alignment horizontal="center"/>
    </xf>
    <xf numFmtId="9" fontId="3" fillId="0" borderId="0" xfId="4" applyNumberFormat="1" applyFont="1" applyAlignment="1">
      <alignment horizontal="center"/>
    </xf>
    <xf numFmtId="0" fontId="3" fillId="0" borderId="5" xfId="4" applyFont="1" applyBorder="1"/>
    <xf numFmtId="9" fontId="4" fillId="0" borderId="0" xfId="4" applyNumberFormat="1" applyFont="1" applyAlignment="1">
      <alignment horizontal="center"/>
    </xf>
    <xf numFmtId="164" fontId="4" fillId="0" borderId="0" xfId="4" applyNumberFormat="1" applyFont="1" applyAlignment="1">
      <alignment horizontal="center"/>
    </xf>
    <xf numFmtId="0" fontId="3" fillId="0" borderId="6" xfId="4" applyFont="1" applyBorder="1" applyAlignment="1">
      <alignment horizontal="right"/>
    </xf>
    <xf numFmtId="166" fontId="3" fillId="0" borderId="7" xfId="4" applyNumberFormat="1" applyFont="1" applyBorder="1"/>
    <xf numFmtId="167" fontId="3" fillId="0" borderId="7" xfId="4" applyNumberFormat="1" applyFont="1" applyBorder="1"/>
    <xf numFmtId="0" fontId="4" fillId="0" borderId="7" xfId="4" applyFont="1" applyBorder="1" applyAlignment="1">
      <alignment horizontal="center"/>
    </xf>
    <xf numFmtId="9" fontId="3" fillId="0" borderId="7" xfId="4" applyNumberFormat="1" applyFont="1" applyBorder="1" applyAlignment="1">
      <alignment horizontal="center"/>
    </xf>
    <xf numFmtId="0" fontId="3" fillId="0" borderId="8" xfId="4" applyFont="1" applyBorder="1"/>
    <xf numFmtId="0" fontId="3" fillId="0" borderId="4" xfId="4" applyFont="1" applyBorder="1" applyAlignment="1">
      <alignment horizontal="right"/>
    </xf>
    <xf numFmtId="166" fontId="3" fillId="0" borderId="0" xfId="4" applyNumberFormat="1" applyFont="1"/>
    <xf numFmtId="167" fontId="3" fillId="0" borderId="0" xfId="4" applyNumberFormat="1" applyFont="1"/>
    <xf numFmtId="168" fontId="3" fillId="0" borderId="0" xfId="4" applyNumberFormat="1" applyFont="1"/>
    <xf numFmtId="168" fontId="3" fillId="2" borderId="0" xfId="4" applyNumberFormat="1" applyFont="1" applyFill="1"/>
    <xf numFmtId="0" fontId="3" fillId="0" borderId="9" xfId="4" applyFont="1" applyBorder="1" applyAlignment="1">
      <alignment horizontal="right"/>
    </xf>
    <xf numFmtId="166" fontId="3" fillId="0" borderId="10" xfId="4" applyNumberFormat="1" applyFont="1" applyBorder="1"/>
    <xf numFmtId="9" fontId="3" fillId="0" borderId="10" xfId="3" applyFont="1" applyBorder="1" applyAlignment="1"/>
    <xf numFmtId="0" fontId="4" fillId="0" borderId="10" xfId="4" applyFont="1" applyBorder="1" applyAlignment="1">
      <alignment horizontal="center"/>
    </xf>
    <xf numFmtId="9" fontId="3" fillId="0" borderId="10" xfId="4" applyNumberFormat="1" applyFont="1" applyBorder="1" applyAlignment="1">
      <alignment horizontal="center"/>
    </xf>
    <xf numFmtId="0" fontId="3" fillId="0" borderId="11" xfId="4" applyFont="1" applyBorder="1"/>
    <xf numFmtId="9" fontId="3" fillId="0" borderId="0" xfId="3" applyFont="1" applyAlignment="1"/>
    <xf numFmtId="167" fontId="3" fillId="0" borderId="10" xfId="4" applyNumberFormat="1" applyFont="1" applyBorder="1"/>
    <xf numFmtId="0" fontId="3" fillId="0" borderId="0" xfId="4" applyFont="1" applyAlignment="1">
      <alignment horizontal="center"/>
    </xf>
    <xf numFmtId="2" fontId="5" fillId="0" borderId="0" xfId="4" applyNumberFormat="1" applyFont="1" applyAlignment="1">
      <alignment horizontal="right" vertical="center"/>
    </xf>
    <xf numFmtId="0" fontId="5" fillId="0" borderId="0" xfId="4" applyFont="1" applyAlignment="1">
      <alignment horizontal="right" vertical="center"/>
    </xf>
    <xf numFmtId="168" fontId="3" fillId="3" borderId="0" xfId="4" applyNumberFormat="1" applyFont="1" applyFill="1"/>
    <xf numFmtId="0" fontId="4" fillId="0" borderId="1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164" fontId="5" fillId="0" borderId="0" xfId="4" applyNumberFormat="1" applyFont="1" applyAlignment="1">
      <alignment horizontal="right"/>
    </xf>
    <xf numFmtId="3" fontId="5" fillId="0" borderId="0" xfId="4" applyNumberFormat="1" applyFont="1"/>
    <xf numFmtId="9" fontId="3" fillId="0" borderId="0" xfId="4" applyNumberFormat="1" applyFont="1"/>
    <xf numFmtId="9" fontId="3" fillId="0" borderId="4" xfId="4" applyNumberFormat="1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64" fontId="4" fillId="0" borderId="4" xfId="4" applyNumberFormat="1" applyFont="1" applyBorder="1" applyAlignment="1">
      <alignment horizontal="center"/>
    </xf>
    <xf numFmtId="0" fontId="3" fillId="0" borderId="4" xfId="4" applyFont="1" applyBorder="1"/>
    <xf numFmtId="1" fontId="3" fillId="0" borderId="4" xfId="4" applyNumberFormat="1" applyFont="1" applyBorder="1" applyAlignment="1">
      <alignment horizontal="center"/>
    </xf>
    <xf numFmtId="169" fontId="5" fillId="0" borderId="0" xfId="4" applyNumberFormat="1" applyFont="1"/>
    <xf numFmtId="166" fontId="3" fillId="0" borderId="4" xfId="4" applyNumberFormat="1" applyFont="1" applyBorder="1" applyAlignment="1">
      <alignment horizontal="center"/>
    </xf>
    <xf numFmtId="2" fontId="5" fillId="0" borderId="0" xfId="4" applyNumberFormat="1" applyFont="1"/>
    <xf numFmtId="170" fontId="5" fillId="0" borderId="0" xfId="1" applyNumberFormat="1" applyFont="1"/>
    <xf numFmtId="166" fontId="5" fillId="0" borderId="0" xfId="4" applyNumberFormat="1" applyFont="1" applyAlignment="1">
      <alignment horizontal="right"/>
    </xf>
    <xf numFmtId="169" fontId="5" fillId="0" borderId="0" xfId="4" applyNumberFormat="1" applyFont="1" applyAlignment="1">
      <alignment horizontal="right"/>
    </xf>
    <xf numFmtId="2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" fontId="3" fillId="0" borderId="0" xfId="4" applyNumberFormat="1" applyFont="1"/>
    <xf numFmtId="164" fontId="3" fillId="0" borderId="0" xfId="4" applyNumberFormat="1" applyFont="1"/>
    <xf numFmtId="9" fontId="3" fillId="0" borderId="12" xfId="4" applyNumberFormat="1" applyFont="1" applyBorder="1" applyAlignment="1">
      <alignment horizontal="center"/>
    </xf>
    <xf numFmtId="0" fontId="3" fillId="0" borderId="13" xfId="4" applyFont="1" applyBorder="1" applyAlignment="1">
      <alignment horizontal="center"/>
    </xf>
    <xf numFmtId="0" fontId="3" fillId="0" borderId="12" xfId="4" applyFont="1" applyBorder="1" applyAlignment="1">
      <alignment horizontal="right"/>
    </xf>
    <xf numFmtId="164" fontId="3" fillId="0" borderId="14" xfId="4" applyNumberFormat="1" applyFont="1" applyBorder="1"/>
    <xf numFmtId="166" fontId="3" fillId="0" borderId="14" xfId="4" applyNumberFormat="1" applyFont="1" applyBorder="1"/>
    <xf numFmtId="166" fontId="4" fillId="0" borderId="14" xfId="4" applyNumberFormat="1" applyFont="1" applyBorder="1" applyAlignment="1">
      <alignment horizontal="center"/>
    </xf>
    <xf numFmtId="0" fontId="3" fillId="0" borderId="14" xfId="4" applyFont="1" applyBorder="1" applyAlignment="1">
      <alignment horizontal="center"/>
    </xf>
    <xf numFmtId="0" fontId="3" fillId="0" borderId="13" xfId="4" applyFont="1" applyBorder="1"/>
    <xf numFmtId="4" fontId="5" fillId="0" borderId="0" xfId="4" applyNumberFormat="1" applyFont="1"/>
    <xf numFmtId="164" fontId="7" fillId="0" borderId="0" xfId="4" applyNumberFormat="1" applyFont="1"/>
    <xf numFmtId="15" fontId="7" fillId="0" borderId="0" xfId="4" applyNumberFormat="1" applyFont="1"/>
    <xf numFmtId="9" fontId="7" fillId="0" borderId="0" xfId="4" applyNumberFormat="1" applyFont="1"/>
    <xf numFmtId="171" fontId="7" fillId="0" borderId="0" xfId="4" applyNumberFormat="1" applyFont="1"/>
    <xf numFmtId="166" fontId="7" fillId="0" borderId="0" xfId="4" applyNumberFormat="1" applyFont="1"/>
    <xf numFmtId="168" fontId="7" fillId="0" borderId="0" xfId="4" applyNumberFormat="1" applyFont="1"/>
    <xf numFmtId="167" fontId="7" fillId="0" borderId="0" xfId="4" applyNumberFormat="1" applyFont="1"/>
    <xf numFmtId="1" fontId="7" fillId="0" borderId="0" xfId="4" applyNumberFormat="1" applyFont="1"/>
    <xf numFmtId="0" fontId="10" fillId="0" borderId="0" xfId="0" applyFont="1"/>
    <xf numFmtId="172" fontId="10" fillId="0" borderId="0" xfId="2" applyNumberFormat="1" applyFont="1"/>
    <xf numFmtId="0" fontId="8" fillId="0" borderId="0" xfId="4" applyFont="1" applyBorder="1" applyAlignment="1">
      <alignment horizontal="right"/>
    </xf>
    <xf numFmtId="9" fontId="3" fillId="0" borderId="0" xfId="3" applyFont="1"/>
    <xf numFmtId="0" fontId="12" fillId="0" borderId="0" xfId="4" applyFont="1" applyFill="1" applyBorder="1" applyAlignment="1">
      <alignment horizontal="left"/>
    </xf>
    <xf numFmtId="9" fontId="10" fillId="0" borderId="0" xfId="3" applyFont="1"/>
    <xf numFmtId="167" fontId="10" fillId="0" borderId="0" xfId="0" applyNumberFormat="1" applyFont="1" applyBorder="1"/>
    <xf numFmtId="0" fontId="10" fillId="0" borderId="0" xfId="0" applyFont="1" applyBorder="1"/>
    <xf numFmtId="0" fontId="0" fillId="0" borderId="0" xfId="0" applyBorder="1"/>
    <xf numFmtId="9" fontId="3" fillId="0" borderId="0" xfId="3" applyFont="1" applyBorder="1"/>
    <xf numFmtId="9" fontId="10" fillId="0" borderId="0" xfId="3" applyFont="1" applyBorder="1"/>
    <xf numFmtId="9" fontId="0" fillId="0" borderId="0" xfId="3" applyFont="1" applyBorder="1"/>
    <xf numFmtId="0" fontId="10" fillId="0" borderId="0" xfId="0" applyFont="1" applyBorder="1" applyAlignment="1">
      <alignment horizontal="center"/>
    </xf>
    <xf numFmtId="9" fontId="0" fillId="0" borderId="0" xfId="3" applyNumberFormat="1" applyFont="1" applyBorder="1"/>
    <xf numFmtId="9" fontId="3" fillId="0" borderId="0" xfId="3" applyNumberFormat="1" applyFont="1" applyBorder="1"/>
    <xf numFmtId="9" fontId="10" fillId="0" borderId="0" xfId="3" applyNumberFormat="1" applyFont="1" applyBorder="1"/>
    <xf numFmtId="168" fontId="10" fillId="0" borderId="0" xfId="3" applyNumberFormat="1" applyFont="1" applyBorder="1"/>
    <xf numFmtId="0" fontId="12" fillId="0" borderId="16" xfId="4" applyFont="1" applyFill="1" applyBorder="1" applyAlignment="1">
      <alignment horizontal="left"/>
    </xf>
    <xf numFmtId="167" fontId="10" fillId="0" borderId="7" xfId="0" applyNumberFormat="1" applyFont="1" applyBorder="1"/>
    <xf numFmtId="0" fontId="10" fillId="0" borderId="7" xfId="0" applyFont="1" applyBorder="1"/>
    <xf numFmtId="0" fontId="0" fillId="0" borderId="7" xfId="0" applyBorder="1"/>
    <xf numFmtId="0" fontId="0" fillId="0" borderId="17" xfId="0" applyBorder="1"/>
    <xf numFmtId="0" fontId="12" fillId="0" borderId="18" xfId="4" applyFont="1" applyFill="1" applyBorder="1" applyAlignment="1">
      <alignment horizontal="left"/>
    </xf>
    <xf numFmtId="9" fontId="0" fillId="0" borderId="19" xfId="3" applyFont="1" applyBorder="1"/>
    <xf numFmtId="0" fontId="12" fillId="0" borderId="18" xfId="4" applyFont="1" applyBorder="1" applyAlignment="1">
      <alignment horizontal="left"/>
    </xf>
    <xf numFmtId="0" fontId="0" fillId="0" borderId="19" xfId="0" applyBorder="1"/>
    <xf numFmtId="9" fontId="10" fillId="0" borderId="19" xfId="3" applyFont="1" applyBorder="1"/>
    <xf numFmtId="0" fontId="13" fillId="0" borderId="18" xfId="0" applyFont="1" applyBorder="1" applyAlignment="1">
      <alignment horizontal="left"/>
    </xf>
    <xf numFmtId="9" fontId="0" fillId="0" borderId="19" xfId="3" applyNumberFormat="1" applyFont="1" applyBorder="1"/>
    <xf numFmtId="0" fontId="10" fillId="0" borderId="19" xfId="0" applyFont="1" applyBorder="1"/>
    <xf numFmtId="168" fontId="10" fillId="0" borderId="19" xfId="3" applyNumberFormat="1" applyFont="1" applyBorder="1"/>
    <xf numFmtId="0" fontId="0" fillId="0" borderId="10" xfId="0" applyBorder="1"/>
    <xf numFmtId="0" fontId="10" fillId="0" borderId="10" xfId="0" applyFont="1" applyBorder="1"/>
    <xf numFmtId="0" fontId="0" fillId="0" borderId="21" xfId="0" applyBorder="1"/>
    <xf numFmtId="164" fontId="10" fillId="0" borderId="10" xfId="0" applyNumberFormat="1" applyFont="1" applyBorder="1"/>
    <xf numFmtId="0" fontId="2" fillId="0" borderId="10" xfId="4" applyBorder="1"/>
    <xf numFmtId="0" fontId="11" fillId="0" borderId="0" xfId="4" applyFont="1" applyBorder="1" applyAlignment="1">
      <alignment horizontal="left"/>
    </xf>
    <xf numFmtId="164" fontId="4" fillId="0" borderId="0" xfId="4" applyNumberFormat="1" applyFont="1" applyBorder="1"/>
    <xf numFmtId="15" fontId="4" fillId="0" borderId="0" xfId="4" applyNumberFormat="1" applyFont="1" applyBorder="1"/>
    <xf numFmtId="9" fontId="10" fillId="0" borderId="0" xfId="0" applyNumberFormat="1" applyFont="1" applyBorder="1"/>
    <xf numFmtId="0" fontId="11" fillId="0" borderId="0" xfId="4" applyFont="1" applyBorder="1" applyAlignment="1">
      <alignment horizontal="right"/>
    </xf>
    <xf numFmtId="0" fontId="8" fillId="0" borderId="15" xfId="4" applyFont="1" applyBorder="1" applyAlignment="1">
      <alignment horizontal="right"/>
    </xf>
    <xf numFmtId="0" fontId="11" fillId="0" borderId="15" xfId="4" applyFont="1" applyBorder="1" applyAlignment="1">
      <alignment horizontal="right"/>
    </xf>
    <xf numFmtId="0" fontId="10" fillId="0" borderId="10" xfId="0" applyFont="1" applyBorder="1" applyAlignment="1">
      <alignment horizontal="center"/>
    </xf>
    <xf numFmtId="167" fontId="10" fillId="0" borderId="19" xfId="0" applyNumberFormat="1" applyFont="1" applyBorder="1"/>
    <xf numFmtId="167" fontId="10" fillId="0" borderId="17" xfId="0" applyNumberFormat="1" applyFont="1" applyBorder="1"/>
    <xf numFmtId="2" fontId="10" fillId="0" borderId="0" xfId="0" applyNumberFormat="1" applyFont="1" applyBorder="1"/>
    <xf numFmtId="173" fontId="0" fillId="0" borderId="0" xfId="0" applyNumberFormat="1" applyBorder="1"/>
    <xf numFmtId="173" fontId="0" fillId="0" borderId="19" xfId="0" applyNumberFormat="1" applyBorder="1"/>
    <xf numFmtId="0" fontId="12" fillId="0" borderId="16" xfId="4" applyFont="1" applyBorder="1" applyAlignment="1">
      <alignment horizontal="left"/>
    </xf>
    <xf numFmtId="167" fontId="3" fillId="0" borderId="0" xfId="4" applyNumberFormat="1" applyFont="1" applyBorder="1"/>
    <xf numFmtId="0" fontId="12" fillId="0" borderId="20" xfId="4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167" fontId="10" fillId="0" borderId="0" xfId="0" applyNumberFormat="1" applyFont="1" applyBorder="1" applyAlignment="1">
      <alignment horizontal="right"/>
    </xf>
    <xf numFmtId="9" fontId="10" fillId="0" borderId="0" xfId="3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167" fontId="10" fillId="0" borderId="19" xfId="0" applyNumberFormat="1" applyFont="1" applyBorder="1" applyAlignment="1">
      <alignment horizontal="right"/>
    </xf>
    <xf numFmtId="9" fontId="0" fillId="0" borderId="0" xfId="3" applyFont="1" applyBorder="1" applyAlignment="1">
      <alignment horizontal="right"/>
    </xf>
    <xf numFmtId="9" fontId="0" fillId="0" borderId="19" xfId="3" applyFont="1" applyBorder="1" applyAlignment="1">
      <alignment horizontal="right"/>
    </xf>
    <xf numFmtId="9" fontId="0" fillId="0" borderId="0" xfId="3" applyNumberFormat="1" applyFont="1" applyBorder="1" applyAlignment="1">
      <alignment horizontal="right"/>
    </xf>
    <xf numFmtId="9" fontId="10" fillId="0" borderId="19" xfId="3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8" xfId="0" applyBorder="1" applyAlignment="1">
      <alignment horizontal="left"/>
    </xf>
    <xf numFmtId="0" fontId="3" fillId="0" borderId="18" xfId="4" applyFont="1" applyBorder="1" applyAlignment="1">
      <alignment horizontal="left"/>
    </xf>
    <xf numFmtId="0" fontId="3" fillId="0" borderId="20" xfId="4" applyFont="1" applyBorder="1" applyAlignment="1">
      <alignment horizontal="left"/>
    </xf>
    <xf numFmtId="0" fontId="14" fillId="0" borderId="0" xfId="0" applyFont="1"/>
    <xf numFmtId="0" fontId="14" fillId="0" borderId="0" xfId="0" applyFont="1" applyBorder="1"/>
    <xf numFmtId="0" fontId="15" fillId="0" borderId="0" xfId="0" applyFont="1"/>
    <xf numFmtId="0" fontId="8" fillId="0" borderId="22" xfId="4" applyFont="1" applyBorder="1" applyAlignment="1">
      <alignment horizontal="right"/>
    </xf>
    <xf numFmtId="167" fontId="3" fillId="0" borderId="17" xfId="4" applyNumberFormat="1" applyFont="1" applyBorder="1"/>
    <xf numFmtId="9" fontId="3" fillId="0" borderId="19" xfId="3" applyFont="1" applyBorder="1"/>
    <xf numFmtId="167" fontId="3" fillId="0" borderId="19" xfId="4" applyNumberFormat="1" applyFont="1" applyBorder="1"/>
    <xf numFmtId="0" fontId="6" fillId="0" borderId="0" xfId="4" applyFont="1" applyAlignment="1">
      <alignment horizontal="center"/>
    </xf>
    <xf numFmtId="0" fontId="2" fillId="0" borderId="0" xfId="4"/>
    <xf numFmtId="0" fontId="5" fillId="0" borderId="0" xfId="4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4" xr:uid="{646585C2-3663-0842-85D4-8949C93F21F1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2021 Product Rev QoQ</a:t>
            </a:r>
            <a:r>
              <a:rPr lang="en-GB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AAPL!$J$5:$M$5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AAPL!$J$27:$M$27</c:f>
              <c:numCache>
                <c:formatCode>0%</c:formatCode>
                <c:ptCount val="4"/>
                <c:pt idx="0">
                  <c:v>0.91017964071856317</c:v>
                </c:pt>
                <c:pt idx="1">
                  <c:v>-0.24033437826541273</c:v>
                </c:pt>
                <c:pt idx="2">
                  <c:v>-0.12104539202200831</c:v>
                </c:pt>
                <c:pt idx="3">
                  <c:v>2.0344287949921821E-2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8-5747-BD37-BF788F30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603200"/>
        <c:axId val="755604848"/>
      </c:barChart>
      <c:catAx>
        <c:axId val="7556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2021 Time 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5604848"/>
        <c:crosses val="autoZero"/>
        <c:auto val="1"/>
        <c:lblAlgn val="ctr"/>
        <c:lblOffset val="100"/>
        <c:noMultiLvlLbl val="0"/>
      </c:catAx>
      <c:valAx>
        <c:axId val="755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QoQ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56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Services Rev QoQ</a:t>
            </a:r>
            <a:r>
              <a:rPr lang="en-GB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9.3873203251067391E-2"/>
          <c:y val="0.26368755829146528"/>
          <c:w val="0.84700378422195333"/>
          <c:h val="0.582639377584788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AAPL!$J$30:$M$30</c:f>
              <c:numCache>
                <c:formatCode>0%</c:formatCode>
                <c:ptCount val="4"/>
                <c:pt idx="0">
                  <c:v>8.2191780821918276E-2</c:v>
                </c:pt>
                <c:pt idx="1">
                  <c:v>6.962025316455682E-2</c:v>
                </c:pt>
                <c:pt idx="2">
                  <c:v>3.5502958579881741E-2</c:v>
                </c:pt>
                <c:pt idx="3">
                  <c:v>4.000000000000057E-2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7-FC4E-B7EB-C93E4A07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09696"/>
        <c:axId val="797711344"/>
      </c:barChart>
      <c:catAx>
        <c:axId val="79770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7711344"/>
        <c:crosses val="autoZero"/>
        <c:auto val="1"/>
        <c:lblAlgn val="ctr"/>
        <c:lblOffset val="100"/>
        <c:noMultiLvlLbl val="0"/>
      </c:catAx>
      <c:valAx>
        <c:axId val="797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77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2021Total Rev</a:t>
            </a:r>
            <a:r>
              <a:rPr lang="en-GB" baseline="0"/>
              <a:t> QoQ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AAPL!$J$54:$M$54</c:f>
              <c:numCache>
                <c:formatCode>0%</c:formatCode>
                <c:ptCount val="4"/>
                <c:pt idx="0">
                  <c:v>0.72179289026275151</c:v>
                </c:pt>
                <c:pt idx="1">
                  <c:v>-0.1956912028725315</c:v>
                </c:pt>
                <c:pt idx="2">
                  <c:v>-9.1517857142857026E-2</c:v>
                </c:pt>
                <c:pt idx="3">
                  <c:v>2.4570024570024569E-2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7C4D-BB59-90926661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535232"/>
        <c:axId val="904461520"/>
      </c:barChart>
      <c:catAx>
        <c:axId val="90453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04461520"/>
        <c:crosses val="autoZero"/>
        <c:auto val="1"/>
        <c:lblAlgn val="ctr"/>
        <c:lblOffset val="100"/>
        <c:noMultiLvlLbl val="0"/>
      </c:catAx>
      <c:valAx>
        <c:axId val="9044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045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382970</xdr:colOff>
      <xdr:row>11</xdr:row>
      <xdr:rowOff>78353</xdr:rowOff>
    </xdr:from>
    <xdr:to>
      <xdr:col>26</xdr:col>
      <xdr:colOff>456406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6E3AE-2662-D84B-2EF2-22606DBD9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363408</xdr:colOff>
      <xdr:row>27</xdr:row>
      <xdr:rowOff>190192</xdr:rowOff>
    </xdr:from>
    <xdr:to>
      <xdr:col>26</xdr:col>
      <xdr:colOff>396874</xdr:colOff>
      <xdr:row>41</xdr:row>
      <xdr:rowOff>39687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C45DF-5BD2-B57A-FFCE-37959664A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771710</xdr:colOff>
      <xdr:row>11</xdr:row>
      <xdr:rowOff>44924</xdr:rowOff>
    </xdr:from>
    <xdr:to>
      <xdr:col>31</xdr:col>
      <xdr:colOff>773907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8C3A0-405B-EB58-B94E-CCA5E9E6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 Tuttle" id="{83031AAD-2DA8-BB46-AE7D-971978EC1C72}" userId="941db28ae6eab20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2-06-23T19:47:26.77" personId="{83031AAD-2DA8-BB46-AE7D-971978EC1C72}" id="{8268CF47-963C-C54A-9507-35E8ABD4CC3B}">
    <text>222-226 update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B030-6029-4447-BB99-7A7F8376F45B}">
  <dimension ref="B1:AG147"/>
  <sheetViews>
    <sheetView showGridLines="0" tabSelected="1" topLeftCell="L1" zoomScale="109" zoomScaleNormal="192" workbookViewId="0">
      <selection activeCell="Q116" sqref="Q116"/>
    </sheetView>
  </sheetViews>
  <sheetFormatPr baseColWidth="10" defaultRowHeight="15"/>
  <cols>
    <col min="1" max="1" width="7.6640625" customWidth="1"/>
    <col min="2" max="2" width="28.1640625" customWidth="1"/>
    <col min="4" max="9" width="10.83203125" customWidth="1"/>
    <col min="10" max="10" width="11.1640625" customWidth="1"/>
    <col min="11" max="13" width="10.83203125" customWidth="1"/>
    <col min="14" max="14" width="13.1640625" customWidth="1"/>
    <col min="15" max="16" width="10.83203125" customWidth="1"/>
    <col min="17" max="17" width="11" customWidth="1"/>
    <col min="18" max="18" width="12" customWidth="1"/>
    <col min="19" max="19" width="10.6640625" customWidth="1"/>
    <col min="20" max="20" width="11.33203125" customWidth="1"/>
    <col min="21" max="21" width="12.33203125" customWidth="1"/>
    <col min="24" max="24" width="12.33203125" customWidth="1"/>
  </cols>
  <sheetData>
    <row r="1" spans="2:23">
      <c r="B1" s="119" t="s">
        <v>68</v>
      </c>
      <c r="E1" s="83"/>
      <c r="F1" s="84"/>
      <c r="G1" s="83"/>
      <c r="K1" s="83"/>
      <c r="L1" s="83"/>
      <c r="M1" s="83"/>
      <c r="N1" s="83"/>
      <c r="O1" s="83"/>
      <c r="P1" s="83"/>
      <c r="Q1" s="119" t="s">
        <v>0</v>
      </c>
      <c r="R1" s="120">
        <v>148.47</v>
      </c>
    </row>
    <row r="2" spans="2:23">
      <c r="B2" s="119" t="s">
        <v>69</v>
      </c>
      <c r="E2" s="83"/>
      <c r="F2" s="83"/>
      <c r="G2" s="83"/>
      <c r="K2" s="83"/>
      <c r="L2" s="83"/>
      <c r="M2" s="83"/>
      <c r="N2" s="83"/>
      <c r="O2" s="83"/>
      <c r="P2" s="83"/>
      <c r="Q2" s="119" t="s">
        <v>1</v>
      </c>
      <c r="R2" s="120">
        <f>W72</f>
        <v>104.7554503130781</v>
      </c>
    </row>
    <row r="3" spans="2:23">
      <c r="B3" s="121">
        <f ca="1" xml:space="preserve"> TODAY()</f>
        <v>44773</v>
      </c>
      <c r="E3" s="83"/>
      <c r="F3" s="83"/>
      <c r="G3" s="83"/>
      <c r="K3" s="83"/>
      <c r="L3" s="83"/>
      <c r="M3" s="83"/>
      <c r="N3" s="83"/>
      <c r="O3" s="83"/>
      <c r="P3" s="83"/>
      <c r="Q3" s="119" t="s">
        <v>2</v>
      </c>
      <c r="R3" s="122">
        <f>W73</f>
        <v>-0.32016710809865601</v>
      </c>
    </row>
    <row r="4" spans="2:23">
      <c r="B4" s="121"/>
      <c r="C4" s="119"/>
      <c r="D4" s="122"/>
      <c r="E4" s="83"/>
      <c r="F4" s="83"/>
      <c r="G4" s="83"/>
      <c r="K4" s="83"/>
      <c r="L4" s="83"/>
      <c r="M4" s="83"/>
      <c r="N4" s="83"/>
      <c r="O4" s="83"/>
      <c r="P4" s="83"/>
    </row>
    <row r="5" spans="2:23">
      <c r="B5" s="124" t="s">
        <v>117</v>
      </c>
      <c r="C5" s="125">
        <v>2019</v>
      </c>
      <c r="D5" s="125">
        <v>2020</v>
      </c>
      <c r="E5" s="125" t="s">
        <v>4</v>
      </c>
      <c r="F5" s="125" t="s">
        <v>5</v>
      </c>
      <c r="G5" s="125" t="s">
        <v>6</v>
      </c>
      <c r="H5" s="125" t="s">
        <v>7</v>
      </c>
      <c r="I5" s="125">
        <v>2021</v>
      </c>
      <c r="J5" s="125" t="s">
        <v>4</v>
      </c>
      <c r="K5" s="125" t="s">
        <v>5</v>
      </c>
      <c r="L5" s="125" t="s">
        <v>6</v>
      </c>
      <c r="M5" s="125" t="s">
        <v>7</v>
      </c>
      <c r="N5" s="125" t="s">
        <v>92</v>
      </c>
      <c r="O5" s="125" t="s">
        <v>4</v>
      </c>
      <c r="P5" s="125" t="s">
        <v>5</v>
      </c>
      <c r="Q5" s="125" t="s">
        <v>115</v>
      </c>
      <c r="R5" s="125" t="s">
        <v>105</v>
      </c>
      <c r="S5" s="125" t="s">
        <v>106</v>
      </c>
      <c r="T5" s="125" t="s">
        <v>107</v>
      </c>
      <c r="U5" s="125" t="s">
        <v>108</v>
      </c>
    </row>
    <row r="6" spans="2:23">
      <c r="B6" s="85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</row>
    <row r="7" spans="2:23">
      <c r="B7" s="124" t="s">
        <v>118</v>
      </c>
      <c r="C7" s="115"/>
      <c r="D7" s="115"/>
      <c r="E7" s="126"/>
      <c r="F7" s="126"/>
      <c r="G7" s="126"/>
      <c r="H7" s="126"/>
      <c r="I7" s="115"/>
      <c r="J7" s="126"/>
      <c r="K7" s="126"/>
      <c r="L7" s="126"/>
      <c r="M7" s="126"/>
      <c r="N7" s="115"/>
      <c r="O7" s="126"/>
      <c r="P7" s="126"/>
      <c r="Q7" s="115"/>
      <c r="R7" s="114"/>
      <c r="S7" s="114"/>
      <c r="T7" s="91"/>
      <c r="U7" s="114"/>
    </row>
    <row r="8" spans="2:23">
      <c r="B8" s="132" t="s">
        <v>70</v>
      </c>
      <c r="C8" s="25">
        <v>142.4</v>
      </c>
      <c r="D8" s="25">
        <v>137.80000000000001</v>
      </c>
      <c r="E8" s="25">
        <v>55.9</v>
      </c>
      <c r="F8" s="25">
        <v>29</v>
      </c>
      <c r="G8" s="25">
        <v>26.4</v>
      </c>
      <c r="H8" s="101">
        <f>26.4</f>
        <v>26.4</v>
      </c>
      <c r="I8" s="25">
        <v>192</v>
      </c>
      <c r="J8" s="25">
        <v>65.599999999999994</v>
      </c>
      <c r="K8" s="25">
        <v>47.9</v>
      </c>
      <c r="L8" s="25">
        <v>39.6</v>
      </c>
      <c r="M8" s="25">
        <f>I8-J8-K8-L8</f>
        <v>38.9</v>
      </c>
      <c r="N8" s="101">
        <f>SUM(O8,P8)</f>
        <v>122.19999999999999</v>
      </c>
      <c r="O8" s="25">
        <v>71.599999999999994</v>
      </c>
      <c r="P8" s="25">
        <v>50.6</v>
      </c>
      <c r="Q8" s="102"/>
      <c r="R8" s="103"/>
      <c r="S8" s="103"/>
      <c r="T8" s="103"/>
      <c r="U8" s="104"/>
    </row>
    <row r="9" spans="2:23">
      <c r="B9" s="107" t="s">
        <v>17</v>
      </c>
      <c r="C9" s="90"/>
      <c r="D9" s="92">
        <f xml:space="preserve"> (D8 - C8)/C8</f>
        <v>-3.2303370786516815E-2</v>
      </c>
      <c r="E9" s="92">
        <v>0.08</v>
      </c>
      <c r="F9" s="92">
        <v>-7.0000000000000007E-2</v>
      </c>
      <c r="G9" s="92">
        <v>0.02</v>
      </c>
      <c r="H9" s="92">
        <v>-0.21</v>
      </c>
      <c r="I9" s="92">
        <f xml:space="preserve"> (I8 - D8)/D8</f>
        <v>0.39332365747460074</v>
      </c>
      <c r="J9" s="92">
        <f>(J8-E8)/E8</f>
        <v>0.17352415026833623</v>
      </c>
      <c r="K9" s="92">
        <v>0.66</v>
      </c>
      <c r="L9" s="92">
        <f>(L8-G8)/G8</f>
        <v>0.50000000000000011</v>
      </c>
      <c r="M9" s="92">
        <f>(M8-H8)/H8</f>
        <v>0.47348484848484851</v>
      </c>
      <c r="N9" s="93">
        <f>(N8-J8-K8)/(J8+K8)</f>
        <v>7.6651982378854594E-2</v>
      </c>
      <c r="O9" s="92">
        <f>(O8-J8)/J8</f>
        <v>9.1463414634146353E-2</v>
      </c>
      <c r="P9" s="92">
        <f>0.05</f>
        <v>0.05</v>
      </c>
      <c r="Q9" s="90"/>
      <c r="R9" s="91"/>
      <c r="S9" s="91"/>
      <c r="T9" s="91"/>
      <c r="U9" s="108"/>
    </row>
    <row r="10" spans="2:23">
      <c r="B10" s="107" t="s">
        <v>71</v>
      </c>
      <c r="C10" s="135" t="s">
        <v>114</v>
      </c>
      <c r="D10" s="135" t="s">
        <v>114</v>
      </c>
      <c r="E10" s="95"/>
      <c r="F10" s="95"/>
      <c r="G10" s="95"/>
      <c r="H10" s="95"/>
      <c r="I10" s="135" t="s">
        <v>114</v>
      </c>
      <c r="J10" s="92">
        <f>(J8-H8)/H8</f>
        <v>1.4848484848484849</v>
      </c>
      <c r="K10" s="93">
        <f>(K8-J8)/J8</f>
        <v>-0.26981707317073167</v>
      </c>
      <c r="L10" s="93">
        <f>(L8-K8)/K8</f>
        <v>-0.17327766179540705</v>
      </c>
      <c r="M10" s="93">
        <f>(M8-L8)/L8</f>
        <v>-1.7676767676767749E-2</v>
      </c>
      <c r="N10" s="90"/>
      <c r="O10" s="92">
        <f>(O8-M8)/M8</f>
        <v>0.84061696658097673</v>
      </c>
      <c r="P10" s="93">
        <f>(P8-O8)/O8</f>
        <v>-0.2932960893854748</v>
      </c>
      <c r="Q10" s="90"/>
      <c r="R10" s="91"/>
      <c r="S10" s="91"/>
      <c r="T10" s="91"/>
      <c r="U10" s="108"/>
    </row>
    <row r="11" spans="2:23">
      <c r="B11" s="107" t="s">
        <v>72</v>
      </c>
      <c r="C11" s="133">
        <v>25.7</v>
      </c>
      <c r="D11" s="133">
        <v>28.6</v>
      </c>
      <c r="E11" s="133">
        <v>7.2</v>
      </c>
      <c r="F11" s="133">
        <v>5.3</v>
      </c>
      <c r="G11" s="133">
        <v>7.1</v>
      </c>
      <c r="H11" s="89">
        <f>D11-E11-F11-G11</f>
        <v>9.0000000000000018</v>
      </c>
      <c r="I11" s="133">
        <v>35.200000000000003</v>
      </c>
      <c r="J11" s="133">
        <v>8.6999999999999993</v>
      </c>
      <c r="K11" s="133">
        <v>9.1</v>
      </c>
      <c r="L11" s="133">
        <v>8.1999999999999993</v>
      </c>
      <c r="M11" s="133">
        <f>I11-J11-K11-L11</f>
        <v>9.2000000000000064</v>
      </c>
      <c r="N11" s="89">
        <f>SUM(O11,P11)</f>
        <v>21.3</v>
      </c>
      <c r="O11" s="133">
        <v>10.9</v>
      </c>
      <c r="P11" s="133">
        <v>10.4</v>
      </c>
      <c r="Q11" s="90"/>
      <c r="R11" s="91"/>
      <c r="S11" s="91"/>
      <c r="T11" s="91"/>
      <c r="U11" s="108"/>
      <c r="W11" s="152" t="s">
        <v>129</v>
      </c>
    </row>
    <row r="12" spans="2:23">
      <c r="B12" s="107" t="s">
        <v>17</v>
      </c>
      <c r="C12" s="90"/>
      <c r="D12" s="92">
        <f xml:space="preserve"> (D11 - C11)/C11</f>
        <v>0.11284046692607012</v>
      </c>
      <c r="E12" s="92">
        <v>-0.03</v>
      </c>
      <c r="F12" s="92">
        <v>-0.03</v>
      </c>
      <c r="G12" s="92">
        <v>0.22</v>
      </c>
      <c r="H12" s="92">
        <v>0.28999999999999998</v>
      </c>
      <c r="I12" s="92">
        <f xml:space="preserve"> (I11 - D11)/D11</f>
        <v>0.23076923076923081</v>
      </c>
      <c r="J12" s="92">
        <f>(J11-E11)/E11</f>
        <v>0.2083333333333332</v>
      </c>
      <c r="K12" s="92">
        <v>0.7</v>
      </c>
      <c r="L12" s="92">
        <f>(L11-G11)/G11</f>
        <v>0.15492957746478869</v>
      </c>
      <c r="M12" s="92">
        <f>(M11-H11)/H11</f>
        <v>2.222222222222273E-2</v>
      </c>
      <c r="N12" s="93">
        <f>(N11-J11-K11)/(J11+K11)</f>
        <v>0.19662921348314619</v>
      </c>
      <c r="O12" s="92">
        <f>(O11-J11)/J11</f>
        <v>0.25287356321839094</v>
      </c>
      <c r="P12" s="92">
        <f>0.15</f>
        <v>0.15</v>
      </c>
      <c r="Q12" s="90"/>
      <c r="R12" s="91"/>
      <c r="S12" s="91"/>
      <c r="T12" s="91"/>
      <c r="U12" s="108"/>
    </row>
    <row r="13" spans="2:23">
      <c r="B13" s="107" t="s">
        <v>71</v>
      </c>
      <c r="C13" s="135" t="s">
        <v>114</v>
      </c>
      <c r="D13" s="135" t="s">
        <v>114</v>
      </c>
      <c r="E13" s="135"/>
      <c r="F13" s="135"/>
      <c r="G13" s="135"/>
      <c r="H13" s="135"/>
      <c r="I13" s="135" t="s">
        <v>114</v>
      </c>
      <c r="J13" s="92">
        <f>(J11-H11)/H11</f>
        <v>-3.3333333333333603E-2</v>
      </c>
      <c r="K13" s="93">
        <f>(K11-J11)/J11</f>
        <v>4.5977011494252921E-2</v>
      </c>
      <c r="L13" s="93">
        <f>(L11-K11)/K11</f>
        <v>-9.8901098901098938E-2</v>
      </c>
      <c r="M13" s="93">
        <f>(M11-L11)/L11</f>
        <v>0.12195121951219599</v>
      </c>
      <c r="N13" s="90"/>
      <c r="O13" s="92">
        <f>(O11-M11)/M11</f>
        <v>0.18478260869565138</v>
      </c>
      <c r="P13" s="93">
        <f>(P11-O11)/O11</f>
        <v>-4.5871559633027519E-2</v>
      </c>
      <c r="Q13" s="90"/>
      <c r="R13" s="91"/>
      <c r="S13" s="91"/>
      <c r="T13" s="91"/>
      <c r="U13" s="108"/>
    </row>
    <row r="14" spans="2:23">
      <c r="B14" s="107" t="s">
        <v>91</v>
      </c>
      <c r="C14" s="133">
        <v>21.3</v>
      </c>
      <c r="D14" s="133">
        <v>23.7</v>
      </c>
      <c r="E14" s="133">
        <v>6</v>
      </c>
      <c r="F14" s="133">
        <v>4.4000000000000004</v>
      </c>
      <c r="G14" s="133">
        <v>6.6</v>
      </c>
      <c r="H14" s="89">
        <f>6.8</f>
        <v>6.8</v>
      </c>
      <c r="I14" s="133">
        <v>31.9</v>
      </c>
      <c r="J14" s="133">
        <v>8.4</v>
      </c>
      <c r="K14" s="133">
        <v>7.8</v>
      </c>
      <c r="L14" s="133">
        <v>7.4</v>
      </c>
      <c r="M14" s="133">
        <f>I14-J14-K14-L14</f>
        <v>8.2999999999999989</v>
      </c>
      <c r="N14" s="89">
        <f>14.9</f>
        <v>14.9</v>
      </c>
      <c r="O14" s="133">
        <v>7.2</v>
      </c>
      <c r="P14" s="133">
        <v>7.6</v>
      </c>
      <c r="Q14" s="90"/>
      <c r="R14" s="91"/>
      <c r="S14" s="91"/>
      <c r="T14" s="91"/>
      <c r="U14" s="108"/>
    </row>
    <row r="15" spans="2:23">
      <c r="B15" s="107" t="s">
        <v>17</v>
      </c>
      <c r="C15" s="90"/>
      <c r="D15" s="92">
        <f xml:space="preserve"> (D14 - C14)/C14</f>
        <v>0.1126760563380281</v>
      </c>
      <c r="E15" s="92">
        <v>-0.11</v>
      </c>
      <c r="F15" s="93">
        <v>-0.1</v>
      </c>
      <c r="G15" s="92">
        <v>0.31</v>
      </c>
      <c r="H15" s="92">
        <v>0.46</v>
      </c>
      <c r="I15" s="92">
        <f xml:space="preserve"> (I14 - D14)/D14</f>
        <v>0.34599156118143459</v>
      </c>
      <c r="J15" s="92">
        <f>(J14-E14)/E14</f>
        <v>0.40000000000000008</v>
      </c>
      <c r="K15" s="92">
        <v>0.79</v>
      </c>
      <c r="L15" s="92">
        <f>(L14-G14)/G14</f>
        <v>0.12121212121212133</v>
      </c>
      <c r="M15" s="92">
        <f>(M14-H14)/H14</f>
        <v>0.22058823529411753</v>
      </c>
      <c r="N15" s="93">
        <f>(N14-J14-K14)/(J14+K14)</f>
        <v>-8.0246913580246909E-2</v>
      </c>
      <c r="O15" s="92">
        <f>(O14-J14)/J14</f>
        <v>-0.14285714285714288</v>
      </c>
      <c r="P15" s="92">
        <f>-0.02</f>
        <v>-0.02</v>
      </c>
      <c r="Q15" s="90"/>
      <c r="R15" s="91"/>
      <c r="S15" s="91"/>
      <c r="T15" s="91"/>
      <c r="U15" s="108"/>
    </row>
    <row r="16" spans="2:23">
      <c r="B16" s="107" t="s">
        <v>71</v>
      </c>
      <c r="C16" s="135" t="s">
        <v>114</v>
      </c>
      <c r="D16" s="135" t="s">
        <v>114</v>
      </c>
      <c r="E16" s="135"/>
      <c r="F16" s="135"/>
      <c r="G16" s="135"/>
      <c r="H16" s="135"/>
      <c r="I16" s="135" t="s">
        <v>114</v>
      </c>
      <c r="J16" s="92">
        <f>(J14-H14)/H14</f>
        <v>0.2352941176470589</v>
      </c>
      <c r="K16" s="93">
        <f>(K14-J14)/J14</f>
        <v>-7.1428571428571494E-2</v>
      </c>
      <c r="L16" s="93">
        <f>(L14-K14)/K14</f>
        <v>-5.1282051282051218E-2</v>
      </c>
      <c r="M16" s="93">
        <f>(M14-L14)/L14</f>
        <v>0.12162162162162142</v>
      </c>
      <c r="N16" s="90"/>
      <c r="O16" s="92">
        <f>(O14-M14)/M14</f>
        <v>-0.13253012048192758</v>
      </c>
      <c r="P16" s="93">
        <f>(P14-O14)/O14</f>
        <v>5.5555555555555483E-2</v>
      </c>
      <c r="Q16" s="90"/>
      <c r="R16" s="91"/>
      <c r="S16" s="91"/>
      <c r="T16" s="91"/>
      <c r="U16" s="108"/>
    </row>
    <row r="17" spans="2:33">
      <c r="B17" s="107" t="s">
        <v>73</v>
      </c>
      <c r="C17" s="133">
        <v>24.5</v>
      </c>
      <c r="D17" s="133">
        <v>30.6</v>
      </c>
      <c r="E17" s="133">
        <v>10</v>
      </c>
      <c r="F17" s="133">
        <v>6.3</v>
      </c>
      <c r="G17" s="133">
        <v>6.4</v>
      </c>
      <c r="H17" s="89">
        <f>D17-E17-F17-G17</f>
        <v>7.9</v>
      </c>
      <c r="I17" s="133">
        <v>38.4</v>
      </c>
      <c r="J17" s="133">
        <v>13</v>
      </c>
      <c r="K17" s="133">
        <v>7.8</v>
      </c>
      <c r="L17" s="133">
        <v>8.8000000000000007</v>
      </c>
      <c r="M17" s="133">
        <f>I17-J17-K17-L17</f>
        <v>8.7999999999999972</v>
      </c>
      <c r="N17" s="89">
        <f>SUM(O17,P17)</f>
        <v>23.5</v>
      </c>
      <c r="O17" s="133">
        <v>14.7</v>
      </c>
      <c r="P17" s="133">
        <v>8.8000000000000007</v>
      </c>
      <c r="Q17" s="90"/>
      <c r="R17" s="91"/>
      <c r="S17" s="91"/>
      <c r="T17" s="91"/>
      <c r="U17" s="112"/>
      <c r="V17" s="83"/>
      <c r="W17" s="83"/>
    </row>
    <row r="18" spans="2:33">
      <c r="B18" s="107" t="s">
        <v>17</v>
      </c>
      <c r="C18" s="90"/>
      <c r="D18" s="92">
        <f xml:space="preserve"> (D17 - C17)/C17</f>
        <v>0.24897959183673476</v>
      </c>
      <c r="E18" s="92">
        <v>0.37</v>
      </c>
      <c r="F18" s="93">
        <v>0.23</v>
      </c>
      <c r="G18" s="92">
        <v>0.17</v>
      </c>
      <c r="H18" s="92">
        <v>0.21</v>
      </c>
      <c r="I18" s="92">
        <f xml:space="preserve"> (I17 - D17)/D17</f>
        <v>0.2549019607843136</v>
      </c>
      <c r="J18" s="92">
        <f>(J17-E17)/E17</f>
        <v>0.3</v>
      </c>
      <c r="K18" s="92">
        <v>0.25</v>
      </c>
      <c r="L18" s="92">
        <f>36%</f>
        <v>0.36</v>
      </c>
      <c r="M18" s="92">
        <f>(M17-H17)/H17</f>
        <v>0.11392405063291099</v>
      </c>
      <c r="N18" s="93">
        <f>(N17-J17-K17)/(J17+K17)</f>
        <v>0.12980769230769232</v>
      </c>
      <c r="O18" s="92">
        <f>(O17-J17)/J17</f>
        <v>0.13076923076923072</v>
      </c>
      <c r="P18" s="92">
        <v>0.12</v>
      </c>
      <c r="Q18" s="90"/>
      <c r="R18" s="91"/>
      <c r="S18" s="91"/>
      <c r="T18" s="91"/>
      <c r="U18" s="108"/>
    </row>
    <row r="19" spans="2:33">
      <c r="B19" s="107" t="s">
        <v>71</v>
      </c>
      <c r="C19" s="135" t="s">
        <v>114</v>
      </c>
      <c r="D19" s="135" t="s">
        <v>114</v>
      </c>
      <c r="E19" s="135"/>
      <c r="F19" s="135"/>
      <c r="G19" s="135"/>
      <c r="H19" s="135"/>
      <c r="I19" s="135" t="s">
        <v>114</v>
      </c>
      <c r="J19" s="92">
        <f>(J17-H17)/H17</f>
        <v>0.64556962025316444</v>
      </c>
      <c r="K19" s="93">
        <f>(K17-J17)/J17</f>
        <v>-0.4</v>
      </c>
      <c r="L19" s="93">
        <f>(L17-K17)/K17</f>
        <v>0.12820512820512833</v>
      </c>
      <c r="M19" s="93">
        <f>(M17-L17)/L17</f>
        <v>-4.0371746350005691E-16</v>
      </c>
      <c r="N19" s="90"/>
      <c r="O19" s="92">
        <f>(O17-M17)/M17</f>
        <v>0.67045454545454586</v>
      </c>
      <c r="P19" s="93">
        <f>(P17-O17)/O17</f>
        <v>-0.40136054421768702</v>
      </c>
      <c r="Q19" s="90"/>
      <c r="R19" s="91"/>
      <c r="S19" s="91"/>
      <c r="T19" s="91"/>
      <c r="U19" s="108"/>
    </row>
    <row r="20" spans="2:33">
      <c r="B20" s="107" t="s">
        <v>74</v>
      </c>
      <c r="C20" s="133">
        <v>46.3</v>
      </c>
      <c r="D20" s="133">
        <v>53.8</v>
      </c>
      <c r="E20" s="133">
        <v>12.7</v>
      </c>
      <c r="F20" s="133">
        <v>13.3</v>
      </c>
      <c r="G20" s="133">
        <v>13.2</v>
      </c>
      <c r="H20" s="89">
        <f>D20-E20-F20-G20</f>
        <v>14.599999999999994</v>
      </c>
      <c r="I20" s="133">
        <v>68.400000000000006</v>
      </c>
      <c r="J20" s="133">
        <v>15.8</v>
      </c>
      <c r="K20" s="133">
        <v>16.899999999999999</v>
      </c>
      <c r="L20" s="133">
        <v>17.5</v>
      </c>
      <c r="M20" s="133">
        <f>I20-J20-K20-L20</f>
        <v>18.20000000000001</v>
      </c>
      <c r="N20" s="89">
        <f>SUM(O20,P20)</f>
        <v>39.299999999999997</v>
      </c>
      <c r="O20" s="133">
        <v>19.5</v>
      </c>
      <c r="P20" s="133">
        <v>19.8</v>
      </c>
      <c r="Q20" s="90"/>
      <c r="R20" s="91"/>
      <c r="S20" s="91"/>
      <c r="T20" s="91"/>
      <c r="U20" s="108"/>
    </row>
    <row r="21" spans="2:33">
      <c r="B21" s="107" t="s">
        <v>17</v>
      </c>
      <c r="C21" s="133"/>
      <c r="D21" s="92">
        <f xml:space="preserve"> (D20 - C20)/C20</f>
        <v>0.16198704103671707</v>
      </c>
      <c r="E21" s="93">
        <v>0.17</v>
      </c>
      <c r="F21" s="93">
        <v>0.17</v>
      </c>
      <c r="G21" s="92">
        <v>0.15</v>
      </c>
      <c r="H21" s="92">
        <v>0.16</v>
      </c>
      <c r="I21" s="92">
        <f xml:space="preserve"> (I20 - D20)/D20</f>
        <v>0.27137546468401502</v>
      </c>
      <c r="J21" s="92">
        <f>(J20-E20)/E20</f>
        <v>0.2440944881889765</v>
      </c>
      <c r="K21" s="92">
        <f>(K20-F20)/F20</f>
        <v>0.27067669172932313</v>
      </c>
      <c r="L21" s="92">
        <f>(L20-G20)/G20</f>
        <v>0.3257575757575758</v>
      </c>
      <c r="M21" s="92">
        <f>(M20-H20)/H20</f>
        <v>0.2465753424657546</v>
      </c>
      <c r="N21" s="93">
        <f>(N20-J20-K20)/(J20+K20)</f>
        <v>0.20183486238532103</v>
      </c>
      <c r="O21" s="92">
        <f>(O20-J20)/J20</f>
        <v>0.23417721518987336</v>
      </c>
      <c r="P21" s="92">
        <f>(P20-K20)/K20</f>
        <v>0.1715976331360948</v>
      </c>
      <c r="Q21" s="90"/>
      <c r="R21" s="91"/>
      <c r="S21" s="91"/>
      <c r="T21" s="91"/>
      <c r="U21" s="108"/>
    </row>
    <row r="22" spans="2:33">
      <c r="B22" s="107" t="s">
        <v>71</v>
      </c>
      <c r="C22" s="135" t="s">
        <v>114</v>
      </c>
      <c r="D22" s="135" t="s">
        <v>114</v>
      </c>
      <c r="E22" s="135"/>
      <c r="F22" s="135"/>
      <c r="G22" s="135"/>
      <c r="H22" s="135"/>
      <c r="I22" s="135" t="s">
        <v>114</v>
      </c>
      <c r="J22" s="92">
        <f>(J20-H20)/H20</f>
        <v>8.2191780821918276E-2</v>
      </c>
      <c r="K22" s="93">
        <f>(K20-J20)/J20</f>
        <v>6.962025316455682E-2</v>
      </c>
      <c r="L22" s="93">
        <f>(L20-K20)/K20</f>
        <v>3.5502958579881741E-2</v>
      </c>
      <c r="M22" s="93">
        <f>(M20-L20)/L20</f>
        <v>4.000000000000057E-2</v>
      </c>
      <c r="N22" s="90"/>
      <c r="O22" s="92">
        <f>(O20-M20)/M20</f>
        <v>7.1428571428570842E-2</v>
      </c>
      <c r="P22" s="93">
        <f>(P20-O20)/O20</f>
        <v>1.5384615384615422E-2</v>
      </c>
      <c r="Q22" s="90"/>
      <c r="R22" s="91"/>
      <c r="S22" s="91"/>
      <c r="T22" s="91"/>
      <c r="U22" s="108"/>
      <c r="AE22" s="83"/>
      <c r="AF22" s="83"/>
      <c r="AG22" s="83"/>
    </row>
    <row r="23" spans="2:33">
      <c r="B23" s="107"/>
      <c r="C23" s="95"/>
      <c r="D23" s="95"/>
      <c r="E23" s="95"/>
      <c r="F23" s="95"/>
      <c r="G23" s="95"/>
      <c r="H23" s="95"/>
      <c r="I23" s="95"/>
      <c r="J23" s="92"/>
      <c r="K23" s="93"/>
      <c r="L23" s="93"/>
      <c r="M23" s="93"/>
      <c r="N23" s="90"/>
      <c r="O23" s="92"/>
      <c r="P23" s="93"/>
      <c r="Q23" s="90"/>
      <c r="R23" s="91"/>
      <c r="S23" s="91"/>
      <c r="T23" s="91"/>
      <c r="U23" s="108"/>
      <c r="AE23" s="83"/>
      <c r="AF23" s="83"/>
      <c r="AG23" s="83"/>
    </row>
    <row r="24" spans="2:33">
      <c r="B24" s="107"/>
      <c r="C24" s="90"/>
      <c r="D24" s="90"/>
      <c r="E24" s="90"/>
      <c r="F24" s="90"/>
      <c r="G24" s="90"/>
      <c r="H24" s="90"/>
      <c r="I24" s="133"/>
      <c r="J24" s="90"/>
      <c r="K24" s="90"/>
      <c r="L24" s="90"/>
      <c r="M24" s="90"/>
      <c r="N24" s="151" t="s">
        <v>125</v>
      </c>
      <c r="O24" s="90"/>
      <c r="P24" s="90"/>
      <c r="Q24" s="90"/>
      <c r="R24" s="91"/>
      <c r="S24" s="91"/>
      <c r="T24" s="91"/>
      <c r="U24" s="108"/>
    </row>
    <row r="25" spans="2:33">
      <c r="B25" s="107" t="s">
        <v>79</v>
      </c>
      <c r="C25" s="89">
        <f xml:space="preserve"> SUM(C8,C11,C14,C17)</f>
        <v>213.9</v>
      </c>
      <c r="D25" s="89">
        <f xml:space="preserve"> SUM(D8,D11,D14,D17)</f>
        <v>220.7</v>
      </c>
      <c r="E25" s="89">
        <f xml:space="preserve"> SUM(E8,E11,E14,E17)</f>
        <v>79.099999999999994</v>
      </c>
      <c r="F25" s="89">
        <f xml:space="preserve"> SUM(F8,F11,F14,F17)</f>
        <v>44.999999999999993</v>
      </c>
      <c r="G25" s="89">
        <f xml:space="preserve"> SUM(G8,G11,G14,G17)</f>
        <v>46.5</v>
      </c>
      <c r="H25" s="89">
        <f>SUM(H8,H11,H14,H17)</f>
        <v>50.099999999999994</v>
      </c>
      <c r="I25" s="89">
        <f xml:space="preserve"> SUM(I8,I11,I14,I17)</f>
        <v>297.49999999999994</v>
      </c>
      <c r="J25" s="89">
        <f xml:space="preserve"> SUM(J8,J11,J14,J17)</f>
        <v>95.7</v>
      </c>
      <c r="K25" s="89">
        <v>72.7</v>
      </c>
      <c r="L25" s="89">
        <f xml:space="preserve"> 63.9</f>
        <v>63.9</v>
      </c>
      <c r="M25" s="89">
        <f xml:space="preserve"> SUM(M8,M11,M14,M17)</f>
        <v>65.2</v>
      </c>
      <c r="N25" s="89">
        <f xml:space="preserve"> SUM(N8,N11,N14,N17)</f>
        <v>181.9</v>
      </c>
      <c r="O25" s="89">
        <f xml:space="preserve"> SUM(O8,O11,O14,O17)</f>
        <v>104.4</v>
      </c>
      <c r="P25" s="89">
        <f xml:space="preserve"> SUM(P8,P11,P14,P17)</f>
        <v>77.399999999999991</v>
      </c>
      <c r="Q25" s="90"/>
      <c r="R25" s="91"/>
      <c r="S25" s="91"/>
      <c r="T25" s="91"/>
      <c r="U25" s="108"/>
    </row>
    <row r="26" spans="2:33">
      <c r="B26" s="105" t="s">
        <v>17</v>
      </c>
      <c r="C26" s="90"/>
      <c r="D26" s="92">
        <f xml:space="preserve"> (D25 - C25)/C25</f>
        <v>3.1790556334735778E-2</v>
      </c>
      <c r="E26" s="93">
        <v>0.08</v>
      </c>
      <c r="F26" s="93">
        <v>-0.03</v>
      </c>
      <c r="G26" s="93">
        <v>0.1</v>
      </c>
      <c r="H26" s="93">
        <v>-0.03</v>
      </c>
      <c r="I26" s="92">
        <f xml:space="preserve"> (I25 - D25)/D25</f>
        <v>0.3479836882646124</v>
      </c>
      <c r="J26" s="92">
        <f>(J25-E25)/E25</f>
        <v>0.20986093552465246</v>
      </c>
      <c r="K26" s="92">
        <f>(K25-F25)/F25</f>
        <v>0.61555555555555586</v>
      </c>
      <c r="L26" s="92">
        <f>(L25-G25)/G25</f>
        <v>0.37419354838709673</v>
      </c>
      <c r="M26" s="92">
        <f>(M25-H25)/H25</f>
        <v>0.30139720558882255</v>
      </c>
      <c r="N26" s="93">
        <f>(N25-J25-K25)/(J25+K25)</f>
        <v>8.0166270783847984E-2</v>
      </c>
      <c r="O26" s="92">
        <f>(O25-J25)/J25</f>
        <v>9.0909090909090939E-2</v>
      </c>
      <c r="P26" s="92">
        <f>(P25-K25)/K25</f>
        <v>6.4649243466299702E-2</v>
      </c>
      <c r="Q26" s="90"/>
      <c r="R26" s="91"/>
      <c r="S26" s="91"/>
      <c r="T26" s="91"/>
      <c r="U26" s="108"/>
    </row>
    <row r="27" spans="2:33">
      <c r="B27" s="107" t="s">
        <v>71</v>
      </c>
      <c r="C27" s="135" t="s">
        <v>114</v>
      </c>
      <c r="D27" s="135" t="s">
        <v>114</v>
      </c>
      <c r="E27" s="135"/>
      <c r="F27" s="135"/>
      <c r="G27" s="135"/>
      <c r="H27" s="135"/>
      <c r="I27" s="135" t="s">
        <v>114</v>
      </c>
      <c r="J27" s="92">
        <f>(J25-H25)/H25</f>
        <v>0.91017964071856317</v>
      </c>
      <c r="K27" s="93">
        <f>(K25-J25)/J25</f>
        <v>-0.24033437826541273</v>
      </c>
      <c r="L27" s="93">
        <f>(L25-K25)/K25</f>
        <v>-0.12104539202200831</v>
      </c>
      <c r="M27" s="93">
        <f>(M25-L25)/L25</f>
        <v>2.0344287949921821E-2</v>
      </c>
      <c r="N27" s="90"/>
      <c r="O27" s="92">
        <f>(O25-M25)/M25</f>
        <v>0.60122699386503065</v>
      </c>
      <c r="P27" s="93">
        <f>(P25-O25)/O25</f>
        <v>-0.25862068965517254</v>
      </c>
      <c r="Q27" s="90"/>
      <c r="R27" s="91"/>
      <c r="S27" s="91"/>
      <c r="T27" s="91"/>
      <c r="U27" s="108"/>
      <c r="W27" s="152" t="s">
        <v>130</v>
      </c>
    </row>
    <row r="28" spans="2:33">
      <c r="B28" s="107" t="s">
        <v>74</v>
      </c>
      <c r="C28" s="89">
        <f xml:space="preserve"> C20</f>
        <v>46.3</v>
      </c>
      <c r="D28" s="89">
        <f xml:space="preserve"> D20</f>
        <v>53.8</v>
      </c>
      <c r="E28" s="89">
        <f xml:space="preserve"> E20</f>
        <v>12.7</v>
      </c>
      <c r="F28" s="89">
        <f xml:space="preserve"> F20</f>
        <v>13.3</v>
      </c>
      <c r="G28" s="89">
        <f xml:space="preserve"> G20</f>
        <v>13.2</v>
      </c>
      <c r="H28" s="89">
        <f>D28-E28-F28-G28</f>
        <v>14.599999999999994</v>
      </c>
      <c r="I28" s="89">
        <f t="shared" ref="I28:P28" si="0" xml:space="preserve"> I20</f>
        <v>68.400000000000006</v>
      </c>
      <c r="J28" s="89">
        <f t="shared" si="0"/>
        <v>15.8</v>
      </c>
      <c r="K28" s="89">
        <f t="shared" si="0"/>
        <v>16.899999999999999</v>
      </c>
      <c r="L28" s="89">
        <f t="shared" si="0"/>
        <v>17.5</v>
      </c>
      <c r="M28" s="89">
        <f t="shared" si="0"/>
        <v>18.20000000000001</v>
      </c>
      <c r="N28" s="89">
        <f t="shared" si="0"/>
        <v>39.299999999999997</v>
      </c>
      <c r="O28" s="89">
        <f t="shared" si="0"/>
        <v>19.5</v>
      </c>
      <c r="P28" s="89">
        <f t="shared" si="0"/>
        <v>19.8</v>
      </c>
      <c r="Q28" s="90"/>
      <c r="R28" s="91"/>
      <c r="S28" s="91"/>
      <c r="T28" s="91"/>
      <c r="U28" s="108"/>
    </row>
    <row r="29" spans="2:33">
      <c r="B29" s="105" t="s">
        <v>17</v>
      </c>
      <c r="C29" s="90"/>
      <c r="D29" s="92">
        <f xml:space="preserve"> (D28 - C28)/C28</f>
        <v>0.16198704103671707</v>
      </c>
      <c r="E29" s="93">
        <v>0.17</v>
      </c>
      <c r="F29" s="93">
        <v>0.17</v>
      </c>
      <c r="G29" s="92">
        <v>0.15</v>
      </c>
      <c r="H29" s="92">
        <v>0.16</v>
      </c>
      <c r="I29" s="92">
        <f xml:space="preserve"> (I28 - D28)/D28</f>
        <v>0.27137546468401502</v>
      </c>
      <c r="J29" s="92">
        <f>(J28-E28)/E28</f>
        <v>0.2440944881889765</v>
      </c>
      <c r="K29" s="92">
        <f>(K28-F28)/F28</f>
        <v>0.27067669172932313</v>
      </c>
      <c r="L29" s="92">
        <f>(L28-G28)/G28</f>
        <v>0.3257575757575758</v>
      </c>
      <c r="M29" s="92">
        <f>(M28-H28)/H28</f>
        <v>0.2465753424657546</v>
      </c>
      <c r="N29" s="93">
        <f>(N28-J28-K28)/(J28+K28)</f>
        <v>0.20183486238532103</v>
      </c>
      <c r="O29" s="92">
        <f>(O28-J28)/J28</f>
        <v>0.23417721518987336</v>
      </c>
      <c r="P29" s="92">
        <f>(P28-K28)/K28</f>
        <v>0.1715976331360948</v>
      </c>
      <c r="Q29" s="90"/>
      <c r="R29" s="91"/>
      <c r="S29" s="91"/>
      <c r="T29" s="91"/>
      <c r="U29" s="108"/>
    </row>
    <row r="30" spans="2:33">
      <c r="B30" s="107" t="s">
        <v>71</v>
      </c>
      <c r="C30" s="135" t="s">
        <v>114</v>
      </c>
      <c r="D30" s="135" t="s">
        <v>114</v>
      </c>
      <c r="E30" s="135"/>
      <c r="F30" s="135"/>
      <c r="G30" s="135"/>
      <c r="H30" s="135"/>
      <c r="I30" s="135" t="s">
        <v>114</v>
      </c>
      <c r="J30" s="92">
        <f>(J28-H28)/H28</f>
        <v>8.2191780821918276E-2</v>
      </c>
      <c r="K30" s="93">
        <f>(K28-J28)/J28</f>
        <v>6.962025316455682E-2</v>
      </c>
      <c r="L30" s="93">
        <f>(L28-K28)/K28</f>
        <v>3.5502958579881741E-2</v>
      </c>
      <c r="M30" s="93">
        <f>(M28-L28)/L28</f>
        <v>4.000000000000057E-2</v>
      </c>
      <c r="N30" s="90"/>
      <c r="O30" s="92">
        <f>(O28-M28)/M28</f>
        <v>7.1428571428570842E-2</v>
      </c>
      <c r="P30" s="93">
        <f>(P28-O28)/O28</f>
        <v>1.5384615384615422E-2</v>
      </c>
      <c r="Q30" s="90"/>
      <c r="R30" s="91"/>
      <c r="S30" s="91"/>
      <c r="T30" s="91"/>
      <c r="U30" s="108"/>
    </row>
    <row r="31" spans="2:33">
      <c r="B31" s="105" t="s">
        <v>80</v>
      </c>
      <c r="C31" s="89">
        <v>145</v>
      </c>
      <c r="D31" s="89">
        <v>151.30000000000001</v>
      </c>
      <c r="E31" s="90">
        <v>52.1</v>
      </c>
      <c r="F31" s="90"/>
      <c r="G31" s="90"/>
      <c r="H31" s="90"/>
      <c r="I31" s="133">
        <v>192.3</v>
      </c>
      <c r="J31" s="90"/>
      <c r="K31" s="90"/>
      <c r="L31" s="90"/>
      <c r="M31" s="90"/>
      <c r="N31" s="90"/>
      <c r="O31" s="90"/>
      <c r="P31" s="90"/>
      <c r="Q31" s="90"/>
      <c r="R31" s="91"/>
      <c r="S31" s="91"/>
      <c r="T31" s="91"/>
      <c r="U31" s="108"/>
    </row>
    <row r="32" spans="2:33">
      <c r="B32" s="105" t="s">
        <v>17</v>
      </c>
      <c r="C32" s="90"/>
      <c r="D32" s="92">
        <f xml:space="preserve"> (D31 - C31)/C31</f>
        <v>4.3448275862069043E-2</v>
      </c>
      <c r="E32" s="90"/>
      <c r="F32" s="90"/>
      <c r="G32" s="90"/>
      <c r="H32" s="90"/>
      <c r="I32" s="92">
        <f xml:space="preserve"> (I31 - D31)/D31</f>
        <v>0.27098479841374751</v>
      </c>
      <c r="J32" s="90"/>
      <c r="K32" s="90"/>
      <c r="L32" s="90"/>
      <c r="M32" s="90"/>
      <c r="N32" s="90"/>
      <c r="O32" s="90"/>
      <c r="P32" s="90"/>
      <c r="Q32" s="90"/>
      <c r="R32" s="91"/>
      <c r="S32" s="91"/>
      <c r="T32" s="91"/>
      <c r="U32" s="108"/>
    </row>
    <row r="33" spans="2:21">
      <c r="B33" s="107" t="s">
        <v>71</v>
      </c>
      <c r="C33" s="135" t="s">
        <v>114</v>
      </c>
      <c r="D33" s="135" t="s">
        <v>114</v>
      </c>
      <c r="E33" s="135"/>
      <c r="F33" s="135"/>
      <c r="G33" s="135"/>
      <c r="H33" s="135"/>
      <c r="I33" s="135" t="s">
        <v>114</v>
      </c>
      <c r="J33" s="90"/>
      <c r="K33" s="90"/>
      <c r="L33" s="90"/>
      <c r="M33" s="90"/>
      <c r="N33" s="90"/>
      <c r="O33" s="90"/>
      <c r="P33" s="90"/>
      <c r="Q33" s="90"/>
      <c r="R33" s="91"/>
      <c r="S33" s="91"/>
      <c r="T33" s="91"/>
      <c r="U33" s="108"/>
    </row>
    <row r="34" spans="2:21">
      <c r="B34" s="105" t="s">
        <v>81</v>
      </c>
      <c r="C34" s="89">
        <v>16.8</v>
      </c>
      <c r="D34" s="89">
        <v>18.3</v>
      </c>
      <c r="E34" s="90">
        <v>4.5</v>
      </c>
      <c r="F34" s="90"/>
      <c r="G34" s="90"/>
      <c r="H34" s="90"/>
      <c r="I34" s="133">
        <v>20.7</v>
      </c>
      <c r="J34" s="90"/>
      <c r="K34" s="90"/>
      <c r="L34" s="90"/>
      <c r="M34" s="90"/>
      <c r="N34" s="90"/>
      <c r="O34" s="90"/>
      <c r="P34" s="90"/>
      <c r="Q34" s="90"/>
      <c r="R34" s="91"/>
      <c r="S34" s="91"/>
      <c r="T34" s="91"/>
      <c r="U34" s="108"/>
    </row>
    <row r="35" spans="2:21">
      <c r="B35" s="105" t="s">
        <v>17</v>
      </c>
      <c r="C35" s="90"/>
      <c r="D35" s="92">
        <f xml:space="preserve"> (D34 - C34)/C34</f>
        <v>8.9285714285714288E-2</v>
      </c>
      <c r="E35" s="90"/>
      <c r="F35" s="90"/>
      <c r="G35" s="90"/>
      <c r="H35" s="90"/>
      <c r="I35" s="92">
        <f xml:space="preserve"> (I34 - D34)/D34</f>
        <v>0.13114754098360648</v>
      </c>
      <c r="J35" s="90"/>
      <c r="K35" s="90"/>
      <c r="L35" s="90"/>
      <c r="M35" s="90"/>
      <c r="N35" s="90"/>
      <c r="O35" s="90"/>
      <c r="P35" s="90"/>
      <c r="Q35" s="90"/>
      <c r="R35" s="91"/>
      <c r="S35" s="91"/>
      <c r="T35" s="91"/>
      <c r="U35" s="108"/>
    </row>
    <row r="36" spans="2:21">
      <c r="B36" s="107" t="s">
        <v>71</v>
      </c>
      <c r="C36" s="135" t="s">
        <v>114</v>
      </c>
      <c r="D36" s="135" t="s">
        <v>114</v>
      </c>
      <c r="E36" s="135"/>
      <c r="F36" s="135"/>
      <c r="G36" s="135"/>
      <c r="H36" s="135"/>
      <c r="I36" s="135" t="s">
        <v>114</v>
      </c>
      <c r="J36" s="90"/>
      <c r="K36" s="90"/>
      <c r="L36" s="90"/>
      <c r="M36" s="90"/>
      <c r="N36" s="90"/>
      <c r="O36" s="90"/>
      <c r="P36" s="90"/>
      <c r="Q36" s="90"/>
      <c r="R36" s="91"/>
      <c r="S36" s="91"/>
      <c r="T36" s="91"/>
      <c r="U36" s="108"/>
    </row>
    <row r="37" spans="2:21">
      <c r="B37" s="105" t="s">
        <v>86</v>
      </c>
      <c r="C37" s="89">
        <f xml:space="preserve"> C25-C31</f>
        <v>68.900000000000006</v>
      </c>
      <c r="D37" s="89">
        <f xml:space="preserve"> D25-D31</f>
        <v>69.399999999999977</v>
      </c>
      <c r="E37" s="90"/>
      <c r="F37" s="90"/>
      <c r="G37" s="90"/>
      <c r="H37" s="90"/>
      <c r="I37" s="89">
        <f xml:space="preserve"> I25-I31</f>
        <v>105.19999999999993</v>
      </c>
      <c r="J37" s="90"/>
      <c r="K37" s="90"/>
      <c r="L37" s="90"/>
      <c r="M37" s="90"/>
      <c r="N37" s="90"/>
      <c r="O37" s="90"/>
      <c r="P37" s="90"/>
      <c r="Q37" s="90"/>
      <c r="R37" s="91"/>
      <c r="S37" s="91"/>
      <c r="T37" s="91"/>
      <c r="U37" s="108"/>
    </row>
    <row r="38" spans="2:21">
      <c r="B38" s="105" t="s">
        <v>17</v>
      </c>
      <c r="C38" s="90"/>
      <c r="D38" s="92">
        <f xml:space="preserve"> (D37 - C37)/C37</f>
        <v>7.2568940493464669E-3</v>
      </c>
      <c r="E38" s="90"/>
      <c r="F38" s="90"/>
      <c r="G38" s="90"/>
      <c r="H38" s="90"/>
      <c r="I38" s="92">
        <f xml:space="preserve"> (I37 - D37)/D37</f>
        <v>0.51585014409221852</v>
      </c>
      <c r="J38" s="90"/>
      <c r="K38" s="90"/>
      <c r="L38" s="90"/>
      <c r="M38" s="90"/>
      <c r="N38" s="90"/>
      <c r="O38" s="90"/>
      <c r="P38" s="90"/>
      <c r="Q38" s="90"/>
      <c r="R38" s="91"/>
      <c r="S38" s="91"/>
      <c r="T38" s="91"/>
      <c r="U38" s="108"/>
    </row>
    <row r="39" spans="2:21">
      <c r="B39" s="107" t="s">
        <v>71</v>
      </c>
      <c r="C39" s="135" t="s">
        <v>114</v>
      </c>
      <c r="D39" s="135" t="s">
        <v>114</v>
      </c>
      <c r="E39" s="135"/>
      <c r="F39" s="135"/>
      <c r="G39" s="135"/>
      <c r="H39" s="135"/>
      <c r="I39" s="135" t="s">
        <v>114</v>
      </c>
      <c r="J39" s="90"/>
      <c r="K39" s="90"/>
      <c r="L39" s="90"/>
      <c r="M39" s="90"/>
      <c r="N39" s="90"/>
      <c r="O39" s="90"/>
      <c r="P39" s="90"/>
      <c r="Q39" s="90"/>
      <c r="R39" s="91"/>
      <c r="S39" s="91"/>
      <c r="T39" s="91"/>
      <c r="U39" s="108"/>
    </row>
    <row r="40" spans="2:21">
      <c r="B40" s="105" t="s">
        <v>84</v>
      </c>
      <c r="C40" s="93">
        <f>C37/C25</f>
        <v>0.32211313697989719</v>
      </c>
      <c r="D40" s="93">
        <f>D37/D25</f>
        <v>0.31445400996828266</v>
      </c>
      <c r="E40" s="90"/>
      <c r="F40" s="90"/>
      <c r="G40" s="90"/>
      <c r="H40" s="90"/>
      <c r="I40" s="92">
        <f>I37/I25</f>
        <v>0.35361344537815109</v>
      </c>
      <c r="J40" s="90"/>
      <c r="K40" s="90"/>
      <c r="L40" s="90"/>
      <c r="M40" s="90"/>
      <c r="N40" s="90"/>
      <c r="O40" s="90"/>
      <c r="P40" s="90"/>
      <c r="Q40" s="90"/>
      <c r="R40" s="91"/>
      <c r="S40" s="91"/>
      <c r="T40" s="91"/>
      <c r="U40" s="108"/>
    </row>
    <row r="41" spans="2:21">
      <c r="B41" s="105" t="s">
        <v>17</v>
      </c>
      <c r="C41" s="90"/>
      <c r="D41" s="92">
        <f xml:space="preserve"> (D40 - C40)/C40</f>
        <v>-2.3777754249409984E-2</v>
      </c>
      <c r="E41" s="90"/>
      <c r="F41" s="90"/>
      <c r="G41" s="90"/>
      <c r="H41" s="90"/>
      <c r="I41" s="92">
        <f xml:space="preserve"> (I40 - D40)/D40</f>
        <v>0.12453151865933669</v>
      </c>
      <c r="J41" s="90"/>
      <c r="K41" s="90"/>
      <c r="L41" s="90"/>
      <c r="M41" s="90"/>
      <c r="N41" s="90"/>
      <c r="O41" s="90"/>
      <c r="P41" s="90"/>
      <c r="Q41" s="90"/>
      <c r="R41" s="91"/>
      <c r="S41" s="91"/>
      <c r="T41" s="91"/>
      <c r="U41" s="108"/>
    </row>
    <row r="42" spans="2:21">
      <c r="B42" s="107" t="s">
        <v>71</v>
      </c>
      <c r="C42" s="135" t="s">
        <v>114</v>
      </c>
      <c r="D42" s="135" t="s">
        <v>114</v>
      </c>
      <c r="E42" s="135"/>
      <c r="F42" s="135"/>
      <c r="G42" s="135"/>
      <c r="H42" s="135"/>
      <c r="I42" s="135" t="s">
        <v>114</v>
      </c>
      <c r="J42" s="90"/>
      <c r="K42" s="90"/>
      <c r="L42" s="90"/>
      <c r="M42" s="90"/>
      <c r="N42" s="90"/>
      <c r="O42" s="90"/>
      <c r="P42" s="90"/>
      <c r="Q42" s="90"/>
      <c r="R42" s="91"/>
      <c r="S42" s="91"/>
      <c r="T42" s="91"/>
      <c r="U42" s="108"/>
    </row>
    <row r="43" spans="2:21">
      <c r="B43" s="105" t="s">
        <v>82</v>
      </c>
      <c r="C43" s="89">
        <f xml:space="preserve"> C28-C34</f>
        <v>29.499999999999996</v>
      </c>
      <c r="D43" s="89">
        <f xml:space="preserve"> D28-D34</f>
        <v>35.5</v>
      </c>
      <c r="E43" s="90"/>
      <c r="F43" s="90"/>
      <c r="G43" s="90"/>
      <c r="H43" s="90"/>
      <c r="I43" s="89">
        <f xml:space="preserve"> I28-I34</f>
        <v>47.7</v>
      </c>
      <c r="J43" s="90"/>
      <c r="K43" s="90"/>
      <c r="L43" s="90"/>
      <c r="M43" s="90"/>
      <c r="N43" s="90"/>
      <c r="O43" s="90"/>
      <c r="P43" s="90"/>
      <c r="Q43" s="90"/>
      <c r="R43" s="91"/>
      <c r="S43" s="91"/>
      <c r="T43" s="91"/>
      <c r="U43" s="108"/>
    </row>
    <row r="44" spans="2:21">
      <c r="B44" s="105" t="s">
        <v>17</v>
      </c>
      <c r="C44" s="90"/>
      <c r="D44" s="92">
        <f xml:space="preserve"> (D43 - C43)/C43</f>
        <v>0.20338983050847473</v>
      </c>
      <c r="E44" s="90"/>
      <c r="F44" s="90"/>
      <c r="G44" s="90"/>
      <c r="H44" s="90"/>
      <c r="I44" s="92">
        <f xml:space="preserve"> (I43 - D43)/D43</f>
        <v>0.34366197183098601</v>
      </c>
      <c r="J44" s="90"/>
      <c r="K44" s="90"/>
      <c r="L44" s="90"/>
      <c r="M44" s="90"/>
      <c r="N44" s="90"/>
      <c r="O44" s="90"/>
      <c r="P44" s="90"/>
      <c r="Q44" s="90"/>
      <c r="R44" s="91"/>
      <c r="S44" s="91"/>
      <c r="T44" s="91"/>
      <c r="U44" s="108"/>
    </row>
    <row r="45" spans="2:21">
      <c r="B45" s="107" t="s">
        <v>71</v>
      </c>
      <c r="C45" s="135" t="s">
        <v>114</v>
      </c>
      <c r="D45" s="135" t="s">
        <v>114</v>
      </c>
      <c r="E45" s="135"/>
      <c r="F45" s="135"/>
      <c r="G45" s="135"/>
      <c r="H45" s="135"/>
      <c r="I45" s="135" t="s">
        <v>114</v>
      </c>
      <c r="J45" s="90"/>
      <c r="K45" s="90"/>
      <c r="L45" s="90"/>
      <c r="M45" s="90"/>
      <c r="N45" s="90"/>
      <c r="O45" s="90"/>
      <c r="P45" s="90"/>
      <c r="Q45" s="90"/>
      <c r="R45" s="91"/>
      <c r="S45" s="91"/>
      <c r="T45" s="91"/>
      <c r="U45" s="108"/>
    </row>
    <row r="46" spans="2:21">
      <c r="B46" s="105" t="s">
        <v>85</v>
      </c>
      <c r="C46" s="93">
        <f>C43/C28</f>
        <v>0.63714902807775375</v>
      </c>
      <c r="D46" s="93">
        <f>D43/D28</f>
        <v>0.65985130111524171</v>
      </c>
      <c r="E46" s="90"/>
      <c r="F46" s="90"/>
      <c r="G46" s="90"/>
      <c r="H46" s="90"/>
      <c r="I46" s="92">
        <f>I43/I28</f>
        <v>0.69736842105263153</v>
      </c>
      <c r="J46" s="90"/>
      <c r="K46" s="90"/>
      <c r="L46" s="90"/>
      <c r="M46" s="90"/>
      <c r="N46" s="90"/>
      <c r="O46" s="90"/>
      <c r="P46" s="90"/>
      <c r="Q46" s="90"/>
      <c r="R46" s="91"/>
      <c r="S46" s="91"/>
      <c r="T46" s="91"/>
      <c r="U46" s="108"/>
    </row>
    <row r="47" spans="2:21">
      <c r="B47" s="105" t="s">
        <v>17</v>
      </c>
      <c r="C47" s="90"/>
      <c r="D47" s="92">
        <f xml:space="preserve"> (D46 - C46)/C46</f>
        <v>3.5631025140192958E-2</v>
      </c>
      <c r="E47" s="90"/>
      <c r="F47" s="90"/>
      <c r="G47" s="90"/>
      <c r="H47" s="90"/>
      <c r="I47" s="92">
        <f xml:space="preserve"> (I46 - D46)/D46</f>
        <v>5.6856931060044281E-2</v>
      </c>
      <c r="J47" s="90"/>
      <c r="K47" s="90"/>
      <c r="L47" s="90"/>
      <c r="M47" s="90"/>
      <c r="N47" s="90"/>
      <c r="O47" s="90"/>
      <c r="P47" s="90"/>
      <c r="Q47" s="90"/>
      <c r="R47" s="91"/>
      <c r="S47" s="91"/>
      <c r="T47" s="91"/>
      <c r="U47" s="108"/>
    </row>
    <row r="48" spans="2:21">
      <c r="B48" s="134" t="s">
        <v>71</v>
      </c>
      <c r="C48" s="136" t="s">
        <v>114</v>
      </c>
      <c r="D48" s="136" t="s">
        <v>114</v>
      </c>
      <c r="E48" s="136"/>
      <c r="F48" s="136"/>
      <c r="G48" s="136"/>
      <c r="H48" s="136"/>
      <c r="I48" s="136" t="s">
        <v>114</v>
      </c>
      <c r="J48" s="115"/>
      <c r="K48" s="115"/>
      <c r="L48" s="115"/>
      <c r="M48" s="115"/>
      <c r="N48" s="115"/>
      <c r="O48" s="115"/>
      <c r="P48" s="115"/>
      <c r="Q48" s="115"/>
      <c r="R48" s="114"/>
      <c r="S48" s="114"/>
      <c r="T48" s="114"/>
      <c r="U48" s="116"/>
    </row>
    <row r="49" spans="2:25">
      <c r="B49" s="87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U49" s="91"/>
    </row>
    <row r="50" spans="2:25">
      <c r="B50" s="87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150" t="s">
        <v>120</v>
      </c>
      <c r="O50" s="83"/>
      <c r="P50" s="83"/>
      <c r="Q50" s="83"/>
    </row>
    <row r="51" spans="2:25">
      <c r="B51" s="124" t="s">
        <v>116</v>
      </c>
      <c r="C51" s="83"/>
      <c r="D51" s="83"/>
      <c r="E51" s="150" t="s">
        <v>121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 spans="2:25">
      <c r="B52" s="100" t="s">
        <v>31</v>
      </c>
      <c r="C52" s="101">
        <f>SUM(C25,C28)</f>
        <v>260.2</v>
      </c>
      <c r="D52" s="101">
        <f>SUM(D25,D28)</f>
        <v>274.5</v>
      </c>
      <c r="E52" s="101">
        <f>SUM(E25,E28)</f>
        <v>91.8</v>
      </c>
      <c r="F52" s="101">
        <f>SUM(F25,F28)</f>
        <v>58.3</v>
      </c>
      <c r="G52" s="101">
        <f>SUM(G25,G28)</f>
        <v>59.7</v>
      </c>
      <c r="H52" s="101">
        <f>D52-E52-F52-G52</f>
        <v>64.699999999999989</v>
      </c>
      <c r="I52" s="101">
        <f>365.8</f>
        <v>365.8</v>
      </c>
      <c r="J52" s="101">
        <f>111.4</f>
        <v>111.4</v>
      </c>
      <c r="K52" s="101">
        <f>SUM(K25,K28)</f>
        <v>89.6</v>
      </c>
      <c r="L52" s="101">
        <f>SUM(L25,L28)</f>
        <v>81.400000000000006</v>
      </c>
      <c r="M52" s="101">
        <f>I52-J52-K52-L52</f>
        <v>83.4</v>
      </c>
      <c r="N52" s="101">
        <f>SUM(N25,N28)</f>
        <v>221.2</v>
      </c>
      <c r="O52" s="101">
        <f>SUM(O25,O28)</f>
        <v>123.9</v>
      </c>
      <c r="P52" s="101">
        <f>97.3</f>
        <v>97.3</v>
      </c>
      <c r="Q52" s="101">
        <f>1.06*I52</f>
        <v>387.74800000000005</v>
      </c>
      <c r="R52" s="101">
        <f>1.01*Q52</f>
        <v>391.62548000000004</v>
      </c>
      <c r="S52" s="101">
        <f>1.03*R52</f>
        <v>403.37424440000007</v>
      </c>
      <c r="T52" s="101">
        <f>1.06*S52</f>
        <v>427.57669906400008</v>
      </c>
      <c r="U52" s="128">
        <f>1.09*T52</f>
        <v>466.05860197976011</v>
      </c>
      <c r="W52" s="46" t="s">
        <v>69</v>
      </c>
      <c r="X52" s="47" t="s">
        <v>32</v>
      </c>
    </row>
    <row r="53" spans="2:25">
      <c r="B53" s="105" t="s">
        <v>17</v>
      </c>
      <c r="C53" s="90"/>
      <c r="D53" s="92">
        <f xml:space="preserve"> (D52 - C52)/C52</f>
        <v>5.4957724827056159E-2</v>
      </c>
      <c r="E53" s="93">
        <v>0.09</v>
      </c>
      <c r="F53" s="93">
        <v>0.01</v>
      </c>
      <c r="G53" s="93">
        <v>0.11</v>
      </c>
      <c r="H53" s="93">
        <v>0.01</v>
      </c>
      <c r="I53" s="92">
        <f xml:space="preserve"> (I52 - D52)/D52</f>
        <v>0.33260473588342443</v>
      </c>
      <c r="J53" s="92">
        <f>(J52-E52)/E52</f>
        <v>0.21350762527233125</v>
      </c>
      <c r="K53" s="92">
        <f>(K52-F52)/F52</f>
        <v>0.53687821612349917</v>
      </c>
      <c r="L53" s="92">
        <f>(L52-G52)/G52</f>
        <v>0.36348408710217761</v>
      </c>
      <c r="M53" s="92">
        <f>(M52-H52)/H52</f>
        <v>0.28902627511591994</v>
      </c>
      <c r="N53" s="93">
        <f>(N52-J52-K52)/(J52+K52)</f>
        <v>0.10049751243781088</v>
      </c>
      <c r="O53" s="92">
        <f>(O52-J52)/J52</f>
        <v>0.11220825852782765</v>
      </c>
      <c r="P53" s="92">
        <f>(P52-K52)/K52</f>
        <v>8.5937500000000042E-2</v>
      </c>
      <c r="Q53" s="93">
        <f>(Q52-I52)/I52</f>
        <v>6.0000000000000095E-2</v>
      </c>
      <c r="R53" s="94">
        <f>(R52-Q52)/Q52</f>
        <v>9.9999999999999759E-3</v>
      </c>
      <c r="S53" s="94">
        <f t="shared" ref="S53:U53" si="1">(S52-R52)/R52</f>
        <v>3.0000000000000068E-2</v>
      </c>
      <c r="T53" s="94">
        <f t="shared" si="1"/>
        <v>6.0000000000000026E-2</v>
      </c>
      <c r="U53" s="106">
        <f t="shared" si="1"/>
        <v>9.0000000000000052E-2</v>
      </c>
      <c r="W53" s="46" t="s">
        <v>109</v>
      </c>
      <c r="X53" s="47" t="s">
        <v>34</v>
      </c>
    </row>
    <row r="54" spans="2:25">
      <c r="B54" s="107" t="s">
        <v>71</v>
      </c>
      <c r="C54" s="135" t="s">
        <v>114</v>
      </c>
      <c r="D54" s="135" t="s">
        <v>114</v>
      </c>
      <c r="E54" s="135"/>
      <c r="F54" s="135"/>
      <c r="G54" s="135"/>
      <c r="H54" s="135"/>
      <c r="I54" s="135" t="s">
        <v>114</v>
      </c>
      <c r="J54" s="86">
        <f>(J52-H52)/H52</f>
        <v>0.72179289026275151</v>
      </c>
      <c r="K54" s="88">
        <f>(K52-J52)/J52</f>
        <v>-0.1956912028725315</v>
      </c>
      <c r="L54" s="88">
        <f t="shared" ref="L54:M54" si="2">(L52-K52)/K52</f>
        <v>-9.1517857142857026E-2</v>
      </c>
      <c r="M54" s="88">
        <f t="shared" si="2"/>
        <v>2.4570024570024569E-2</v>
      </c>
      <c r="N54" s="135" t="s">
        <v>114</v>
      </c>
      <c r="O54" s="86">
        <f>(O52-M52)/M52</f>
        <v>0.48561151079136688</v>
      </c>
      <c r="P54" s="88">
        <f>(P52-O52)/O52</f>
        <v>-0.21468926553672321</v>
      </c>
      <c r="Q54" s="135" t="s">
        <v>114</v>
      </c>
      <c r="R54" s="135" t="s">
        <v>114</v>
      </c>
      <c r="S54" s="135" t="s">
        <v>114</v>
      </c>
      <c r="T54" s="135" t="s">
        <v>114</v>
      </c>
      <c r="U54" s="139" t="s">
        <v>114</v>
      </c>
      <c r="W54" s="51">
        <f>AVERAGE(D53,Q53,R53,S53,T53,U53)</f>
        <v>5.0826287471176068E-2</v>
      </c>
      <c r="X54" s="52" t="s">
        <v>36</v>
      </c>
    </row>
    <row r="55" spans="2:25">
      <c r="B55" s="105" t="s">
        <v>83</v>
      </c>
      <c r="C55" s="89">
        <f>C31 + C34</f>
        <v>161.80000000000001</v>
      </c>
      <c r="D55" s="89">
        <f>D31 + D34</f>
        <v>169.60000000000002</v>
      </c>
      <c r="E55" s="89">
        <f>E31 + E34</f>
        <v>56.6</v>
      </c>
      <c r="F55" s="89">
        <v>35.9</v>
      </c>
      <c r="G55" s="89">
        <v>37</v>
      </c>
      <c r="H55" s="89">
        <f>40</f>
        <v>40</v>
      </c>
      <c r="I55" s="89">
        <f>I31 + I34</f>
        <v>213</v>
      </c>
      <c r="J55" s="89">
        <v>67.099999999999994</v>
      </c>
      <c r="K55" s="89">
        <v>51.5</v>
      </c>
      <c r="L55" s="89">
        <v>46.2</v>
      </c>
      <c r="M55" s="89">
        <v>48.2</v>
      </c>
      <c r="N55" s="89">
        <v>124.4</v>
      </c>
      <c r="O55" s="89">
        <v>69.7</v>
      </c>
      <c r="P55" s="89">
        <v>54.7</v>
      </c>
      <c r="Q55" s="137">
        <f>1.06*I55</f>
        <v>225.78</v>
      </c>
      <c r="R55" s="137">
        <f>1.01*Q55</f>
        <v>228.0378</v>
      </c>
      <c r="S55" s="137">
        <f>1.03*R55</f>
        <v>234.87893400000002</v>
      </c>
      <c r="T55" s="137">
        <f>1.06*S55</f>
        <v>248.97167004000002</v>
      </c>
      <c r="U55" s="140">
        <f>1.09*T55</f>
        <v>271.37912034360005</v>
      </c>
      <c r="W55" s="53">
        <v>154.09</v>
      </c>
      <c r="X55" s="52" t="s">
        <v>38</v>
      </c>
    </row>
    <row r="56" spans="2:25">
      <c r="B56" s="105" t="s">
        <v>17</v>
      </c>
      <c r="C56" s="90"/>
      <c r="D56" s="92">
        <f xml:space="preserve"> (D55 - C55)/C55</f>
        <v>4.8207663782447535E-2</v>
      </c>
      <c r="E56" s="93">
        <v>0.08</v>
      </c>
      <c r="F56" s="93">
        <v>-0.01</v>
      </c>
      <c r="G56" s="93">
        <v>0.1</v>
      </c>
      <c r="H56" s="93">
        <v>0.01</v>
      </c>
      <c r="I56" s="92">
        <f xml:space="preserve"> (I55 - D55)/D55</f>
        <v>0.25589622641509419</v>
      </c>
      <c r="J56" s="92">
        <f xml:space="preserve"> (J55 - E55)/E55</f>
        <v>0.18551236749116595</v>
      </c>
      <c r="K56" s="92">
        <f xml:space="preserve"> (K55 - F55)/F55</f>
        <v>0.43454038997214489</v>
      </c>
      <c r="L56" s="92">
        <f xml:space="preserve"> (L55 - G55)/G55</f>
        <v>0.24864864864864872</v>
      </c>
      <c r="M56" s="92">
        <f>(M55-H55)/H55</f>
        <v>0.20500000000000007</v>
      </c>
      <c r="N56" s="93">
        <f>(N55-J55-K55)/(J55+K55)</f>
        <v>4.8903878583473961E-2</v>
      </c>
      <c r="O56" s="92">
        <f>(O55-J55)/J55</f>
        <v>3.8748137108792977E-2</v>
      </c>
      <c r="P56" s="92">
        <f>(P55-K55)/K55</f>
        <v>6.213592233009714E-2</v>
      </c>
      <c r="Q56" s="138">
        <f>(Q55-I55)/I55</f>
        <v>6.0000000000000005E-2</v>
      </c>
      <c r="R56" s="141">
        <f>(R55-Q55)/Q55</f>
        <v>1.0000000000000014E-2</v>
      </c>
      <c r="S56" s="141">
        <f t="shared" ref="S56:U56" si="3">(S55-R55)/R55</f>
        <v>3.0000000000000047E-2</v>
      </c>
      <c r="T56" s="141">
        <f t="shared" si="3"/>
        <v>6.0000000000000019E-2</v>
      </c>
      <c r="U56" s="142">
        <f t="shared" si="3"/>
        <v>9.0000000000000108E-2</v>
      </c>
      <c r="W56" s="55">
        <v>16.350000000000001</v>
      </c>
      <c r="X56" s="52" t="s">
        <v>111</v>
      </c>
    </row>
    <row r="57" spans="2:25">
      <c r="B57" s="107" t="s">
        <v>71</v>
      </c>
      <c r="C57" s="135" t="s">
        <v>114</v>
      </c>
      <c r="D57" s="135" t="s">
        <v>114</v>
      </c>
      <c r="E57" s="135"/>
      <c r="F57" s="135"/>
      <c r="G57" s="135"/>
      <c r="H57" s="135"/>
      <c r="I57" s="135" t="s">
        <v>114</v>
      </c>
      <c r="J57" s="86">
        <f>(J55-H55)/H55</f>
        <v>0.67749999999999988</v>
      </c>
      <c r="K57" s="88">
        <f>(K55-J55)/J55</f>
        <v>-0.23248882265275703</v>
      </c>
      <c r="L57" s="88">
        <f t="shared" ref="L57:M57" si="4">(L55-K55)/K55</f>
        <v>-0.10291262135922324</v>
      </c>
      <c r="M57" s="88">
        <f t="shared" si="4"/>
        <v>4.3290043290043288E-2</v>
      </c>
      <c r="N57" s="135" t="s">
        <v>114</v>
      </c>
      <c r="O57" s="86">
        <f>(O55-M55)/M55</f>
        <v>0.44605809128630702</v>
      </c>
      <c r="P57" s="88">
        <f>(P55-O55)/O55</f>
        <v>-0.21520803443328551</v>
      </c>
      <c r="Q57" s="135" t="s">
        <v>114</v>
      </c>
      <c r="R57" s="135" t="s">
        <v>114</v>
      </c>
      <c r="S57" s="135" t="s">
        <v>114</v>
      </c>
      <c r="T57" s="135" t="s">
        <v>114</v>
      </c>
      <c r="U57" s="139" t="s">
        <v>114</v>
      </c>
      <c r="W57" s="51">
        <v>0.01</v>
      </c>
      <c r="X57" s="52" t="s">
        <v>40</v>
      </c>
    </row>
    <row r="58" spans="2:25">
      <c r="B58" s="105" t="s">
        <v>37</v>
      </c>
      <c r="C58" s="89">
        <f t="shared" ref="C58:P58" si="5">C52-C55</f>
        <v>98.399999999999977</v>
      </c>
      <c r="D58" s="89">
        <f t="shared" si="5"/>
        <v>104.89999999999998</v>
      </c>
      <c r="E58" s="89">
        <f t="shared" si="5"/>
        <v>35.199999999999996</v>
      </c>
      <c r="F58" s="89">
        <f t="shared" si="5"/>
        <v>22.4</v>
      </c>
      <c r="G58" s="89">
        <f t="shared" si="5"/>
        <v>22.700000000000003</v>
      </c>
      <c r="H58" s="89">
        <f t="shared" si="5"/>
        <v>24.699999999999989</v>
      </c>
      <c r="I58" s="89">
        <f t="shared" si="5"/>
        <v>152.80000000000001</v>
      </c>
      <c r="J58" s="89">
        <f t="shared" si="5"/>
        <v>44.300000000000011</v>
      </c>
      <c r="K58" s="89">
        <f t="shared" si="5"/>
        <v>38.099999999999994</v>
      </c>
      <c r="L58" s="89">
        <f t="shared" si="5"/>
        <v>35.200000000000003</v>
      </c>
      <c r="M58" s="89">
        <f t="shared" si="5"/>
        <v>35.200000000000003</v>
      </c>
      <c r="N58" s="137">
        <f t="shared" si="5"/>
        <v>96.799999999999983</v>
      </c>
      <c r="O58" s="89">
        <f t="shared" si="5"/>
        <v>54.2</v>
      </c>
      <c r="P58" s="89">
        <f t="shared" si="5"/>
        <v>42.599999999999994</v>
      </c>
      <c r="Q58" s="137">
        <f>1.07*I58</f>
        <v>163.49600000000001</v>
      </c>
      <c r="R58" s="137">
        <f>0.93*Q58</f>
        <v>152.05128000000002</v>
      </c>
      <c r="S58" s="137">
        <f>1.04*R58</f>
        <v>158.13333120000001</v>
      </c>
      <c r="T58" s="137">
        <f>1.06*S58</f>
        <v>167.62133107200003</v>
      </c>
      <c r="U58" s="140">
        <f>1.08*T58</f>
        <v>181.03103755776004</v>
      </c>
      <c r="W58" s="57">
        <f>W56*W55</f>
        <v>2519.3715000000002</v>
      </c>
      <c r="X58" s="52" t="s">
        <v>110</v>
      </c>
    </row>
    <row r="59" spans="2:25">
      <c r="B59" s="105" t="s">
        <v>17</v>
      </c>
      <c r="C59" s="89"/>
      <c r="D59" s="92">
        <f xml:space="preserve"> (D58 - C58)/C58</f>
        <v>6.6056910569105703E-2</v>
      </c>
      <c r="E59" s="93">
        <v>0.1</v>
      </c>
      <c r="F59" s="93">
        <v>0.02</v>
      </c>
      <c r="G59" s="93">
        <v>0.12</v>
      </c>
      <c r="H59" s="93">
        <v>1.54E-2</v>
      </c>
      <c r="I59" s="92">
        <f xml:space="preserve"> (I58 - D58)/D58</f>
        <v>0.4566253574833179</v>
      </c>
      <c r="J59" s="92">
        <f xml:space="preserve"> (J58 - E58)/E58</f>
        <v>0.25852272727272774</v>
      </c>
      <c r="K59" s="92">
        <f xml:space="preserve"> (K58 - F58)/F58</f>
        <v>0.70089285714285698</v>
      </c>
      <c r="L59" s="92">
        <f xml:space="preserve"> (L58 - G58)/G58</f>
        <v>0.5506607929515418</v>
      </c>
      <c r="M59" s="92">
        <f xml:space="preserve"> (M58 - H58)/H58</f>
        <v>0.42510121457489958</v>
      </c>
      <c r="N59" s="138">
        <f>(N58-J58-K58)/(J58+K58)</f>
        <v>0.17475728155339776</v>
      </c>
      <c r="O59" s="92">
        <f>(O58-J58)/J58</f>
        <v>0.22347629796839705</v>
      </c>
      <c r="P59" s="92">
        <f>(P58-K58)/K58</f>
        <v>0.11811023622047245</v>
      </c>
      <c r="Q59" s="138">
        <f>(Q58-I58)/I58</f>
        <v>6.9999999999999979E-2</v>
      </c>
      <c r="R59" s="143">
        <f>(R58-Q58)/Q58</f>
        <v>-6.9999999999999937E-2</v>
      </c>
      <c r="S59" s="141">
        <f t="shared" ref="S59" si="6">(S58-R58)/R58</f>
        <v>3.9999999999999959E-2</v>
      </c>
      <c r="T59" s="141">
        <f t="shared" ref="T59" si="7">(T58-S58)/S58</f>
        <v>6.0000000000000102E-2</v>
      </c>
      <c r="U59" s="142">
        <f t="shared" ref="U59" si="8">(U58-T58)/T58</f>
        <v>8.0000000000000057E-2</v>
      </c>
      <c r="W59" s="57">
        <v>70</v>
      </c>
      <c r="X59" s="52" t="s">
        <v>112</v>
      </c>
    </row>
    <row r="60" spans="2:25">
      <c r="B60" s="107" t="s">
        <v>71</v>
      </c>
      <c r="C60" s="135" t="s">
        <v>114</v>
      </c>
      <c r="D60" s="135" t="s">
        <v>114</v>
      </c>
      <c r="E60" s="135"/>
      <c r="F60" s="135"/>
      <c r="G60" s="135"/>
      <c r="H60" s="135"/>
      <c r="I60" s="135" t="s">
        <v>114</v>
      </c>
      <c r="J60" s="86">
        <f>(J58-H58)/H58</f>
        <v>0.793522267206479</v>
      </c>
      <c r="K60" s="88">
        <f>(K58-J58)/J58</f>
        <v>-0.13995485327313806</v>
      </c>
      <c r="L60" s="88">
        <f t="shared" ref="L60:M60" si="9">(L58-K58)/K58</f>
        <v>-7.6115485564304253E-2</v>
      </c>
      <c r="M60" s="88">
        <f t="shared" si="9"/>
        <v>0</v>
      </c>
      <c r="N60" s="135" t="s">
        <v>114</v>
      </c>
      <c r="O60" s="86">
        <f>(O58-M58)/M58</f>
        <v>0.53977272727272718</v>
      </c>
      <c r="P60" s="88">
        <f>(P58-O58)/O58</f>
        <v>-0.21402214022140237</v>
      </c>
      <c r="Q60" s="135" t="s">
        <v>114</v>
      </c>
      <c r="R60" s="135" t="s">
        <v>114</v>
      </c>
      <c r="S60" s="135" t="s">
        <v>114</v>
      </c>
      <c r="T60" s="135" t="s">
        <v>114</v>
      </c>
      <c r="U60" s="139" t="s">
        <v>114</v>
      </c>
      <c r="W60" s="57"/>
      <c r="X60" s="52"/>
    </row>
    <row r="61" spans="2:25">
      <c r="B61" s="105" t="s">
        <v>87</v>
      </c>
      <c r="C61" s="93">
        <f t="shared" ref="C61:U61" si="10">C58/C52</f>
        <v>0.37817063797079165</v>
      </c>
      <c r="D61" s="93">
        <f t="shared" si="10"/>
        <v>0.38214936247723125</v>
      </c>
      <c r="E61" s="93">
        <f t="shared" si="10"/>
        <v>0.38344226579520696</v>
      </c>
      <c r="F61" s="93">
        <f t="shared" si="10"/>
        <v>0.38421955403087477</v>
      </c>
      <c r="G61" s="93">
        <f t="shared" si="10"/>
        <v>0.38023450586264662</v>
      </c>
      <c r="H61" s="93">
        <f t="shared" si="10"/>
        <v>0.38176197836166914</v>
      </c>
      <c r="I61" s="93">
        <f t="shared" si="10"/>
        <v>0.41771459814106071</v>
      </c>
      <c r="J61" s="93">
        <f t="shared" si="10"/>
        <v>0.39766606822262129</v>
      </c>
      <c r="K61" s="93">
        <f t="shared" si="10"/>
        <v>0.42522321428571425</v>
      </c>
      <c r="L61" s="93">
        <f t="shared" si="10"/>
        <v>0.43243243243243246</v>
      </c>
      <c r="M61" s="93">
        <f t="shared" si="10"/>
        <v>0.42206235011990406</v>
      </c>
      <c r="N61" s="138">
        <f t="shared" si="10"/>
        <v>0.43761301989150087</v>
      </c>
      <c r="O61" s="93">
        <f t="shared" si="10"/>
        <v>0.4374495560936239</v>
      </c>
      <c r="P61" s="93">
        <f t="shared" si="10"/>
        <v>0.43782117163412121</v>
      </c>
      <c r="Q61" s="138">
        <f t="shared" si="10"/>
        <v>0.42165530189710843</v>
      </c>
      <c r="R61" s="138">
        <f t="shared" si="10"/>
        <v>0.38825686214288202</v>
      </c>
      <c r="S61" s="138">
        <f t="shared" si="10"/>
        <v>0.39202634624135657</v>
      </c>
      <c r="T61" s="138">
        <f t="shared" si="10"/>
        <v>0.39202634624135663</v>
      </c>
      <c r="U61" s="144">
        <f t="shared" si="10"/>
        <v>0.38842977425749092</v>
      </c>
      <c r="W61" s="57"/>
      <c r="X61" s="52"/>
    </row>
    <row r="62" spans="2:25">
      <c r="B62" s="105" t="s">
        <v>17</v>
      </c>
      <c r="C62" s="90"/>
      <c r="D62" s="92">
        <f xml:space="preserve"> (D61 - C61)/C61</f>
        <v>1.0520976794467321E-2</v>
      </c>
      <c r="E62" s="92">
        <v>0</v>
      </c>
      <c r="F62" s="93">
        <v>0.02</v>
      </c>
      <c r="G62" s="93">
        <v>0.01</v>
      </c>
      <c r="H62" s="93">
        <v>0.01</v>
      </c>
      <c r="I62" s="92">
        <f xml:space="preserve"> (I61 - D61)/D61</f>
        <v>9.3066322113643379E-2</v>
      </c>
      <c r="J62" s="92">
        <f xml:space="preserve"> (J61 - E61)/E61</f>
        <v>3.7095030194222611E-2</v>
      </c>
      <c r="K62" s="92">
        <f xml:space="preserve"> (K61 - F61)/F61</f>
        <v>0.10671934789540811</v>
      </c>
      <c r="L62" s="92">
        <f xml:space="preserve"> (L61 - G61)/G61</f>
        <v>0.1372782474104059</v>
      </c>
      <c r="M62" s="92">
        <f xml:space="preserve"> (M61 - H61)/H61</f>
        <v>0.10556413169059919</v>
      </c>
      <c r="N62" s="138">
        <v>6.7400000000000002E-2</v>
      </c>
      <c r="O62" s="92">
        <f>(O61-J61)/J61</f>
        <v>0.1000424503121826</v>
      </c>
      <c r="P62" s="92">
        <f>(P61-K61)/K61</f>
        <v>2.9626692346909816E-2</v>
      </c>
      <c r="Q62" s="135"/>
      <c r="R62" s="145"/>
      <c r="S62" s="145"/>
      <c r="T62" s="145"/>
      <c r="U62" s="146"/>
      <c r="W62" s="57">
        <v>15.6</v>
      </c>
      <c r="X62" s="52" t="s">
        <v>113</v>
      </c>
      <c r="Y62" s="152" t="s">
        <v>126</v>
      </c>
    </row>
    <row r="63" spans="2:25">
      <c r="B63" s="107" t="s">
        <v>71</v>
      </c>
      <c r="C63" s="135" t="s">
        <v>114</v>
      </c>
      <c r="D63" s="135" t="s">
        <v>114</v>
      </c>
      <c r="E63" s="135"/>
      <c r="F63" s="135"/>
      <c r="G63" s="135"/>
      <c r="H63" s="135"/>
      <c r="I63" s="135" t="s">
        <v>114</v>
      </c>
      <c r="J63" s="86">
        <f>(J61-H61)/H61</f>
        <v>4.1659700971805852E-2</v>
      </c>
      <c r="K63" s="88">
        <f>(K61-J61)/J61</f>
        <v>6.9297202515317249E-2</v>
      </c>
      <c r="L63" s="88">
        <f t="shared" ref="L63:M63" si="11">(L61-K61)/K61</f>
        <v>1.6953961835851752E-2</v>
      </c>
      <c r="M63" s="88">
        <f t="shared" si="11"/>
        <v>-2.3980815347721913E-2</v>
      </c>
      <c r="N63" s="135" t="s">
        <v>114</v>
      </c>
      <c r="O63" s="86">
        <f>(O61-M61)/M61</f>
        <v>3.6457186880915766E-2</v>
      </c>
      <c r="P63" s="88">
        <f>(P61-O61)/O61</f>
        <v>8.4950489792649699E-4</v>
      </c>
      <c r="Q63" s="135" t="s">
        <v>114</v>
      </c>
      <c r="R63" s="135" t="s">
        <v>114</v>
      </c>
      <c r="S63" s="135" t="s">
        <v>114</v>
      </c>
      <c r="T63" s="135" t="s">
        <v>114</v>
      </c>
      <c r="U63" s="139" t="s">
        <v>114</v>
      </c>
      <c r="W63" s="51">
        <v>0.35</v>
      </c>
      <c r="X63" s="52" t="s">
        <v>48</v>
      </c>
    </row>
    <row r="64" spans="2:25">
      <c r="B64" s="105"/>
      <c r="C64" s="90"/>
      <c r="D64" s="90"/>
      <c r="E64" s="90"/>
      <c r="F64" s="90"/>
      <c r="G64" s="90"/>
      <c r="H64" s="151" t="s">
        <v>122</v>
      </c>
      <c r="I64" s="151"/>
      <c r="J64" s="151"/>
      <c r="K64" s="151"/>
      <c r="L64" s="151"/>
      <c r="M64" s="151"/>
      <c r="N64" s="90"/>
      <c r="O64" s="90"/>
      <c r="P64" s="90"/>
      <c r="Q64" s="90"/>
      <c r="R64" s="91"/>
      <c r="S64" s="91"/>
      <c r="T64" s="91"/>
      <c r="U64" s="108"/>
      <c r="W64" s="62">
        <f>(W72*W56)/Q52</f>
        <v>4.4171771682093182</v>
      </c>
      <c r="X64" s="52" t="s">
        <v>50</v>
      </c>
      <c r="Y64" s="152" t="s">
        <v>128</v>
      </c>
    </row>
    <row r="65" spans="2:26">
      <c r="B65" s="105"/>
      <c r="C65" s="90"/>
      <c r="D65" s="90"/>
      <c r="E65" s="90"/>
      <c r="F65" s="90"/>
      <c r="G65" s="90"/>
      <c r="H65" s="90"/>
      <c r="I65" s="90"/>
      <c r="J65" s="151" t="s">
        <v>131</v>
      </c>
      <c r="K65" s="90"/>
      <c r="L65" s="90"/>
      <c r="M65" s="90"/>
      <c r="N65" s="90"/>
      <c r="O65" s="90"/>
      <c r="P65" s="90"/>
      <c r="Q65" s="90"/>
      <c r="R65" s="91"/>
      <c r="S65" s="91"/>
      <c r="T65" s="91"/>
      <c r="U65" s="108"/>
      <c r="W65" s="63">
        <v>25</v>
      </c>
      <c r="X65" s="52" t="s">
        <v>52</v>
      </c>
    </row>
    <row r="66" spans="2:26">
      <c r="B66" s="105" t="s">
        <v>93</v>
      </c>
      <c r="C66" s="89">
        <v>16.25</v>
      </c>
      <c r="D66" s="89">
        <v>18.7</v>
      </c>
      <c r="E66" s="89"/>
      <c r="F66" s="90"/>
      <c r="G66" s="90"/>
      <c r="H66" s="90"/>
      <c r="I66" s="89">
        <v>21.9</v>
      </c>
      <c r="J66" s="90"/>
      <c r="K66" s="90"/>
      <c r="L66" s="90"/>
      <c r="M66" s="90"/>
      <c r="N66" s="90"/>
      <c r="O66" s="90"/>
      <c r="P66" s="90"/>
      <c r="Q66" s="90"/>
      <c r="R66" s="91"/>
      <c r="S66" s="91"/>
      <c r="T66" s="91"/>
      <c r="U66" s="108"/>
      <c r="W66" s="51">
        <v>0.15</v>
      </c>
      <c r="X66" s="52" t="s">
        <v>54</v>
      </c>
    </row>
    <row r="67" spans="2:26">
      <c r="B67" s="105" t="s">
        <v>17</v>
      </c>
      <c r="C67" s="89"/>
      <c r="D67" s="92">
        <f xml:space="preserve"> (D66 - C66)/C66</f>
        <v>0.15076923076923074</v>
      </c>
      <c r="E67" s="89"/>
      <c r="F67" s="90"/>
      <c r="G67" s="90"/>
      <c r="H67" s="90"/>
      <c r="I67" s="92">
        <f xml:space="preserve"> (I66 - D66)/D66</f>
        <v>0.17112299465240638</v>
      </c>
      <c r="J67" s="90"/>
      <c r="K67" s="90"/>
      <c r="L67" s="90"/>
      <c r="M67" s="90"/>
      <c r="N67" s="90"/>
      <c r="O67" s="90"/>
      <c r="P67" s="90"/>
      <c r="Q67" s="90"/>
      <c r="R67" s="91"/>
      <c r="S67" s="91"/>
      <c r="T67" s="91"/>
      <c r="U67" s="108"/>
      <c r="W67" s="54"/>
      <c r="X67" s="20"/>
    </row>
    <row r="68" spans="2:26">
      <c r="B68" s="107" t="s">
        <v>71</v>
      </c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1"/>
      <c r="S68" s="91"/>
      <c r="T68" s="91"/>
      <c r="U68" s="108"/>
      <c r="W68" s="54"/>
      <c r="X68" s="20"/>
    </row>
    <row r="69" spans="2:26">
      <c r="B69" s="105" t="s">
        <v>96</v>
      </c>
      <c r="C69" s="93">
        <f>C66/$C$52</f>
        <v>6.245196003074558E-2</v>
      </c>
      <c r="D69" s="93">
        <f>D66/$C$52</f>
        <v>7.1867794004611837E-2</v>
      </c>
      <c r="E69" s="90"/>
      <c r="F69" s="90"/>
      <c r="G69" s="90"/>
      <c r="H69" s="90"/>
      <c r="I69" s="93">
        <f>I66/$I$52</f>
        <v>5.9868780754510659E-2</v>
      </c>
      <c r="J69" s="90"/>
      <c r="K69" s="90"/>
      <c r="L69" s="90"/>
      <c r="M69" s="90"/>
      <c r="N69" s="90"/>
      <c r="O69" s="90"/>
      <c r="P69" s="90"/>
      <c r="Q69" s="90"/>
      <c r="R69" s="91"/>
      <c r="S69" s="91"/>
      <c r="T69" s="91"/>
      <c r="U69" s="108"/>
      <c r="W69" s="54"/>
      <c r="X69" s="20"/>
      <c r="Z69" s="152" t="s">
        <v>89</v>
      </c>
    </row>
    <row r="70" spans="2:26">
      <c r="B70" s="105" t="s">
        <v>17</v>
      </c>
      <c r="C70" s="90"/>
      <c r="D70" s="92">
        <f xml:space="preserve"> (D69 - C69)/C69</f>
        <v>0.15076923076923077</v>
      </c>
      <c r="E70" s="90"/>
      <c r="F70" s="90"/>
      <c r="G70" s="90"/>
      <c r="H70" s="90"/>
      <c r="I70" s="92">
        <f xml:space="preserve"> (I69 - D69)/D69</f>
        <v>-0.16695953196130089</v>
      </c>
      <c r="J70" s="90"/>
      <c r="K70" s="90"/>
      <c r="L70" s="90"/>
      <c r="M70" s="90"/>
      <c r="N70" s="90"/>
      <c r="O70" s="90"/>
      <c r="P70" s="90"/>
      <c r="Q70" s="90"/>
      <c r="R70" s="91"/>
      <c r="S70" s="91"/>
      <c r="T70" s="91"/>
      <c r="U70" s="108"/>
      <c r="W70" s="54"/>
      <c r="X70" s="20"/>
    </row>
    <row r="71" spans="2:26">
      <c r="B71" s="107" t="s">
        <v>71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1"/>
      <c r="S71" s="91"/>
      <c r="T71" s="91"/>
      <c r="U71" s="108"/>
      <c r="W71" s="54"/>
      <c r="X71" s="20"/>
    </row>
    <row r="72" spans="2:26">
      <c r="B72" s="105" t="s">
        <v>94</v>
      </c>
      <c r="C72" s="89">
        <v>18.25</v>
      </c>
      <c r="D72" s="89">
        <v>19.899999999999999</v>
      </c>
      <c r="E72" s="89"/>
      <c r="F72" s="89"/>
      <c r="G72" s="89"/>
      <c r="H72" s="89"/>
      <c r="I72" s="89">
        <v>22</v>
      </c>
      <c r="J72" s="90"/>
      <c r="K72" s="90"/>
      <c r="L72" s="90"/>
      <c r="M72" s="90"/>
      <c r="N72" s="90"/>
      <c r="O72" s="90"/>
      <c r="P72" s="90"/>
      <c r="Q72" s="90"/>
      <c r="R72" s="91"/>
      <c r="S72" s="91"/>
      <c r="T72" s="91"/>
      <c r="U72" s="108"/>
      <c r="W72" s="53">
        <f>Q118</f>
        <v>104.7554503130781</v>
      </c>
      <c r="X72" s="52" t="s">
        <v>1</v>
      </c>
    </row>
    <row r="73" spans="2:26">
      <c r="B73" s="105" t="s">
        <v>17</v>
      </c>
      <c r="C73" s="93"/>
      <c r="D73" s="92">
        <f xml:space="preserve"> (D72 - C72)/C72</f>
        <v>9.0410958904109509E-2</v>
      </c>
      <c r="E73" s="90"/>
      <c r="F73" s="90"/>
      <c r="G73" s="90"/>
      <c r="H73" s="90"/>
      <c r="I73" s="92">
        <f xml:space="preserve"> (I72 - D72)/D72</f>
        <v>0.10552763819095486</v>
      </c>
      <c r="J73" s="90"/>
      <c r="K73" s="90"/>
      <c r="L73" s="90"/>
      <c r="M73" s="90"/>
      <c r="N73" s="90"/>
      <c r="O73" s="90"/>
      <c r="P73" s="90"/>
      <c r="Q73" s="90"/>
      <c r="R73" s="91"/>
      <c r="S73" s="91"/>
      <c r="T73" s="91"/>
      <c r="U73" s="108"/>
      <c r="W73" s="66">
        <f>(W72-W55)/W55</f>
        <v>-0.32016710809865601</v>
      </c>
      <c r="X73" s="67" t="s">
        <v>62</v>
      </c>
    </row>
    <row r="74" spans="2:26">
      <c r="B74" s="107" t="s">
        <v>71</v>
      </c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1"/>
      <c r="S74" s="91"/>
      <c r="T74" s="91"/>
      <c r="U74" s="108"/>
    </row>
    <row r="75" spans="2:26">
      <c r="B75" s="105" t="s">
        <v>41</v>
      </c>
      <c r="C75" s="93">
        <f>C72/$C$52</f>
        <v>7.0138355111452735E-2</v>
      </c>
      <c r="D75" s="93">
        <f>D72/$C$52</f>
        <v>7.6479631053036123E-2</v>
      </c>
      <c r="E75" s="90"/>
      <c r="F75" s="90"/>
      <c r="G75" s="90"/>
      <c r="H75" s="90"/>
      <c r="I75" s="93">
        <f>I72/$I$52</f>
        <v>6.0142154182613448E-2</v>
      </c>
      <c r="J75" s="90"/>
      <c r="K75" s="90"/>
      <c r="L75" s="90"/>
      <c r="M75" s="90"/>
      <c r="N75" s="90"/>
      <c r="O75" s="90"/>
      <c r="P75" s="90"/>
      <c r="Q75" s="90"/>
      <c r="R75" s="91"/>
      <c r="S75" s="91"/>
      <c r="T75" s="91"/>
      <c r="U75" s="108"/>
    </row>
    <row r="76" spans="2:26">
      <c r="B76" s="105" t="s">
        <v>17</v>
      </c>
      <c r="C76" s="90"/>
      <c r="D76" s="92">
        <f xml:space="preserve"> (D75 - C75)/C75</f>
        <v>9.0410958904109454E-2</v>
      </c>
      <c r="E76" s="90"/>
      <c r="F76" s="90"/>
      <c r="G76" s="90"/>
      <c r="H76" s="90"/>
      <c r="I76" s="92">
        <f xml:space="preserve"> (I75 - D75)/D75</f>
        <v>-0.21361866742130553</v>
      </c>
      <c r="J76" s="90"/>
      <c r="K76" s="90"/>
      <c r="L76" s="90"/>
      <c r="M76" s="90"/>
      <c r="N76" s="90"/>
      <c r="O76" s="90"/>
      <c r="P76" s="90"/>
      <c r="Q76" s="90"/>
      <c r="R76" s="91"/>
      <c r="S76" s="91"/>
      <c r="T76" s="91"/>
      <c r="U76" s="108"/>
    </row>
    <row r="77" spans="2:26">
      <c r="B77" s="107" t="s">
        <v>71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1"/>
      <c r="S77" s="91"/>
      <c r="T77" s="91"/>
      <c r="U77" s="108"/>
    </row>
    <row r="78" spans="2:26">
      <c r="B78" s="105" t="s">
        <v>95</v>
      </c>
      <c r="C78" s="89">
        <f>C72+C66</f>
        <v>34.5</v>
      </c>
      <c r="D78" s="89">
        <f>D72+D66</f>
        <v>38.599999999999994</v>
      </c>
      <c r="E78" s="89"/>
      <c r="F78" s="89"/>
      <c r="G78" s="89"/>
      <c r="H78" s="89"/>
      <c r="I78" s="89">
        <f>I72+I66</f>
        <v>43.9</v>
      </c>
      <c r="J78" s="89"/>
      <c r="K78" s="89"/>
      <c r="L78" s="89"/>
      <c r="M78" s="89"/>
      <c r="N78" s="89"/>
      <c r="O78" s="89"/>
      <c r="P78" s="89"/>
      <c r="Q78" s="89">
        <f>1.1*I78</f>
        <v>48.29</v>
      </c>
      <c r="R78" s="89">
        <f>0.91*Q78</f>
        <v>43.943899999999999</v>
      </c>
      <c r="S78" s="89">
        <f>1.05*R78</f>
        <v>46.141095</v>
      </c>
      <c r="T78" s="89">
        <f>1.1*S78</f>
        <v>50.755204500000005</v>
      </c>
      <c r="U78" s="127">
        <f>1.14*T78</f>
        <v>57.860933129999999</v>
      </c>
    </row>
    <row r="79" spans="2:26">
      <c r="B79" s="110" t="s">
        <v>17</v>
      </c>
      <c r="C79" s="90"/>
      <c r="D79" s="92">
        <f xml:space="preserve"> (D78 - C78)/C78</f>
        <v>0.11884057971014476</v>
      </c>
      <c r="E79" s="90"/>
      <c r="F79" s="90"/>
      <c r="G79" s="90"/>
      <c r="H79" s="90"/>
      <c r="I79" s="92">
        <f xml:space="preserve"> (I78 - D78)/D78</f>
        <v>0.13730569948186541</v>
      </c>
      <c r="J79" s="90"/>
      <c r="K79" s="90"/>
      <c r="L79" s="90"/>
      <c r="M79" s="90"/>
      <c r="N79" s="90"/>
      <c r="O79" s="90"/>
      <c r="P79" s="90"/>
      <c r="Q79" s="93">
        <f>(Q78-I78)/I78</f>
        <v>0.10000000000000002</v>
      </c>
      <c r="R79" s="96">
        <f>(R78-Q78)/Q78</f>
        <v>-0.09</v>
      </c>
      <c r="S79" s="96">
        <f t="shared" ref="S79:U79" si="12">(S78-R78)/R78</f>
        <v>5.0000000000000017E-2</v>
      </c>
      <c r="T79" s="96">
        <f t="shared" si="12"/>
        <v>0.1000000000000001</v>
      </c>
      <c r="U79" s="111">
        <f t="shared" si="12"/>
        <v>0.13999999999999987</v>
      </c>
    </row>
    <row r="80" spans="2:26">
      <c r="B80" s="110" t="s">
        <v>71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1"/>
      <c r="S80" s="91"/>
      <c r="T80" s="91"/>
      <c r="U80" s="108"/>
    </row>
    <row r="81" spans="2:21">
      <c r="B81" s="105" t="s">
        <v>97</v>
      </c>
      <c r="C81" s="93">
        <f>C78/C$52</f>
        <v>0.13259031514219832</v>
      </c>
      <c r="D81" s="93">
        <f>D78/D$52</f>
        <v>0.14061930783242257</v>
      </c>
      <c r="E81" s="90"/>
      <c r="F81" s="90"/>
      <c r="G81" s="90"/>
      <c r="H81" s="90"/>
      <c r="I81" s="93">
        <f>I78/I$52</f>
        <v>0.1200109349371241</v>
      </c>
      <c r="J81" s="90"/>
      <c r="K81" s="90"/>
      <c r="L81" s="90"/>
      <c r="M81" s="90"/>
      <c r="N81" s="90"/>
      <c r="O81" s="90"/>
      <c r="P81" s="90"/>
      <c r="Q81" s="93">
        <f>Q78/Q$52</f>
        <v>0.12453964946305331</v>
      </c>
      <c r="R81" s="93">
        <f>R78/R$52</f>
        <v>0.11220899110037476</v>
      </c>
      <c r="S81" s="93">
        <f>S78/S$52</f>
        <v>0.11438780646154709</v>
      </c>
      <c r="T81" s="93">
        <f>T78/T$52</f>
        <v>0.11870432746009604</v>
      </c>
      <c r="U81" s="109">
        <f>U78/U$52</f>
        <v>0.12414948009588024</v>
      </c>
    </row>
    <row r="82" spans="2:21">
      <c r="B82" s="110" t="s">
        <v>17</v>
      </c>
      <c r="C82" s="90"/>
      <c r="D82" s="92">
        <f xml:space="preserve"> (D81 - C81)/C81</f>
        <v>6.0554895594097102E-2</v>
      </c>
      <c r="E82" s="90"/>
      <c r="F82" s="90"/>
      <c r="G82" s="90"/>
      <c r="H82" s="90"/>
      <c r="I82" s="92">
        <f xml:space="preserve"> (I81 - D81)/D81</f>
        <v>-0.14655436165179875</v>
      </c>
      <c r="J82" s="90"/>
      <c r="K82" s="90"/>
      <c r="L82" s="90"/>
      <c r="M82" s="90"/>
      <c r="N82" s="90"/>
      <c r="O82" s="90"/>
      <c r="P82" s="90"/>
      <c r="Q82" s="90"/>
      <c r="R82" s="91"/>
      <c r="S82" s="91"/>
      <c r="T82" s="91"/>
      <c r="U82" s="108"/>
    </row>
    <row r="83" spans="2:21">
      <c r="B83" s="110" t="s">
        <v>71</v>
      </c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1"/>
      <c r="S83" s="91"/>
      <c r="T83" s="91"/>
      <c r="U83" s="108"/>
    </row>
    <row r="84" spans="2:21">
      <c r="B84" s="105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1"/>
      <c r="S84" s="91"/>
      <c r="T84" s="91"/>
      <c r="U84" s="108"/>
    </row>
    <row r="85" spans="2:21">
      <c r="B85" s="105"/>
      <c r="C85" s="90"/>
      <c r="D85" s="90"/>
      <c r="E85" s="90"/>
      <c r="F85" s="90"/>
      <c r="G85" s="90"/>
      <c r="H85" s="90"/>
      <c r="I85" s="151" t="s">
        <v>123</v>
      </c>
      <c r="J85" s="90"/>
      <c r="K85" s="90"/>
      <c r="L85" s="90"/>
      <c r="M85" s="90"/>
      <c r="N85" s="90"/>
      <c r="O85" s="90"/>
      <c r="P85" s="90"/>
      <c r="Q85" s="90"/>
      <c r="R85" s="91"/>
      <c r="S85" s="91"/>
      <c r="T85" s="91"/>
      <c r="U85" s="108"/>
    </row>
    <row r="86" spans="2:21">
      <c r="B86" s="105" t="s">
        <v>47</v>
      </c>
      <c r="C86" s="89">
        <f>C58-C78</f>
        <v>63.899999999999977</v>
      </c>
      <c r="D86" s="89">
        <f>D58-D78</f>
        <v>66.299999999999983</v>
      </c>
      <c r="E86" s="89"/>
      <c r="F86" s="89"/>
      <c r="G86" s="89"/>
      <c r="H86" s="89"/>
      <c r="I86" s="89">
        <f>I58-I78</f>
        <v>108.9</v>
      </c>
      <c r="J86" s="89"/>
      <c r="K86" s="89"/>
      <c r="L86" s="89"/>
      <c r="M86" s="89"/>
      <c r="N86" s="89"/>
      <c r="O86" s="89"/>
      <c r="P86" s="89"/>
      <c r="Q86" s="89">
        <f>Q58-Q78</f>
        <v>115.20600000000002</v>
      </c>
      <c r="R86" s="89">
        <f>R58-R78</f>
        <v>108.10738000000002</v>
      </c>
      <c r="S86" s="89">
        <f>S58-S78</f>
        <v>111.99223620000001</v>
      </c>
      <c r="T86" s="89">
        <f>T58-T78</f>
        <v>116.86612657200003</v>
      </c>
      <c r="U86" s="127">
        <f>U58-U78</f>
        <v>123.17010442776004</v>
      </c>
    </row>
    <row r="87" spans="2:21">
      <c r="B87" s="110" t="s">
        <v>17</v>
      </c>
      <c r="C87" s="90"/>
      <c r="D87" s="92">
        <f xml:space="preserve"> (D86 - C86)/C86</f>
        <v>3.7558685446009495E-2</v>
      </c>
      <c r="E87" s="90"/>
      <c r="F87" s="90"/>
      <c r="G87" s="90"/>
      <c r="H87" s="90"/>
      <c r="I87" s="97">
        <f xml:space="preserve"> (I86 - D86)/D86</f>
        <v>0.6425339366515842</v>
      </c>
      <c r="J87" s="90"/>
      <c r="K87" s="90"/>
      <c r="L87" s="90"/>
      <c r="M87" s="90"/>
      <c r="N87" s="90"/>
      <c r="O87" s="90"/>
      <c r="P87" s="90"/>
      <c r="Q87" s="93">
        <f>(Q86-I86)/I86</f>
        <v>5.7906336088154375E-2</v>
      </c>
      <c r="R87" s="96">
        <f>(R86-Q86)/Q86</f>
        <v>-6.1616756071732337E-2</v>
      </c>
      <c r="S87" s="96">
        <f>(S86-R86)/R86</f>
        <v>3.5935161873315094E-2</v>
      </c>
      <c r="T87" s="96">
        <f>(T86-S86)/S86</f>
        <v>4.3519895105014604E-2</v>
      </c>
      <c r="U87" s="111">
        <f>(U86-T86)/T86</f>
        <v>5.3941873840374042E-2</v>
      </c>
    </row>
    <row r="88" spans="2:21">
      <c r="B88" s="110" t="s">
        <v>71</v>
      </c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1"/>
      <c r="S88" s="91"/>
      <c r="T88" s="91"/>
      <c r="U88" s="108"/>
    </row>
    <row r="89" spans="2:21">
      <c r="B89" s="105" t="s">
        <v>98</v>
      </c>
      <c r="C89" s="98">
        <f>C86/$C$52</f>
        <v>0.24558032282859332</v>
      </c>
      <c r="D89" s="98">
        <f>D86/$D$52</f>
        <v>0.24153005464480867</v>
      </c>
      <c r="E89" s="90"/>
      <c r="F89" s="90"/>
      <c r="G89" s="90"/>
      <c r="H89" s="90"/>
      <c r="I89" s="93">
        <f>I86/I$52</f>
        <v>0.2977036632039366</v>
      </c>
      <c r="J89" s="90"/>
      <c r="K89" s="90"/>
      <c r="L89" s="90"/>
      <c r="M89" s="90"/>
      <c r="N89" s="90"/>
      <c r="O89" s="90"/>
      <c r="P89" s="90"/>
      <c r="Q89" s="99">
        <f>Q86/Q$52</f>
        <v>0.29711565243405513</v>
      </c>
      <c r="R89" s="98">
        <f>R86/R$52</f>
        <v>0.27604787104250728</v>
      </c>
      <c r="S89" s="93">
        <f>S86/S$52</f>
        <v>0.27763853977980946</v>
      </c>
      <c r="T89" s="93">
        <f>T86/T$52</f>
        <v>0.27332201878126056</v>
      </c>
      <c r="U89" s="109">
        <f>U86/U$52</f>
        <v>0.2642802941616107</v>
      </c>
    </row>
    <row r="90" spans="2:21">
      <c r="B90" s="110" t="s">
        <v>17</v>
      </c>
      <c r="C90" s="90"/>
      <c r="D90" s="92">
        <f xml:space="preserve"> (D89 - C89)/C89</f>
        <v>-1.6492641336788204E-2</v>
      </c>
      <c r="E90" s="90"/>
      <c r="F90" s="90"/>
      <c r="G90" s="90"/>
      <c r="H90" s="90"/>
      <c r="I90" s="97">
        <f xml:space="preserve"> (I89 - D89)/D89</f>
        <v>0.23257399018824465</v>
      </c>
      <c r="J90" s="90"/>
      <c r="K90" s="90"/>
      <c r="L90" s="90"/>
      <c r="M90" s="90"/>
      <c r="N90" s="90"/>
      <c r="O90" s="90"/>
      <c r="P90" s="90"/>
      <c r="Q90" s="90"/>
      <c r="R90" s="91"/>
      <c r="S90" s="91"/>
      <c r="T90" s="91"/>
      <c r="U90" s="108"/>
    </row>
    <row r="91" spans="2:21">
      <c r="B91" s="110" t="s">
        <v>71</v>
      </c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1"/>
      <c r="S91" s="91"/>
      <c r="T91" s="91"/>
      <c r="U91" s="108"/>
    </row>
    <row r="92" spans="2:21">
      <c r="B92" s="105" t="s">
        <v>104</v>
      </c>
      <c r="C92" s="89">
        <v>1.8</v>
      </c>
      <c r="D92" s="89">
        <v>0.8</v>
      </c>
      <c r="E92" s="89"/>
      <c r="F92" s="89"/>
      <c r="G92" s="89"/>
      <c r="H92" s="89"/>
      <c r="I92" s="89">
        <v>0.26</v>
      </c>
      <c r="J92" s="90"/>
      <c r="K92" s="90"/>
      <c r="L92" s="90"/>
      <c r="M92" s="90"/>
      <c r="N92" s="90"/>
      <c r="O92" s="90"/>
      <c r="P92" s="90"/>
      <c r="Q92" s="90"/>
      <c r="R92" s="91"/>
      <c r="S92" s="91"/>
      <c r="T92" s="91"/>
      <c r="U92" s="108"/>
    </row>
    <row r="93" spans="2:21">
      <c r="B93" s="105" t="s">
        <v>101</v>
      </c>
      <c r="C93" s="89">
        <f>C92+C86</f>
        <v>65.699999999999974</v>
      </c>
      <c r="D93" s="89">
        <f>D92+D86</f>
        <v>67.09999999999998</v>
      </c>
      <c r="E93" s="89"/>
      <c r="F93" s="89"/>
      <c r="G93" s="89"/>
      <c r="H93" s="89"/>
      <c r="I93" s="89">
        <f>I92+I86</f>
        <v>109.16000000000001</v>
      </c>
      <c r="J93" s="89"/>
      <c r="K93" s="89"/>
      <c r="L93" s="89"/>
      <c r="M93" s="89"/>
      <c r="N93" s="89"/>
      <c r="O93" s="89"/>
      <c r="P93" s="89"/>
      <c r="Q93" s="89">
        <f>(1+Q$87)*I93</f>
        <v>115.48105564738295</v>
      </c>
      <c r="R93" s="89">
        <f>(1+R$87)*Q93</f>
        <v>108.365487610652</v>
      </c>
      <c r="S93" s="89">
        <f>(1+S$87)*R93</f>
        <v>112.25961894942149</v>
      </c>
      <c r="T93" s="89">
        <f t="shared" ref="T93:U93" si="13">(1+T$87)*S93</f>
        <v>117.14514579062923</v>
      </c>
      <c r="U93" s="127">
        <f t="shared" si="13"/>
        <v>123.46417446587958</v>
      </c>
    </row>
    <row r="94" spans="2:21">
      <c r="B94" s="105" t="s">
        <v>99</v>
      </c>
      <c r="C94" s="89">
        <v>10.5</v>
      </c>
      <c r="D94" s="89">
        <v>9.6999999999999993</v>
      </c>
      <c r="E94" s="89"/>
      <c r="F94" s="89"/>
      <c r="G94" s="89"/>
      <c r="H94" s="89"/>
      <c r="I94" s="89">
        <v>14.5</v>
      </c>
      <c r="J94" s="90"/>
      <c r="K94" s="90"/>
      <c r="L94" s="90"/>
      <c r="M94" s="90"/>
      <c r="N94" s="90"/>
      <c r="O94" s="90"/>
      <c r="P94" s="90"/>
      <c r="Q94" s="90"/>
      <c r="R94" s="91"/>
      <c r="S94" s="91"/>
      <c r="T94" s="91"/>
      <c r="U94" s="108"/>
    </row>
    <row r="95" spans="2:21">
      <c r="B95" s="110" t="s">
        <v>17</v>
      </c>
      <c r="C95" s="90"/>
      <c r="D95" s="97">
        <f xml:space="preserve"> (D94 - C94)/C94</f>
        <v>-7.6190476190476253E-2</v>
      </c>
      <c r="E95" s="90"/>
      <c r="F95" s="90"/>
      <c r="G95" s="90"/>
      <c r="H95" s="90"/>
      <c r="I95" s="97">
        <f xml:space="preserve"> (I94 - D94)/D94</f>
        <v>0.4948453608247424</v>
      </c>
      <c r="J95" s="90"/>
      <c r="K95" s="90"/>
      <c r="L95" s="90"/>
      <c r="M95" s="90"/>
      <c r="N95" s="90"/>
      <c r="O95" s="90"/>
      <c r="P95" s="90"/>
      <c r="Q95" s="90"/>
      <c r="R95" s="91"/>
      <c r="S95" s="91"/>
      <c r="T95" s="91"/>
      <c r="U95" s="108"/>
    </row>
    <row r="96" spans="2:21">
      <c r="B96" s="110" t="s">
        <v>71</v>
      </c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1"/>
      <c r="S96" s="91"/>
      <c r="T96" s="91"/>
      <c r="U96" s="108"/>
    </row>
    <row r="97" spans="2:21">
      <c r="B97" s="105" t="s">
        <v>100</v>
      </c>
      <c r="C97" s="98">
        <f>C94/$C$52</f>
        <v>4.0353574173712534E-2</v>
      </c>
      <c r="D97" s="98">
        <f>D94/$C$52</f>
        <v>3.7279016141429672E-2</v>
      </c>
      <c r="E97" s="90"/>
      <c r="F97" s="90"/>
      <c r="G97" s="90"/>
      <c r="H97" s="90"/>
      <c r="I97" s="98">
        <f>I94/$C$52</f>
        <v>5.572636433512683E-2</v>
      </c>
      <c r="J97" s="90"/>
      <c r="K97" s="90"/>
      <c r="L97" s="90"/>
      <c r="M97" s="90"/>
      <c r="N97" s="90"/>
      <c r="O97" s="90"/>
      <c r="P97" s="90"/>
      <c r="Q97" s="90"/>
      <c r="R97" s="91"/>
      <c r="S97" s="91"/>
      <c r="T97" s="91"/>
      <c r="U97" s="108"/>
    </row>
    <row r="98" spans="2:21">
      <c r="B98" s="110" t="s">
        <v>17</v>
      </c>
      <c r="C98" s="90"/>
      <c r="D98" s="92">
        <f xml:space="preserve"> (D97 - C97)/C97</f>
        <v>-7.6190476190476253E-2</v>
      </c>
      <c r="E98" s="90"/>
      <c r="F98" s="90"/>
      <c r="G98" s="90"/>
      <c r="H98" s="90"/>
      <c r="I98" s="97">
        <f xml:space="preserve"> (I97 - D97)/D97</f>
        <v>0.49484536082474229</v>
      </c>
      <c r="J98" s="90"/>
      <c r="K98" s="90"/>
      <c r="L98" s="90"/>
      <c r="M98" s="90"/>
      <c r="N98" s="90"/>
      <c r="O98" s="90"/>
      <c r="P98" s="90"/>
      <c r="Q98" s="90"/>
      <c r="R98" s="91"/>
      <c r="S98" s="91"/>
      <c r="T98" s="91"/>
      <c r="U98" s="108"/>
    </row>
    <row r="99" spans="2:21">
      <c r="B99" s="110" t="s">
        <v>71</v>
      </c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1"/>
      <c r="S99" s="91"/>
      <c r="T99" s="91"/>
      <c r="U99" s="108"/>
    </row>
    <row r="100" spans="2:21">
      <c r="B100" s="105" t="s">
        <v>103</v>
      </c>
      <c r="C100" s="89">
        <f>C93-C94</f>
        <v>55.199999999999974</v>
      </c>
      <c r="D100" s="89">
        <f>D93-D94</f>
        <v>57.399999999999977</v>
      </c>
      <c r="E100" s="89"/>
      <c r="F100" s="89"/>
      <c r="G100" s="89"/>
      <c r="H100" s="89"/>
      <c r="I100" s="89">
        <f>I93-I94</f>
        <v>94.660000000000011</v>
      </c>
      <c r="J100" s="89"/>
      <c r="K100" s="89"/>
      <c r="L100" s="89"/>
      <c r="M100" s="89"/>
      <c r="N100" s="89"/>
      <c r="O100" s="89"/>
      <c r="P100" s="89"/>
      <c r="Q100" s="89">
        <f>(1+Q$87)*I100</f>
        <v>100.14141377410471</v>
      </c>
      <c r="R100" s="89">
        <f>(1+R$87)*Q100</f>
        <v>93.971024708907279</v>
      </c>
      <c r="S100" s="89">
        <f t="shared" ref="S100:U100" si="14">(1+S$87)*R100</f>
        <v>97.347888693223155</v>
      </c>
      <c r="T100" s="89">
        <f t="shared" si="14"/>
        <v>101.58445859784686</v>
      </c>
      <c r="U100" s="127">
        <f t="shared" si="14"/>
        <v>107.06411464767461</v>
      </c>
    </row>
    <row r="101" spans="2:21">
      <c r="B101" s="110" t="s">
        <v>17</v>
      </c>
      <c r="C101" s="90"/>
      <c r="D101" s="97">
        <f xml:space="preserve"> (D100 - C100)/C100</f>
        <v>3.9855072463768189E-2</v>
      </c>
      <c r="E101" s="90"/>
      <c r="F101" s="90"/>
      <c r="G101" s="90"/>
      <c r="H101" s="90"/>
      <c r="I101" s="97">
        <f xml:space="preserve"> (I100 - D100)/D100</f>
        <v>0.64912891986062804</v>
      </c>
      <c r="J101" s="90"/>
      <c r="K101" s="90"/>
      <c r="L101" s="90"/>
      <c r="M101" s="90"/>
      <c r="N101" s="90"/>
      <c r="O101" s="90"/>
      <c r="P101" s="90"/>
      <c r="Q101" s="90"/>
      <c r="R101" s="91"/>
      <c r="S101" s="91"/>
      <c r="T101" s="91"/>
      <c r="U101" s="108"/>
    </row>
    <row r="102" spans="2:21">
      <c r="B102" s="110" t="s">
        <v>71</v>
      </c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1"/>
      <c r="S102" s="91"/>
      <c r="T102" s="91"/>
      <c r="U102" s="108"/>
    </row>
    <row r="103" spans="2:21">
      <c r="B103" s="105" t="s">
        <v>102</v>
      </c>
      <c r="C103" s="93">
        <f>C100/$C$52</f>
        <v>0.21214450422751721</v>
      </c>
      <c r="D103" s="93">
        <f>D100/$C$52</f>
        <v>0.22059953881629507</v>
      </c>
      <c r="E103" s="90"/>
      <c r="F103" s="90"/>
      <c r="G103" s="90"/>
      <c r="H103" s="90"/>
      <c r="I103" s="93">
        <f>I100/$C$52</f>
        <v>0.36379707916986936</v>
      </c>
      <c r="J103" s="90"/>
      <c r="K103" s="90"/>
      <c r="L103" s="90"/>
      <c r="M103" s="90"/>
      <c r="N103" s="90"/>
      <c r="O103" s="90"/>
      <c r="P103" s="90"/>
      <c r="Q103" s="99">
        <f>Q100/Q$52</f>
        <v>0.25826416583478107</v>
      </c>
      <c r="R103" s="99">
        <f>R100/R$52</f>
        <v>0.23995125319452471</v>
      </c>
      <c r="S103" s="99">
        <f>S100/S$52</f>
        <v>0.241333922640558</v>
      </c>
      <c r="T103" s="99">
        <f>T100/T$52</f>
        <v>0.23758183928222337</v>
      </c>
      <c r="U103" s="113">
        <f>U100/U$52</f>
        <v>0.22972243016839367</v>
      </c>
    </row>
    <row r="104" spans="2:21">
      <c r="B104" s="110" t="s">
        <v>17</v>
      </c>
      <c r="C104" s="90"/>
      <c r="D104" s="92">
        <f xml:space="preserve"> (D103 - C103)/C103</f>
        <v>3.9855072463768119E-2</v>
      </c>
      <c r="E104" s="90"/>
      <c r="F104" s="90"/>
      <c r="G104" s="90"/>
      <c r="H104" s="90"/>
      <c r="I104" s="97">
        <f xml:space="preserve"> (I103 - D103)/D103</f>
        <v>0.64912891986062793</v>
      </c>
      <c r="J104" s="90"/>
      <c r="K104" s="90"/>
      <c r="L104" s="90"/>
      <c r="M104" s="90"/>
      <c r="N104" s="90"/>
      <c r="O104" s="90"/>
      <c r="P104" s="90"/>
      <c r="Q104" s="90"/>
      <c r="R104" s="91"/>
      <c r="S104" s="91"/>
      <c r="T104" s="91"/>
      <c r="U104" s="108"/>
    </row>
    <row r="105" spans="2:21">
      <c r="B105" s="110" t="s">
        <v>71</v>
      </c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1"/>
      <c r="S105" s="91"/>
      <c r="T105" s="91"/>
      <c r="U105" s="108"/>
    </row>
    <row r="106" spans="2:21">
      <c r="B106" s="105" t="s">
        <v>49</v>
      </c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1"/>
      <c r="S106" s="91"/>
      <c r="T106" s="91"/>
      <c r="U106" s="108"/>
    </row>
    <row r="107" spans="2:21">
      <c r="B107" s="110" t="s">
        <v>17</v>
      </c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1"/>
      <c r="S107" s="91"/>
      <c r="T107" s="91"/>
      <c r="U107" s="108"/>
    </row>
    <row r="108" spans="2:21">
      <c r="B108" s="110" t="s">
        <v>71</v>
      </c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1"/>
      <c r="S108" s="91"/>
      <c r="T108" s="91"/>
      <c r="U108" s="108"/>
    </row>
    <row r="109" spans="2:21">
      <c r="B109" s="105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1"/>
      <c r="S109" s="91"/>
      <c r="T109" s="91"/>
      <c r="U109" s="108"/>
    </row>
    <row r="110" spans="2:21">
      <c r="B110" s="147"/>
      <c r="C110" s="91"/>
      <c r="D110" s="91"/>
      <c r="E110" s="91"/>
      <c r="F110" s="91"/>
      <c r="G110" s="91"/>
      <c r="H110" s="91"/>
      <c r="I110" s="91"/>
      <c r="J110" s="90"/>
      <c r="K110" s="90"/>
      <c r="L110" s="90"/>
      <c r="M110" s="90"/>
      <c r="N110" s="90"/>
      <c r="O110" s="90"/>
      <c r="P110" s="90"/>
      <c r="Q110" s="90"/>
      <c r="R110" s="91"/>
      <c r="S110" s="91"/>
      <c r="T110" s="91"/>
      <c r="U110" s="108"/>
    </row>
    <row r="111" spans="2:21">
      <c r="B111" s="148" t="s">
        <v>53</v>
      </c>
      <c r="C111" s="89">
        <f t="shared" ref="C111:U111" si="15">C100*$W$65</f>
        <v>1379.9999999999993</v>
      </c>
      <c r="D111" s="89">
        <f t="shared" si="15"/>
        <v>1434.9999999999995</v>
      </c>
      <c r="E111" s="89">
        <f t="shared" si="15"/>
        <v>0</v>
      </c>
      <c r="F111" s="89">
        <f t="shared" si="15"/>
        <v>0</v>
      </c>
      <c r="G111" s="89">
        <f t="shared" si="15"/>
        <v>0</v>
      </c>
      <c r="H111" s="89">
        <f t="shared" si="15"/>
        <v>0</v>
      </c>
      <c r="I111" s="89">
        <f>I100*$W$65</f>
        <v>2366.5000000000005</v>
      </c>
      <c r="J111" s="89">
        <f t="shared" si="15"/>
        <v>0</v>
      </c>
      <c r="K111" s="89">
        <f t="shared" si="15"/>
        <v>0</v>
      </c>
      <c r="L111" s="89">
        <f t="shared" si="15"/>
        <v>0</v>
      </c>
      <c r="M111" s="89">
        <f t="shared" si="15"/>
        <v>0</v>
      </c>
      <c r="N111" s="89">
        <f t="shared" si="15"/>
        <v>0</v>
      </c>
      <c r="O111" s="89">
        <f t="shared" si="15"/>
        <v>0</v>
      </c>
      <c r="P111" s="89">
        <f t="shared" si="15"/>
        <v>0</v>
      </c>
      <c r="Q111" s="89">
        <f t="shared" si="15"/>
        <v>2503.5353443526178</v>
      </c>
      <c r="R111" s="89">
        <f t="shared" si="15"/>
        <v>2349.275617722682</v>
      </c>
      <c r="S111" s="89">
        <f t="shared" si="15"/>
        <v>2433.697217330579</v>
      </c>
      <c r="T111" s="89">
        <f t="shared" si="15"/>
        <v>2539.6114649461715</v>
      </c>
      <c r="U111" s="127">
        <f t="shared" si="15"/>
        <v>2676.6028661918654</v>
      </c>
    </row>
    <row r="112" spans="2:21">
      <c r="B112" s="148" t="s">
        <v>55</v>
      </c>
      <c r="C112" s="89">
        <v>48.8</v>
      </c>
      <c r="D112" s="89">
        <f>1.07*C112</f>
        <v>52.216000000000001</v>
      </c>
      <c r="E112" s="89">
        <f t="shared" ref="E112:P112" si="16">1.1*D112</f>
        <v>57.437600000000003</v>
      </c>
      <c r="F112" s="89">
        <f t="shared" si="16"/>
        <v>63.181360000000012</v>
      </c>
      <c r="G112" s="89">
        <f t="shared" si="16"/>
        <v>69.499496000000022</v>
      </c>
      <c r="H112" s="89">
        <f t="shared" si="16"/>
        <v>76.449445600000033</v>
      </c>
      <c r="I112" s="89">
        <f>1.07*D112</f>
        <v>55.871120000000005</v>
      </c>
      <c r="J112" s="89">
        <f t="shared" si="16"/>
        <v>61.45823200000001</v>
      </c>
      <c r="K112" s="89">
        <f t="shared" si="16"/>
        <v>67.604055200000019</v>
      </c>
      <c r="L112" s="89">
        <f t="shared" si="16"/>
        <v>74.364460720000025</v>
      </c>
      <c r="M112" s="89">
        <f t="shared" si="16"/>
        <v>81.800906792000035</v>
      </c>
      <c r="N112" s="89">
        <f t="shared" si="16"/>
        <v>89.980997471200041</v>
      </c>
      <c r="O112" s="89">
        <f t="shared" si="16"/>
        <v>98.979097218320049</v>
      </c>
      <c r="P112" s="89">
        <f t="shared" si="16"/>
        <v>108.87700694015206</v>
      </c>
      <c r="Q112" s="89">
        <f>1.07*I112</f>
        <v>59.78209840000001</v>
      </c>
      <c r="R112" s="89">
        <f>1.07*Q112</f>
        <v>63.966845288000016</v>
      </c>
      <c r="S112" s="89">
        <f t="shared" ref="S112:U112" si="17">1.07*R112</f>
        <v>68.444524458160018</v>
      </c>
      <c r="T112" s="89">
        <f t="shared" si="17"/>
        <v>73.235641170231219</v>
      </c>
      <c r="U112" s="127">
        <f t="shared" si="17"/>
        <v>78.362136052147406</v>
      </c>
    </row>
    <row r="113" spans="2:22">
      <c r="B113" s="148" t="s">
        <v>119</v>
      </c>
      <c r="C113" s="91"/>
      <c r="D113" s="91"/>
      <c r="E113" s="91"/>
      <c r="F113" s="91"/>
      <c r="G113" s="91"/>
      <c r="H113" s="91"/>
      <c r="I113" s="91"/>
      <c r="J113" s="90"/>
      <c r="K113" s="90"/>
      <c r="L113" s="90"/>
      <c r="M113" s="90"/>
      <c r="N113" s="90"/>
      <c r="O113" s="90"/>
      <c r="P113" s="90"/>
      <c r="Q113" s="129">
        <v>16.399999999999999</v>
      </c>
      <c r="R113" s="91">
        <v>16.399999999999999</v>
      </c>
      <c r="S113" s="130">
        <f>16.4</f>
        <v>16.399999999999999</v>
      </c>
      <c r="T113" s="130">
        <f t="shared" ref="T113:U113" si="18">S113*(1-0.05)</f>
        <v>15.579999999999998</v>
      </c>
      <c r="U113" s="131">
        <f t="shared" si="18"/>
        <v>14.800999999999998</v>
      </c>
      <c r="V113" s="152" t="s">
        <v>124</v>
      </c>
    </row>
    <row r="114" spans="2:22">
      <c r="B114" s="148" t="s">
        <v>57</v>
      </c>
      <c r="C114" s="91"/>
      <c r="D114" s="91"/>
      <c r="E114" s="91"/>
      <c r="F114" s="91"/>
      <c r="G114" s="91"/>
      <c r="H114" s="91"/>
      <c r="I114" s="91"/>
      <c r="J114" s="90"/>
      <c r="K114" s="90"/>
      <c r="L114" s="90"/>
      <c r="M114" s="90"/>
      <c r="N114" s="90"/>
      <c r="O114" s="90"/>
      <c r="P114" s="90"/>
      <c r="Q114" s="89">
        <f>Q111/Q113</f>
        <v>152.65459416784256</v>
      </c>
      <c r="R114" s="89">
        <f t="shared" ref="R114:U114" si="19">R111/R113</f>
        <v>143.24851327577329</v>
      </c>
      <c r="S114" s="89">
        <f t="shared" si="19"/>
        <v>148.39617178844995</v>
      </c>
      <c r="T114" s="89">
        <f t="shared" si="19"/>
        <v>163.00458696702</v>
      </c>
      <c r="U114" s="127">
        <f t="shared" si="19"/>
        <v>180.83932613957609</v>
      </c>
    </row>
    <row r="115" spans="2:22">
      <c r="B115" s="148" t="s">
        <v>60</v>
      </c>
      <c r="C115" s="91"/>
      <c r="D115" s="91"/>
      <c r="E115" s="91"/>
      <c r="F115" s="91"/>
      <c r="G115" s="91"/>
      <c r="H115" s="91"/>
      <c r="I115" s="91"/>
      <c r="J115" s="90"/>
      <c r="K115" s="90"/>
      <c r="L115" s="90"/>
      <c r="M115" s="90"/>
      <c r="N115" s="90"/>
      <c r="O115" s="90"/>
      <c r="P115" s="90"/>
      <c r="Q115" s="89">
        <f>(PV($W$66,3,,T111)*-1)</f>
        <v>1669.8357622724893</v>
      </c>
      <c r="R115" s="89"/>
      <c r="S115" s="89"/>
      <c r="T115" s="89"/>
      <c r="U115" s="127"/>
    </row>
    <row r="116" spans="2:22">
      <c r="B116" s="148" t="s">
        <v>61</v>
      </c>
      <c r="C116" s="91"/>
      <c r="D116" s="91"/>
      <c r="E116" s="91"/>
      <c r="F116" s="91"/>
      <c r="G116" s="91"/>
      <c r="H116" s="91"/>
      <c r="I116" s="91"/>
      <c r="J116" s="90"/>
      <c r="K116" s="90"/>
      <c r="L116" s="90"/>
      <c r="M116" s="90"/>
      <c r="N116" s="90"/>
      <c r="O116" s="90"/>
      <c r="P116" s="90"/>
      <c r="Q116" s="89">
        <f>(PV($W$66,3,,T112)*-1)</f>
        <v>48.153622861991444</v>
      </c>
      <c r="R116" s="91"/>
      <c r="S116" s="91"/>
      <c r="T116" s="91"/>
      <c r="U116" s="108"/>
    </row>
    <row r="117" spans="2:22">
      <c r="B117" s="148" t="s">
        <v>63</v>
      </c>
      <c r="C117" s="91"/>
      <c r="D117" s="91"/>
      <c r="E117" s="91"/>
      <c r="F117" s="91"/>
      <c r="G117" s="91"/>
      <c r="H117" s="91"/>
      <c r="I117" s="91"/>
      <c r="J117" s="90"/>
      <c r="K117" s="90"/>
      <c r="L117" s="90"/>
      <c r="M117" s="90"/>
      <c r="N117" s="90"/>
      <c r="O117" s="90"/>
      <c r="P117" s="90"/>
      <c r="Q117" s="89">
        <f>Q116+Q115</f>
        <v>1717.9893851344807</v>
      </c>
      <c r="R117" s="91"/>
      <c r="S117" s="91"/>
      <c r="T117" s="91"/>
      <c r="U117" s="108"/>
    </row>
    <row r="118" spans="2:22">
      <c r="B118" s="149" t="s">
        <v>64</v>
      </c>
      <c r="C118" s="114"/>
      <c r="D118" s="114"/>
      <c r="E118" s="114"/>
      <c r="F118" s="114"/>
      <c r="G118" s="114"/>
      <c r="H118" s="114"/>
      <c r="I118" s="114"/>
      <c r="J118" s="115"/>
      <c r="K118" s="115"/>
      <c r="L118" s="115"/>
      <c r="M118" s="115"/>
      <c r="N118" s="115"/>
      <c r="O118" s="115"/>
      <c r="P118" s="115"/>
      <c r="Q118" s="117">
        <f>Q117/Q113</f>
        <v>104.7554503130781</v>
      </c>
      <c r="R118" s="114"/>
      <c r="S118" s="114"/>
      <c r="T118" s="114"/>
      <c r="U118" s="116"/>
    </row>
    <row r="119" spans="2:22">
      <c r="K119" s="83"/>
      <c r="L119" s="83"/>
      <c r="M119" s="83"/>
      <c r="N119" s="83"/>
      <c r="O119" s="83"/>
      <c r="P119" s="83"/>
      <c r="Q119" s="83"/>
    </row>
    <row r="120" spans="2:22">
      <c r="K120" s="83"/>
      <c r="L120" s="83"/>
      <c r="M120" s="83"/>
      <c r="N120" s="83"/>
      <c r="O120" s="83"/>
      <c r="P120" s="83"/>
      <c r="Q120" s="83"/>
    </row>
    <row r="121" spans="2:22">
      <c r="M121" s="83"/>
      <c r="N121" s="83"/>
      <c r="O121" s="83"/>
      <c r="P121" s="83"/>
      <c r="Q121" s="83"/>
    </row>
    <row r="127" spans="2:22">
      <c r="B127" s="153" t="s">
        <v>88</v>
      </c>
      <c r="C127" s="83"/>
      <c r="D127" s="83"/>
      <c r="E127" s="83"/>
      <c r="F127" s="83"/>
      <c r="G127" s="83"/>
      <c r="H127" s="83"/>
      <c r="I127" s="83"/>
    </row>
    <row r="128" spans="2:22">
      <c r="B128" s="132" t="s">
        <v>75</v>
      </c>
      <c r="C128" s="25">
        <v>116.9</v>
      </c>
      <c r="D128" s="25">
        <v>124.6</v>
      </c>
      <c r="E128" s="102"/>
      <c r="F128" s="102"/>
      <c r="G128" s="102"/>
      <c r="H128" s="102"/>
      <c r="I128" s="154">
        <v>153.30000000000001</v>
      </c>
      <c r="J128" s="152" t="s">
        <v>127</v>
      </c>
    </row>
    <row r="129" spans="2:9">
      <c r="B129" s="107" t="s">
        <v>17</v>
      </c>
      <c r="C129" s="133"/>
      <c r="D129" s="92">
        <f xml:space="preserve"> (D128 - C128)/C128</f>
        <v>6.5868263473053787E-2</v>
      </c>
      <c r="E129" s="90"/>
      <c r="F129" s="90"/>
      <c r="G129" s="90"/>
      <c r="H129" s="90"/>
      <c r="I129" s="155">
        <f xml:space="preserve"> (I128 - D128)/D128</f>
        <v>0.23033707865168554</v>
      </c>
    </row>
    <row r="130" spans="2:9">
      <c r="B130" s="107" t="s">
        <v>71</v>
      </c>
      <c r="C130" s="133"/>
      <c r="D130" s="133"/>
      <c r="E130" s="90"/>
      <c r="F130" s="90"/>
      <c r="G130" s="90"/>
      <c r="H130" s="90"/>
      <c r="I130" s="156"/>
    </row>
    <row r="131" spans="2:9">
      <c r="B131" s="107" t="s">
        <v>76</v>
      </c>
      <c r="C131" s="133">
        <v>60.3</v>
      </c>
      <c r="D131" s="133">
        <v>68.599999999999994</v>
      </c>
      <c r="E131" s="90"/>
      <c r="F131" s="90"/>
      <c r="G131" s="90"/>
      <c r="H131" s="90"/>
      <c r="I131" s="156">
        <v>89.3</v>
      </c>
    </row>
    <row r="132" spans="2:9">
      <c r="B132" s="107" t="s">
        <v>17</v>
      </c>
      <c r="C132" s="133"/>
      <c r="D132" s="92">
        <f xml:space="preserve"> (D131 - C131)/C131</f>
        <v>0.13764510779436148</v>
      </c>
      <c r="E132" s="90"/>
      <c r="F132" s="90"/>
      <c r="G132" s="90"/>
      <c r="H132" s="90"/>
      <c r="I132" s="155">
        <f xml:space="preserve"> (I131 - D131)/D131</f>
        <v>0.30174927113702632</v>
      </c>
    </row>
    <row r="133" spans="2:9">
      <c r="B133" s="107" t="s">
        <v>71</v>
      </c>
      <c r="C133" s="133"/>
      <c r="D133" s="133"/>
      <c r="E133" s="91"/>
      <c r="F133" s="91"/>
      <c r="G133" s="91"/>
      <c r="H133" s="91"/>
      <c r="I133" s="156"/>
    </row>
    <row r="134" spans="2:9">
      <c r="B134" s="107" t="s">
        <v>77</v>
      </c>
      <c r="C134" s="133">
        <v>43.7</v>
      </c>
      <c r="D134" s="133">
        <v>40.299999999999997</v>
      </c>
      <c r="E134" s="91"/>
      <c r="F134" s="91"/>
      <c r="G134" s="91"/>
      <c r="H134" s="91"/>
      <c r="I134" s="156">
        <v>68.400000000000006</v>
      </c>
    </row>
    <row r="135" spans="2:9">
      <c r="B135" s="107" t="s">
        <v>17</v>
      </c>
      <c r="C135" s="133"/>
      <c r="D135" s="92">
        <f xml:space="preserve"> (D134 - C134)/C134</f>
        <v>-7.7803203661327355E-2</v>
      </c>
      <c r="E135" s="91"/>
      <c r="F135" s="91"/>
      <c r="G135" s="91"/>
      <c r="H135" s="91"/>
      <c r="I135" s="155">
        <f xml:space="preserve"> (I134 - D134)/D134</f>
        <v>0.6972704714640201</v>
      </c>
    </row>
    <row r="136" spans="2:9">
      <c r="B136" s="107" t="s">
        <v>71</v>
      </c>
      <c r="C136" s="133"/>
      <c r="D136" s="133"/>
      <c r="E136" s="91"/>
      <c r="F136" s="91"/>
      <c r="G136" s="91"/>
      <c r="H136" s="91"/>
      <c r="I136" s="156"/>
    </row>
    <row r="137" spans="2:9">
      <c r="B137" s="107" t="s">
        <v>78</v>
      </c>
      <c r="C137" s="133">
        <v>21.5</v>
      </c>
      <c r="D137" s="133">
        <v>21.4</v>
      </c>
      <c r="E137" s="91"/>
      <c r="F137" s="91"/>
      <c r="G137" s="91"/>
      <c r="H137" s="91"/>
      <c r="I137" s="156">
        <v>28.5</v>
      </c>
    </row>
    <row r="138" spans="2:9">
      <c r="B138" s="107" t="s">
        <v>17</v>
      </c>
      <c r="C138" s="133"/>
      <c r="D138" s="92">
        <f xml:space="preserve"> (D137 - C137)/C137</f>
        <v>-4.6511627906977403E-3</v>
      </c>
      <c r="E138" s="91"/>
      <c r="F138" s="91"/>
      <c r="G138" s="91"/>
      <c r="H138" s="91"/>
      <c r="I138" s="155">
        <f xml:space="preserve"> (I137 - D137)/D137</f>
        <v>0.33177570093457953</v>
      </c>
    </row>
    <row r="139" spans="2:9">
      <c r="B139" s="107" t="s">
        <v>71</v>
      </c>
      <c r="C139" s="133"/>
      <c r="D139" s="133"/>
      <c r="E139" s="91"/>
      <c r="F139" s="91"/>
      <c r="G139" s="91"/>
      <c r="H139" s="91"/>
      <c r="I139" s="156"/>
    </row>
    <row r="140" spans="2:9">
      <c r="B140" s="107" t="s">
        <v>90</v>
      </c>
      <c r="C140" s="133">
        <v>17.8</v>
      </c>
      <c r="D140" s="133">
        <v>19.600000000000001</v>
      </c>
      <c r="E140" s="91"/>
      <c r="F140" s="91"/>
      <c r="G140" s="91"/>
      <c r="H140" s="91"/>
      <c r="I140" s="156">
        <v>26.4</v>
      </c>
    </row>
    <row r="141" spans="2:9">
      <c r="B141" s="107" t="s">
        <v>17</v>
      </c>
      <c r="C141" s="133"/>
      <c r="D141" s="92">
        <f xml:space="preserve"> (D140 - C140)/C140</f>
        <v>0.10112359550561802</v>
      </c>
      <c r="E141" s="91"/>
      <c r="F141" s="91"/>
      <c r="G141" s="91"/>
      <c r="H141" s="91"/>
      <c r="I141" s="155">
        <f xml:space="preserve"> (I140 - D140)/D140</f>
        <v>0.34693877551020391</v>
      </c>
    </row>
    <row r="142" spans="2:9">
      <c r="B142" s="134" t="s">
        <v>71</v>
      </c>
      <c r="C142" s="114"/>
      <c r="D142" s="114"/>
      <c r="E142" s="114"/>
      <c r="F142" s="114"/>
      <c r="G142" s="114"/>
      <c r="H142" s="114"/>
      <c r="I142" s="116"/>
    </row>
    <row r="143" spans="2:9">
      <c r="B143" s="87"/>
    </row>
    <row r="147" spans="3:9">
      <c r="C147" s="31"/>
      <c r="I147" s="31"/>
    </row>
  </sheetData>
  <pageMargins left="0.7" right="0.7" top="0.75" bottom="0.75" header="0.3" footer="0.3"/>
  <ignoredErrors>
    <ignoredError sqref="H28 H25 M5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2D2-0C98-3A4B-A2DF-3374752AD328}">
  <dimension ref="B1:AT1035"/>
  <sheetViews>
    <sheetView showGridLines="0" topLeftCell="J44" zoomScale="138" zoomScaleNormal="150" workbookViewId="0">
      <selection activeCell="S62" sqref="S62"/>
    </sheetView>
  </sheetViews>
  <sheetFormatPr baseColWidth="10" defaultColWidth="14.33203125" defaultRowHeight="15.75" customHeight="1"/>
  <cols>
    <col min="1" max="1" width="14.33203125" style="1"/>
    <col min="2" max="2" width="33.33203125" style="1" customWidth="1"/>
    <col min="3" max="3" width="14.33203125" style="1"/>
    <col min="4" max="4" width="4.6640625" style="1" customWidth="1"/>
    <col min="5" max="5" width="21.6640625" style="1" customWidth="1"/>
    <col min="6" max="27" width="8.83203125" style="1" customWidth="1"/>
    <col min="28" max="28" width="2.83203125" style="1" customWidth="1"/>
    <col min="29" max="29" width="10.33203125" style="1" customWidth="1"/>
    <col min="30" max="30" width="15.33203125" style="1" customWidth="1"/>
    <col min="31" max="31" width="1" style="1" customWidth="1"/>
    <col min="32" max="32" width="1.33203125" style="1" customWidth="1"/>
    <col min="33" max="33" width="9.83203125" style="1" customWidth="1"/>
    <col min="34" max="34" width="31.33203125" style="1" customWidth="1"/>
    <col min="35" max="37" width="9.83203125" style="1" customWidth="1"/>
    <col min="38" max="46" width="11.33203125" style="1" customWidth="1"/>
    <col min="47" max="16384" width="14.33203125" style="1"/>
  </cols>
  <sheetData>
    <row r="1" spans="2:46" ht="15.75" customHeight="1">
      <c r="D1" s="2"/>
      <c r="E1" s="3" t="s">
        <v>65</v>
      </c>
      <c r="I1" s="3" t="s">
        <v>0</v>
      </c>
      <c r="J1" s="3"/>
      <c r="K1" s="3"/>
      <c r="L1" s="3"/>
      <c r="M1" s="3"/>
      <c r="N1" s="4">
        <v>91.3</v>
      </c>
      <c r="O1" s="4"/>
      <c r="P1" s="4"/>
      <c r="Q1" s="4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2:46" ht="15.75" customHeight="1">
      <c r="D2" s="2"/>
      <c r="E2" s="3" t="s">
        <v>66</v>
      </c>
      <c r="H2" s="2"/>
      <c r="I2" s="3" t="s">
        <v>1</v>
      </c>
      <c r="J2" s="3"/>
      <c r="K2" s="3"/>
      <c r="L2" s="3"/>
      <c r="M2" s="3"/>
      <c r="N2" s="4">
        <f>AC62</f>
        <v>24.349922515523694</v>
      </c>
      <c r="O2" s="4"/>
      <c r="P2" s="4"/>
      <c r="Q2" s="4"/>
      <c r="R2" s="4"/>
      <c r="S2" s="2"/>
      <c r="T2" s="2"/>
      <c r="U2" s="2"/>
      <c r="V2" s="2"/>
      <c r="W2" s="2"/>
      <c r="X2" s="2"/>
      <c r="Y2" s="2"/>
      <c r="Z2" s="2"/>
      <c r="AA2" s="2"/>
      <c r="AD2" s="2"/>
      <c r="AE2" s="2"/>
      <c r="AF2" s="2"/>
      <c r="AG2" s="2"/>
      <c r="AH2" s="157"/>
      <c r="AI2" s="158"/>
      <c r="AJ2" s="6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2:46" ht="14.25" customHeight="1">
      <c r="D3" s="2"/>
      <c r="E3" s="7">
        <f ca="1">TODAY()</f>
        <v>44773</v>
      </c>
      <c r="H3" s="2"/>
      <c r="I3" s="3" t="s">
        <v>2</v>
      </c>
      <c r="J3" s="3"/>
      <c r="K3" s="3"/>
      <c r="L3" s="3"/>
      <c r="M3" s="3"/>
      <c r="N3" s="8">
        <f>AC63</f>
        <v>-0.73329767233818521</v>
      </c>
      <c r="O3" s="8"/>
      <c r="P3" s="8"/>
      <c r="Q3" s="8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  <c r="AI3" s="9"/>
      <c r="AJ3" s="10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2:46" ht="5.25" customHeight="1">
      <c r="D4" s="2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2:46" ht="15.75" customHeight="1">
      <c r="B5" s="1" t="s">
        <v>3</v>
      </c>
      <c r="D5" s="2"/>
      <c r="E5" s="11" t="s">
        <v>67</v>
      </c>
      <c r="F5" s="12"/>
      <c r="G5" s="12"/>
      <c r="H5" s="12">
        <v>2019</v>
      </c>
      <c r="I5" s="12">
        <v>2020</v>
      </c>
      <c r="J5" s="12" t="s">
        <v>4</v>
      </c>
      <c r="K5" s="12" t="s">
        <v>5</v>
      </c>
      <c r="L5" s="12" t="s">
        <v>6</v>
      </c>
      <c r="M5" s="12" t="s">
        <v>7</v>
      </c>
      <c r="N5" s="12">
        <v>2021</v>
      </c>
      <c r="O5" s="12" t="s">
        <v>4</v>
      </c>
      <c r="P5" s="12" t="s">
        <v>5</v>
      </c>
      <c r="Q5" s="12" t="s">
        <v>6</v>
      </c>
      <c r="R5" s="12" t="s">
        <v>7</v>
      </c>
      <c r="S5" s="12">
        <v>2022</v>
      </c>
      <c r="T5" s="12" t="s">
        <v>4</v>
      </c>
      <c r="U5" s="12" t="s">
        <v>5</v>
      </c>
      <c r="V5" s="12" t="s">
        <v>6</v>
      </c>
      <c r="W5" s="12" t="s">
        <v>7</v>
      </c>
      <c r="X5" s="12">
        <v>2023</v>
      </c>
      <c r="Y5" s="12">
        <v>2024</v>
      </c>
      <c r="Z5" s="12">
        <v>2025</v>
      </c>
      <c r="AA5" s="12">
        <v>2026</v>
      </c>
      <c r="AB5" s="12"/>
      <c r="AC5" s="13"/>
      <c r="AD5" s="13"/>
      <c r="AE5" s="14"/>
      <c r="AF5" s="2"/>
      <c r="AG5" s="2"/>
      <c r="AH5" s="5"/>
      <c r="AI5" s="9"/>
      <c r="AJ5" s="6"/>
      <c r="AK5" s="5"/>
      <c r="AL5" s="15"/>
      <c r="AM5" s="16"/>
      <c r="AN5" s="15"/>
      <c r="AO5" s="15"/>
      <c r="AP5" s="15"/>
      <c r="AQ5" s="15"/>
      <c r="AR5" s="15"/>
      <c r="AS5" s="15"/>
      <c r="AT5" s="15"/>
    </row>
    <row r="6" spans="2:46" ht="15.75" customHeight="1">
      <c r="D6" s="2"/>
      <c r="E6" s="17" t="s">
        <v>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  <c r="AD6" s="19"/>
      <c r="AE6" s="20"/>
      <c r="AF6" s="2"/>
      <c r="AG6" s="2"/>
      <c r="AH6" s="5"/>
      <c r="AI6" s="9"/>
      <c r="AJ6" s="6"/>
      <c r="AK6" s="5"/>
      <c r="AL6" s="15"/>
      <c r="AM6" s="16"/>
      <c r="AN6" s="15"/>
      <c r="AO6" s="15"/>
      <c r="AP6" s="15"/>
      <c r="AQ6" s="15"/>
      <c r="AR6" s="15"/>
      <c r="AS6" s="15"/>
      <c r="AT6" s="15"/>
    </row>
    <row r="7" spans="2:46" ht="15.75" customHeight="1">
      <c r="D7" s="2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9"/>
      <c r="AD7" s="19"/>
      <c r="AE7" s="20"/>
      <c r="AF7" s="2"/>
      <c r="AG7" s="2"/>
      <c r="AH7" s="5"/>
      <c r="AI7" s="9"/>
      <c r="AJ7" s="6"/>
      <c r="AK7" s="5"/>
      <c r="AL7" s="15"/>
      <c r="AM7" s="16"/>
      <c r="AN7" s="15"/>
      <c r="AO7" s="15"/>
      <c r="AP7" s="15"/>
      <c r="AQ7" s="15"/>
      <c r="AR7" s="15"/>
      <c r="AS7" s="15"/>
      <c r="AT7" s="15"/>
    </row>
    <row r="8" spans="2:46" ht="15.75" customHeight="1">
      <c r="D8" s="2"/>
      <c r="E8" s="17" t="s">
        <v>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9"/>
      <c r="AD8" s="19"/>
      <c r="AE8" s="20"/>
      <c r="AF8" s="2"/>
      <c r="AG8" s="2"/>
      <c r="AH8" s="5"/>
      <c r="AI8" s="9"/>
      <c r="AJ8" s="6"/>
      <c r="AK8" s="5"/>
      <c r="AL8" s="15"/>
      <c r="AM8" s="16"/>
      <c r="AN8" s="15"/>
      <c r="AO8" s="15"/>
      <c r="AP8" s="15"/>
      <c r="AQ8" s="15"/>
      <c r="AR8" s="15"/>
      <c r="AS8" s="15"/>
      <c r="AT8" s="15"/>
    </row>
    <row r="9" spans="2:46" ht="15.75" customHeight="1">
      <c r="D9" s="2"/>
      <c r="E9" s="17" t="s">
        <v>10</v>
      </c>
      <c r="F9" s="21">
        <v>0.5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9"/>
      <c r="AD9" s="19"/>
      <c r="AE9" s="20"/>
      <c r="AF9" s="2"/>
      <c r="AG9" s="2"/>
      <c r="AH9" s="5"/>
      <c r="AI9" s="9"/>
      <c r="AJ9" s="6"/>
      <c r="AK9" s="5"/>
      <c r="AL9" s="15"/>
      <c r="AM9" s="16"/>
      <c r="AN9" s="15"/>
      <c r="AO9" s="15"/>
      <c r="AP9" s="15"/>
      <c r="AQ9" s="15"/>
      <c r="AR9" s="15"/>
      <c r="AS9" s="15"/>
      <c r="AT9" s="15"/>
    </row>
    <row r="10" spans="2:46" ht="15.75" customHeight="1">
      <c r="D10" s="2"/>
      <c r="E10" s="17" t="s">
        <v>11</v>
      </c>
      <c r="F10" s="21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9"/>
      <c r="AD10" s="19"/>
      <c r="AE10" s="20"/>
      <c r="AF10" s="2"/>
      <c r="AG10" s="2"/>
      <c r="AH10" s="5"/>
      <c r="AI10" s="9"/>
      <c r="AJ10" s="6"/>
      <c r="AK10" s="5"/>
      <c r="AL10" s="15"/>
      <c r="AM10" s="16"/>
      <c r="AN10" s="15"/>
      <c r="AO10" s="15"/>
      <c r="AP10" s="15"/>
      <c r="AQ10" s="15"/>
      <c r="AR10" s="15"/>
      <c r="AS10" s="15"/>
      <c r="AT10" s="15"/>
    </row>
    <row r="11" spans="2:46" ht="15.75" customHeight="1">
      <c r="D11" s="2"/>
      <c r="E11" s="17" t="s">
        <v>12</v>
      </c>
      <c r="F11" s="18"/>
      <c r="G11" s="18"/>
      <c r="H11" s="18"/>
      <c r="I11" s="18"/>
      <c r="J11" s="18"/>
      <c r="K11" s="18"/>
      <c r="L11" s="18"/>
      <c r="M11" s="18"/>
      <c r="N11" s="18"/>
      <c r="O11" s="18">
        <v>18</v>
      </c>
      <c r="P11" s="18">
        <v>20</v>
      </c>
      <c r="Q11" s="18">
        <v>22</v>
      </c>
      <c r="R11" s="18">
        <v>24</v>
      </c>
      <c r="S11" s="18"/>
      <c r="T11" s="18">
        <v>26</v>
      </c>
      <c r="U11" s="18">
        <v>28</v>
      </c>
      <c r="V11" s="18">
        <v>30</v>
      </c>
      <c r="W11" s="18">
        <v>32</v>
      </c>
      <c r="X11" s="18"/>
      <c r="Y11" s="18"/>
      <c r="Z11" s="18"/>
      <c r="AA11" s="18"/>
      <c r="AB11" s="18"/>
      <c r="AC11" s="19"/>
      <c r="AD11" s="19"/>
      <c r="AE11" s="20"/>
      <c r="AF11" s="2"/>
      <c r="AG11" s="2"/>
      <c r="AH11" s="5"/>
      <c r="AI11" s="9"/>
      <c r="AJ11" s="6"/>
      <c r="AK11" s="5"/>
      <c r="AL11" s="15"/>
      <c r="AM11" s="16"/>
      <c r="AN11" s="15"/>
      <c r="AO11" s="15"/>
      <c r="AP11" s="15"/>
      <c r="AQ11" s="15"/>
      <c r="AR11" s="15"/>
      <c r="AS11" s="15"/>
      <c r="AT11" s="15"/>
    </row>
    <row r="12" spans="2:46" ht="15.75" customHeight="1">
      <c r="D12" s="2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>
        <f>P11-O11</f>
        <v>2</v>
      </c>
      <c r="Q12" s="18">
        <f t="shared" ref="Q12:R12" si="0">Q11-P11</f>
        <v>2</v>
      </c>
      <c r="R12" s="18">
        <f t="shared" si="0"/>
        <v>2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20"/>
      <c r="AF12" s="2"/>
      <c r="AG12" s="2"/>
      <c r="AH12" s="5"/>
      <c r="AI12" s="9"/>
      <c r="AJ12" s="6"/>
      <c r="AK12" s="5"/>
      <c r="AL12" s="15"/>
      <c r="AM12" s="16"/>
      <c r="AN12" s="15"/>
      <c r="AO12" s="15"/>
      <c r="AP12" s="15"/>
      <c r="AQ12" s="15"/>
      <c r="AR12" s="15"/>
      <c r="AS12" s="15"/>
      <c r="AT12" s="15"/>
    </row>
    <row r="13" spans="2:46" ht="15.75" customHeight="1">
      <c r="D13" s="2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2">
        <f>(Q11-Q12)*Q18*F10</f>
        <v>40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9"/>
      <c r="AD13" s="19"/>
      <c r="AE13" s="20"/>
      <c r="AF13" s="2"/>
      <c r="AG13" s="2"/>
      <c r="AH13" s="5"/>
      <c r="AI13" s="9"/>
      <c r="AJ13" s="6"/>
      <c r="AK13" s="5"/>
      <c r="AL13" s="15"/>
      <c r="AM13" s="16"/>
      <c r="AN13" s="15"/>
      <c r="AO13" s="15"/>
      <c r="AP13" s="15"/>
      <c r="AQ13" s="15"/>
      <c r="AR13" s="15"/>
      <c r="AS13" s="15"/>
      <c r="AT13" s="15"/>
    </row>
    <row r="14" spans="2:46" ht="15.75" customHeight="1">
      <c r="D14" s="2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2">
        <f>Q12*Q18*F9</f>
        <v>2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9"/>
      <c r="AD14" s="19"/>
      <c r="AE14" s="20"/>
      <c r="AF14" s="2"/>
      <c r="AG14" s="2"/>
      <c r="AH14" s="5"/>
      <c r="AI14" s="9"/>
      <c r="AJ14" s="6"/>
      <c r="AK14" s="5"/>
      <c r="AL14" s="15"/>
      <c r="AM14" s="16"/>
      <c r="AN14" s="15"/>
      <c r="AO14" s="15"/>
      <c r="AP14" s="15"/>
      <c r="AQ14" s="15"/>
      <c r="AR14" s="15"/>
      <c r="AS14" s="15"/>
      <c r="AT14" s="15"/>
    </row>
    <row r="15" spans="2:46" ht="15.75" customHeight="1">
      <c r="D15" s="2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9"/>
      <c r="AD15" s="19"/>
      <c r="AE15" s="20"/>
      <c r="AF15" s="2"/>
      <c r="AG15" s="2"/>
      <c r="AH15" s="5"/>
      <c r="AI15" s="9"/>
      <c r="AJ15" s="6"/>
      <c r="AK15" s="5"/>
      <c r="AL15" s="15"/>
      <c r="AM15" s="16"/>
      <c r="AN15" s="15"/>
      <c r="AO15" s="15"/>
      <c r="AP15" s="15"/>
      <c r="AQ15" s="15"/>
      <c r="AR15" s="15"/>
      <c r="AS15" s="15"/>
      <c r="AT15" s="15"/>
    </row>
    <row r="16" spans="2:46" ht="15.75" customHeight="1">
      <c r="D16" s="2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9"/>
      <c r="AD16" s="19"/>
      <c r="AE16" s="20"/>
      <c r="AF16" s="2"/>
      <c r="AG16" s="2"/>
      <c r="AH16" s="5"/>
      <c r="AI16" s="9"/>
      <c r="AJ16" s="6"/>
      <c r="AK16" s="5"/>
      <c r="AL16" s="15"/>
      <c r="AM16" s="16"/>
      <c r="AN16" s="15"/>
      <c r="AO16" s="15"/>
      <c r="AP16" s="15"/>
      <c r="AQ16" s="15"/>
      <c r="AR16" s="15"/>
      <c r="AS16" s="15"/>
      <c r="AT16" s="15"/>
    </row>
    <row r="17" spans="2:46" ht="15.75" customHeight="1">
      <c r="D17" s="2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9"/>
      <c r="AD17" s="19"/>
      <c r="AE17" s="20"/>
      <c r="AF17" s="2"/>
      <c r="AG17" s="2"/>
      <c r="AH17" s="5"/>
      <c r="AI17" s="9"/>
      <c r="AJ17" s="6"/>
      <c r="AK17" s="5"/>
      <c r="AL17" s="15"/>
      <c r="AM17" s="16"/>
      <c r="AN17" s="15"/>
      <c r="AO17" s="15"/>
      <c r="AP17" s="15"/>
      <c r="AQ17" s="15"/>
      <c r="AR17" s="15"/>
      <c r="AS17" s="15"/>
      <c r="AT17" s="15"/>
    </row>
    <row r="18" spans="2:46" ht="15.75" customHeight="1">
      <c r="D18" s="2"/>
      <c r="E18" s="17" t="s">
        <v>13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2">
        <f>Q20/Q11</f>
        <v>2</v>
      </c>
      <c r="R18" s="22">
        <f>R20/R11</f>
        <v>2.0833333333333335</v>
      </c>
      <c r="S18" s="18"/>
      <c r="T18" s="22">
        <v>2.1</v>
      </c>
      <c r="U18" s="22">
        <v>2</v>
      </c>
      <c r="V18" s="22">
        <v>2</v>
      </c>
      <c r="W18" s="22">
        <v>2.4</v>
      </c>
      <c r="X18" s="18"/>
      <c r="Y18" s="18"/>
      <c r="Z18" s="18"/>
      <c r="AA18" s="18"/>
      <c r="AB18" s="18"/>
      <c r="AC18" s="19"/>
      <c r="AD18" s="19"/>
      <c r="AE18" s="20"/>
      <c r="AF18" s="2"/>
      <c r="AG18" s="2"/>
      <c r="AH18" s="5"/>
      <c r="AI18" s="9"/>
      <c r="AJ18" s="6"/>
      <c r="AK18" s="5"/>
      <c r="AL18" s="15"/>
      <c r="AM18" s="16"/>
      <c r="AN18" s="15"/>
      <c r="AO18" s="15"/>
      <c r="AP18" s="15"/>
      <c r="AQ18" s="15"/>
      <c r="AR18" s="15"/>
      <c r="AS18" s="15"/>
      <c r="AT18" s="15"/>
    </row>
    <row r="19" spans="2:46" ht="15.75" customHeight="1">
      <c r="D19" s="2"/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2">
        <f>Q11*Q18</f>
        <v>44</v>
      </c>
      <c r="R19" s="22">
        <f>R11*R18</f>
        <v>50</v>
      </c>
      <c r="S19" s="18"/>
      <c r="T19" s="22">
        <f>T11*T18</f>
        <v>54.6</v>
      </c>
      <c r="U19" s="22">
        <f t="shared" ref="U19:W19" si="1">U11*U18</f>
        <v>56</v>
      </c>
      <c r="V19" s="22">
        <f t="shared" si="1"/>
        <v>60</v>
      </c>
      <c r="W19" s="22">
        <f t="shared" si="1"/>
        <v>76.8</v>
      </c>
      <c r="X19" s="18"/>
      <c r="Y19" s="18"/>
      <c r="Z19" s="18"/>
      <c r="AA19" s="18"/>
      <c r="AB19" s="18"/>
      <c r="AC19" s="19"/>
      <c r="AD19" s="19"/>
      <c r="AE19" s="20"/>
      <c r="AF19" s="2"/>
      <c r="AG19" s="2"/>
      <c r="AH19" s="5"/>
      <c r="AI19" s="9"/>
      <c r="AJ19" s="6"/>
      <c r="AK19" s="5"/>
      <c r="AL19" s="15"/>
      <c r="AM19" s="16"/>
      <c r="AN19" s="15"/>
      <c r="AO19" s="15"/>
      <c r="AP19" s="15"/>
      <c r="AQ19" s="15"/>
      <c r="AR19" s="15"/>
      <c r="AS19" s="15"/>
      <c r="AT19" s="15"/>
    </row>
    <row r="20" spans="2:46" ht="15.75" customHeight="1">
      <c r="B20" s="1" t="s">
        <v>14</v>
      </c>
      <c r="D20" s="2"/>
      <c r="E20" s="23" t="s">
        <v>15</v>
      </c>
      <c r="F20" s="24"/>
      <c r="G20" s="24"/>
      <c r="H20" s="25">
        <v>128.9</v>
      </c>
      <c r="I20" s="25">
        <v>118.4</v>
      </c>
      <c r="J20" s="25">
        <v>30.2</v>
      </c>
      <c r="K20" s="25">
        <v>33</v>
      </c>
      <c r="L20" s="25">
        <v>35.200000000000003</v>
      </c>
      <c r="M20" s="25">
        <f>N20-L20-K20-J20</f>
        <v>38.900000000000006</v>
      </c>
      <c r="N20" s="25">
        <v>137.30000000000001</v>
      </c>
      <c r="O20" s="25">
        <v>43</v>
      </c>
      <c r="P20" s="25">
        <v>41.7</v>
      </c>
      <c r="Q20" s="25">
        <v>44</v>
      </c>
      <c r="R20" s="25">
        <v>50</v>
      </c>
      <c r="S20" s="25">
        <f>SUM(O20:R20)</f>
        <v>178.7</v>
      </c>
      <c r="T20" s="25">
        <f>T19</f>
        <v>54.6</v>
      </c>
      <c r="U20" s="25">
        <f t="shared" ref="U20:W20" si="2">U19</f>
        <v>56</v>
      </c>
      <c r="V20" s="25">
        <f t="shared" si="2"/>
        <v>60</v>
      </c>
      <c r="W20" s="25">
        <f t="shared" si="2"/>
        <v>76.8</v>
      </c>
      <c r="X20" s="25">
        <f>SUM(T20:W20)</f>
        <v>247.39999999999998</v>
      </c>
      <c r="Y20" s="25"/>
      <c r="Z20" s="25"/>
      <c r="AA20" s="25"/>
      <c r="AB20" s="26"/>
      <c r="AC20" s="27"/>
      <c r="AD20" s="27"/>
      <c r="AE20" s="28"/>
      <c r="AF20" s="2"/>
      <c r="AG20" s="2"/>
      <c r="AH20" s="5"/>
      <c r="AI20" s="9"/>
      <c r="AJ20" s="6"/>
      <c r="AK20" s="5"/>
      <c r="AL20" s="15"/>
      <c r="AM20" s="16"/>
      <c r="AN20" s="15"/>
      <c r="AO20" s="15"/>
      <c r="AP20" s="15"/>
      <c r="AQ20" s="15"/>
      <c r="AR20" s="15"/>
      <c r="AS20" s="15"/>
      <c r="AT20" s="15"/>
    </row>
    <row r="21" spans="2:46" ht="15.75" customHeight="1">
      <c r="B21" s="1" t="s">
        <v>16</v>
      </c>
      <c r="D21" s="2"/>
      <c r="E21" s="29" t="s">
        <v>17</v>
      </c>
      <c r="F21" s="30"/>
      <c r="G21" s="30"/>
      <c r="H21" s="31"/>
      <c r="I21" s="32">
        <f>(I20-H20)/H20</f>
        <v>-8.1458494957331262E-2</v>
      </c>
      <c r="J21" s="32"/>
      <c r="K21" s="32"/>
      <c r="L21" s="32"/>
      <c r="M21" s="32"/>
      <c r="N21" s="32">
        <f>(N20-I20)/I20</f>
        <v>0.15962837837837843</v>
      </c>
      <c r="O21" s="33">
        <f>(O20-J20)/J20</f>
        <v>0.42384105960264906</v>
      </c>
      <c r="P21" s="33">
        <f t="shared" ref="P21:R21" si="3">(P20-K20)/K20</f>
        <v>0.26363636363636372</v>
      </c>
      <c r="Q21" s="33">
        <f t="shared" si="3"/>
        <v>0.24999999999999989</v>
      </c>
      <c r="R21" s="33">
        <f t="shared" si="3"/>
        <v>0.28534704370179931</v>
      </c>
      <c r="S21" s="18"/>
      <c r="T21" s="33">
        <f>(T20-O20)/O20</f>
        <v>0.26976744186046514</v>
      </c>
      <c r="U21" s="33">
        <f t="shared" ref="U21:W21" si="4">(U20-P20)/P20</f>
        <v>0.34292565947242198</v>
      </c>
      <c r="V21" s="33">
        <f t="shared" si="4"/>
        <v>0.36363636363636365</v>
      </c>
      <c r="W21" s="33">
        <f t="shared" si="4"/>
        <v>0.53599999999999992</v>
      </c>
      <c r="X21" s="18"/>
      <c r="Y21" s="18"/>
      <c r="Z21" s="18"/>
      <c r="AA21" s="18"/>
      <c r="AB21" s="18"/>
      <c r="AC21" s="19"/>
      <c r="AD21" s="19"/>
      <c r="AE21" s="20"/>
      <c r="AF21" s="2"/>
      <c r="AG21" s="2"/>
      <c r="AH21" s="5"/>
      <c r="AI21" s="9"/>
      <c r="AJ21" s="6"/>
      <c r="AK21" s="5"/>
      <c r="AL21" s="15"/>
      <c r="AM21" s="16"/>
      <c r="AN21" s="15"/>
      <c r="AO21" s="15"/>
      <c r="AP21" s="15"/>
      <c r="AQ21" s="15"/>
      <c r="AR21" s="15"/>
      <c r="AS21" s="15"/>
      <c r="AT21" s="15"/>
    </row>
    <row r="22" spans="2:46" ht="15.75" customHeight="1">
      <c r="D22" s="2"/>
      <c r="E22" s="29" t="s">
        <v>18</v>
      </c>
      <c r="F22" s="30"/>
      <c r="G22" s="30"/>
      <c r="H22" s="31"/>
      <c r="I22" s="32"/>
      <c r="J22" s="32"/>
      <c r="K22" s="32">
        <f>(K20-J20)/J20</f>
        <v>9.27152317880795E-2</v>
      </c>
      <c r="L22" s="32">
        <f t="shared" ref="L22:M22" si="5">(L20-K20)/K20</f>
        <v>6.6666666666666749E-2</v>
      </c>
      <c r="M22" s="32">
        <f t="shared" si="5"/>
        <v>0.10511363636363644</v>
      </c>
      <c r="N22" s="32"/>
      <c r="O22" s="33">
        <f>(O20-M20)/M20</f>
        <v>0.10539845758354739</v>
      </c>
      <c r="P22" s="32">
        <f>(P20-O20)/O20</f>
        <v>-3.0232558139534817E-2</v>
      </c>
      <c r="Q22" s="32">
        <f t="shared" ref="Q22:R22" si="6">(Q20-P20)/P20</f>
        <v>5.515587529976012E-2</v>
      </c>
      <c r="R22" s="32">
        <f t="shared" si="6"/>
        <v>0.13636363636363635</v>
      </c>
      <c r="S22" s="18"/>
      <c r="T22" s="33">
        <f>(T20-R20)/R20</f>
        <v>9.2000000000000026E-2</v>
      </c>
      <c r="U22" s="32">
        <f>(U20-T20)/T20</f>
        <v>2.5641025641025616E-2</v>
      </c>
      <c r="V22" s="32">
        <f t="shared" ref="V22:W22" si="7">(V20-U20)/U20</f>
        <v>7.1428571428571425E-2</v>
      </c>
      <c r="W22" s="32">
        <f t="shared" si="7"/>
        <v>0.27999999999999997</v>
      </c>
      <c r="X22" s="18"/>
      <c r="Y22" s="18"/>
      <c r="Z22" s="18"/>
      <c r="AA22" s="18"/>
      <c r="AB22" s="18"/>
      <c r="AC22" s="19"/>
      <c r="AD22" s="19"/>
      <c r="AE22" s="20"/>
      <c r="AF22" s="2"/>
      <c r="AG22" s="2"/>
      <c r="AH22" s="5"/>
      <c r="AI22" s="9"/>
      <c r="AJ22" s="6"/>
      <c r="AK22" s="5"/>
      <c r="AL22" s="15"/>
      <c r="AM22" s="16"/>
      <c r="AN22" s="15"/>
      <c r="AO22" s="15"/>
      <c r="AP22" s="15"/>
      <c r="AQ22" s="15"/>
      <c r="AR22" s="15"/>
      <c r="AS22" s="15"/>
      <c r="AT22" s="15"/>
    </row>
    <row r="23" spans="2:46" ht="15.75" customHeight="1">
      <c r="B23" s="1" t="s">
        <v>19</v>
      </c>
      <c r="D23" s="2"/>
      <c r="E23" s="29" t="s">
        <v>20</v>
      </c>
      <c r="F23" s="30"/>
      <c r="G23" s="30"/>
      <c r="H23" s="31">
        <v>40.299999999999997</v>
      </c>
      <c r="I23" s="31">
        <v>38.299999999999997</v>
      </c>
      <c r="J23" s="31">
        <v>10</v>
      </c>
      <c r="K23" s="31">
        <v>11.3</v>
      </c>
      <c r="L23" s="31">
        <v>12.3</v>
      </c>
      <c r="M23" s="25">
        <f>N23-L23-K23-J23</f>
        <v>12.400000000000002</v>
      </c>
      <c r="N23" s="31">
        <v>46</v>
      </c>
      <c r="O23" s="31">
        <v>12.9</v>
      </c>
      <c r="P23" s="31">
        <v>14</v>
      </c>
      <c r="Q23" s="31">
        <v>14.2</v>
      </c>
      <c r="R23" s="31"/>
      <c r="S23" s="18"/>
      <c r="T23" s="31">
        <f>T24*T20</f>
        <v>17.472000000000001</v>
      </c>
      <c r="U23" s="31">
        <f t="shared" ref="U23:W23" si="8">U24*U20</f>
        <v>17.920000000000002</v>
      </c>
      <c r="V23" s="31">
        <f t="shared" si="8"/>
        <v>19.2</v>
      </c>
      <c r="W23" s="31">
        <f t="shared" si="8"/>
        <v>24.576000000000001</v>
      </c>
      <c r="X23" s="18"/>
      <c r="Y23" s="18"/>
      <c r="Z23" s="18"/>
      <c r="AA23" s="18"/>
      <c r="AB23" s="18"/>
      <c r="AC23" s="19"/>
      <c r="AD23" s="19"/>
      <c r="AE23" s="20"/>
      <c r="AF23" s="2"/>
      <c r="AG23" s="2"/>
      <c r="AH23" s="5"/>
      <c r="AI23" s="9"/>
      <c r="AJ23" s="6"/>
      <c r="AK23" s="5"/>
      <c r="AL23" s="15"/>
      <c r="AM23" s="16"/>
      <c r="AN23" s="15"/>
      <c r="AO23" s="15"/>
      <c r="AP23" s="15"/>
      <c r="AQ23" s="15"/>
      <c r="AR23" s="15"/>
      <c r="AS23" s="15"/>
      <c r="AT23" s="15"/>
    </row>
    <row r="24" spans="2:46" ht="15.75" customHeight="1">
      <c r="D24" s="2"/>
      <c r="E24" s="34" t="s">
        <v>21</v>
      </c>
      <c r="F24" s="35"/>
      <c r="G24" s="35"/>
      <c r="H24" s="36">
        <f>H23/H20</f>
        <v>0.31264546159813805</v>
      </c>
      <c r="I24" s="36">
        <f t="shared" ref="I24:Q24" si="9">I23/I20</f>
        <v>0.32347972972972971</v>
      </c>
      <c r="J24" s="36">
        <f t="shared" si="9"/>
        <v>0.33112582781456956</v>
      </c>
      <c r="K24" s="36">
        <f t="shared" si="9"/>
        <v>0.34242424242424246</v>
      </c>
      <c r="L24" s="36">
        <f t="shared" si="9"/>
        <v>0.34943181818181818</v>
      </c>
      <c r="M24" s="36">
        <f t="shared" si="9"/>
        <v>0.31876606683804626</v>
      </c>
      <c r="N24" s="36">
        <f t="shared" si="9"/>
        <v>0.33503277494537509</v>
      </c>
      <c r="O24" s="36">
        <f t="shared" si="9"/>
        <v>0.3</v>
      </c>
      <c r="P24" s="36">
        <f t="shared" si="9"/>
        <v>0.33573141486810548</v>
      </c>
      <c r="Q24" s="36">
        <f t="shared" si="9"/>
        <v>0.3227272727272727</v>
      </c>
      <c r="R24" s="36"/>
      <c r="S24" s="37"/>
      <c r="T24" s="33">
        <v>0.32</v>
      </c>
      <c r="U24" s="33">
        <v>0.32</v>
      </c>
      <c r="V24" s="33">
        <v>0.32</v>
      </c>
      <c r="W24" s="33">
        <v>0.32</v>
      </c>
      <c r="X24" s="37"/>
      <c r="Y24" s="37"/>
      <c r="Z24" s="37"/>
      <c r="AA24" s="37"/>
      <c r="AB24" s="37"/>
      <c r="AC24" s="38"/>
      <c r="AD24" s="38"/>
      <c r="AE24" s="39"/>
      <c r="AF24" s="2"/>
      <c r="AG24" s="2"/>
      <c r="AH24" s="5"/>
      <c r="AI24" s="9"/>
      <c r="AJ24" s="6"/>
      <c r="AK24" s="5"/>
      <c r="AL24" s="15"/>
      <c r="AM24" s="16"/>
      <c r="AN24" s="15"/>
      <c r="AO24" s="15"/>
      <c r="AP24" s="15"/>
      <c r="AQ24" s="15"/>
      <c r="AR24" s="15"/>
      <c r="AS24" s="15"/>
      <c r="AT24" s="15"/>
    </row>
    <row r="25" spans="2:46" ht="15.75" customHeight="1">
      <c r="D25" s="2"/>
      <c r="E25" s="29" t="s">
        <v>22</v>
      </c>
      <c r="F25" s="30"/>
      <c r="G25" s="30"/>
      <c r="H25" s="31">
        <v>28</v>
      </c>
      <c r="I25" s="31">
        <v>29</v>
      </c>
      <c r="J25" s="31">
        <v>6.7</v>
      </c>
      <c r="K25" s="31">
        <v>6.7</v>
      </c>
      <c r="L25" s="31">
        <v>7.0780000000000003</v>
      </c>
      <c r="M25" s="25">
        <f>N25-L25-K25-J25</f>
        <v>8.8220000000000027</v>
      </c>
      <c r="N25" s="31">
        <v>29.3</v>
      </c>
      <c r="O25" s="31">
        <v>8.4</v>
      </c>
      <c r="P25" s="31">
        <v>9.1999999999999993</v>
      </c>
      <c r="Q25" s="31">
        <v>8.141</v>
      </c>
      <c r="R25" s="31">
        <v>9</v>
      </c>
      <c r="S25" s="25">
        <f>SUM(O25:R25)</f>
        <v>34.741</v>
      </c>
      <c r="T25" s="31">
        <v>9</v>
      </c>
      <c r="U25" s="31">
        <v>9</v>
      </c>
      <c r="V25" s="31">
        <v>9</v>
      </c>
      <c r="W25" s="31">
        <v>9</v>
      </c>
      <c r="X25" s="25">
        <f>SUM(T25:W25)</f>
        <v>36</v>
      </c>
      <c r="Y25" s="31"/>
      <c r="Z25" s="31"/>
      <c r="AA25" s="31"/>
      <c r="AB25" s="18"/>
      <c r="AC25" s="19"/>
      <c r="AD25" s="19"/>
      <c r="AE25" s="20"/>
      <c r="AF25" s="2"/>
      <c r="AG25" s="2"/>
      <c r="AH25" s="5"/>
      <c r="AI25" s="9"/>
      <c r="AJ25" s="6"/>
      <c r="AK25" s="5"/>
      <c r="AL25" s="15"/>
      <c r="AM25" s="16"/>
      <c r="AN25" s="15"/>
      <c r="AO25" s="15"/>
      <c r="AP25" s="15"/>
      <c r="AQ25" s="15"/>
      <c r="AR25" s="15"/>
      <c r="AS25" s="15"/>
      <c r="AT25" s="15"/>
    </row>
    <row r="26" spans="2:46" ht="15.75" customHeight="1">
      <c r="D26" s="2"/>
      <c r="E26" s="29" t="s">
        <v>17</v>
      </c>
      <c r="F26" s="30"/>
      <c r="G26" s="30"/>
      <c r="H26" s="31"/>
      <c r="I26" s="32">
        <f>(I25-H25)/H25</f>
        <v>3.5714285714285712E-2</v>
      </c>
      <c r="J26" s="32"/>
      <c r="K26" s="32"/>
      <c r="L26" s="32"/>
      <c r="M26" s="32"/>
      <c r="N26" s="32">
        <f>(N25-I25)/I25</f>
        <v>1.0344827586206921E-2</v>
      </c>
      <c r="O26" s="33">
        <f>(O25-J25)/J25</f>
        <v>0.2537313432835821</v>
      </c>
      <c r="P26" s="33">
        <f t="shared" ref="P26:R26" si="10">(P25-K25)/K25</f>
        <v>0.37313432835820881</v>
      </c>
      <c r="Q26" s="33">
        <f t="shared" si="10"/>
        <v>0.15018366770274083</v>
      </c>
      <c r="R26" s="33">
        <f t="shared" si="10"/>
        <v>2.0176830650645797E-2</v>
      </c>
      <c r="S26" s="18"/>
      <c r="T26" s="33">
        <f>(T25-O25)/O25</f>
        <v>7.1428571428571383E-2</v>
      </c>
      <c r="U26" s="33">
        <f t="shared" ref="U26:W26" si="11">(U25-P25)/P25</f>
        <v>-2.1739130434782532E-2</v>
      </c>
      <c r="V26" s="33">
        <f t="shared" si="11"/>
        <v>0.10551529296155264</v>
      </c>
      <c r="W26" s="33">
        <f t="shared" si="11"/>
        <v>0</v>
      </c>
      <c r="X26" s="18"/>
      <c r="Y26" s="18"/>
      <c r="Z26" s="18"/>
      <c r="AA26" s="18"/>
      <c r="AB26" s="18"/>
      <c r="AC26" s="19"/>
      <c r="AD26" s="19"/>
      <c r="AE26" s="20"/>
      <c r="AF26" s="2"/>
      <c r="AG26" s="2"/>
      <c r="AH26" s="5"/>
      <c r="AI26" s="9"/>
      <c r="AJ26" s="6"/>
      <c r="AK26" s="5"/>
      <c r="AL26" s="15"/>
      <c r="AM26" s="16"/>
      <c r="AN26" s="15"/>
      <c r="AO26" s="15"/>
      <c r="AP26" s="15"/>
      <c r="AQ26" s="15"/>
      <c r="AR26" s="15"/>
      <c r="AS26" s="15"/>
      <c r="AT26" s="15"/>
    </row>
    <row r="27" spans="2:46" ht="15.75" customHeight="1">
      <c r="D27" s="2"/>
      <c r="E27" s="29" t="s">
        <v>23</v>
      </c>
      <c r="F27" s="30"/>
      <c r="G27" s="30"/>
      <c r="H27" s="31">
        <v>9.1</v>
      </c>
      <c r="I27" s="31">
        <v>9.3000000000000007</v>
      </c>
      <c r="J27" s="31">
        <v>2.2999999999999998</v>
      </c>
      <c r="K27" s="31">
        <v>2.4</v>
      </c>
      <c r="L27" s="31">
        <v>2.5</v>
      </c>
      <c r="M27" s="25">
        <f>N27-L27-K27-J27</f>
        <v>3.1000000000000005</v>
      </c>
      <c r="N27" s="31">
        <v>10.3</v>
      </c>
      <c r="O27" s="31">
        <v>2.8</v>
      </c>
      <c r="P27" s="31">
        <v>2.9</v>
      </c>
      <c r="Q27" s="31">
        <v>2.6</v>
      </c>
      <c r="R27" s="31"/>
      <c r="S27" s="18"/>
      <c r="T27" s="31">
        <f>T28*T25</f>
        <v>2.88</v>
      </c>
      <c r="U27" s="31">
        <f t="shared" ref="U27:W27" si="12">U28*U25</f>
        <v>2.88</v>
      </c>
      <c r="V27" s="31">
        <f t="shared" si="12"/>
        <v>2.88</v>
      </c>
      <c r="W27" s="31">
        <f t="shared" si="12"/>
        <v>2.88</v>
      </c>
      <c r="X27" s="18"/>
      <c r="Y27" s="18"/>
      <c r="Z27" s="18"/>
      <c r="AA27" s="18"/>
      <c r="AB27" s="18"/>
      <c r="AC27" s="19"/>
      <c r="AD27" s="19"/>
      <c r="AE27" s="20"/>
      <c r="AF27" s="2"/>
      <c r="AG27" s="2"/>
      <c r="AH27" s="5"/>
      <c r="AI27" s="9"/>
      <c r="AJ27" s="6"/>
      <c r="AK27" s="5"/>
      <c r="AL27" s="15"/>
      <c r="AM27" s="16"/>
      <c r="AN27" s="15"/>
      <c r="AO27" s="15"/>
      <c r="AP27" s="15"/>
      <c r="AQ27" s="15"/>
      <c r="AR27" s="15"/>
      <c r="AS27" s="15"/>
      <c r="AT27" s="15"/>
    </row>
    <row r="28" spans="2:46" ht="15.75" customHeight="1">
      <c r="D28" s="2"/>
      <c r="E28" s="29" t="s">
        <v>21</v>
      </c>
      <c r="F28" s="30"/>
      <c r="G28" s="30"/>
      <c r="H28" s="40">
        <f>H27/H25</f>
        <v>0.32500000000000001</v>
      </c>
      <c r="I28" s="40">
        <f t="shared" ref="I28:Q28" si="13">I27/I25</f>
        <v>0.32068965517241382</v>
      </c>
      <c r="J28" s="40">
        <f t="shared" si="13"/>
        <v>0.34328358208955223</v>
      </c>
      <c r="K28" s="40">
        <f t="shared" si="13"/>
        <v>0.35820895522388058</v>
      </c>
      <c r="L28" s="40">
        <f t="shared" si="13"/>
        <v>0.35320712065555238</v>
      </c>
      <c r="M28" s="40">
        <f t="shared" si="13"/>
        <v>0.35139424166855582</v>
      </c>
      <c r="N28" s="40">
        <f t="shared" si="13"/>
        <v>0.35153583617747441</v>
      </c>
      <c r="O28" s="36">
        <f t="shared" si="13"/>
        <v>0.33333333333333331</v>
      </c>
      <c r="P28" s="36">
        <f t="shared" si="13"/>
        <v>0.31521739130434784</v>
      </c>
      <c r="Q28" s="36">
        <f t="shared" si="13"/>
        <v>0.31937108463333747</v>
      </c>
      <c r="R28" s="40"/>
      <c r="S28" s="18"/>
      <c r="T28" s="33">
        <v>0.32</v>
      </c>
      <c r="U28" s="33">
        <v>0.32</v>
      </c>
      <c r="V28" s="33">
        <v>0.32</v>
      </c>
      <c r="W28" s="33">
        <v>0.32</v>
      </c>
      <c r="X28" s="18"/>
      <c r="Y28" s="18"/>
      <c r="Z28" s="18"/>
      <c r="AA28" s="18"/>
      <c r="AB28" s="18"/>
      <c r="AC28" s="19"/>
      <c r="AD28" s="19"/>
      <c r="AE28" s="20"/>
      <c r="AF28" s="2"/>
      <c r="AG28" s="2"/>
      <c r="AH28" s="5"/>
      <c r="AI28" s="9"/>
      <c r="AJ28" s="6"/>
      <c r="AK28" s="5"/>
      <c r="AL28" s="15"/>
      <c r="AM28" s="16"/>
      <c r="AN28" s="15"/>
      <c r="AO28" s="15"/>
      <c r="AP28" s="15"/>
      <c r="AQ28" s="15"/>
      <c r="AR28" s="15"/>
      <c r="AS28" s="15"/>
      <c r="AT28" s="15"/>
    </row>
    <row r="29" spans="2:46" ht="15.75" customHeight="1">
      <c r="D29" s="2"/>
      <c r="E29" s="23" t="s">
        <v>24</v>
      </c>
      <c r="F29" s="24"/>
      <c r="G29" s="24"/>
      <c r="H29" s="25">
        <v>9.8000000000000007</v>
      </c>
      <c r="I29" s="25">
        <v>8.5</v>
      </c>
      <c r="J29" s="25">
        <v>1.8</v>
      </c>
      <c r="K29" s="25">
        <v>2.8</v>
      </c>
      <c r="L29" s="25">
        <v>2.9</v>
      </c>
      <c r="M29" s="25">
        <f>N29-L29-K29-J29</f>
        <v>2.8000000000000007</v>
      </c>
      <c r="N29" s="25">
        <v>10.3</v>
      </c>
      <c r="O29" s="25">
        <v>2.2999999999999998</v>
      </c>
      <c r="P29" s="25">
        <v>3.1</v>
      </c>
      <c r="Q29" s="25">
        <v>3.1</v>
      </c>
      <c r="R29" s="25">
        <f>R42-R20-R25</f>
        <v>3</v>
      </c>
      <c r="S29" s="25">
        <f>SUM(O29:R29)</f>
        <v>11.5</v>
      </c>
      <c r="T29" s="25">
        <v>3</v>
      </c>
      <c r="U29" s="25">
        <v>4</v>
      </c>
      <c r="V29" s="25">
        <v>4.5</v>
      </c>
      <c r="W29" s="25">
        <v>5.5</v>
      </c>
      <c r="X29" s="25">
        <f>SUM(T29:W29)</f>
        <v>17</v>
      </c>
      <c r="Y29" s="25"/>
      <c r="Z29" s="25"/>
      <c r="AA29" s="25"/>
      <c r="AB29" s="26"/>
      <c r="AC29" s="27"/>
      <c r="AD29" s="27"/>
      <c r="AE29" s="28"/>
      <c r="AF29" s="2"/>
      <c r="AG29" s="2"/>
      <c r="AH29" s="5"/>
      <c r="AI29" s="9"/>
      <c r="AJ29" s="6"/>
      <c r="AK29" s="5"/>
      <c r="AL29" s="15"/>
      <c r="AM29" s="16"/>
      <c r="AN29" s="15"/>
      <c r="AO29" s="15"/>
      <c r="AP29" s="15"/>
      <c r="AQ29" s="15"/>
      <c r="AR29" s="15"/>
      <c r="AS29" s="15"/>
      <c r="AT29" s="15"/>
    </row>
    <row r="30" spans="2:46" ht="15.75" customHeight="1">
      <c r="D30" s="2"/>
      <c r="E30" s="29" t="s">
        <v>17</v>
      </c>
      <c r="F30" s="30"/>
      <c r="G30" s="30"/>
      <c r="H30" s="31"/>
      <c r="I30" s="32">
        <f>(I29-H29)/H29</f>
        <v>-0.13265306122448986</v>
      </c>
      <c r="J30" s="32"/>
      <c r="K30" s="32"/>
      <c r="L30" s="32"/>
      <c r="M30" s="32"/>
      <c r="N30" s="32">
        <f>(N29-I29)/I29</f>
        <v>0.21176470588235302</v>
      </c>
      <c r="O30" s="33">
        <f>(O29-J29)/J29</f>
        <v>0.27777777777777762</v>
      </c>
      <c r="P30" s="33">
        <f t="shared" ref="P30:R30" si="14">(P29-K29)/K29</f>
        <v>0.10714285714285725</v>
      </c>
      <c r="Q30" s="33">
        <f t="shared" si="14"/>
        <v>6.8965517241379379E-2</v>
      </c>
      <c r="R30" s="33">
        <f t="shared" si="14"/>
        <v>7.1428571428571161E-2</v>
      </c>
      <c r="S30" s="31"/>
      <c r="T30" s="33">
        <f>(T29-O29)/O29</f>
        <v>0.3043478260869566</v>
      </c>
      <c r="U30" s="33">
        <f t="shared" ref="U30:W30" si="15">(U29-P29)/P29</f>
        <v>0.29032258064516125</v>
      </c>
      <c r="V30" s="33">
        <f t="shared" si="15"/>
        <v>0.45161290322580638</v>
      </c>
      <c r="W30" s="33">
        <f t="shared" si="15"/>
        <v>0.83333333333333337</v>
      </c>
      <c r="X30" s="31"/>
      <c r="Y30" s="31"/>
      <c r="Z30" s="31"/>
      <c r="AA30" s="31"/>
      <c r="AB30" s="18"/>
      <c r="AC30" s="19"/>
      <c r="AD30" s="19"/>
      <c r="AE30" s="20"/>
      <c r="AF30" s="2"/>
      <c r="AG30" s="2"/>
      <c r="AH30" s="5"/>
      <c r="AI30" s="9"/>
      <c r="AJ30" s="6"/>
      <c r="AK30" s="5"/>
      <c r="AL30" s="15"/>
      <c r="AM30" s="16"/>
      <c r="AN30" s="15"/>
      <c r="AO30" s="15"/>
      <c r="AP30" s="15"/>
      <c r="AQ30" s="15"/>
      <c r="AR30" s="15"/>
      <c r="AS30" s="15"/>
      <c r="AT30" s="15"/>
    </row>
    <row r="31" spans="2:46" ht="15.75" customHeight="1">
      <c r="D31" s="2"/>
      <c r="E31" s="29" t="s">
        <v>25</v>
      </c>
      <c r="F31" s="30"/>
      <c r="G31" s="30"/>
      <c r="H31" s="31">
        <v>2.4</v>
      </c>
      <c r="I31" s="31">
        <v>2.1</v>
      </c>
      <c r="J31" s="31">
        <v>0.104</v>
      </c>
      <c r="K31" s="31">
        <v>0.71299999999999997</v>
      </c>
      <c r="L31" s="31">
        <v>0.96499999999999997</v>
      </c>
      <c r="M31" s="25">
        <f>N31-L31-K31-J31</f>
        <v>0.81800000000000028</v>
      </c>
      <c r="N31" s="31">
        <v>2.6</v>
      </c>
      <c r="O31" s="31">
        <v>0.54800000000000004</v>
      </c>
      <c r="P31" s="31">
        <v>0.76</v>
      </c>
      <c r="Q31" s="31">
        <v>0.8</v>
      </c>
      <c r="R31" s="31"/>
      <c r="S31" s="31"/>
      <c r="T31" s="31">
        <f>T32*T29</f>
        <v>0.75</v>
      </c>
      <c r="U31" s="31">
        <f t="shared" ref="U31:W31" si="16">U32*U29</f>
        <v>1</v>
      </c>
      <c r="V31" s="31">
        <f t="shared" si="16"/>
        <v>1.125</v>
      </c>
      <c r="W31" s="31">
        <f t="shared" si="16"/>
        <v>1.375</v>
      </c>
      <c r="X31" s="31"/>
      <c r="Y31" s="31"/>
      <c r="Z31" s="31"/>
      <c r="AA31" s="31"/>
      <c r="AB31" s="18"/>
      <c r="AC31" s="19"/>
      <c r="AD31" s="19"/>
      <c r="AE31" s="20"/>
      <c r="AF31" s="2"/>
      <c r="AG31" s="2"/>
      <c r="AH31" s="5"/>
      <c r="AI31" s="9"/>
      <c r="AJ31" s="6"/>
      <c r="AK31" s="5"/>
      <c r="AL31" s="15"/>
      <c r="AM31" s="16"/>
      <c r="AN31" s="15"/>
      <c r="AO31" s="15"/>
      <c r="AP31" s="15"/>
      <c r="AQ31" s="15"/>
      <c r="AR31" s="15"/>
      <c r="AS31" s="15"/>
      <c r="AT31" s="15"/>
    </row>
    <row r="32" spans="2:46" ht="15.75" customHeight="1">
      <c r="D32" s="2"/>
      <c r="E32" s="34" t="s">
        <v>21</v>
      </c>
      <c r="F32" s="41"/>
      <c r="G32" s="35"/>
      <c r="H32" s="36">
        <f>H31/H29</f>
        <v>0.24489795918367344</v>
      </c>
      <c r="I32" s="36">
        <f t="shared" ref="I32:Q32" si="17">I31/I29</f>
        <v>0.24705882352941178</v>
      </c>
      <c r="J32" s="36">
        <f t="shared" si="17"/>
        <v>5.7777777777777775E-2</v>
      </c>
      <c r="K32" s="36">
        <f t="shared" si="17"/>
        <v>0.25464285714285717</v>
      </c>
      <c r="L32" s="36">
        <f t="shared" si="17"/>
        <v>0.33275862068965517</v>
      </c>
      <c r="M32" s="36">
        <f t="shared" si="17"/>
        <v>0.29214285714285715</v>
      </c>
      <c r="N32" s="36">
        <f t="shared" si="17"/>
        <v>0.25242718446601942</v>
      </c>
      <c r="O32" s="36">
        <f t="shared" si="17"/>
        <v>0.23826086956521741</v>
      </c>
      <c r="P32" s="36">
        <f t="shared" si="17"/>
        <v>0.24516129032258063</v>
      </c>
      <c r="Q32" s="36">
        <f t="shared" si="17"/>
        <v>0.25806451612903225</v>
      </c>
      <c r="R32" s="36"/>
      <c r="S32" s="41"/>
      <c r="T32" s="33">
        <v>0.25</v>
      </c>
      <c r="U32" s="33">
        <v>0.25</v>
      </c>
      <c r="V32" s="33">
        <v>0.25</v>
      </c>
      <c r="W32" s="33">
        <v>0.25</v>
      </c>
      <c r="X32" s="41"/>
      <c r="Y32" s="41"/>
      <c r="Z32" s="41"/>
      <c r="AA32" s="41"/>
      <c r="AB32" s="37"/>
      <c r="AC32" s="38"/>
      <c r="AD32" s="38"/>
      <c r="AE32" s="39"/>
      <c r="AF32" s="2"/>
      <c r="AG32" s="2"/>
      <c r="AH32" s="5"/>
      <c r="AI32" s="9"/>
      <c r="AJ32" s="6"/>
      <c r="AK32" s="5"/>
      <c r="AL32" s="15"/>
      <c r="AM32" s="16"/>
      <c r="AN32" s="15"/>
      <c r="AO32" s="15"/>
      <c r="AP32" s="15"/>
      <c r="AQ32" s="15"/>
      <c r="AR32" s="15"/>
      <c r="AS32" s="15"/>
      <c r="AT32" s="15"/>
    </row>
    <row r="33" spans="4:46" ht="15.75" customHeight="1">
      <c r="D33" s="2"/>
      <c r="E33" s="29"/>
      <c r="F33" s="30"/>
      <c r="G33" s="30"/>
      <c r="H33" s="31"/>
      <c r="I33" s="32"/>
      <c r="J33" s="32"/>
      <c r="K33" s="32"/>
      <c r="L33" s="32"/>
      <c r="M33" s="32"/>
      <c r="N33" s="32"/>
      <c r="O33" s="32"/>
      <c r="P33" s="32"/>
      <c r="Q33" s="32" t="s">
        <v>26</v>
      </c>
      <c r="R33" s="32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9"/>
      <c r="AD33" s="19"/>
      <c r="AE33" s="20"/>
      <c r="AF33" s="2"/>
      <c r="AG33" s="2"/>
      <c r="AH33" s="5"/>
      <c r="AI33" s="9"/>
      <c r="AJ33" s="6"/>
      <c r="AK33" s="5"/>
      <c r="AL33" s="15"/>
      <c r="AM33" s="16"/>
      <c r="AN33" s="15"/>
      <c r="AO33" s="15"/>
      <c r="AP33" s="15"/>
      <c r="AQ33" s="15"/>
      <c r="AR33" s="15"/>
      <c r="AS33" s="15"/>
      <c r="AT33" s="15"/>
    </row>
    <row r="34" spans="4:46" ht="15.75" customHeight="1">
      <c r="D34" s="2"/>
      <c r="E34" s="17" t="s">
        <v>27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9"/>
      <c r="AD34" s="19"/>
      <c r="AE34" s="20"/>
      <c r="AF34" s="2"/>
      <c r="AG34" s="2"/>
      <c r="AH34" s="5"/>
      <c r="AI34" s="9"/>
      <c r="AJ34" s="6"/>
      <c r="AK34" s="5"/>
      <c r="AL34" s="15"/>
      <c r="AM34" s="16"/>
      <c r="AN34" s="15"/>
      <c r="AO34" s="15"/>
      <c r="AP34" s="15"/>
      <c r="AQ34" s="15"/>
      <c r="AR34" s="15"/>
      <c r="AS34" s="15"/>
      <c r="AT34" s="15"/>
    </row>
    <row r="35" spans="4:46" ht="15.75" customHeight="1">
      <c r="D35" s="2"/>
      <c r="E35" s="29" t="s">
        <v>28</v>
      </c>
      <c r="F35" s="30"/>
      <c r="G35" s="30"/>
      <c r="H35" s="31">
        <v>40.299999999999997</v>
      </c>
      <c r="I35" s="31">
        <v>38.299999999999997</v>
      </c>
      <c r="J35" s="31"/>
      <c r="K35" s="31"/>
      <c r="L35" s="31"/>
      <c r="M35" s="31"/>
      <c r="N35" s="31">
        <v>46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18"/>
      <c r="AC35" s="19"/>
      <c r="AD35" s="19"/>
      <c r="AE35" s="20"/>
      <c r="AF35" s="2"/>
      <c r="AG35" s="2"/>
      <c r="AH35" s="5"/>
      <c r="AI35" s="9"/>
      <c r="AJ35" s="6"/>
      <c r="AK35" s="5"/>
      <c r="AL35" s="15"/>
      <c r="AM35" s="16"/>
      <c r="AN35" s="15"/>
      <c r="AO35" s="15"/>
      <c r="AP35" s="15"/>
      <c r="AQ35" s="15"/>
      <c r="AR35" s="15"/>
      <c r="AS35" s="15"/>
      <c r="AT35" s="15"/>
    </row>
    <row r="36" spans="4:46" ht="15.75" customHeight="1">
      <c r="D36" s="2"/>
      <c r="E36" s="29" t="s">
        <v>21</v>
      </c>
      <c r="F36" s="30"/>
      <c r="G36" s="30"/>
      <c r="H36" s="40">
        <f>H35/H20</f>
        <v>0.31264546159813805</v>
      </c>
      <c r="I36" s="40">
        <f t="shared" ref="I36:N36" si="18">I35/I20</f>
        <v>0.32347972972972971</v>
      </c>
      <c r="J36" s="40"/>
      <c r="K36" s="40"/>
      <c r="L36" s="40"/>
      <c r="M36" s="40"/>
      <c r="N36" s="40">
        <f t="shared" si="18"/>
        <v>0.33503277494537509</v>
      </c>
      <c r="O36" s="40"/>
      <c r="P36" s="40"/>
      <c r="Q36" s="40"/>
      <c r="R36" s="4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9"/>
      <c r="AD36" s="19"/>
      <c r="AE36" s="20"/>
      <c r="AF36" s="2"/>
      <c r="AG36" s="2"/>
      <c r="AH36" s="5"/>
      <c r="AI36" s="9"/>
      <c r="AJ36" s="6"/>
      <c r="AK36" s="5"/>
      <c r="AL36" s="15"/>
      <c r="AM36" s="16"/>
      <c r="AN36" s="15"/>
      <c r="AO36" s="15"/>
      <c r="AP36" s="15"/>
      <c r="AQ36" s="15"/>
      <c r="AR36" s="15"/>
      <c r="AS36" s="15"/>
      <c r="AT36" s="15"/>
    </row>
    <row r="37" spans="4:46" ht="15.75" customHeight="1">
      <c r="D37" s="2"/>
      <c r="E37" s="29" t="s">
        <v>29</v>
      </c>
      <c r="F37" s="30"/>
      <c r="G37" s="30"/>
      <c r="H37" s="31">
        <v>9.1</v>
      </c>
      <c r="I37" s="31">
        <v>9.3000000000000007</v>
      </c>
      <c r="J37" s="31"/>
      <c r="K37" s="31"/>
      <c r="L37" s="31"/>
      <c r="M37" s="31"/>
      <c r="N37" s="31">
        <v>10.3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18"/>
      <c r="AC37" s="19"/>
      <c r="AD37" s="19"/>
      <c r="AE37" s="20"/>
      <c r="AF37" s="2"/>
      <c r="AG37" s="2"/>
      <c r="AH37" s="5"/>
      <c r="AI37" s="9"/>
      <c r="AJ37" s="6"/>
      <c r="AK37" s="5"/>
      <c r="AL37" s="15"/>
      <c r="AM37" s="16"/>
      <c r="AN37" s="15"/>
      <c r="AO37" s="15"/>
      <c r="AP37" s="15"/>
      <c r="AQ37" s="15"/>
      <c r="AR37" s="15"/>
      <c r="AS37" s="15"/>
      <c r="AT37" s="15"/>
    </row>
    <row r="38" spans="4:46" ht="15.75" customHeight="1">
      <c r="D38" s="2"/>
      <c r="E38" s="29" t="s">
        <v>21</v>
      </c>
      <c r="F38" s="30"/>
      <c r="G38" s="30"/>
      <c r="H38" s="40">
        <f>H37/H25</f>
        <v>0.32500000000000001</v>
      </c>
      <c r="I38" s="40">
        <f t="shared" ref="I38:N38" si="19">I37/I25</f>
        <v>0.32068965517241382</v>
      </c>
      <c r="J38" s="40"/>
      <c r="K38" s="40"/>
      <c r="L38" s="40"/>
      <c r="M38" s="40"/>
      <c r="N38" s="40">
        <f t="shared" si="19"/>
        <v>0.35153583617747441</v>
      </c>
      <c r="O38" s="40"/>
      <c r="P38" s="40"/>
      <c r="Q38" s="40"/>
      <c r="R38" s="40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9"/>
      <c r="AD38" s="19"/>
      <c r="AE38" s="20"/>
      <c r="AF38" s="2"/>
      <c r="AG38" s="2"/>
      <c r="AH38" s="5"/>
      <c r="AI38" s="9"/>
      <c r="AJ38" s="6"/>
      <c r="AK38" s="5"/>
      <c r="AL38" s="15"/>
      <c r="AM38" s="16"/>
      <c r="AN38" s="15"/>
      <c r="AO38" s="15"/>
      <c r="AP38" s="15"/>
      <c r="AQ38" s="15"/>
      <c r="AR38" s="15"/>
      <c r="AS38" s="15"/>
      <c r="AT38" s="15"/>
    </row>
    <row r="39" spans="4:46" ht="15.75" customHeight="1">
      <c r="D39" s="2"/>
      <c r="E39" s="29" t="s">
        <v>30</v>
      </c>
      <c r="F39" s="30"/>
      <c r="G39" s="30"/>
      <c r="H39" s="31">
        <v>2.4</v>
      </c>
      <c r="I39" s="31">
        <v>2.1</v>
      </c>
      <c r="J39" s="31"/>
      <c r="K39" s="31"/>
      <c r="L39" s="31"/>
      <c r="M39" s="31"/>
      <c r="N39" s="31">
        <v>2.6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0"/>
      <c r="AC39" s="18"/>
      <c r="AD39" s="42"/>
      <c r="AE39" s="20"/>
      <c r="AF39" s="2"/>
      <c r="AG39" s="2"/>
      <c r="AH39" s="5"/>
      <c r="AI39" s="43"/>
      <c r="AJ39" s="44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4:46" ht="15.75" customHeight="1">
      <c r="D40" s="2"/>
      <c r="E40" s="29" t="s">
        <v>21</v>
      </c>
      <c r="F40" s="31"/>
      <c r="G40" s="30"/>
      <c r="H40" s="40">
        <f>H39/H29</f>
        <v>0.24489795918367344</v>
      </c>
      <c r="I40" s="40">
        <f t="shared" ref="I40:N40" si="20">I39/I29</f>
        <v>0.24705882352941178</v>
      </c>
      <c r="J40" s="40"/>
      <c r="K40" s="40"/>
      <c r="L40" s="40"/>
      <c r="M40" s="40"/>
      <c r="N40" s="40">
        <f t="shared" si="20"/>
        <v>0.25242718446601942</v>
      </c>
      <c r="O40" s="40"/>
      <c r="P40" s="40"/>
      <c r="Q40" s="40"/>
      <c r="R40" s="4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18"/>
      <c r="AD40" s="42"/>
      <c r="AE40" s="20"/>
      <c r="AF40" s="2"/>
      <c r="AG40" s="2"/>
      <c r="AH40" s="5"/>
      <c r="AI40" s="43"/>
      <c r="AJ40" s="44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4:46" ht="15.75" customHeight="1">
      <c r="D41" s="2"/>
      <c r="E41" s="29"/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>
        <f>S29+S25+S20</f>
        <v>224.94099999999997</v>
      </c>
      <c r="T41" s="45">
        <v>0.22</v>
      </c>
      <c r="U41" s="45">
        <v>0.25</v>
      </c>
      <c r="V41" s="45">
        <v>0.27</v>
      </c>
      <c r="W41" s="45">
        <v>0.32</v>
      </c>
      <c r="X41" s="30">
        <f>X29+X25+X20</f>
        <v>300.39999999999998</v>
      </c>
      <c r="Y41" s="30"/>
      <c r="Z41" s="30"/>
      <c r="AA41" s="30"/>
      <c r="AB41" s="30"/>
      <c r="AC41" s="18"/>
      <c r="AD41" s="42"/>
      <c r="AE41" s="20"/>
      <c r="AF41" s="2"/>
      <c r="AG41" s="2"/>
      <c r="AH41" s="5"/>
      <c r="AI41" s="43"/>
      <c r="AJ41" s="44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4:46" ht="15.75" customHeight="1">
      <c r="D42" s="2"/>
      <c r="E42" s="29" t="s">
        <v>31</v>
      </c>
      <c r="F42" s="30"/>
      <c r="G42" s="30"/>
      <c r="H42" s="30">
        <v>167</v>
      </c>
      <c r="I42" s="30">
        <v>156</v>
      </c>
      <c r="J42" s="30">
        <f t="shared" ref="J42:L42" si="21">J20+J25+J29</f>
        <v>38.699999999999996</v>
      </c>
      <c r="K42" s="30">
        <f t="shared" si="21"/>
        <v>42.5</v>
      </c>
      <c r="L42" s="30">
        <f t="shared" si="21"/>
        <v>45.178000000000004</v>
      </c>
      <c r="M42" s="30">
        <f>M20+M25+M29</f>
        <v>50.522000000000006</v>
      </c>
      <c r="N42" s="30">
        <v>177</v>
      </c>
      <c r="O42" s="30">
        <f>O20+O25+O29</f>
        <v>53.699999999999996</v>
      </c>
      <c r="P42" s="30">
        <f t="shared" ref="P42:Q42" si="22">P20+P25+P29</f>
        <v>54.000000000000007</v>
      </c>
      <c r="Q42" s="30">
        <f t="shared" si="22"/>
        <v>55.241</v>
      </c>
      <c r="R42" s="30">
        <v>62</v>
      </c>
      <c r="S42" s="30">
        <v>220</v>
      </c>
      <c r="T42" s="30">
        <f>T20+T25+T29</f>
        <v>66.599999999999994</v>
      </c>
      <c r="U42" s="30">
        <f t="shared" ref="U42:W42" si="23">U20+U25+U29</f>
        <v>69</v>
      </c>
      <c r="V42" s="30">
        <f t="shared" si="23"/>
        <v>73.5</v>
      </c>
      <c r="W42" s="30">
        <f t="shared" si="23"/>
        <v>91.3</v>
      </c>
      <c r="X42" s="30">
        <f>SUM(T42:W42)</f>
        <v>300.39999999999998</v>
      </c>
      <c r="Y42" s="30">
        <v>335</v>
      </c>
      <c r="Z42" s="30">
        <v>400</v>
      </c>
      <c r="AA42" s="30">
        <v>470</v>
      </c>
      <c r="AB42" s="30"/>
      <c r="AC42" s="46" t="str">
        <f>E2</f>
        <v>ABNB</v>
      </c>
      <c r="AD42" s="47" t="s">
        <v>32</v>
      </c>
      <c r="AE42" s="20"/>
      <c r="AF42" s="2"/>
      <c r="AG42" s="2"/>
      <c r="AH42" s="5"/>
      <c r="AI42" s="43"/>
      <c r="AJ42" s="44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4:46" ht="15.75" customHeight="1">
      <c r="D43" s="2"/>
      <c r="E43" s="29" t="s">
        <v>17</v>
      </c>
      <c r="F43" s="32"/>
      <c r="G43" s="32"/>
      <c r="H43" s="32"/>
      <c r="I43" s="32">
        <f t="shared" ref="I43:AA43" si="24">(I42-H42)/H42</f>
        <v>-6.5868263473053898E-2</v>
      </c>
      <c r="J43" s="32"/>
      <c r="K43" s="32"/>
      <c r="L43" s="32"/>
      <c r="M43" s="32"/>
      <c r="N43" s="32">
        <f>(N42-I42)/I42</f>
        <v>0.13461538461538461</v>
      </c>
      <c r="O43" s="32">
        <f t="shared" ref="O43:Q43" si="25">(O42-J42)/J42</f>
        <v>0.38759689922480622</v>
      </c>
      <c r="P43" s="32">
        <f t="shared" si="25"/>
        <v>0.2705882352941178</v>
      </c>
      <c r="Q43" s="32">
        <f t="shared" si="25"/>
        <v>0.22274115720040716</v>
      </c>
      <c r="R43" s="32">
        <f>(R42-M42)/M42</f>
        <v>0.22718815565496206</v>
      </c>
      <c r="S43" s="32">
        <f>(S42-N42)/N42</f>
        <v>0.24293785310734464</v>
      </c>
      <c r="T43" s="32">
        <f t="shared" ref="T43:V43" si="26">(T42-O42)/O42</f>
        <v>0.24022346368715083</v>
      </c>
      <c r="U43" s="32">
        <f t="shared" si="26"/>
        <v>0.27777777777777762</v>
      </c>
      <c r="V43" s="32">
        <f t="shared" si="26"/>
        <v>0.33053348056697018</v>
      </c>
      <c r="W43" s="32">
        <f>(W42-R42)/R42</f>
        <v>0.47258064516129028</v>
      </c>
      <c r="X43" s="32">
        <f>(X42-S42)/S42</f>
        <v>0.36545454545454537</v>
      </c>
      <c r="Y43" s="32">
        <f t="shared" si="24"/>
        <v>0.11517976031957398</v>
      </c>
      <c r="Z43" s="32">
        <f t="shared" si="24"/>
        <v>0.19402985074626866</v>
      </c>
      <c r="AA43" s="32">
        <f t="shared" si="24"/>
        <v>0.17499999999999999</v>
      </c>
      <c r="AB43" s="32"/>
      <c r="AC43" s="46" t="s">
        <v>33</v>
      </c>
      <c r="AD43" s="47" t="s">
        <v>34</v>
      </c>
      <c r="AE43" s="20"/>
      <c r="AF43" s="2"/>
      <c r="AG43" s="2"/>
      <c r="AH43" s="5"/>
      <c r="AI43" s="48"/>
      <c r="AJ43" s="6"/>
      <c r="AK43" s="5"/>
      <c r="AL43" s="49"/>
      <c r="AM43" s="49"/>
      <c r="AN43" s="49"/>
      <c r="AO43" s="49"/>
      <c r="AP43" s="49"/>
      <c r="AQ43" s="49"/>
      <c r="AR43" s="49"/>
      <c r="AS43" s="49"/>
      <c r="AT43" s="49"/>
    </row>
    <row r="44" spans="4:46" ht="15.75" customHeight="1">
      <c r="D44" s="2"/>
      <c r="E44" s="29" t="s">
        <v>35</v>
      </c>
      <c r="F44" s="50"/>
      <c r="G44" s="50"/>
      <c r="H44" s="50">
        <f>H45/H42</f>
        <v>0.31137724550898205</v>
      </c>
      <c r="I44" s="50">
        <f>I45/I42</f>
        <v>0.32051282051282054</v>
      </c>
      <c r="J44" s="50"/>
      <c r="K44" s="50"/>
      <c r="L44" s="50"/>
      <c r="M44" s="50"/>
      <c r="N44" s="50">
        <f>N45/N42</f>
        <v>0.33333333333333331</v>
      </c>
      <c r="O44" s="50"/>
      <c r="P44" s="50"/>
      <c r="Q44" s="50"/>
      <c r="R44" s="50"/>
      <c r="S44" s="50">
        <f t="shared" ref="S44:X44" si="27">S45/S42</f>
        <v>0.32727272727272727</v>
      </c>
      <c r="T44" s="32">
        <f t="shared" si="27"/>
        <v>0.31684684684684689</v>
      </c>
      <c r="U44" s="32">
        <f t="shared" si="27"/>
        <v>0.31594202898550727</v>
      </c>
      <c r="V44" s="32">
        <f t="shared" si="27"/>
        <v>0.31571428571428567</v>
      </c>
      <c r="W44" s="32">
        <f t="shared" si="27"/>
        <v>0.31578313253012047</v>
      </c>
      <c r="X44" s="50">
        <f t="shared" si="27"/>
        <v>0.31603861517976034</v>
      </c>
      <c r="Y44" s="50">
        <v>0.33</v>
      </c>
      <c r="Z44" s="50">
        <v>0.33</v>
      </c>
      <c r="AA44" s="50">
        <v>0.33</v>
      </c>
      <c r="AB44" s="32"/>
      <c r="AC44" s="51">
        <f>AVERAGE(H43:Z43)</f>
        <v>0.24396992466696751</v>
      </c>
      <c r="AD44" s="52" t="s">
        <v>36</v>
      </c>
      <c r="AE44" s="20"/>
      <c r="AF44" s="2"/>
      <c r="AG44" s="2"/>
      <c r="AH44" s="5"/>
      <c r="AI44" s="48"/>
      <c r="AJ44" s="6"/>
      <c r="AK44" s="5"/>
      <c r="AL44" s="5"/>
      <c r="AM44" s="49"/>
      <c r="AN44" s="49"/>
      <c r="AO44" s="49"/>
      <c r="AP44" s="49"/>
      <c r="AQ44" s="49"/>
      <c r="AR44" s="49"/>
      <c r="AS44" s="49"/>
      <c r="AT44" s="49"/>
    </row>
    <row r="45" spans="4:46" ht="15.75" customHeight="1">
      <c r="D45" s="2"/>
      <c r="E45" s="29" t="s">
        <v>37</v>
      </c>
      <c r="F45" s="30"/>
      <c r="G45" s="30"/>
      <c r="H45" s="30">
        <v>52</v>
      </c>
      <c r="I45" s="30">
        <v>50</v>
      </c>
      <c r="J45" s="30"/>
      <c r="K45" s="30"/>
      <c r="L45" s="30"/>
      <c r="M45" s="30"/>
      <c r="N45" s="30">
        <v>59</v>
      </c>
      <c r="O45" s="30"/>
      <c r="P45" s="30"/>
      <c r="Q45" s="30"/>
      <c r="R45" s="30"/>
      <c r="S45" s="30">
        <v>72</v>
      </c>
      <c r="T45" s="30">
        <f>T23+T27+T31</f>
        <v>21.102</v>
      </c>
      <c r="U45" s="30">
        <f t="shared" ref="U45:W45" si="28">U23+U27+U31</f>
        <v>21.8</v>
      </c>
      <c r="V45" s="30">
        <f t="shared" si="28"/>
        <v>23.204999999999998</v>
      </c>
      <c r="W45" s="30">
        <f t="shared" si="28"/>
        <v>28.831</v>
      </c>
      <c r="X45" s="30">
        <f>SUM(T45:W45)</f>
        <v>94.938000000000002</v>
      </c>
      <c r="Y45" s="30">
        <f>Y42*Y44</f>
        <v>110.55000000000001</v>
      </c>
      <c r="Z45" s="30">
        <f>Z42*Z44</f>
        <v>132</v>
      </c>
      <c r="AA45" s="30">
        <f>AA42*AA44</f>
        <v>155.1</v>
      </c>
      <c r="AB45" s="30"/>
      <c r="AC45" s="53">
        <f>N1</f>
        <v>91.3</v>
      </c>
      <c r="AD45" s="52" t="s">
        <v>38</v>
      </c>
      <c r="AE45" s="2"/>
      <c r="AF45" s="54"/>
      <c r="AG45" s="2"/>
      <c r="AH45" s="5"/>
      <c r="AI45" s="6"/>
      <c r="AJ45" s="6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4:46" ht="15.75" customHeight="1">
      <c r="D46" s="2"/>
      <c r="E46" s="29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X46" s="32"/>
      <c r="Y46" s="32"/>
      <c r="Z46" s="32"/>
      <c r="AA46" s="32"/>
      <c r="AB46" s="32"/>
      <c r="AC46" s="55">
        <f>11.7+2.1</f>
        <v>13.799999999999999</v>
      </c>
      <c r="AD46" s="52" t="s">
        <v>39</v>
      </c>
      <c r="AE46" s="2"/>
      <c r="AF46" s="54"/>
      <c r="AG46" s="2"/>
      <c r="AH46" s="157"/>
      <c r="AI46" s="158"/>
      <c r="AJ46" s="6"/>
      <c r="AK46" s="5"/>
      <c r="AL46" s="56"/>
      <c r="AM46" s="56"/>
      <c r="AN46" s="56"/>
      <c r="AO46" s="56"/>
      <c r="AP46" s="56"/>
      <c r="AQ46" s="56"/>
      <c r="AR46" s="56"/>
      <c r="AS46" s="56"/>
      <c r="AT46" s="56"/>
    </row>
    <row r="47" spans="4:46" ht="15.75" customHeight="1">
      <c r="D47" s="2"/>
      <c r="E47" s="29"/>
      <c r="F47" s="30"/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0"/>
      <c r="AC47" s="51">
        <v>0.01</v>
      </c>
      <c r="AD47" s="52" t="s">
        <v>40</v>
      </c>
      <c r="AE47" s="20"/>
      <c r="AF47" s="2"/>
      <c r="AG47" s="2"/>
      <c r="AH47" s="159"/>
      <c r="AI47" s="158"/>
      <c r="AJ47" s="6"/>
      <c r="AK47" s="5"/>
      <c r="AL47" s="5"/>
      <c r="AM47" s="56"/>
      <c r="AN47" s="56"/>
      <c r="AO47" s="56"/>
      <c r="AP47" s="56"/>
      <c r="AQ47" s="56"/>
      <c r="AR47" s="56"/>
      <c r="AS47" s="56"/>
      <c r="AT47" s="56"/>
    </row>
    <row r="48" spans="4:46" ht="15.75" customHeight="1">
      <c r="D48" s="2"/>
      <c r="E48" s="29" t="s">
        <v>41</v>
      </c>
      <c r="F48" s="32"/>
      <c r="G48" s="32"/>
      <c r="H48" s="32">
        <f>H49/H42</f>
        <v>0.31137724550898205</v>
      </c>
      <c r="I48" s="32">
        <f>I49/I42</f>
        <v>0.32692307692307693</v>
      </c>
      <c r="J48" s="32"/>
      <c r="K48" s="32"/>
      <c r="L48" s="32"/>
      <c r="M48" s="32"/>
      <c r="N48" s="32">
        <f>N49/N42</f>
        <v>0.31638418079096048</v>
      </c>
      <c r="O48" s="32"/>
      <c r="P48" s="32"/>
      <c r="Q48" s="32">
        <f>Q49/V42</f>
        <v>0.18911564625850341</v>
      </c>
      <c r="R48" s="32"/>
      <c r="S48" s="32">
        <v>0.31</v>
      </c>
      <c r="T48" s="32">
        <v>0.2</v>
      </c>
      <c r="U48" s="32">
        <v>0.2</v>
      </c>
      <c r="V48" s="32">
        <v>0.2</v>
      </c>
      <c r="W48" s="32">
        <v>0.2</v>
      </c>
      <c r="X48" s="32">
        <f>X49/X42</f>
        <v>0.2</v>
      </c>
      <c r="Y48" s="32">
        <v>0.28999999999999998</v>
      </c>
      <c r="Z48" s="32">
        <v>0.28000000000000003</v>
      </c>
      <c r="AA48" s="32">
        <v>0.27</v>
      </c>
      <c r="AB48" s="32"/>
      <c r="AC48" s="57">
        <f>AC46*AC45</f>
        <v>1259.9399999999998</v>
      </c>
      <c r="AD48" s="52" t="s">
        <v>42</v>
      </c>
      <c r="AE48" s="20"/>
      <c r="AF48" s="2"/>
      <c r="AG48" s="2"/>
      <c r="AH48" s="159"/>
      <c r="AI48" s="158"/>
      <c r="AJ48" s="6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2:46" ht="16" customHeight="1">
      <c r="D49" s="2"/>
      <c r="E49" s="29" t="s">
        <v>43</v>
      </c>
      <c r="F49" s="30"/>
      <c r="G49" s="30"/>
      <c r="H49" s="30">
        <v>52</v>
      </c>
      <c r="I49" s="30">
        <v>51</v>
      </c>
      <c r="J49" s="30"/>
      <c r="K49" s="30"/>
      <c r="L49" s="30"/>
      <c r="M49" s="30"/>
      <c r="N49" s="30">
        <v>56</v>
      </c>
      <c r="O49" s="30"/>
      <c r="P49" s="30"/>
      <c r="Q49" s="30">
        <v>13.9</v>
      </c>
      <c r="R49" s="30"/>
      <c r="S49" s="30">
        <f t="shared" ref="S49:AA49" si="29">S48*S42</f>
        <v>68.2</v>
      </c>
      <c r="T49" s="30">
        <f>T42*T48</f>
        <v>13.32</v>
      </c>
      <c r="U49" s="30">
        <f t="shared" ref="U49:W49" si="30">U42*U48</f>
        <v>13.8</v>
      </c>
      <c r="V49" s="30">
        <f t="shared" si="30"/>
        <v>14.700000000000001</v>
      </c>
      <c r="W49" s="30">
        <f t="shared" si="30"/>
        <v>18.260000000000002</v>
      </c>
      <c r="X49" s="30">
        <f>SUM(T49:W49)</f>
        <v>60.08</v>
      </c>
      <c r="Y49" s="30">
        <f t="shared" si="29"/>
        <v>97.149999999999991</v>
      </c>
      <c r="Z49" s="30">
        <f t="shared" si="29"/>
        <v>112.00000000000001</v>
      </c>
      <c r="AA49" s="30">
        <f t="shared" si="29"/>
        <v>126.9</v>
      </c>
      <c r="AB49" s="30"/>
      <c r="AC49" s="57">
        <v>39</v>
      </c>
      <c r="AD49" s="52" t="s">
        <v>44</v>
      </c>
      <c r="AE49" s="20"/>
      <c r="AF49" s="2"/>
      <c r="AG49" s="2"/>
      <c r="AH49" s="5"/>
      <c r="AI49" s="5"/>
      <c r="AJ49" s="6"/>
      <c r="AK49" s="5"/>
      <c r="AL49" s="58"/>
      <c r="AM49" s="58"/>
      <c r="AN49" s="58"/>
      <c r="AO49" s="58"/>
      <c r="AP49" s="58"/>
      <c r="AQ49" s="58"/>
      <c r="AR49" s="58"/>
      <c r="AS49" s="58"/>
      <c r="AT49" s="58"/>
    </row>
    <row r="50" spans="2:46" ht="15.75" customHeight="1">
      <c r="D50" s="2"/>
      <c r="E50" s="29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57"/>
      <c r="AD50" s="52"/>
      <c r="AE50" s="20"/>
      <c r="AF50" s="2"/>
      <c r="AG50" s="2"/>
      <c r="AH50" s="157"/>
      <c r="AI50" s="157"/>
      <c r="AJ50" s="6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2:46" ht="15.75" customHeight="1">
      <c r="D51" s="2"/>
      <c r="E51" s="29"/>
      <c r="F51" s="30"/>
      <c r="G51" s="3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0"/>
      <c r="AC51" s="57"/>
      <c r="AD51" s="52"/>
      <c r="AE51" s="20"/>
      <c r="AF51" s="2"/>
      <c r="AG51" s="2"/>
      <c r="AH51" s="59"/>
      <c r="AI51" s="60"/>
      <c r="AJ51" s="6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2:46" ht="14.25" customHeight="1">
      <c r="D52" s="2"/>
      <c r="E52" s="29" t="s">
        <v>45</v>
      </c>
      <c r="F52" s="32"/>
      <c r="G52" s="32"/>
      <c r="H52" s="32">
        <f>H53/H42</f>
        <v>0</v>
      </c>
      <c r="I52" s="32">
        <f>I53/I42</f>
        <v>-6.41025641025641E-3</v>
      </c>
      <c r="J52" s="32"/>
      <c r="K52" s="32"/>
      <c r="L52" s="32"/>
      <c r="M52" s="32"/>
      <c r="N52" s="32">
        <f>N53/N42</f>
        <v>1.6949152542372881E-2</v>
      </c>
      <c r="O52" s="32"/>
      <c r="P52" s="32"/>
      <c r="Q52" s="32"/>
      <c r="R52" s="32"/>
      <c r="S52" s="32">
        <f>S53/S42</f>
        <v>1.7272727272727259E-2</v>
      </c>
      <c r="T52" s="32">
        <f t="shared" ref="T52:AA52" si="31">T53/T42</f>
        <v>0.11684684684684686</v>
      </c>
      <c r="U52" s="32">
        <f t="shared" si="31"/>
        <v>0.11594202898550725</v>
      </c>
      <c r="V52" s="32">
        <f t="shared" si="31"/>
        <v>0.11571428571428567</v>
      </c>
      <c r="W52" s="32">
        <f t="shared" si="31"/>
        <v>0.11578313253012046</v>
      </c>
      <c r="X52" s="32">
        <f t="shared" si="31"/>
        <v>0.11603861517976032</v>
      </c>
      <c r="Y52" s="32">
        <f t="shared" si="31"/>
        <v>4.0000000000000056E-2</v>
      </c>
      <c r="Z52" s="32">
        <f t="shared" si="31"/>
        <v>4.9999999999999961E-2</v>
      </c>
      <c r="AA52" s="32">
        <f t="shared" si="31"/>
        <v>5.9999999999999977E-2</v>
      </c>
      <c r="AB52" s="32"/>
      <c r="AC52" s="57">
        <v>0</v>
      </c>
      <c r="AD52" s="52" t="s">
        <v>46</v>
      </c>
      <c r="AE52" s="20"/>
      <c r="AF52" s="2"/>
      <c r="AG52" s="2"/>
      <c r="AH52"/>
      <c r="AI52" s="61"/>
      <c r="AJ52" s="6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2:46" ht="15.75" customHeight="1">
      <c r="D53" s="2"/>
      <c r="E53" s="29" t="s">
        <v>47</v>
      </c>
      <c r="F53" s="30"/>
      <c r="G53" s="30"/>
      <c r="H53" s="31">
        <f>H45-H47-H49-H51</f>
        <v>0</v>
      </c>
      <c r="I53" s="31">
        <f>I45-I47-I49-I51</f>
        <v>-1</v>
      </c>
      <c r="J53" s="31"/>
      <c r="K53" s="31"/>
      <c r="L53" s="31"/>
      <c r="M53" s="31"/>
      <c r="N53" s="31">
        <f>N45-N47-N49-N51</f>
        <v>3</v>
      </c>
      <c r="O53" s="31"/>
      <c r="P53" s="31"/>
      <c r="Q53" s="31"/>
      <c r="R53" s="31"/>
      <c r="S53" s="31">
        <f>S45-S47-S49-S51</f>
        <v>3.7999999999999972</v>
      </c>
      <c r="T53" s="31">
        <f>T45-T49</f>
        <v>7.782</v>
      </c>
      <c r="U53" s="31">
        <f>U45-U49</f>
        <v>8</v>
      </c>
      <c r="V53" s="31">
        <f t="shared" ref="V53:W53" si="32">V45-V49</f>
        <v>8.5049999999999972</v>
      </c>
      <c r="W53" s="31">
        <f t="shared" si="32"/>
        <v>10.570999999999998</v>
      </c>
      <c r="X53" s="31">
        <f>SUM(T53:W53)</f>
        <v>34.857999999999997</v>
      </c>
      <c r="Y53" s="31">
        <f>Y45-Y47-Y49-Y51</f>
        <v>13.40000000000002</v>
      </c>
      <c r="Z53" s="31">
        <f>Z45-Z47-Z49-Z51</f>
        <v>19.999999999999986</v>
      </c>
      <c r="AA53" s="31">
        <f>AA45-AA47-AA49-AA51</f>
        <v>28.199999999999989</v>
      </c>
      <c r="AB53" s="30"/>
      <c r="AC53" s="51">
        <v>0.35</v>
      </c>
      <c r="AD53" s="52" t="s">
        <v>48</v>
      </c>
      <c r="AE53" s="20"/>
      <c r="AF53" s="2"/>
      <c r="AG53" s="2"/>
      <c r="AH53" s="5"/>
      <c r="AI53" s="48"/>
      <c r="AJ53" s="6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2:46" ht="15.75" customHeight="1">
      <c r="D54" s="2"/>
      <c r="E54" s="29" t="s">
        <v>49</v>
      </c>
      <c r="F54" s="31"/>
      <c r="G54" s="31"/>
      <c r="H54" s="30">
        <v>0</v>
      </c>
      <c r="I54" s="30">
        <v>0</v>
      </c>
      <c r="J54" s="30"/>
      <c r="K54" s="30"/>
      <c r="L54" s="30"/>
      <c r="M54" s="30"/>
      <c r="N54" s="30">
        <v>0</v>
      </c>
      <c r="O54" s="30"/>
      <c r="P54" s="30"/>
      <c r="Q54" s="30"/>
      <c r="R54" s="30"/>
      <c r="S54" s="30">
        <v>0</v>
      </c>
      <c r="T54" s="30"/>
      <c r="U54" s="30"/>
      <c r="V54" s="30"/>
      <c r="W54" s="30"/>
      <c r="X54" s="30">
        <v>0</v>
      </c>
      <c r="Y54" s="30">
        <v>0</v>
      </c>
      <c r="Z54" s="30">
        <v>0</v>
      </c>
      <c r="AA54" s="30">
        <v>0</v>
      </c>
      <c r="AB54" s="30"/>
      <c r="AC54" s="62">
        <f>(AC62*AC46)/X42</f>
        <v>1.1186049624308487</v>
      </c>
      <c r="AD54" s="52" t="s">
        <v>50</v>
      </c>
      <c r="AE54" s="20"/>
      <c r="AF54" s="2"/>
      <c r="AG54" s="2"/>
      <c r="AH54" s="5"/>
      <c r="AI54" s="48"/>
      <c r="AJ54" s="6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2:46" ht="15.75" customHeight="1">
      <c r="D55" s="2"/>
      <c r="E55" s="29" t="s">
        <v>51</v>
      </c>
      <c r="F55" s="31"/>
      <c r="G55" s="31"/>
      <c r="H55" s="30">
        <f>H53-H54</f>
        <v>0</v>
      </c>
      <c r="I55" s="30">
        <f>I53-I54</f>
        <v>-1</v>
      </c>
      <c r="J55" s="30"/>
      <c r="K55" s="30"/>
      <c r="L55" s="30"/>
      <c r="M55" s="30"/>
      <c r="N55" s="30">
        <f t="shared" ref="N55:AA55" si="33">N53-N54</f>
        <v>3</v>
      </c>
      <c r="O55" s="30"/>
      <c r="P55" s="30"/>
      <c r="Q55" s="30"/>
      <c r="R55" s="30"/>
      <c r="S55" s="30">
        <f>S53-S54</f>
        <v>3.7999999999999972</v>
      </c>
      <c r="T55" s="30"/>
      <c r="U55" s="30"/>
      <c r="V55" s="30"/>
      <c r="W55" s="30"/>
      <c r="X55" s="30">
        <f>X53-X54</f>
        <v>34.857999999999997</v>
      </c>
      <c r="Y55" s="30">
        <f t="shared" si="33"/>
        <v>13.40000000000002</v>
      </c>
      <c r="Z55" s="30">
        <f t="shared" si="33"/>
        <v>19.999999999999986</v>
      </c>
      <c r="AA55" s="30">
        <f t="shared" si="33"/>
        <v>28.199999999999989</v>
      </c>
      <c r="AB55" s="30"/>
      <c r="AC55" s="63">
        <v>20</v>
      </c>
      <c r="AD55" s="52" t="s">
        <v>52</v>
      </c>
      <c r="AE55" s="20"/>
      <c r="AF55" s="2"/>
      <c r="AG55" s="2"/>
      <c r="AH55" s="5"/>
      <c r="AI55" s="60"/>
      <c r="AJ55" s="6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2:46" ht="15.75" customHeight="1">
      <c r="D56" s="2"/>
      <c r="E56" s="29" t="s">
        <v>53</v>
      </c>
      <c r="F56" s="30"/>
      <c r="G56" s="30"/>
      <c r="H56" s="30">
        <f>$AC55*H55</f>
        <v>0</v>
      </c>
      <c r="I56" s="30">
        <f>$AC55*I55</f>
        <v>-20</v>
      </c>
      <c r="J56" s="30"/>
      <c r="K56" s="30"/>
      <c r="L56" s="30"/>
      <c r="M56" s="30"/>
      <c r="N56" s="30">
        <f>$AC55*N55</f>
        <v>60</v>
      </c>
      <c r="O56" s="30"/>
      <c r="P56" s="30"/>
      <c r="Q56" s="30"/>
      <c r="R56" s="30"/>
      <c r="S56" s="30">
        <f>$AC55*S55</f>
        <v>75.999999999999943</v>
      </c>
      <c r="T56" s="30"/>
      <c r="U56" s="30"/>
      <c r="V56" s="30"/>
      <c r="W56" s="30"/>
      <c r="X56" s="30">
        <f>$AC55*X55</f>
        <v>697.16</v>
      </c>
      <c r="Y56" s="30">
        <f>$AC55*Y55</f>
        <v>268.0000000000004</v>
      </c>
      <c r="Z56" s="30">
        <f>$AC55*Z55</f>
        <v>399.99999999999972</v>
      </c>
      <c r="AA56" s="30">
        <f>$AC55*AA55</f>
        <v>563.99999999999977</v>
      </c>
      <c r="AB56" s="30"/>
      <c r="AC56" s="51">
        <v>0.15</v>
      </c>
      <c r="AD56" s="52" t="s">
        <v>54</v>
      </c>
      <c r="AE56" s="20"/>
      <c r="AF56" s="2"/>
      <c r="AG56" s="2"/>
      <c r="AH56" s="5"/>
      <c r="AI56" s="61"/>
      <c r="AJ56" s="6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2:46" ht="15.75" customHeight="1">
      <c r="D57" s="2"/>
      <c r="E57" s="29" t="s">
        <v>55</v>
      </c>
      <c r="F57" s="30"/>
      <c r="G57" s="30"/>
      <c r="H57" s="30">
        <f>AB49-AB52</f>
        <v>0</v>
      </c>
      <c r="I57" s="30">
        <v>0</v>
      </c>
      <c r="J57" s="30"/>
      <c r="K57" s="30"/>
      <c r="L57" s="30"/>
      <c r="M57" s="30"/>
      <c r="N57" s="30">
        <f>AC49</f>
        <v>39</v>
      </c>
      <c r="O57" s="30"/>
      <c r="P57" s="30"/>
      <c r="Q57" s="30"/>
      <c r="R57" s="30"/>
      <c r="S57" s="30">
        <f>N57+S53</f>
        <v>42.8</v>
      </c>
      <c r="T57" s="30"/>
      <c r="U57" s="30"/>
      <c r="V57" s="30"/>
      <c r="W57" s="30"/>
      <c r="X57" s="30">
        <f>S57+X53</f>
        <v>77.657999999999987</v>
      </c>
      <c r="Y57" s="30">
        <f>X57+Y53</f>
        <v>91.058000000000007</v>
      </c>
      <c r="Z57" s="30">
        <f>Y57+Z53</f>
        <v>111.05799999999999</v>
      </c>
      <c r="AA57" s="30">
        <f>Z57+AA53</f>
        <v>139.25799999999998</v>
      </c>
      <c r="AB57" s="30"/>
      <c r="AC57" s="54"/>
      <c r="AD57" s="20"/>
      <c r="AE57" s="20"/>
      <c r="AF57" s="2"/>
      <c r="AG57" s="2"/>
      <c r="AH57" s="5"/>
      <c r="AI57" s="48"/>
      <c r="AJ57" s="6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2:46" ht="15.75" customHeight="1">
      <c r="D58" s="2"/>
      <c r="E58" s="29" t="s">
        <v>56</v>
      </c>
      <c r="F58" s="64"/>
      <c r="G58" s="64"/>
      <c r="H58" s="64">
        <v>14</v>
      </c>
      <c r="I58" s="64">
        <v>14</v>
      </c>
      <c r="J58" s="64"/>
      <c r="K58" s="64"/>
      <c r="L58" s="64"/>
      <c r="M58" s="64"/>
      <c r="N58" s="64">
        <v>14</v>
      </c>
      <c r="O58" s="64"/>
      <c r="P58" s="64"/>
      <c r="Q58" s="64"/>
      <c r="R58" s="64"/>
      <c r="S58" s="64">
        <f>AC46</f>
        <v>13.799999999999999</v>
      </c>
      <c r="T58" s="64"/>
      <c r="U58" s="64"/>
      <c r="V58" s="64"/>
      <c r="W58" s="64"/>
      <c r="X58" s="64">
        <f>AC46</f>
        <v>13.799999999999999</v>
      </c>
      <c r="Y58" s="64">
        <f>X58*(1+$AC$47)</f>
        <v>13.937999999999999</v>
      </c>
      <c r="Z58" s="64">
        <f>Y58*(1+$AC$47)</f>
        <v>14.07738</v>
      </c>
      <c r="AA58" s="64">
        <f>Z58*(1+$AC$47)</f>
        <v>14.2181538</v>
      </c>
      <c r="AB58" s="64"/>
      <c r="AC58" s="54"/>
      <c r="AD58" s="20"/>
      <c r="AE58" s="20"/>
      <c r="AF58" s="2"/>
      <c r="AG58" s="2"/>
      <c r="AH58" s="5"/>
      <c r="AI58" s="5"/>
      <c r="AJ58" s="6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2:46" ht="15.75" customHeight="1">
      <c r="B59" s="118"/>
      <c r="D59" s="2"/>
      <c r="E59" s="29" t="s">
        <v>57</v>
      </c>
      <c r="F59" s="30"/>
      <c r="G59" s="30"/>
      <c r="H59" s="30"/>
      <c r="I59" s="31">
        <f t="shared" ref="I59:AA59" si="34">I56/I58</f>
        <v>-1.4285714285714286</v>
      </c>
      <c r="J59" s="31"/>
      <c r="K59" s="31"/>
      <c r="L59" s="31"/>
      <c r="M59" s="31"/>
      <c r="N59" s="31">
        <f t="shared" si="34"/>
        <v>4.2857142857142856</v>
      </c>
      <c r="O59" s="31"/>
      <c r="P59" s="31"/>
      <c r="Q59" s="31"/>
      <c r="R59" s="31"/>
      <c r="S59" s="31">
        <f t="shared" si="34"/>
        <v>5.5072463768115902</v>
      </c>
      <c r="T59" s="31"/>
      <c r="U59" s="31"/>
      <c r="V59" s="31"/>
      <c r="W59" s="31"/>
      <c r="X59" s="31">
        <f>X56/X58</f>
        <v>50.518840579710144</v>
      </c>
      <c r="Y59" s="31">
        <f>Y56/Y58</f>
        <v>19.228009757497517</v>
      </c>
      <c r="Z59" s="31">
        <f>Z56/Z58</f>
        <v>28.414378243678847</v>
      </c>
      <c r="AA59" s="31">
        <f t="shared" si="34"/>
        <v>39.667597350086325</v>
      </c>
      <c r="AB59" s="30"/>
      <c r="AC59" s="54"/>
      <c r="AD59" s="20"/>
      <c r="AE59" s="20"/>
      <c r="AF59" s="2"/>
      <c r="AG59" s="2"/>
      <c r="AH59" s="157"/>
      <c r="AI59" s="158"/>
      <c r="AJ59" s="6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2:46" ht="15.75" hidden="1" customHeight="1">
      <c r="D60" s="2"/>
      <c r="E60" s="29" t="s">
        <v>58</v>
      </c>
      <c r="F60" s="65"/>
      <c r="G60" s="65"/>
      <c r="H60" s="65">
        <v>1.35</v>
      </c>
      <c r="I60" s="65">
        <v>1.35</v>
      </c>
      <c r="J60" s="65"/>
      <c r="K60" s="65"/>
      <c r="L60" s="65"/>
      <c r="M60" s="65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54"/>
      <c r="AD60" s="20"/>
      <c r="AE60" s="20"/>
      <c r="AF60" s="2"/>
      <c r="AG60" s="2"/>
      <c r="AH60" s="5"/>
      <c r="AI60" s="6"/>
      <c r="AJ60" s="6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2:46" ht="15.75" hidden="1" customHeight="1">
      <c r="D61" s="2"/>
      <c r="E61" s="29" t="s">
        <v>59</v>
      </c>
      <c r="F61" s="64"/>
      <c r="G61" s="64"/>
      <c r="H61" s="64">
        <f>$AC$45/H60</f>
        <v>67.629629629629619</v>
      </c>
      <c r="I61" s="64">
        <f>$AC$45/I60</f>
        <v>67.629629629629619</v>
      </c>
      <c r="J61" s="64"/>
      <c r="K61" s="64"/>
      <c r="L61" s="64"/>
      <c r="M61" s="64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54"/>
      <c r="AD61" s="20"/>
      <c r="AE61" s="20"/>
      <c r="AF61" s="2"/>
      <c r="AG61" s="2"/>
      <c r="AH61" s="5"/>
      <c r="AI61" s="6"/>
      <c r="AJ61" s="6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2:46" ht="15.75" customHeight="1">
      <c r="D62" s="2"/>
      <c r="E62" s="29" t="s">
        <v>60</v>
      </c>
      <c r="F62" s="30"/>
      <c r="G62" s="30"/>
      <c r="H62" s="30">
        <f>(PV($AC$56,3, ,S56)*-1)</f>
        <v>49.971233664831075</v>
      </c>
      <c r="I62" s="30">
        <f>(PV($AC$56,3, ,X56)*-1)</f>
        <v>458.39401660228498</v>
      </c>
      <c r="J62" s="30"/>
      <c r="K62" s="30"/>
      <c r="L62" s="30"/>
      <c r="M62" s="30"/>
      <c r="N62" s="30">
        <f>(PV($AC$56,3, ,Y56)*-1)</f>
        <v>176.21435029177314</v>
      </c>
      <c r="O62" s="30"/>
      <c r="P62" s="30"/>
      <c r="Q62" s="30"/>
      <c r="R62" s="30"/>
      <c r="S62" s="30">
        <f>(PV($AC$56,3, ,Z56)*-1)</f>
        <v>263.00649297279517</v>
      </c>
      <c r="T62" s="30"/>
      <c r="U62" s="30"/>
      <c r="V62" s="30"/>
      <c r="W62" s="30"/>
      <c r="X62" s="30">
        <f>(PV($AC$56,3, ,AA56)*-1)</f>
        <v>370.83915509164132</v>
      </c>
      <c r="Y62" s="2"/>
      <c r="Z62" s="2"/>
      <c r="AA62" s="2"/>
      <c r="AB62" s="2"/>
      <c r="AC62" s="53">
        <f>S65</f>
        <v>24.349922515523694</v>
      </c>
      <c r="AD62" s="52" t="s">
        <v>1</v>
      </c>
      <c r="AE62" s="20"/>
      <c r="AF62" s="2"/>
      <c r="AG62" s="2"/>
      <c r="AH62" s="5"/>
      <c r="AI62" s="6"/>
      <c r="AJ62" s="6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2:46" ht="15.75" customHeight="1">
      <c r="D63" s="2"/>
      <c r="E63" s="29" t="s">
        <v>61</v>
      </c>
      <c r="F63" s="30"/>
      <c r="G63" s="30"/>
      <c r="H63" s="30">
        <f>(PV($AC$56,3, ,S57)*-1)</f>
        <v>28.141694748089101</v>
      </c>
      <c r="I63" s="30">
        <f>(PV($AC$56,3, ,X57)*-1)</f>
        <v>51.061395578203346</v>
      </c>
      <c r="J63" s="30"/>
      <c r="K63" s="30"/>
      <c r="L63" s="30"/>
      <c r="M63" s="30"/>
      <c r="N63" s="30">
        <f>(PV($AC$56,3, ,Y57)*-1)</f>
        <v>59.872113092791999</v>
      </c>
      <c r="O63" s="30"/>
      <c r="P63" s="30"/>
      <c r="Q63" s="30"/>
      <c r="R63" s="30"/>
      <c r="S63" s="30">
        <f>(PV($AC$56,3, ,Z57)*-1)</f>
        <v>73.022437741431759</v>
      </c>
      <c r="T63" s="30"/>
      <c r="U63" s="30"/>
      <c r="V63" s="30"/>
      <c r="W63" s="30"/>
      <c r="X63" s="30">
        <f>(PV($AC$56,3, ,AA57)*-1)</f>
        <v>91.56439549601383</v>
      </c>
      <c r="Y63" s="2"/>
      <c r="Z63" s="2"/>
      <c r="AA63" s="2"/>
      <c r="AB63" s="2"/>
      <c r="AC63" s="66">
        <f>(AC62-AC45)/AC45</f>
        <v>-0.73329767233818521</v>
      </c>
      <c r="AD63" s="67" t="s">
        <v>62</v>
      </c>
      <c r="AE63" s="20"/>
      <c r="AF63" s="2"/>
      <c r="AG63" s="2"/>
      <c r="AH63" s="5"/>
      <c r="AI63" s="6"/>
      <c r="AJ63" s="6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2:46" ht="15.75" customHeight="1">
      <c r="D64" s="2"/>
      <c r="E64" s="29" t="s">
        <v>63</v>
      </c>
      <c r="F64" s="30"/>
      <c r="G64" s="30"/>
      <c r="H64" s="30">
        <f>H62+H63</f>
        <v>78.112928412920184</v>
      </c>
      <c r="I64" s="30">
        <f>I62+I63</f>
        <v>509.45541218048834</v>
      </c>
      <c r="J64" s="30"/>
      <c r="K64" s="30"/>
      <c r="L64" s="30"/>
      <c r="M64" s="30"/>
      <c r="N64" s="30">
        <f>N62+N63</f>
        <v>236.08646338456515</v>
      </c>
      <c r="O64" s="30"/>
      <c r="P64" s="30"/>
      <c r="Q64" s="30"/>
      <c r="R64" s="30"/>
      <c r="S64" s="30">
        <f>S62+S63</f>
        <v>336.02893071422693</v>
      </c>
      <c r="T64" s="30"/>
      <c r="U64" s="30"/>
      <c r="V64" s="30"/>
      <c r="W64" s="30"/>
      <c r="X64" s="30">
        <f>X62+X63</f>
        <v>462.40355058765516</v>
      </c>
      <c r="Y64" s="2"/>
      <c r="Z64" s="2"/>
      <c r="AA64" s="2"/>
      <c r="AB64" s="2"/>
      <c r="AC64" s="19"/>
      <c r="AD64" s="42"/>
      <c r="AE64" s="20"/>
      <c r="AF64" s="2"/>
      <c r="AG64" s="2"/>
      <c r="AH64" s="5"/>
      <c r="AI64" s="6"/>
      <c r="AJ64" s="6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4:46" ht="15.75" customHeight="1">
      <c r="D65" s="2"/>
      <c r="E65" s="68" t="s">
        <v>64</v>
      </c>
      <c r="F65" s="69"/>
      <c r="G65" s="69"/>
      <c r="H65" s="69"/>
      <c r="I65" s="69">
        <f>I64/I58</f>
        <v>36.389672298606307</v>
      </c>
      <c r="J65" s="69"/>
      <c r="K65" s="69"/>
      <c r="L65" s="69"/>
      <c r="M65" s="69"/>
      <c r="N65" s="69">
        <f>N64/N58</f>
        <v>16.863318813183223</v>
      </c>
      <c r="O65" s="69"/>
      <c r="P65" s="69"/>
      <c r="Q65" s="69"/>
      <c r="R65" s="69"/>
      <c r="S65" s="69">
        <f>S64/S58</f>
        <v>24.349922515523694</v>
      </c>
      <c r="T65" s="69"/>
      <c r="U65" s="69"/>
      <c r="V65" s="69"/>
      <c r="W65" s="69"/>
      <c r="X65" s="69">
        <f>X64/X58</f>
        <v>33.507503665772113</v>
      </c>
      <c r="Y65" s="70"/>
      <c r="Z65" s="70"/>
      <c r="AA65" s="70"/>
      <c r="AB65" s="70"/>
      <c r="AC65" s="71"/>
      <c r="AD65" s="72"/>
      <c r="AE65" s="73"/>
      <c r="AF65" s="2"/>
      <c r="AG65" s="2"/>
      <c r="AH65" s="5"/>
      <c r="AI65" s="6"/>
      <c r="AJ65" s="6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4:46" ht="15.75" customHeight="1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5"/>
      <c r="AI66" s="6"/>
      <c r="AJ66" s="6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4:46" ht="15.75" customHeight="1">
      <c r="D67" s="5"/>
      <c r="E67" s="5"/>
      <c r="F67" s="5"/>
      <c r="G67" s="5"/>
      <c r="H67" s="74"/>
      <c r="I67" s="49"/>
      <c r="J67" s="49"/>
      <c r="K67" s="49"/>
      <c r="L67" s="49"/>
      <c r="M67" s="49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6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4:46" ht="15.75" customHeight="1">
      <c r="G68" s="75"/>
      <c r="AH68" s="5"/>
      <c r="AI68" s="6"/>
      <c r="AJ68" s="6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4:46" ht="15.75" customHeight="1">
      <c r="G69" s="75"/>
      <c r="AH69" s="5"/>
      <c r="AI69" s="6"/>
      <c r="AJ69" s="6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4:46" ht="15.75" customHeight="1">
      <c r="E70" s="76"/>
      <c r="G70" s="77"/>
      <c r="AH70" s="5"/>
      <c r="AI70" s="6"/>
      <c r="AJ70" s="6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4:46" ht="15.75" customHeight="1">
      <c r="AH71" s="5"/>
      <c r="AI71" s="6"/>
      <c r="AJ71" s="6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4:46" ht="15.75" customHeight="1">
      <c r="E72" s="78"/>
      <c r="AC72" s="77"/>
      <c r="AD72" s="77"/>
      <c r="AH72" s="5"/>
      <c r="AI72" s="6"/>
      <c r="AJ72" s="6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4:46" ht="15.75" customHeight="1"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7"/>
      <c r="AD73" s="77"/>
      <c r="AH73" s="5"/>
      <c r="AI73" s="6"/>
      <c r="AJ73" s="6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4:46" ht="15.75" customHeight="1"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7"/>
      <c r="AD74" s="77"/>
      <c r="AH74" s="5"/>
      <c r="AI74" s="6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4:46" ht="15.75" customHeight="1"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H75" s="5"/>
      <c r="AI75" s="6"/>
      <c r="AJ75" s="6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4:46" ht="15.75" customHeight="1"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H76" s="5"/>
      <c r="AI76" s="6"/>
      <c r="AJ76" s="6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4:46" ht="15.75" hidden="1" customHeight="1"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77"/>
      <c r="AH77" s="5"/>
      <c r="AI77" s="6"/>
      <c r="AJ77" s="6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4:46" ht="15.75" hidden="1" customHeight="1">
      <c r="F78" s="81"/>
      <c r="G78" s="81"/>
      <c r="H78" s="81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5"/>
      <c r="AH78" s="5"/>
      <c r="AI78" s="6"/>
      <c r="AJ78" s="6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4:46" ht="15.75" customHeight="1"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2"/>
      <c r="AH79" s="5"/>
      <c r="AI79" s="6"/>
      <c r="AJ79" s="6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4:46" ht="15.75" customHeight="1"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79"/>
      <c r="AC80" s="77"/>
      <c r="AH80" s="5"/>
      <c r="AI80" s="6"/>
      <c r="AJ80" s="6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6:46" ht="15.75" customHeight="1"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79"/>
      <c r="AH81" s="5"/>
      <c r="AI81" s="6"/>
      <c r="AJ81" s="6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6:46" ht="15.75" customHeight="1"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79"/>
      <c r="AC82" s="79"/>
      <c r="AH82" s="5"/>
      <c r="AI82" s="6"/>
      <c r="AJ82" s="6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6:46" ht="15.75" customHeight="1"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79"/>
      <c r="AH83" s="5"/>
      <c r="AI83" s="6"/>
      <c r="AJ83" s="6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6:46" ht="15.75" customHeight="1"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79"/>
      <c r="AC84" s="79"/>
      <c r="AH84" s="5"/>
      <c r="AI84" s="6"/>
      <c r="AJ84" s="6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6:46" ht="15.75" customHeight="1"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79"/>
      <c r="AH85" s="5"/>
      <c r="AI85" s="6"/>
      <c r="AJ85" s="6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6:46" ht="15.75" customHeight="1"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7"/>
      <c r="AH86" s="5"/>
      <c r="AI86" s="6"/>
      <c r="AJ86" s="6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6:46" ht="15.75" customHeight="1"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H87" s="5"/>
      <c r="AI87" s="6"/>
      <c r="AJ87" s="6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6:46" ht="15.75" customHeight="1"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7"/>
      <c r="AH88" s="5"/>
      <c r="AI88" s="6"/>
      <c r="AJ88" s="6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6:46" ht="15.75" customHeight="1"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H89" s="5"/>
      <c r="AI89" s="6"/>
      <c r="AJ89" s="6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6:46" ht="15.75" customHeight="1"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H90" s="5"/>
      <c r="AI90" s="6"/>
      <c r="AJ90" s="6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6:46" ht="15.75" customHeight="1"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H91" s="5"/>
      <c r="AI91" s="6"/>
      <c r="AJ91" s="6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6:46" ht="15.75" customHeight="1">
      <c r="F92" s="75"/>
      <c r="G92" s="75"/>
      <c r="H92" s="75"/>
      <c r="I92" s="75"/>
      <c r="J92" s="75"/>
      <c r="K92" s="75"/>
      <c r="L92" s="75"/>
      <c r="M92" s="75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H92" s="5"/>
      <c r="AI92" s="6"/>
      <c r="AJ92" s="6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6:46" ht="15.75" customHeight="1">
      <c r="F93" s="82"/>
      <c r="G93" s="82"/>
      <c r="H93" s="82"/>
      <c r="I93" s="82"/>
      <c r="J93" s="82"/>
      <c r="K93" s="82"/>
      <c r="L93" s="82"/>
      <c r="M93" s="82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H93" s="5"/>
      <c r="AI93" s="6"/>
      <c r="AJ93" s="6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6:46" ht="15.75" customHeight="1"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AC94" s="75"/>
      <c r="AH94" s="5"/>
      <c r="AI94" s="6"/>
      <c r="AJ94" s="6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6:46" ht="15.75" customHeight="1"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AC95" s="77"/>
      <c r="AH95" s="5"/>
      <c r="AI95" s="6"/>
      <c r="AJ95" s="6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6:46" ht="15.75" customHeight="1"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AC96" s="77"/>
      <c r="AH96" s="5"/>
      <c r="AI96" s="6"/>
      <c r="AJ96" s="6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4:46" ht="15.75" customHeight="1"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H97" s="5"/>
      <c r="AI97" s="6"/>
      <c r="AJ97" s="6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4:46" ht="15.75" customHeight="1">
      <c r="AH98" s="5"/>
      <c r="AI98" s="6"/>
      <c r="AJ98" s="6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4:46" ht="15.75" customHeight="1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2"/>
      <c r="AG99" s="5"/>
      <c r="AH99" s="5"/>
      <c r="AI99" s="6"/>
      <c r="AJ99" s="6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4:46" ht="15.75" customHeight="1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6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4:46" ht="15.75" customHeight="1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6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4:46" ht="15.75" customHeight="1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6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4:46" ht="15.75" customHeight="1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6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4:46" ht="15.75" customHeight="1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6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4:46" ht="15.75" customHeight="1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6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4:46" ht="15.75" customHeight="1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6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4:46" ht="15.75" customHeight="1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6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4:46" ht="15.75" customHeight="1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6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4:46" ht="15.75" customHeight="1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6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4:46" ht="15.75" customHeight="1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6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4:46" ht="15.75" customHeight="1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6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4:46" ht="15.75" customHeight="1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6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4:46" ht="15.75" customHeight="1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6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4:46" ht="15.75" customHeight="1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6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4:46" ht="15.75" customHeight="1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6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4:46" ht="15.75" customHeight="1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6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4:46" ht="15.75" customHeight="1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6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4:46" ht="15.75" customHeight="1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6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4:46" ht="15.75" customHeight="1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6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4:46" ht="15.75" customHeight="1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6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4:46" ht="15.75" customHeight="1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6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4:46" ht="15.75" customHeight="1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6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4:46" ht="15.75" customHeight="1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6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4:46" ht="15.75" customHeight="1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4:46" ht="15.75" customHeight="1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6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4:46" ht="15.75" customHeight="1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6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4:46" ht="15.75" customHeight="1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6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4:46" ht="15.75" customHeight="1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6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4:46" ht="15.75" customHeight="1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6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4:46" ht="15.75" customHeight="1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6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4:46" ht="15.75" customHeight="1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6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4:46" ht="15.75" customHeight="1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6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4:46" ht="15.75" customHeight="1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6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4:46" ht="15.75" customHeight="1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6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4:46" ht="15.75" customHeight="1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6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4:46" ht="15.75" customHeight="1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6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4:46" ht="15.75" customHeight="1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6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4:46" ht="15.75" customHeight="1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6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4:46" ht="15.75" customHeight="1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6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4:46" ht="15.75" customHeight="1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6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4:46" ht="15.75" customHeight="1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6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4:46" ht="15.75" customHeight="1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6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4:46" ht="15.75" customHeight="1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6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4:46" ht="15.75" customHeight="1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6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4:46" ht="15.75" customHeight="1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6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4:46" ht="15.75" customHeight="1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6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4:46" ht="15.75" customHeight="1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6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4:46" ht="15.75" customHeight="1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6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4:46" ht="15.75" customHeight="1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6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4:46" ht="15.75" customHeight="1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6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4:46" ht="15.75" customHeight="1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6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4:46" ht="15.75" customHeight="1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6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4:46" ht="15.75" customHeight="1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6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4:46" ht="15.75" customHeight="1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6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4:46" ht="15.75" customHeight="1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6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4:46" ht="15.75" customHeight="1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6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4:46" ht="15.75" customHeight="1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6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4:46" ht="15.75" customHeight="1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6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4:46" ht="15.75" customHeight="1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6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4:46" ht="15.75" customHeight="1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6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4:46" ht="15.75" customHeight="1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6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4:46" ht="15.75" customHeight="1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6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4:46" ht="15.75" customHeight="1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6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4:46" ht="15.75" customHeight="1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6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4:46" ht="15.75" customHeight="1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6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4:46" ht="15.75" customHeight="1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6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4:46" ht="15.75" customHeight="1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6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4:46" ht="15.75" customHeight="1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6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4:46" ht="15.75" customHeight="1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6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4:46" ht="15.75" customHeight="1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6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4:46" ht="15.75" customHeight="1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6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4:46" ht="15.75" customHeight="1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6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4:46" ht="15.75" customHeight="1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6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4:46" ht="15.75" customHeight="1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4:46" ht="15.75" customHeight="1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6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4:46" ht="15.75" customHeight="1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6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4:46" ht="15.75" customHeight="1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6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4:46" ht="15.75" customHeight="1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6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4:46" ht="15.75" customHeight="1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6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4:46" ht="15.75" customHeight="1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6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4:46" ht="15.75" customHeight="1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6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4:46" ht="15.75" customHeight="1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6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4:46" ht="15.75" customHeight="1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6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4:46" ht="15.75" customHeight="1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6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4:46" ht="15.75" customHeight="1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6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4:46" ht="15.75" customHeight="1"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6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4:46" ht="15.75" customHeight="1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6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4:46" ht="15.75" customHeight="1"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6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4:46" ht="15.75" customHeight="1"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6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4:46" ht="15.75" customHeight="1"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6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4:46" ht="15.75" customHeight="1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6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4:46" ht="15.75" customHeight="1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6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4:46" ht="15.75" customHeight="1"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6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4:46" ht="15.75" customHeight="1"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6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4:46" ht="15.75" customHeight="1"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6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4:46" ht="15.75" customHeight="1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6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4:46" ht="15.75" customHeight="1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6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4:46" ht="15.75" customHeight="1"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6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4:46" ht="15.75" customHeight="1"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6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4:46" ht="15.75" customHeight="1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6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4:46" ht="15.75" customHeight="1"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6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4:46" ht="15.75" customHeight="1"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6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4:46" ht="15.75" customHeight="1"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6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4:46" ht="15.75" customHeight="1"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6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4:46" ht="15.75" customHeight="1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6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4:46" ht="15.75" customHeight="1"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6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4:46" ht="15.75" customHeight="1"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6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4:46" ht="15.75" customHeight="1"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6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4:46" ht="15.75" customHeight="1"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6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4:46" ht="15.75" customHeight="1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6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4:46" ht="15.75" customHeight="1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6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4:46" ht="15.75" customHeight="1"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6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spans="4:46" ht="15.75" customHeight="1"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6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4:46" ht="15.75" customHeight="1"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6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spans="4:46" ht="15.75" customHeight="1"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6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spans="4:46" ht="15.75" customHeight="1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6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spans="4:46" ht="15.75" customHeight="1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6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spans="4:46" ht="15.75" customHeight="1"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6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4:46" ht="15.75" customHeight="1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6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spans="4:46" ht="15.75" customHeight="1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6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spans="4:46" ht="15.75" customHeight="1"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6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spans="4:46" ht="15.75" customHeight="1"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6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spans="4:46" ht="15.75" customHeight="1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6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4:46" ht="15.75" customHeight="1"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6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spans="4:46" ht="15.75" customHeight="1"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6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spans="4:46" ht="15.75" customHeight="1"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6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spans="4:46" ht="15.75" customHeight="1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6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spans="4:46" ht="15.75" customHeight="1"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6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spans="4:46" ht="15.75" customHeight="1"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6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4:46" ht="15.75" customHeight="1"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6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4:46" ht="15.75" customHeight="1"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6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4:46" ht="15.75" customHeight="1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6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spans="4:46" ht="15.75" customHeight="1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6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spans="4:46" ht="15.75" customHeight="1"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6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spans="4:46" ht="15.75" customHeight="1"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6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spans="4:46" ht="15.75" customHeight="1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6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4:46" ht="15.75" customHeight="1"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6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4:46" ht="15.75" customHeight="1"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6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spans="4:46" ht="15.75" customHeight="1"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6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spans="4:46" ht="15.75" customHeight="1"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6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spans="4:46" ht="15.75" customHeight="1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6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spans="4:46" ht="15.75" customHeight="1"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6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spans="4:46" ht="15.75" customHeight="1"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6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spans="4:46" ht="15.75" customHeight="1"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6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4:46" ht="15.75" customHeight="1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6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4:46" ht="15.75" customHeight="1"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6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4:46" ht="15.75" customHeight="1"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6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4:46" ht="15.75" customHeight="1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6"/>
      <c r="AJ248" s="6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4:46" ht="15.75" customHeight="1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6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4:46" ht="15.75" customHeight="1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6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4:46" ht="15.75" customHeight="1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6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4:46" ht="15.75" customHeight="1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6"/>
      <c r="AJ252" s="6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4:46" ht="15.75" customHeight="1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6"/>
      <c r="AJ253" s="6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4:46" ht="15.75" customHeight="1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6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4:46" ht="15.75" customHeight="1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6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4:46" ht="15.75" customHeight="1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6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4:46" ht="15.75" customHeight="1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6"/>
      <c r="AJ257" s="6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4:46" ht="15.75" customHeight="1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6"/>
      <c r="AJ258" s="6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4:46" ht="15.75" customHeight="1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6"/>
      <c r="AJ259" s="6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4:46" ht="15.75" customHeight="1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6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4:46" ht="15.75" customHeight="1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6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4:46" ht="15.75" customHeight="1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6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4:46" ht="15.75" customHeight="1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6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4:46" ht="15.75" customHeight="1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6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4:46" ht="15.75" customHeight="1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6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4:46" ht="15.75" customHeight="1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6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4:46" ht="15.75" customHeight="1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6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4:46" ht="15.75" customHeight="1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6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4:46" ht="15.75" customHeight="1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6"/>
      <c r="AJ269" s="6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4:46" ht="15.75" customHeight="1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6"/>
      <c r="AJ270" s="6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4:46" ht="15.75" customHeight="1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6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4:46" ht="15.75" customHeight="1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6"/>
      <c r="AJ272" s="6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4:46" ht="15.75" customHeight="1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6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4:46" ht="15.75" customHeight="1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4:46" ht="15.75" customHeight="1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6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4:46" ht="15.75" customHeight="1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6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4:46" ht="15.75" customHeight="1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6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4:46" ht="15.75" customHeight="1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6"/>
      <c r="AJ278" s="6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4:46" ht="15.75" customHeight="1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6"/>
      <c r="AJ279" s="6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4:46" ht="15.75" customHeight="1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6"/>
      <c r="AJ280" s="6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4:46" ht="15.75" customHeight="1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6"/>
      <c r="AJ281" s="6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4:46" ht="15.75" customHeight="1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6"/>
      <c r="AJ282" s="6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4:46" ht="15.75" customHeight="1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6"/>
      <c r="AJ283" s="6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4:46" ht="15.75" customHeight="1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6"/>
      <c r="AJ284" s="6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4:46" ht="15.75" customHeight="1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6"/>
      <c r="AJ285" s="6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4:46" ht="15.75" customHeight="1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6"/>
      <c r="AJ286" s="6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4:46" ht="15.75" customHeight="1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6"/>
      <c r="AJ287" s="6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4:46" ht="15.75" customHeight="1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6"/>
      <c r="AJ288" s="6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4:46" ht="15.75" customHeight="1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6"/>
      <c r="AJ289" s="6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4:46" ht="15.75" customHeight="1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6"/>
      <c r="AJ290" s="6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4:46" ht="15.75" customHeight="1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6"/>
      <c r="AJ291" s="6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4:46" ht="15.75" customHeight="1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6"/>
      <c r="AJ292" s="6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4:46" ht="15.75" customHeight="1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6"/>
      <c r="AJ293" s="6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4:46" ht="15.75" customHeight="1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6"/>
      <c r="AJ294" s="6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4:46" ht="15.75" customHeight="1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6"/>
      <c r="AJ295" s="6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4:46" ht="15.75" customHeight="1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6"/>
      <c r="AJ296" s="6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4:46" ht="15.75" customHeight="1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6"/>
      <c r="AJ297" s="6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4:46" ht="15.75" customHeight="1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6"/>
      <c r="AJ298" s="6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4:46" ht="15.75" customHeight="1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6"/>
      <c r="AJ299" s="6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4:46" ht="15.75" customHeight="1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6"/>
      <c r="AJ300" s="6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4:46" ht="15.75" customHeight="1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6"/>
      <c r="AJ301" s="6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4:46" ht="15.75" customHeight="1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6"/>
      <c r="AJ302" s="6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4:46" ht="15.75" customHeight="1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6"/>
      <c r="AJ303" s="6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4:46" ht="15.75" customHeight="1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6"/>
      <c r="AJ304" s="6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4:46" ht="15.75" customHeight="1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6"/>
      <c r="AJ305" s="6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4:46" ht="15.75" customHeight="1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6"/>
      <c r="AJ306" s="6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4:46" ht="15.75" customHeight="1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6"/>
      <c r="AJ307" s="6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4:46" ht="15.75" customHeight="1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6"/>
      <c r="AJ308" s="6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4:46" ht="15.75" customHeight="1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6"/>
      <c r="AJ309" s="6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4:46" ht="15.75" customHeight="1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6"/>
      <c r="AJ310" s="6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4:46" ht="15.75" customHeight="1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6"/>
      <c r="AJ311" s="6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4:46" ht="15.75" customHeight="1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6"/>
      <c r="AJ312" s="6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4:46" ht="15.75" customHeight="1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6"/>
      <c r="AJ313" s="6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4:46" ht="15.75" customHeight="1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6"/>
      <c r="AJ314" s="6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4:46" ht="15.75" customHeight="1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6"/>
      <c r="AJ315" s="6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4:46" ht="15.75" customHeight="1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6"/>
      <c r="AJ316" s="6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4:46" ht="15.75" customHeight="1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6"/>
      <c r="AJ317" s="6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4:46" ht="15.75" customHeight="1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6"/>
      <c r="AJ318" s="6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4:46" ht="15.75" customHeight="1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6"/>
      <c r="AJ319" s="6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4:46" ht="15.75" customHeight="1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6"/>
      <c r="AJ320" s="6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4:46" ht="15.75" customHeight="1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6"/>
      <c r="AJ321" s="6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4:46" ht="15.75" customHeight="1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6"/>
      <c r="AJ322" s="6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4:46" ht="15.75" customHeight="1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6"/>
      <c r="AJ323" s="6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4:46" ht="15.75" customHeight="1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6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4:46" ht="15.75" customHeight="1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  <c r="AJ325" s="6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4:46" ht="15.75" customHeight="1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6"/>
      <c r="AJ326" s="6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4:46" ht="15.75" customHeight="1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6"/>
      <c r="AJ327" s="6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4:46" ht="15.75" customHeight="1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6"/>
      <c r="AJ328" s="6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4:46" ht="15.75" customHeight="1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6"/>
      <c r="AJ329" s="6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4:46" ht="15.75" customHeight="1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6"/>
      <c r="AJ330" s="6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4:46" ht="15.75" customHeight="1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6"/>
      <c r="AJ331" s="6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4:46" ht="15.75" customHeight="1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6"/>
      <c r="AJ332" s="6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4:46" ht="15.75" customHeight="1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6"/>
      <c r="AJ333" s="6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4:46" ht="15.75" customHeight="1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6"/>
      <c r="AJ334" s="6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4:46" ht="15.75" customHeight="1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  <c r="AJ335" s="6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4:46" ht="15.75" customHeight="1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6"/>
      <c r="AJ336" s="6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4:46" ht="15.75" customHeight="1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6"/>
      <c r="AJ337" s="6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4:46" ht="15.75" customHeight="1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6"/>
      <c r="AJ338" s="6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4:46" ht="15.75" customHeight="1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6"/>
      <c r="AJ339" s="6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4:46" ht="15.75" customHeight="1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6"/>
      <c r="AJ340" s="6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4:46" ht="15.75" customHeight="1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6"/>
      <c r="AJ341" s="6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4:46" ht="15.75" customHeight="1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6"/>
      <c r="AJ342" s="6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4:46" ht="15.75" customHeight="1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6"/>
      <c r="AJ343" s="6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4:46" ht="15.75" customHeight="1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6"/>
      <c r="AJ344" s="6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4:46" ht="15.75" customHeight="1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6"/>
      <c r="AJ345" s="6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4:46" ht="15.75" customHeight="1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6"/>
      <c r="AJ346" s="6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4:46" ht="15.75" customHeight="1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6"/>
      <c r="AJ347" s="6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4:46" ht="15.75" customHeight="1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6"/>
      <c r="AJ348" s="6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4:46" ht="15.75" customHeight="1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6"/>
      <c r="AJ349" s="6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4:46" ht="15.75" customHeight="1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6"/>
      <c r="AJ350" s="6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4:46" ht="15.75" customHeight="1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6"/>
      <c r="AJ351" s="6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4:46" ht="15.75" customHeight="1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6"/>
      <c r="AJ352" s="6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4:46" ht="15.75" customHeight="1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6"/>
      <c r="AJ353" s="6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4:46" ht="15.75" customHeight="1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6"/>
      <c r="AJ354" s="6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4:46" ht="15.75" customHeight="1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6"/>
      <c r="AJ355" s="6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4:46" ht="15.75" customHeight="1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6"/>
      <c r="AJ356" s="6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4:46" ht="15.75" customHeight="1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6"/>
      <c r="AJ357" s="6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4:46" ht="15.75" customHeight="1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6"/>
      <c r="AJ358" s="6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4:46" ht="15.75" customHeight="1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6"/>
      <c r="AJ359" s="6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4:46" ht="15.75" customHeight="1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6"/>
      <c r="AJ360" s="6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4:46" ht="15.75" customHeight="1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6"/>
      <c r="AJ361" s="6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4:46" ht="15.75" customHeight="1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6"/>
      <c r="AJ362" s="6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4:46" ht="15.75" customHeight="1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6"/>
      <c r="AJ363" s="6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4:46" ht="15.75" customHeight="1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6"/>
      <c r="AJ364" s="6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4:46" ht="15.75" customHeight="1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6"/>
      <c r="AJ365" s="6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4:46" ht="15.75" customHeight="1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6"/>
      <c r="AJ366" s="6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4:46" ht="15.75" customHeight="1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6"/>
      <c r="AJ367" s="6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4:46" ht="15.75" customHeight="1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6"/>
      <c r="AJ368" s="6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4:46" ht="15.75" customHeight="1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6"/>
      <c r="AJ369" s="6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4:46" ht="15.75" customHeight="1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6"/>
      <c r="AJ370" s="6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4:46" ht="15.75" customHeight="1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6"/>
      <c r="AJ371" s="6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4:46" ht="15.75" customHeight="1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6"/>
      <c r="AJ372" s="6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4:46" ht="15.75" customHeight="1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6"/>
      <c r="AJ373" s="6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4:46" ht="15.75" customHeight="1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6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4:46" ht="15.75" customHeight="1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6"/>
      <c r="AJ375" s="6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4:46" ht="15.75" customHeight="1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6"/>
      <c r="AJ376" s="6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4:46" ht="15.75" customHeight="1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6"/>
      <c r="AJ377" s="6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4:46" ht="15.75" customHeight="1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6"/>
      <c r="AJ378" s="6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4:46" ht="15.75" customHeight="1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6"/>
      <c r="AJ379" s="6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4:46" ht="15.75" customHeight="1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6"/>
      <c r="AJ380" s="6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4:46" ht="15.75" customHeight="1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6"/>
      <c r="AJ381" s="6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4:46" ht="15.75" customHeight="1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6"/>
      <c r="AJ382" s="6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4:46" ht="15.75" customHeight="1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6"/>
      <c r="AJ383" s="6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4:46" ht="15.75" customHeight="1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6"/>
      <c r="AJ384" s="6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4:46" ht="15.75" customHeight="1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6"/>
      <c r="AJ385" s="6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4:46" ht="15.75" customHeight="1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6"/>
      <c r="AJ386" s="6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4:46" ht="15.75" customHeight="1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6"/>
      <c r="AJ387" s="6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4:46" ht="15.75" customHeight="1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6"/>
      <c r="AJ388" s="6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4:46" ht="15.75" customHeight="1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6"/>
      <c r="AJ389" s="6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4:46" ht="15.75" customHeight="1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6"/>
      <c r="AJ390" s="6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4:46" ht="15.75" customHeight="1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6"/>
      <c r="AJ391" s="6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4:46" ht="15.75" customHeight="1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6"/>
      <c r="AJ392" s="6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4:46" ht="15.75" customHeight="1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6"/>
      <c r="AJ393" s="6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4:46" ht="15.75" customHeight="1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6"/>
      <c r="AJ394" s="6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4:46" ht="15.75" customHeight="1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6"/>
      <c r="AJ395" s="6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4:46" ht="15.75" customHeight="1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6"/>
      <c r="AJ396" s="6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4:46" ht="15.75" customHeight="1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6"/>
      <c r="AJ397" s="6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4:46" ht="15.75" customHeight="1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6"/>
      <c r="AJ398" s="6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4:46" ht="15.75" customHeight="1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6"/>
      <c r="AJ399" s="6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4:46" ht="15.75" customHeight="1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6"/>
      <c r="AJ400" s="6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4:46" ht="15.75" customHeight="1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6"/>
      <c r="AJ401" s="6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4:46" ht="15.75" customHeight="1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6"/>
      <c r="AJ402" s="6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4:46" ht="15.75" customHeight="1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6"/>
      <c r="AJ403" s="6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4:46" ht="15.75" customHeight="1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6"/>
      <c r="AJ404" s="6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4:46" ht="15.75" customHeight="1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6"/>
      <c r="AJ405" s="6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4:46" ht="15.75" customHeight="1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6"/>
      <c r="AJ406" s="6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4:46" ht="15.75" customHeight="1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6"/>
      <c r="AJ407" s="6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4:46" ht="15.75" customHeight="1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6"/>
      <c r="AJ408" s="6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4:46" ht="15.75" customHeight="1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6"/>
      <c r="AJ409" s="6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4:46" ht="15.75" customHeight="1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6"/>
      <c r="AJ410" s="6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4:46" ht="15.75" customHeight="1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6"/>
      <c r="AJ411" s="6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4:46" ht="15.75" customHeight="1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6"/>
      <c r="AJ412" s="6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4:46" ht="15.75" customHeight="1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6"/>
      <c r="AJ413" s="6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4:46" ht="15.75" customHeight="1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6"/>
      <c r="AJ414" s="6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4:46" ht="15.75" customHeight="1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6"/>
      <c r="AJ415" s="6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4:46" ht="15.75" customHeight="1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6"/>
      <c r="AJ416" s="6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4:46" ht="15.75" customHeight="1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6"/>
      <c r="AJ417" s="6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4:46" ht="15.75" customHeight="1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6"/>
      <c r="AJ418" s="6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4:46" ht="15.75" customHeight="1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6"/>
      <c r="AJ419" s="6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4:46" ht="15.75" customHeight="1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6"/>
      <c r="AJ420" s="6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4:46" ht="15.75" customHeight="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6"/>
      <c r="AJ421" s="6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4:46" ht="15.75" customHeight="1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6"/>
      <c r="AJ422" s="6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4:46" ht="15.75" customHeight="1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6"/>
      <c r="AJ423" s="6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4:46" ht="15.75" customHeight="1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6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4:46" ht="15.75" customHeight="1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6"/>
      <c r="AJ425" s="6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4:46" ht="15.75" customHeight="1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6"/>
      <c r="AJ426" s="6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4:46" ht="15.75" customHeight="1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6"/>
      <c r="AJ427" s="6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4:46" ht="15.75" customHeight="1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6"/>
      <c r="AJ428" s="6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4:46" ht="15.75" customHeight="1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6"/>
      <c r="AJ429" s="6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4:46" ht="15.75" customHeight="1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6"/>
      <c r="AJ430" s="6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4:46" ht="15.75" customHeight="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6"/>
      <c r="AJ431" s="6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4:46" ht="15.75" customHeight="1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6"/>
      <c r="AJ432" s="6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4:46" ht="15.75" customHeight="1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6"/>
      <c r="AJ433" s="6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4:46" ht="15.75" customHeight="1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6"/>
      <c r="AJ434" s="6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4:46" ht="15.75" customHeight="1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6"/>
      <c r="AJ435" s="6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4:46" ht="15.75" customHeight="1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6"/>
      <c r="AJ436" s="6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4:46" ht="15.75" customHeight="1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6"/>
      <c r="AJ437" s="6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4:46" ht="15.75" customHeight="1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6"/>
      <c r="AJ438" s="6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4:46" ht="15.75" customHeight="1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6"/>
      <c r="AJ439" s="6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4:46" ht="15.75" customHeight="1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6"/>
      <c r="AJ440" s="6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4:46" ht="15.75" customHeight="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6"/>
      <c r="AJ441" s="6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4:46" ht="15.75" customHeight="1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6"/>
      <c r="AJ442" s="6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4:46" ht="15.75" customHeight="1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"/>
      <c r="AJ443" s="6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4:46" ht="15.75" customHeight="1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6"/>
      <c r="AJ444" s="6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4:46" ht="15.75" customHeight="1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6"/>
      <c r="AJ445" s="6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4:46" ht="15.75" customHeight="1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6"/>
      <c r="AJ446" s="6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4:46" ht="15.75" customHeight="1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6"/>
      <c r="AJ447" s="6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4:46" ht="15.75" customHeight="1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6"/>
      <c r="AJ448" s="6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4:46" ht="15.75" customHeight="1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6"/>
      <c r="AJ449" s="6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4:46" ht="15.75" customHeight="1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6"/>
      <c r="AJ450" s="6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4:46" ht="15.75" customHeight="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6"/>
      <c r="AJ451" s="6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4:46" ht="15.75" customHeight="1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6"/>
      <c r="AJ452" s="6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4:46" ht="15.75" customHeight="1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6"/>
      <c r="AJ453" s="6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4:46" ht="15.75" customHeight="1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6"/>
      <c r="AJ454" s="6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4:46" ht="15.75" customHeight="1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6"/>
      <c r="AJ455" s="6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4:46" ht="15.75" customHeight="1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6"/>
      <c r="AJ456" s="6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4:46" ht="15.75" customHeight="1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6"/>
      <c r="AJ457" s="6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4:46" ht="15.75" customHeight="1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6"/>
      <c r="AJ458" s="6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4:46" ht="15.75" customHeight="1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6"/>
      <c r="AJ459" s="6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4:46" ht="15.75" customHeight="1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6"/>
      <c r="AJ460" s="6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4:46" ht="15.75" customHeight="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6"/>
      <c r="AJ461" s="6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4:46" ht="15.75" customHeight="1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6"/>
      <c r="AJ462" s="6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4:46" ht="15.75" customHeight="1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6"/>
      <c r="AJ463" s="6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4:46" ht="15.75" customHeight="1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6"/>
      <c r="AJ464" s="6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4:46" ht="15.75" customHeight="1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6"/>
      <c r="AJ465" s="6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4:46" ht="15.75" customHeight="1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6"/>
      <c r="AJ466" s="6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4:46" ht="15.75" customHeight="1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6"/>
      <c r="AJ467" s="6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4:46" ht="15.75" customHeight="1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6"/>
      <c r="AJ468" s="6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4:46" ht="15.75" customHeight="1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6"/>
      <c r="AJ469" s="6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4:46" ht="15.75" customHeight="1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6"/>
      <c r="AJ470" s="6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4:46" ht="15.75" customHeight="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6"/>
      <c r="AJ471" s="6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4:46" ht="15.75" customHeight="1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6"/>
      <c r="AJ472" s="6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4:46" ht="15.75" customHeight="1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6"/>
      <c r="AJ473" s="6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4:46" ht="15.75" customHeight="1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6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4:46" ht="15.75" customHeight="1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6"/>
      <c r="AJ475" s="6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4:46" ht="15.75" customHeight="1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6"/>
      <c r="AJ476" s="6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4:46" ht="15.75" customHeight="1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6"/>
      <c r="AJ477" s="6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4:46" ht="15.75" customHeight="1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6"/>
      <c r="AJ478" s="6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4:46" ht="15.75" customHeight="1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6"/>
      <c r="AJ479" s="6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4:46" ht="15.75" customHeight="1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6"/>
      <c r="AJ480" s="6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4:46" ht="15.75" customHeight="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6"/>
      <c r="AJ481" s="6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4:46" ht="15.75" customHeight="1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6"/>
      <c r="AJ482" s="6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4:46" ht="15.75" customHeight="1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6"/>
      <c r="AJ483" s="6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4:46" ht="15.75" customHeight="1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6"/>
      <c r="AJ484" s="6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4:46" ht="15.75" customHeight="1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6"/>
      <c r="AJ485" s="6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4:46" ht="15.75" customHeight="1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6"/>
      <c r="AJ486" s="6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4:46" ht="15.75" customHeight="1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6"/>
      <c r="AJ487" s="6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4:46" ht="15.75" customHeight="1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6"/>
      <c r="AJ488" s="6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4:46" ht="15.75" customHeight="1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6"/>
      <c r="AJ489" s="6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4:46" ht="15.75" customHeight="1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6"/>
      <c r="AJ490" s="6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4:46" ht="15.75" customHeight="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6"/>
      <c r="AJ491" s="6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4:46" ht="15.75" customHeight="1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6"/>
      <c r="AJ492" s="6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4:46" ht="15.75" customHeight="1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6"/>
      <c r="AJ493" s="6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4:46" ht="15.75" customHeight="1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6"/>
      <c r="AJ494" s="6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4:46" ht="15.75" customHeight="1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6"/>
      <c r="AJ495" s="6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4:46" ht="15.75" customHeight="1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6"/>
      <c r="AJ496" s="6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4:46" ht="15.75" customHeight="1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6"/>
      <c r="AJ497" s="6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4:46" ht="15.75" customHeight="1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6"/>
      <c r="AJ498" s="6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4:46" ht="15.75" customHeight="1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6"/>
      <c r="AJ499" s="6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4:46" ht="15.75" customHeight="1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6"/>
      <c r="AJ500" s="6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4:46" ht="15.75" customHeight="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6"/>
      <c r="AJ501" s="6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4:46" ht="15.75" customHeight="1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6"/>
      <c r="AJ502" s="6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4:46" ht="15.75" customHeight="1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6"/>
      <c r="AJ503" s="6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4:46" ht="15.75" customHeight="1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6"/>
      <c r="AJ504" s="6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4:46" ht="15.75" customHeight="1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6"/>
      <c r="AJ505" s="6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4:46" ht="15.75" customHeight="1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6"/>
      <c r="AJ506" s="6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4:46" ht="15.75" customHeight="1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6"/>
      <c r="AJ507" s="6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4:46" ht="15.75" customHeight="1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6"/>
      <c r="AJ508" s="6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4:46" ht="15.75" customHeight="1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6"/>
      <c r="AJ509" s="6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4:46" ht="15.75" customHeight="1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6"/>
      <c r="AJ510" s="6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4:46" ht="15.75" customHeight="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6"/>
      <c r="AJ511" s="6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4:46" ht="15.75" customHeight="1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6"/>
      <c r="AJ512" s="6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4:46" ht="15.75" customHeight="1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6"/>
      <c r="AJ513" s="6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4:46" ht="15.75" customHeight="1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6"/>
      <c r="AJ514" s="6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4:46" ht="15.75" customHeight="1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6"/>
      <c r="AJ515" s="6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4:46" ht="15.75" customHeight="1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6"/>
      <c r="AJ516" s="6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4:46" ht="15.75" customHeight="1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6"/>
      <c r="AJ517" s="6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4:46" ht="15.75" customHeight="1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6"/>
      <c r="AJ518" s="6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4:46" ht="15.75" customHeight="1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6"/>
      <c r="AJ519" s="6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4:46" ht="15.75" customHeight="1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6"/>
      <c r="AJ520" s="6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4:46" ht="15.75" customHeight="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6"/>
      <c r="AJ521" s="6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4:46" ht="15.75" customHeight="1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6"/>
      <c r="AJ522" s="6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4:46" ht="15.75" customHeight="1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6"/>
      <c r="AJ523" s="6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4:46" ht="15.75" customHeight="1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6"/>
      <c r="AJ524" s="6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4:46" ht="15.75" customHeight="1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6"/>
      <c r="AJ525" s="6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4:46" ht="15.75" customHeight="1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6"/>
      <c r="AJ526" s="6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4:46" ht="15.75" customHeight="1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6"/>
      <c r="AJ527" s="6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4:46" ht="15.75" customHeight="1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6"/>
      <c r="AJ528" s="6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4:46" ht="15.75" customHeight="1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6"/>
      <c r="AJ529" s="6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4:46" ht="15.75" customHeight="1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6"/>
      <c r="AJ530" s="6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4:46" ht="15.75" customHeight="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6"/>
      <c r="AJ531" s="6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4:46" ht="15.75" customHeight="1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6"/>
      <c r="AJ532" s="6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4:46" ht="15.75" customHeight="1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6"/>
      <c r="AJ533" s="6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4:46" ht="15.75" customHeight="1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6"/>
      <c r="AJ534" s="6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4:46" ht="15.75" customHeight="1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6"/>
      <c r="AJ535" s="6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4:46" ht="15.75" customHeight="1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6"/>
      <c r="AJ536" s="6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4:46" ht="15.75" customHeight="1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6"/>
      <c r="AJ537" s="6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4:46" ht="15.75" customHeight="1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6"/>
      <c r="AJ538" s="6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4:46" ht="15.75" customHeight="1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6"/>
      <c r="AJ539" s="6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4:46" ht="15.75" customHeight="1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6"/>
      <c r="AJ540" s="6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4:46" ht="15.75" customHeight="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6"/>
      <c r="AJ541" s="6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4:46" ht="15.75" customHeight="1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6"/>
      <c r="AJ542" s="6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4:46" ht="15.75" customHeight="1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6"/>
      <c r="AJ543" s="6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4:46" ht="15.75" customHeight="1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6"/>
      <c r="AJ544" s="6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4:46" ht="15.75" customHeight="1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6"/>
      <c r="AJ545" s="6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4:46" ht="15.75" customHeight="1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6"/>
      <c r="AJ546" s="6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4:46" ht="15.75" customHeight="1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6"/>
      <c r="AJ547" s="6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4:46" ht="15.75" customHeight="1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6"/>
      <c r="AJ548" s="6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4:46" ht="15.75" customHeight="1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6"/>
      <c r="AJ549" s="6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4:46" ht="15.75" customHeight="1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6"/>
      <c r="AJ550" s="6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4:46" ht="15.75" customHeight="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6"/>
      <c r="AJ551" s="6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4:46" ht="15.75" customHeight="1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6"/>
      <c r="AJ552" s="6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4:46" ht="15.75" customHeight="1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6"/>
      <c r="AJ553" s="6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4:46" ht="15.75" customHeight="1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6"/>
      <c r="AJ554" s="6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4:46" ht="15.75" customHeight="1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6"/>
      <c r="AJ555" s="6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4:46" ht="15.75" customHeight="1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6"/>
      <c r="AJ556" s="6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4:46" ht="15.75" customHeight="1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6"/>
      <c r="AJ557" s="6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4:46" ht="15.75" customHeight="1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6"/>
      <c r="AJ558" s="6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4:46" ht="15.75" customHeight="1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6"/>
      <c r="AJ559" s="6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4:46" ht="15.75" customHeight="1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6"/>
      <c r="AJ560" s="6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4:46" ht="15.75" customHeight="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6"/>
      <c r="AJ561" s="6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4:46" ht="15.75" customHeight="1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6"/>
      <c r="AJ562" s="6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4:46" ht="15.75" customHeight="1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6"/>
      <c r="AJ563" s="6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4:46" ht="15.75" customHeight="1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6"/>
      <c r="AJ564" s="6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4:46" ht="15.75" customHeight="1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6"/>
      <c r="AJ565" s="6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4:46" ht="15.75" customHeight="1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6"/>
      <c r="AJ566" s="6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4:46" ht="15.75" customHeight="1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6"/>
      <c r="AJ567" s="6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4:46" ht="15.75" customHeight="1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6"/>
      <c r="AJ568" s="6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4:46" ht="15.75" customHeight="1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6"/>
      <c r="AJ569" s="6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4:46" ht="15.75" customHeight="1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6"/>
      <c r="AJ570" s="6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4:46" ht="15.75" customHeight="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6"/>
      <c r="AJ571" s="6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4:46" ht="15.75" customHeight="1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6"/>
      <c r="AJ572" s="6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4:46" ht="15.75" customHeight="1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6"/>
      <c r="AJ573" s="6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4:46" ht="15.75" customHeight="1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6"/>
      <c r="AJ574" s="6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4:46" ht="15.75" customHeight="1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6"/>
      <c r="AJ575" s="6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4:46" ht="15.75" customHeight="1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6"/>
      <c r="AJ576" s="6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4:46" ht="15.75" customHeight="1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6"/>
      <c r="AJ577" s="6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4:46" ht="15.75" customHeight="1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6"/>
      <c r="AJ578" s="6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4:46" ht="15.75" customHeight="1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6"/>
      <c r="AJ579" s="6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4:46" ht="15.75" customHeight="1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6"/>
      <c r="AJ580" s="6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4:46" ht="15.75" customHeight="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6"/>
      <c r="AJ581" s="6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4:46" ht="15.75" customHeight="1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6"/>
      <c r="AJ582" s="6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4:46" ht="15.75" customHeight="1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6"/>
      <c r="AJ583" s="6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4:46" ht="15.75" customHeight="1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6"/>
      <c r="AJ584" s="6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4:46" ht="15.75" customHeight="1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6"/>
      <c r="AJ585" s="6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4:46" ht="15.75" customHeight="1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6"/>
      <c r="AJ586" s="6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4:46" ht="15.75" customHeight="1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6"/>
      <c r="AJ587" s="6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4:46" ht="15.75" customHeight="1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6"/>
      <c r="AJ588" s="6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4:46" ht="15.75" customHeight="1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6"/>
      <c r="AJ589" s="6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4:46" ht="15.75" customHeight="1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6"/>
      <c r="AJ590" s="6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4:46" ht="15.75" customHeight="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6"/>
      <c r="AJ591" s="6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4:46" ht="15.75" customHeight="1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6"/>
      <c r="AJ592" s="6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4:46" ht="15.75" customHeight="1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6"/>
      <c r="AJ593" s="6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4:46" ht="15.75" customHeight="1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6"/>
      <c r="AJ594" s="6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4:46" ht="15.75" customHeight="1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6"/>
      <c r="AJ595" s="6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4:46" ht="15.75" customHeight="1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6"/>
      <c r="AJ596" s="6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4:46" ht="15.75" customHeight="1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6"/>
      <c r="AJ597" s="6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4:46" ht="15.75" customHeight="1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6"/>
      <c r="AJ598" s="6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4:46" ht="15.75" customHeight="1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6"/>
      <c r="AJ599" s="6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4:46" ht="15.75" customHeight="1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6"/>
      <c r="AJ600" s="6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4:46" ht="15.75" customHeight="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6"/>
      <c r="AJ601" s="6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4:46" ht="15.75" customHeight="1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6"/>
      <c r="AJ602" s="6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4:46" ht="15.75" customHeight="1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6"/>
      <c r="AJ603" s="6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4:46" ht="15.75" customHeight="1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6"/>
      <c r="AJ604" s="6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4:46" ht="15.75" customHeight="1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6"/>
      <c r="AJ605" s="6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4:46" ht="15.75" customHeight="1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6"/>
      <c r="AJ606" s="6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4:46" ht="15.75" customHeight="1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6"/>
      <c r="AJ607" s="6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4:46" ht="15.75" customHeight="1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6"/>
      <c r="AJ608" s="6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4:46" ht="15.75" customHeight="1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6"/>
      <c r="AJ609" s="6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4:46" ht="15.75" customHeight="1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6"/>
      <c r="AJ610" s="6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4:46" ht="15.75" customHeight="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6"/>
      <c r="AJ611" s="6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4:46" ht="15.75" customHeight="1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6"/>
      <c r="AJ612" s="6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4:46" ht="15.75" customHeight="1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6"/>
      <c r="AJ613" s="6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4:46" ht="15.75" customHeight="1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6"/>
      <c r="AJ614" s="6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4:46" ht="15.75" customHeight="1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6"/>
      <c r="AJ615" s="6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4:46" ht="15.75" customHeight="1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6"/>
      <c r="AJ616" s="6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4:46" ht="15.75" customHeight="1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6"/>
      <c r="AJ617" s="6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4:46" ht="15.75" customHeight="1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6"/>
      <c r="AJ618" s="6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4:46" ht="15.75" customHeight="1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6"/>
      <c r="AJ619" s="6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4:46" ht="15.75" customHeight="1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6"/>
      <c r="AJ620" s="6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4:46" ht="15.75" customHeight="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6"/>
      <c r="AJ621" s="6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4:46" ht="15.75" customHeight="1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6"/>
      <c r="AJ622" s="6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4:46" ht="15.75" customHeight="1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6"/>
      <c r="AJ623" s="6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4:46" ht="15.75" customHeight="1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6"/>
      <c r="AJ624" s="6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4:46" ht="15.75" customHeight="1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6"/>
      <c r="AJ625" s="6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4:46" ht="15.75" customHeight="1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6"/>
      <c r="AJ626" s="6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4:46" ht="15.75" customHeight="1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6"/>
      <c r="AJ627" s="6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4:46" ht="15.75" customHeight="1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6"/>
      <c r="AJ628" s="6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4:46" ht="15.75" customHeight="1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6"/>
      <c r="AJ629" s="6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4:46" ht="15.75" customHeight="1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6"/>
      <c r="AJ630" s="6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4:46" ht="15.75" customHeight="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6"/>
      <c r="AJ631" s="6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4:46" ht="15.75" customHeight="1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6"/>
      <c r="AJ632" s="6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4:46" ht="15.75" customHeight="1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6"/>
      <c r="AJ633" s="6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4:46" ht="15.75" customHeight="1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6"/>
      <c r="AJ634" s="6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4:46" ht="15.75" customHeight="1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6"/>
      <c r="AJ635" s="6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4:46" ht="15.75" customHeight="1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6"/>
      <c r="AJ636" s="6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4:46" ht="15.75" customHeight="1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6"/>
      <c r="AJ637" s="6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4:46" ht="15.75" customHeight="1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6"/>
      <c r="AJ638" s="6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4:46" ht="15.75" customHeight="1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6"/>
      <c r="AJ639" s="6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4:46" ht="15.75" customHeight="1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6"/>
      <c r="AJ640" s="6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4:46" ht="15.75" customHeight="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6"/>
      <c r="AJ641" s="6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4:46" ht="15.75" customHeight="1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6"/>
      <c r="AJ642" s="6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4:46" ht="15.75" customHeight="1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6"/>
      <c r="AJ643" s="6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4:46" ht="15.75" customHeight="1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6"/>
      <c r="AJ644" s="6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4:46" ht="15.75" customHeight="1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6"/>
      <c r="AJ645" s="6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4:46" ht="15.75" customHeight="1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"/>
      <c r="AJ646" s="6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4:46" ht="15.75" customHeight="1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6"/>
      <c r="AJ647" s="6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4:46" ht="15.75" customHeight="1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6"/>
      <c r="AJ648" s="6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4:46" ht="15.75" customHeight="1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6"/>
      <c r="AJ649" s="6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4:46" ht="15.75" customHeight="1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6"/>
      <c r="AJ650" s="6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4:46" ht="15.75" customHeight="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6"/>
      <c r="AJ651" s="6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4:46" ht="15.75" customHeight="1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"/>
      <c r="AJ652" s="6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4:46" ht="15.75" customHeight="1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6"/>
      <c r="AJ653" s="6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4:46" ht="15.75" customHeight="1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6"/>
      <c r="AJ654" s="6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4:46" ht="15.75" customHeight="1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"/>
      <c r="AJ655" s="6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4:46" ht="15.75" customHeight="1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6"/>
      <c r="AJ656" s="6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4:46" ht="15.75" customHeight="1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6"/>
      <c r="AJ657" s="6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4:46" ht="15.75" customHeight="1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6"/>
      <c r="AJ658" s="6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4:46" ht="15.75" customHeight="1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6"/>
      <c r="AJ659" s="6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4:46" ht="15.75" customHeight="1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6"/>
      <c r="AJ660" s="6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4:46" ht="15.75" customHeight="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6"/>
      <c r="AJ661" s="6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4:46" ht="15.75" customHeight="1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6"/>
      <c r="AJ662" s="6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4:46" ht="15.75" customHeight="1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6"/>
      <c r="AJ663" s="6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4:46" ht="15.75" customHeight="1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6"/>
      <c r="AJ664" s="6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4:46" ht="15.75" customHeight="1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6"/>
      <c r="AJ665" s="6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4:46" ht="15.75" customHeight="1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6"/>
      <c r="AJ666" s="6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4:46" ht="15.75" customHeight="1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"/>
      <c r="AJ667" s="6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4:46" ht="15.75" customHeight="1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6"/>
      <c r="AJ668" s="6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4:46" ht="15.75" customHeight="1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6"/>
      <c r="AJ669" s="6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4:46" ht="15.75" customHeight="1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6"/>
      <c r="AJ670" s="6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4:46" ht="15.75" customHeight="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6"/>
      <c r="AJ671" s="6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4:46" ht="15.75" customHeight="1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"/>
      <c r="AJ672" s="6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4:46" ht="15.75" customHeight="1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"/>
      <c r="AJ673" s="6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4:46" ht="15.75" customHeight="1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6"/>
      <c r="AJ674" s="6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4:46" ht="15.75" customHeight="1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"/>
      <c r="AJ675" s="6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4:46" ht="15.75" customHeight="1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6"/>
      <c r="AJ676" s="6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4:46" ht="15.75" customHeight="1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"/>
      <c r="AJ677" s="6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4:46" ht="15.75" customHeight="1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6"/>
      <c r="AJ678" s="6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4:46" ht="15.75" customHeight="1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6"/>
      <c r="AJ679" s="6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4:46" ht="15.75" customHeight="1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6"/>
      <c r="AJ680" s="6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4:46" ht="15.75" customHeight="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6"/>
      <c r="AJ681" s="6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4:46" ht="15.75" customHeight="1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6"/>
      <c r="AJ682" s="6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4:46" ht="15.75" customHeight="1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6"/>
      <c r="AJ683" s="6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4:46" ht="15.75" customHeight="1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6"/>
      <c r="AJ684" s="6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4:46" ht="15.75" customHeight="1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6"/>
      <c r="AJ685" s="6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4:46" ht="15.75" customHeight="1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6"/>
      <c r="AJ686" s="6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4:46" ht="15.75" customHeight="1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6"/>
      <c r="AJ687" s="6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4:46" ht="15.75" customHeight="1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6"/>
      <c r="AJ688" s="6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4:46" ht="15.75" customHeight="1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6"/>
      <c r="AJ689" s="6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4:46" ht="15.75" customHeight="1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6"/>
      <c r="AJ690" s="6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4:46" ht="15.75" customHeight="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6"/>
      <c r="AJ691" s="6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4:46" ht="15.75" customHeight="1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6"/>
      <c r="AJ692" s="6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4:46" ht="15.75" customHeight="1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6"/>
      <c r="AJ693" s="6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4:46" ht="15.75" customHeight="1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6"/>
      <c r="AJ694" s="6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4:46" ht="15.75" customHeight="1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6"/>
      <c r="AJ695" s="6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4:46" ht="15.75" customHeight="1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6"/>
      <c r="AJ696" s="6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4:46" ht="15.75" customHeight="1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6"/>
      <c r="AJ697" s="6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4:46" ht="15.75" customHeight="1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6"/>
      <c r="AJ698" s="6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4:46" ht="15.75" customHeight="1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6"/>
      <c r="AJ699" s="6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4:46" ht="15.75" customHeight="1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6"/>
      <c r="AJ700" s="6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4:46" ht="15.75" customHeight="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6"/>
      <c r="AJ701" s="6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4:46" ht="15.75" customHeight="1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6"/>
      <c r="AJ702" s="6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4:46" ht="15.75" customHeight="1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6"/>
      <c r="AJ703" s="6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4:46" ht="15.75" customHeight="1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6"/>
      <c r="AJ704" s="6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4:46" ht="15.75" customHeight="1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6"/>
      <c r="AJ705" s="6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4:46" ht="15.75" customHeight="1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6"/>
      <c r="AJ706" s="6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4:46" ht="15.75" customHeight="1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6"/>
      <c r="AJ707" s="6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4:46" ht="15.75" customHeight="1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6"/>
      <c r="AJ708" s="6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4:46" ht="15.75" customHeight="1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6"/>
      <c r="AJ709" s="6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4:46" ht="15.75" customHeight="1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6"/>
      <c r="AJ710" s="6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4:46" ht="15.75" customHeight="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6"/>
      <c r="AJ711" s="6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4:46" ht="15.75" customHeight="1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6"/>
      <c r="AJ712" s="6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4:46" ht="15.75" customHeight="1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6"/>
      <c r="AJ713" s="6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4:46" ht="15.75" customHeight="1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6"/>
      <c r="AJ714" s="6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4:46" ht="15.75" customHeight="1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6"/>
      <c r="AJ715" s="6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4:46" ht="15.75" customHeight="1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6"/>
      <c r="AJ716" s="6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4:46" ht="15.75" customHeight="1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6"/>
      <c r="AJ717" s="6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4:46" ht="15.75" customHeight="1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6"/>
      <c r="AJ718" s="6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4:46" ht="15.75" customHeight="1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6"/>
      <c r="AJ719" s="6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4:46" ht="15.75" customHeight="1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6"/>
      <c r="AJ720" s="6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4:46" ht="15.75" customHeight="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6"/>
      <c r="AJ721" s="6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4:46" ht="15.75" customHeight="1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6"/>
      <c r="AJ722" s="6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4:46" ht="15.75" customHeight="1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6"/>
      <c r="AJ723" s="6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4:46" ht="15.75" customHeight="1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6"/>
      <c r="AJ724" s="6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4:46" ht="15.75" customHeight="1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6"/>
      <c r="AJ725" s="6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4:46" ht="15.75" customHeight="1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6"/>
      <c r="AJ726" s="6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4:46" ht="15.75" customHeight="1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6"/>
      <c r="AJ727" s="6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4:46" ht="15.75" customHeight="1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6"/>
      <c r="AJ728" s="6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4:46" ht="15.75" customHeight="1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6"/>
      <c r="AJ729" s="6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4:46" ht="15.75" customHeight="1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6"/>
      <c r="AJ730" s="6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4:46" ht="15.75" customHeight="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6"/>
      <c r="AJ731" s="6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4:46" ht="15.75" customHeight="1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6"/>
      <c r="AJ732" s="6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4:46" ht="15.75" customHeight="1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6"/>
      <c r="AJ733" s="6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4:46" ht="15.75" customHeight="1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6"/>
      <c r="AJ734" s="6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4:46" ht="15.75" customHeight="1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6"/>
      <c r="AJ735" s="6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4:46" ht="15.75" customHeight="1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6"/>
      <c r="AJ736" s="6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4:46" ht="15.75" customHeight="1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6"/>
      <c r="AJ737" s="6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4:46" ht="15.75" customHeight="1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6"/>
      <c r="AJ738" s="6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4:46" ht="15.75" customHeight="1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6"/>
      <c r="AJ739" s="6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4:46" ht="15.75" customHeight="1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6"/>
      <c r="AJ740" s="6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4:46" ht="15.75" customHeight="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6"/>
      <c r="AJ741" s="6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4:46" ht="15.75" customHeight="1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6"/>
      <c r="AJ742" s="6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4:46" ht="15.75" customHeight="1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6"/>
      <c r="AJ743" s="6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4:46" ht="15.75" customHeight="1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6"/>
      <c r="AJ744" s="6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4:46" ht="15.75" customHeight="1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6"/>
      <c r="AJ745" s="6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4:46" ht="15.75" customHeight="1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6"/>
      <c r="AJ746" s="6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4:46" ht="15.75" customHeight="1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6"/>
      <c r="AJ747" s="6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4:46" ht="15.75" customHeight="1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6"/>
      <c r="AJ748" s="6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4:46" ht="15.75" customHeight="1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6"/>
      <c r="AJ749" s="6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4:46" ht="15.75" customHeight="1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6"/>
      <c r="AJ750" s="6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4:46" ht="15.75" customHeight="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6"/>
      <c r="AJ751" s="6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4:46" ht="15.75" customHeight="1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6"/>
      <c r="AJ752" s="6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4:46" ht="15.75" customHeight="1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6"/>
      <c r="AJ753" s="6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4:46" ht="15.75" customHeight="1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6"/>
      <c r="AJ754" s="6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4:46" ht="15.75" customHeight="1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6"/>
      <c r="AJ755" s="6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4:46" ht="15.75" customHeight="1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6"/>
      <c r="AJ756" s="6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4:46" ht="15.75" customHeight="1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6"/>
      <c r="AJ757" s="6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4:46" ht="15.75" customHeight="1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6"/>
      <c r="AJ758" s="6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4:46" ht="15.75" customHeight="1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6"/>
      <c r="AJ759" s="6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4:46" ht="15.75" customHeight="1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6"/>
      <c r="AJ760" s="6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4:46" ht="15.75" customHeight="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6"/>
      <c r="AJ761" s="6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4:46" ht="15.75" customHeight="1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6"/>
      <c r="AJ762" s="6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4:46" ht="15.75" customHeight="1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6"/>
      <c r="AJ763" s="6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4:46" ht="15.75" customHeight="1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6"/>
      <c r="AJ764" s="6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4:46" ht="15.75" customHeight="1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6"/>
      <c r="AJ765" s="6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4:46" ht="15.75" customHeight="1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6"/>
      <c r="AJ766" s="6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4:46" ht="15.75" customHeight="1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6"/>
      <c r="AJ767" s="6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4:46" ht="15.75" customHeight="1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6"/>
      <c r="AJ768" s="6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4:46" ht="15.75" customHeight="1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6"/>
      <c r="AJ769" s="6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4:46" ht="15.75" customHeight="1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6"/>
      <c r="AJ770" s="6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4:46" ht="15.75" customHeight="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6"/>
      <c r="AJ771" s="6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4:46" ht="15.75" customHeight="1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6"/>
      <c r="AJ772" s="6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4:46" ht="15.75" customHeight="1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6"/>
      <c r="AJ773" s="6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4:46" ht="15.75" customHeight="1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6"/>
      <c r="AJ774" s="6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4:46" ht="15.75" customHeight="1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6"/>
      <c r="AJ775" s="6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4:46" ht="15.75" customHeight="1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6"/>
      <c r="AJ776" s="6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4:46" ht="15.75" customHeight="1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6"/>
      <c r="AJ777" s="6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4:46" ht="15.75" customHeight="1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6"/>
      <c r="AJ778" s="6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4:46" ht="15.75" customHeight="1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6"/>
      <c r="AJ779" s="6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4:46" ht="15.75" customHeight="1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6"/>
      <c r="AJ780" s="6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4:46" ht="15.75" customHeight="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6"/>
      <c r="AJ781" s="6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4:46" ht="15.75" customHeight="1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6"/>
      <c r="AJ782" s="6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4:46" ht="15.75" customHeight="1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6"/>
      <c r="AJ783" s="6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4:46" ht="15.75" customHeight="1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6"/>
      <c r="AJ784" s="6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4:46" ht="15.75" customHeight="1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6"/>
      <c r="AJ785" s="6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4:46" ht="15.75" customHeight="1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6"/>
      <c r="AJ786" s="6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4:46" ht="15.75" customHeight="1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6"/>
      <c r="AJ787" s="6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4:46" ht="15.75" customHeight="1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6"/>
      <c r="AJ788" s="6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4:46" ht="15.75" customHeight="1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6"/>
      <c r="AJ789" s="6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4:46" ht="15.75" customHeight="1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6"/>
      <c r="AJ790" s="6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4:46" ht="15.75" customHeight="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6"/>
      <c r="AJ791" s="6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4:46" ht="15.75" customHeight="1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6"/>
      <c r="AJ792" s="6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4:46" ht="15.75" customHeight="1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6"/>
      <c r="AJ793" s="6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4:46" ht="15.75" customHeight="1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6"/>
      <c r="AJ794" s="6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4:46" ht="15.75" customHeight="1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6"/>
      <c r="AJ795" s="6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4:46" ht="15.75" customHeight="1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6"/>
      <c r="AJ796" s="6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4:46" ht="15.75" customHeight="1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6"/>
      <c r="AJ797" s="6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4:46" ht="15.75" customHeight="1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6"/>
      <c r="AJ798" s="6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4:46" ht="15.75" customHeight="1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6"/>
      <c r="AJ799" s="6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4:46" ht="15.75" customHeight="1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6"/>
      <c r="AJ800" s="6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4:46" ht="15.75" customHeight="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6"/>
      <c r="AJ801" s="6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4:46" ht="15.75" customHeight="1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6"/>
      <c r="AJ802" s="6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4:46" ht="15.75" customHeight="1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6"/>
      <c r="AJ803" s="6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4:46" ht="15.75" customHeight="1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6"/>
      <c r="AJ804" s="6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4:46" ht="15.75" customHeight="1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6"/>
      <c r="AJ805" s="6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4:46" ht="15.75" customHeight="1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6"/>
      <c r="AJ806" s="6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4:46" ht="15.75" customHeight="1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6"/>
      <c r="AJ807" s="6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4:46" ht="15.75" customHeight="1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6"/>
      <c r="AJ808" s="6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4:46" ht="15.75" customHeight="1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6"/>
      <c r="AJ809" s="6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4:46" ht="15.75" customHeight="1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6"/>
      <c r="AJ810" s="6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4:46" ht="15.75" customHeight="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6"/>
      <c r="AJ811" s="6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4:46" ht="15.75" customHeight="1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6"/>
      <c r="AJ812" s="6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4:46" ht="15.75" customHeight="1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6"/>
      <c r="AJ813" s="6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4:46" ht="15.75" customHeight="1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6"/>
      <c r="AJ814" s="6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4:46" ht="15.75" customHeight="1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6"/>
      <c r="AJ815" s="6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4:46" ht="15.75" customHeight="1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6"/>
      <c r="AJ816" s="6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4:46" ht="15.75" customHeight="1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6"/>
      <c r="AJ817" s="6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4:46" ht="15.75" customHeight="1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6"/>
      <c r="AJ818" s="6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4:46" ht="15.75" customHeight="1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6"/>
      <c r="AJ819" s="6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4:46" ht="15.75" customHeight="1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6"/>
      <c r="AJ820" s="6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4:46" ht="15.75" customHeight="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6"/>
      <c r="AJ821" s="6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spans="4:46" ht="15.75" customHeight="1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6"/>
      <c r="AJ822" s="6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spans="4:46" ht="15.75" customHeight="1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6"/>
      <c r="AJ823" s="6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spans="4:46" ht="15.75" customHeight="1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6"/>
      <c r="AJ824" s="6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spans="4:46" ht="15.75" customHeight="1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6"/>
      <c r="AJ825" s="6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spans="4:46" ht="15.75" customHeight="1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6"/>
      <c r="AJ826" s="6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spans="4:46" ht="15.75" customHeight="1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6"/>
      <c r="AJ827" s="6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spans="4:46" ht="15.75" customHeight="1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6"/>
      <c r="AJ828" s="6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spans="4:46" ht="15.75" customHeight="1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6"/>
      <c r="AJ829" s="6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spans="4:46" ht="15.75" customHeight="1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6"/>
      <c r="AJ830" s="6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spans="4:46" ht="15.75" customHeight="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6"/>
      <c r="AJ831" s="6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spans="4:46" ht="15.75" customHeight="1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6"/>
      <c r="AJ832" s="6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spans="4:46" ht="15.75" customHeight="1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6"/>
      <c r="AJ833" s="6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spans="4:46" ht="15.75" customHeight="1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6"/>
      <c r="AJ834" s="6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spans="4:46" ht="15.75" customHeight="1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6"/>
      <c r="AJ835" s="6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spans="4:46" ht="15.75" customHeight="1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6"/>
      <c r="AJ836" s="6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spans="4:46" ht="15.75" customHeight="1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6"/>
      <c r="AJ837" s="6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spans="4:46" ht="15.75" customHeight="1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6"/>
      <c r="AJ838" s="6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spans="4:46" ht="15.75" customHeight="1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6"/>
      <c r="AJ839" s="6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spans="4:46" ht="15.75" customHeight="1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6"/>
      <c r="AJ840" s="6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spans="4:46" ht="15.75" customHeight="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6"/>
      <c r="AJ841" s="6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spans="4:46" ht="15.75" customHeight="1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6"/>
      <c r="AJ842" s="6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spans="4:46" ht="15.75" customHeight="1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6"/>
      <c r="AJ843" s="6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spans="4:46" ht="15.75" customHeight="1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6"/>
      <c r="AJ844" s="6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spans="4:46" ht="15.75" customHeight="1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6"/>
      <c r="AJ845" s="6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spans="4:46" ht="15.75" customHeight="1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6"/>
      <c r="AJ846" s="6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spans="4:46" ht="15.75" customHeight="1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6"/>
      <c r="AJ847" s="6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spans="4:46" ht="15.75" customHeight="1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6"/>
      <c r="AJ848" s="6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spans="4:46" ht="15.75" customHeight="1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6"/>
      <c r="AJ849" s="6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spans="4:46" ht="15.75" customHeight="1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6"/>
      <c r="AJ850" s="6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spans="4:46" ht="15.75" customHeight="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6"/>
      <c r="AJ851" s="6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spans="4:46" ht="15.75" customHeight="1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6"/>
      <c r="AJ852" s="6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spans="4:46" ht="15.75" customHeight="1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6"/>
      <c r="AJ853" s="6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spans="4:46" ht="15.75" customHeight="1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6"/>
      <c r="AJ854" s="6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spans="4:46" ht="15.75" customHeight="1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6"/>
      <c r="AJ855" s="6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spans="4:46" ht="15.75" customHeight="1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6"/>
      <c r="AJ856" s="6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spans="4:46" ht="15.75" customHeight="1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6"/>
      <c r="AJ857" s="6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spans="4:46" ht="15.75" customHeight="1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6"/>
      <c r="AJ858" s="6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spans="4:46" ht="15.75" customHeight="1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6"/>
      <c r="AJ859" s="6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spans="4:46" ht="15.75" customHeight="1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6"/>
      <c r="AJ860" s="6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spans="4:46" ht="15.75" customHeight="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6"/>
      <c r="AJ861" s="6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spans="4:46" ht="15.75" customHeight="1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6"/>
      <c r="AJ862" s="6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spans="4:46" ht="15.75" customHeight="1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6"/>
      <c r="AJ863" s="6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spans="4:46" ht="15.75" customHeight="1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6"/>
      <c r="AJ864" s="6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spans="4:46" ht="15.75" customHeight="1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6"/>
      <c r="AJ865" s="6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spans="4:46" ht="15.75" customHeight="1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6"/>
      <c r="AJ866" s="6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spans="4:46" ht="15.75" customHeight="1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6"/>
      <c r="AJ867" s="6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spans="4:46" ht="15.75" customHeight="1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6"/>
      <c r="AJ868" s="6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spans="4:46" ht="15.75" customHeight="1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6"/>
      <c r="AJ869" s="6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spans="4:46" ht="15.75" customHeight="1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6"/>
      <c r="AJ870" s="6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spans="4:46" ht="15.75" customHeight="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6"/>
      <c r="AJ871" s="6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spans="4:46" ht="15.75" customHeight="1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6"/>
      <c r="AJ872" s="6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spans="4:46" ht="15.75" customHeight="1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6"/>
      <c r="AJ873" s="6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spans="4:46" ht="15.75" customHeight="1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6"/>
      <c r="AJ874" s="6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spans="4:46" ht="15.75" customHeight="1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6"/>
      <c r="AJ875" s="6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spans="4:46" ht="15.75" customHeight="1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6"/>
      <c r="AJ876" s="6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spans="4:46" ht="15.75" customHeight="1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6"/>
      <c r="AJ877" s="6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spans="4:46" ht="15.75" customHeight="1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6"/>
      <c r="AJ878" s="6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spans="4:46" ht="15.75" customHeight="1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6"/>
      <c r="AJ879" s="6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spans="4:46" ht="15.75" customHeight="1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6"/>
      <c r="AJ880" s="6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spans="4:46" ht="15.75" customHeight="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6"/>
      <c r="AJ881" s="6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spans="4:46" ht="15.75" customHeight="1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6"/>
      <c r="AJ882" s="6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spans="4:46" ht="15.75" customHeight="1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6"/>
      <c r="AJ883" s="6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spans="4:46" ht="15.75" customHeight="1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6"/>
      <c r="AJ884" s="6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spans="4:46" ht="15.75" customHeight="1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6"/>
      <c r="AJ885" s="6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spans="4:46" ht="15.75" customHeight="1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6"/>
      <c r="AJ886" s="6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spans="4:46" ht="15.75" customHeight="1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6"/>
      <c r="AJ887" s="6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spans="4:46" ht="15.75" customHeight="1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6"/>
      <c r="AJ888" s="6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spans="4:46" ht="15.75" customHeight="1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6"/>
      <c r="AJ889" s="6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spans="4:46" ht="15.75" customHeight="1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6"/>
      <c r="AJ890" s="6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spans="4:46" ht="15.75" customHeight="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6"/>
      <c r="AJ891" s="6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spans="4:46" ht="15.75" customHeight="1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6"/>
      <c r="AJ892" s="6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spans="4:46" ht="15.75" customHeight="1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6"/>
      <c r="AJ893" s="6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spans="4:46" ht="15.75" customHeight="1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6"/>
      <c r="AJ894" s="6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spans="4:46" ht="15.75" customHeight="1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6"/>
      <c r="AJ895" s="6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spans="4:46" ht="15.75" customHeight="1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6"/>
      <c r="AJ896" s="6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spans="4:46" ht="15.75" customHeight="1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6"/>
      <c r="AJ897" s="6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spans="4:46" ht="15.75" customHeight="1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6"/>
      <c r="AJ898" s="6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spans="4:46" ht="15.75" customHeight="1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6"/>
      <c r="AJ899" s="6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spans="4:46" ht="15.75" customHeight="1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6"/>
      <c r="AJ900" s="6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spans="4:46" ht="15.75" customHeight="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6"/>
      <c r="AJ901" s="6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spans="4:46" ht="15.75" customHeight="1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6"/>
      <c r="AJ902" s="6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spans="4:46" ht="15.75" customHeight="1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6"/>
      <c r="AJ903" s="6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spans="4:46" ht="15.75" customHeight="1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6"/>
      <c r="AJ904" s="6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spans="4:46" ht="15.75" customHeight="1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6"/>
      <c r="AJ905" s="6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spans="4:46" ht="15.75" customHeight="1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6"/>
      <c r="AJ906" s="6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spans="4:46" ht="15.75" customHeight="1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6"/>
      <c r="AJ907" s="6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spans="4:46" ht="15.75" customHeight="1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6"/>
      <c r="AJ908" s="6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spans="4:46" ht="15.75" customHeight="1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6"/>
      <c r="AJ909" s="6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spans="4:46" ht="15.75" customHeight="1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6"/>
      <c r="AJ910" s="6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spans="4:46" ht="15.75" customHeight="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6"/>
      <c r="AJ911" s="6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spans="4:46" ht="15.75" customHeight="1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6"/>
      <c r="AJ912" s="6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spans="4:46" ht="15.75" customHeight="1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6"/>
      <c r="AJ913" s="6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spans="4:46" ht="15.75" customHeight="1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6"/>
      <c r="AJ914" s="6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spans="4:46" ht="15.75" customHeight="1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6"/>
      <c r="AJ915" s="6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spans="4:46" ht="15.75" customHeight="1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6"/>
      <c r="AJ916" s="6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spans="4:46" ht="15.75" customHeight="1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6"/>
      <c r="AJ917" s="6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spans="4:46" ht="15.75" customHeight="1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6"/>
      <c r="AJ918" s="6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spans="4:46" ht="15.75" customHeight="1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6"/>
      <c r="AJ919" s="6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spans="4:46" ht="15.75" customHeight="1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6"/>
      <c r="AJ920" s="6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spans="4:46" ht="15.75" customHeight="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6"/>
      <c r="AJ921" s="6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spans="4:46" ht="15.75" customHeight="1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6"/>
      <c r="AJ922" s="6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spans="4:46" ht="15.75" customHeight="1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6"/>
      <c r="AJ923" s="6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spans="4:46" ht="15.75" customHeight="1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6"/>
      <c r="AJ924" s="6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spans="4:46" ht="15.75" customHeight="1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6"/>
      <c r="AJ925" s="6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spans="4:46" ht="15.75" customHeight="1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6"/>
      <c r="AJ926" s="6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spans="4:46" ht="15.75" customHeight="1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6"/>
      <c r="AJ927" s="6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spans="4:46" ht="15.75" customHeight="1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6"/>
      <c r="AJ928" s="6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spans="4:46" ht="15.75" customHeight="1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6"/>
      <c r="AJ929" s="6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spans="4:46" ht="15.75" customHeight="1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6"/>
      <c r="AJ930" s="6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spans="4:46" ht="15.75" customHeight="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6"/>
      <c r="AJ931" s="6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spans="4:46" ht="15.75" customHeight="1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6"/>
      <c r="AJ932" s="6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spans="4:46" ht="15.75" customHeight="1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6"/>
      <c r="AJ933" s="6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spans="4:46" ht="15.75" customHeight="1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6"/>
      <c r="AJ934" s="6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spans="4:46" ht="15.75" customHeight="1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6"/>
      <c r="AJ935" s="6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spans="4:46" ht="15.75" customHeight="1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6"/>
      <c r="AJ936" s="6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spans="4:46" ht="15.75" customHeight="1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6"/>
      <c r="AJ937" s="6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spans="4:46" ht="15.75" customHeight="1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6"/>
      <c r="AJ938" s="6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spans="4:46" ht="15.75" customHeight="1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6"/>
      <c r="AJ939" s="6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spans="4:46" ht="15.75" customHeight="1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6"/>
      <c r="AJ940" s="6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spans="4:46" ht="15.75" customHeight="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6"/>
      <c r="AJ941" s="6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spans="4:46" ht="15.75" customHeight="1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6"/>
      <c r="AJ942" s="6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spans="4:46" ht="15.75" customHeight="1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6"/>
      <c r="AJ943" s="6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spans="4:46" ht="15.75" customHeight="1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6"/>
      <c r="AJ944" s="6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spans="4:46" ht="15.75" customHeight="1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6"/>
      <c r="AJ945" s="6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spans="4:46" ht="15.75" customHeight="1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6"/>
      <c r="AJ946" s="6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spans="4:46" ht="15.75" customHeight="1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6"/>
      <c r="AJ947" s="6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spans="4:46" ht="15.75" customHeight="1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6"/>
      <c r="AJ948" s="6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spans="4:46" ht="15.75" customHeight="1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6"/>
      <c r="AJ949" s="6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spans="4:46" ht="15.75" customHeight="1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6"/>
      <c r="AJ950" s="6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spans="4:46" ht="15.75" customHeight="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6"/>
      <c r="AJ951" s="6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spans="4:46" ht="15.75" customHeight="1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6"/>
      <c r="AJ952" s="6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spans="4:46" ht="15.75" customHeight="1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6"/>
      <c r="AJ953" s="6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spans="4:46" ht="15.75" customHeight="1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6"/>
      <c r="AJ954" s="6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spans="4:46" ht="15.75" customHeight="1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6"/>
      <c r="AJ955" s="6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spans="4:46" ht="15.75" customHeight="1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6"/>
      <c r="AJ956" s="6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spans="4:46" ht="15.75" customHeight="1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6"/>
      <c r="AJ957" s="6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spans="4:46" ht="15.75" customHeight="1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6"/>
      <c r="AJ958" s="6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spans="4:46" ht="15.75" customHeight="1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6"/>
      <c r="AJ959" s="6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spans="4:46" ht="15.75" customHeight="1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6"/>
      <c r="AJ960" s="6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spans="4:46" ht="15.75" customHeight="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6"/>
      <c r="AJ961" s="6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spans="4:46" ht="15.75" customHeight="1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6"/>
      <c r="AJ962" s="6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spans="4:46" ht="15.75" customHeight="1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6"/>
      <c r="AJ963" s="6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spans="4:46" ht="15.75" customHeight="1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6"/>
      <c r="AJ964" s="6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spans="4:46" ht="15.75" customHeight="1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6"/>
      <c r="AJ965" s="6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spans="4:46" ht="15.75" customHeight="1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6"/>
      <c r="AJ966" s="6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spans="4:46" ht="15.75" customHeight="1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6"/>
      <c r="AJ967" s="6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spans="4:46" ht="15.75" customHeight="1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6"/>
      <c r="AJ968" s="6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spans="4:46" ht="15.75" customHeight="1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6"/>
      <c r="AJ969" s="6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spans="4:46" ht="15.75" customHeight="1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6"/>
      <c r="AJ970" s="6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spans="4:46" ht="15.75" customHeight="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6"/>
      <c r="AJ971" s="6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spans="4:46" ht="15.75" customHeight="1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6"/>
      <c r="AJ972" s="6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spans="4:46" ht="15.75" customHeight="1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6"/>
      <c r="AJ973" s="6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spans="4:46" ht="15.75" customHeight="1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6"/>
      <c r="AJ974" s="6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spans="4:46" ht="15.75" customHeight="1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6"/>
      <c r="AJ975" s="6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spans="4:46" ht="15.75" customHeight="1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6"/>
      <c r="AJ976" s="6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spans="4:46" ht="15.75" customHeight="1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6"/>
      <c r="AJ977" s="6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spans="4:46" ht="15.75" customHeight="1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6"/>
      <c r="AJ978" s="6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spans="4:46" ht="15.75" customHeight="1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6"/>
      <c r="AJ979" s="6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spans="4:46" ht="15.75" customHeight="1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6"/>
      <c r="AJ980" s="6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spans="4:46" ht="15.75" customHeight="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6"/>
      <c r="AJ981" s="6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spans="4:46" ht="15.75" customHeight="1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6"/>
      <c r="AJ982" s="6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spans="4:46" ht="15.75" customHeight="1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6"/>
      <c r="AJ983" s="6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spans="4:46" ht="15.75" customHeight="1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6"/>
      <c r="AJ984" s="6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spans="4:46" ht="15.75" customHeight="1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6"/>
      <c r="AJ985" s="6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spans="4:46" ht="15.75" customHeight="1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6"/>
      <c r="AJ986" s="6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spans="4:46" ht="15.75" customHeight="1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6"/>
      <c r="AJ987" s="6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spans="4:46" ht="15.75" customHeight="1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6"/>
      <c r="AJ988" s="6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spans="4:46" ht="15.75" customHeight="1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6"/>
      <c r="AJ989" s="6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spans="4:46" ht="15.75" customHeight="1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6"/>
      <c r="AJ990" s="6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spans="4:46" ht="15.75" customHeight="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6"/>
      <c r="AJ991" s="6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spans="4:46" ht="15.75" customHeight="1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6"/>
      <c r="AJ992" s="6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spans="4:46" ht="15.75" customHeight="1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6"/>
      <c r="AJ993" s="6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spans="4:46" ht="15.75" customHeight="1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6"/>
      <c r="AJ994" s="6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spans="4:46" ht="15.75" customHeight="1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6"/>
      <c r="AJ995" s="6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spans="4:46" ht="15.75" customHeight="1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6"/>
      <c r="AJ996" s="6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spans="4:46" ht="15.75" customHeight="1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6"/>
      <c r="AJ997" s="6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spans="4:46" ht="15.75" customHeight="1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6"/>
      <c r="AJ998" s="6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spans="4:46" ht="15.75" customHeight="1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6"/>
      <c r="AJ999" s="6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 spans="4:46" ht="15.75" customHeight="1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6"/>
      <c r="AJ1000" s="6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  <row r="1001" spans="4:46" ht="15.75" customHeight="1"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6"/>
      <c r="AJ1001" s="6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</row>
    <row r="1002" spans="4:46" ht="15.75" customHeight="1"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6"/>
      <c r="AJ1002" s="6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</row>
    <row r="1003" spans="4:46" ht="15.75" customHeight="1"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6"/>
      <c r="AJ1003" s="6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</row>
    <row r="1004" spans="4:46" ht="15.75" customHeight="1"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6"/>
      <c r="AJ1004" s="6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</row>
    <row r="1005" spans="4:46" ht="15.75" customHeight="1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6"/>
      <c r="AJ1005" s="6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</row>
    <row r="1006" spans="4:46" ht="15.75" customHeight="1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6"/>
      <c r="AJ1006" s="6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</row>
    <row r="1007" spans="4:46" ht="15.75" customHeight="1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6"/>
      <c r="AJ1007" s="6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</row>
    <row r="1008" spans="4:46" ht="15.75" customHeight="1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6"/>
      <c r="AJ1008" s="6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</row>
    <row r="1009" spans="4:46" ht="15.75" customHeight="1"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6"/>
      <c r="AJ1009" s="6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</row>
    <row r="1010" spans="4:46" ht="15.75" customHeight="1"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6"/>
      <c r="AJ1010" s="6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</row>
    <row r="1011" spans="4:46" ht="15.75" customHeight="1"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6"/>
      <c r="AJ1011" s="6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</row>
    <row r="1012" spans="4:46" ht="15.75" customHeight="1"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6"/>
      <c r="AJ1012" s="6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</row>
    <row r="1013" spans="4:46" ht="15.75" customHeight="1"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6"/>
      <c r="AJ1013" s="6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</row>
    <row r="1014" spans="4:46" ht="15.75" customHeight="1"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6"/>
      <c r="AJ1014" s="6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</row>
    <row r="1015" spans="4:46" ht="15.75" customHeight="1"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6"/>
      <c r="AJ1015" s="6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</row>
    <row r="1016" spans="4:46" ht="15.75" customHeight="1"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6"/>
      <c r="AJ1016" s="6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</row>
    <row r="1017" spans="4:46" ht="15.75" customHeight="1"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6"/>
      <c r="AJ1017" s="6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</row>
    <row r="1018" spans="4:46" ht="15.75" customHeight="1"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6"/>
      <c r="AJ1018" s="6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</row>
    <row r="1019" spans="4:46" ht="15.75" customHeight="1"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6"/>
      <c r="AJ1019" s="6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</row>
    <row r="1020" spans="4:46" ht="15.75" customHeight="1"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6"/>
      <c r="AJ1020" s="6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</row>
    <row r="1021" spans="4:46" ht="15.75" customHeight="1"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6"/>
      <c r="AJ1021" s="6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</row>
    <row r="1022" spans="4:46" ht="15.75" customHeight="1"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6"/>
      <c r="AJ1022" s="6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</row>
    <row r="1023" spans="4:46" ht="15.75" customHeight="1"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6"/>
      <c r="AJ1023" s="6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</row>
    <row r="1024" spans="4:46" ht="15.75" customHeight="1"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6"/>
      <c r="AJ1024" s="6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</row>
    <row r="1025" spans="4:46" ht="15.75" customHeight="1"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6"/>
      <c r="AJ1025" s="6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</row>
    <row r="1026" spans="4:46" ht="15.75" customHeight="1"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6"/>
      <c r="AJ1026" s="6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</row>
    <row r="1027" spans="4:46" ht="15.75" customHeight="1"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6"/>
      <c r="AJ1027" s="6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</row>
    <row r="1028" spans="4:46" ht="15.75" customHeight="1"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6"/>
      <c r="AJ1028" s="6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</row>
    <row r="1029" spans="4:46" ht="15.75" customHeight="1"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6"/>
      <c r="AJ1029" s="6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</row>
    <row r="1030" spans="4:46" ht="15.75" customHeight="1"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6"/>
      <c r="AJ1030" s="6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</row>
    <row r="1031" spans="4:46" ht="15.75" customHeight="1"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6"/>
      <c r="AJ1031" s="6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</row>
    <row r="1032" spans="4:46" ht="15.75" customHeight="1"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6"/>
      <c r="AJ1032" s="6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</row>
    <row r="1033" spans="4:46" ht="15.75" customHeight="1"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6"/>
      <c r="AJ1033" s="6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</row>
    <row r="1034" spans="4:46" ht="15.75" customHeight="1"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6"/>
      <c r="AJ1034" s="6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</row>
    <row r="1035" spans="4:46" ht="15.75" customHeight="1"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6"/>
      <c r="AJ1035" s="6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</row>
  </sheetData>
  <mergeCells count="6">
    <mergeCell ref="AH59:AI59"/>
    <mergeCell ref="AH2:AI2"/>
    <mergeCell ref="AH46:AI46"/>
    <mergeCell ref="AH47:AI47"/>
    <mergeCell ref="AH48:AI48"/>
    <mergeCell ref="AH50:AI5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</vt:lpstr>
      <vt:lpstr>ABNB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2022-07-14T18:05:59Z</dcterms:created>
  <dcterms:modified xsi:type="dcterms:W3CDTF">2022-07-31T14:49:18Z</dcterms:modified>
</cp:coreProperties>
</file>