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Mapple/Desktop/"/>
    </mc:Choice>
  </mc:AlternateContent>
  <bookViews>
    <workbookView xWindow="0" yWindow="0" windowWidth="38400" windowHeight="21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C40" i="1"/>
  <c r="B40" i="1"/>
  <c r="D41" i="1"/>
  <c r="C41" i="1"/>
  <c r="B41" i="1"/>
  <c r="D42" i="1"/>
  <c r="C42" i="1"/>
  <c r="B42" i="1"/>
  <c r="D39" i="1"/>
  <c r="C39" i="1"/>
  <c r="B39" i="1"/>
  <c r="G34" i="1"/>
  <c r="G33" i="1"/>
  <c r="G32" i="1"/>
  <c r="G31" i="1"/>
  <c r="G30" i="1"/>
  <c r="E34" i="1"/>
  <c r="E33" i="1"/>
  <c r="E32" i="1"/>
  <c r="E31" i="1"/>
  <c r="E30" i="1"/>
  <c r="C34" i="1"/>
  <c r="C33" i="1"/>
  <c r="C32" i="1"/>
  <c r="C31" i="1"/>
  <c r="C30" i="1"/>
  <c r="B31" i="1"/>
  <c r="B32" i="1"/>
  <c r="B33" i="1"/>
  <c r="B34" i="1"/>
  <c r="B30" i="1"/>
  <c r="G22" i="1"/>
  <c r="G21" i="1"/>
  <c r="E26" i="1"/>
  <c r="B26" i="1"/>
  <c r="F26" i="1"/>
  <c r="E25" i="1"/>
  <c r="E24" i="1"/>
  <c r="E23" i="1"/>
  <c r="E22" i="1"/>
  <c r="E21" i="1"/>
  <c r="C26" i="1"/>
  <c r="C25" i="1"/>
  <c r="C24" i="1"/>
  <c r="C23" i="1"/>
  <c r="C22" i="1"/>
  <c r="C21" i="1"/>
  <c r="B21" i="1"/>
  <c r="B22" i="1"/>
  <c r="D22" i="1"/>
  <c r="B23" i="1"/>
  <c r="D23" i="1"/>
  <c r="B24" i="1"/>
  <c r="D24" i="1"/>
  <c r="B25" i="1"/>
  <c r="D25" i="1"/>
  <c r="D26" i="1"/>
  <c r="D21" i="1"/>
  <c r="D27" i="1"/>
  <c r="G17" i="1"/>
  <c r="B17" i="1"/>
  <c r="H17" i="1"/>
  <c r="G16" i="1"/>
  <c r="G15" i="1"/>
  <c r="G14" i="1"/>
  <c r="G13" i="1"/>
  <c r="G12" i="1"/>
  <c r="E13" i="1"/>
  <c r="B13" i="1"/>
  <c r="F13" i="1"/>
  <c r="E17" i="1"/>
  <c r="E16" i="1"/>
  <c r="E15" i="1"/>
  <c r="E14" i="1"/>
  <c r="E12" i="1"/>
  <c r="C17" i="1"/>
  <c r="C16" i="1"/>
  <c r="C15" i="1"/>
  <c r="C14" i="1"/>
  <c r="C13" i="1"/>
  <c r="C12" i="1"/>
  <c r="H30" i="1"/>
  <c r="H31" i="1"/>
  <c r="H32" i="1"/>
  <c r="H33" i="1"/>
  <c r="H34" i="1"/>
  <c r="H35" i="1"/>
  <c r="F30" i="1"/>
  <c r="F31" i="1"/>
  <c r="F32" i="1"/>
  <c r="F33" i="1"/>
  <c r="F34" i="1"/>
  <c r="F35" i="1"/>
  <c r="D30" i="1"/>
  <c r="D31" i="1"/>
  <c r="D32" i="1"/>
  <c r="D33" i="1"/>
  <c r="D34" i="1"/>
  <c r="D35" i="1"/>
  <c r="H21" i="1"/>
  <c r="H22" i="1"/>
  <c r="H23" i="1"/>
  <c r="H24" i="1"/>
  <c r="H25" i="1"/>
  <c r="H26" i="1"/>
  <c r="H27" i="1"/>
  <c r="F21" i="1"/>
  <c r="F22" i="1"/>
  <c r="F23" i="1"/>
  <c r="F24" i="1"/>
  <c r="F25" i="1"/>
  <c r="F27" i="1"/>
  <c r="B12" i="1"/>
  <c r="H12" i="1"/>
  <c r="H13" i="1"/>
  <c r="B14" i="1"/>
  <c r="H14" i="1"/>
  <c r="B15" i="1"/>
  <c r="H15" i="1"/>
  <c r="B16" i="1"/>
  <c r="H16" i="1"/>
  <c r="H18" i="1"/>
  <c r="F12" i="1"/>
  <c r="F14" i="1"/>
  <c r="F15" i="1"/>
  <c r="F16" i="1"/>
  <c r="F17" i="1"/>
  <c r="F18" i="1"/>
  <c r="D12" i="1"/>
  <c r="D13" i="1"/>
  <c r="D14" i="1"/>
  <c r="D15" i="1"/>
  <c r="D16" i="1"/>
  <c r="D17" i="1"/>
  <c r="D18" i="1"/>
  <c r="G3" i="1"/>
  <c r="B3" i="1"/>
  <c r="H3" i="1"/>
  <c r="G4" i="1"/>
  <c r="B4" i="1"/>
  <c r="H4" i="1"/>
  <c r="G5" i="1"/>
  <c r="B5" i="1"/>
  <c r="H5" i="1"/>
  <c r="G6" i="1"/>
  <c r="B6" i="1"/>
  <c r="H6" i="1"/>
  <c r="G7" i="1"/>
  <c r="B7" i="1"/>
  <c r="H7" i="1"/>
  <c r="G8" i="1"/>
  <c r="B8" i="1"/>
  <c r="H8" i="1"/>
  <c r="H9" i="1"/>
  <c r="E3" i="1"/>
  <c r="F3" i="1"/>
  <c r="E4" i="1"/>
  <c r="F4" i="1"/>
  <c r="E5" i="1"/>
  <c r="F5" i="1"/>
  <c r="E6" i="1"/>
  <c r="F6" i="1"/>
  <c r="E7" i="1"/>
  <c r="F7" i="1"/>
  <c r="E8" i="1"/>
  <c r="F8" i="1"/>
  <c r="F9" i="1"/>
  <c r="C3" i="1"/>
  <c r="D3" i="1"/>
  <c r="C4" i="1"/>
  <c r="D4" i="1"/>
  <c r="C5" i="1"/>
  <c r="D5" i="1"/>
  <c r="C6" i="1"/>
  <c r="D6" i="1"/>
  <c r="C7" i="1"/>
  <c r="D7" i="1"/>
  <c r="C8" i="1"/>
  <c r="D8" i="1"/>
  <c r="D9" i="1"/>
</calcChain>
</file>

<file path=xl/sharedStrings.xml><?xml version="1.0" encoding="utf-8"?>
<sst xmlns="http://schemas.openxmlformats.org/spreadsheetml/2006/main" count="48" uniqueCount="22">
  <si>
    <t>n</t>
  </si>
  <si>
    <t>n log_2 n</t>
  </si>
  <si>
    <t>microsec</t>
  </si>
  <si>
    <t>time-const</t>
  </si>
  <si>
    <t>comparisons</t>
  </si>
  <si>
    <t>comp-const</t>
  </si>
  <si>
    <t>moves</t>
  </si>
  <si>
    <t>moves-const</t>
  </si>
  <si>
    <t>Heap</t>
  </si>
  <si>
    <t>mean</t>
  </si>
  <si>
    <t>Insertion</t>
  </si>
  <si>
    <t>Merge</t>
  </si>
  <si>
    <t>quick</t>
  </si>
  <si>
    <t>Quick</t>
  </si>
  <si>
    <t>n^2</t>
  </si>
  <si>
    <t>Constant Factor</t>
  </si>
  <si>
    <t>Time</t>
  </si>
  <si>
    <t>Comparisons</t>
  </si>
  <si>
    <t>Moves</t>
  </si>
  <si>
    <t>heap</t>
  </si>
  <si>
    <t>merge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</si>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</sst>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1" fontId="0" fillId="0" borderId="0" xfId="0" applyNumberFormat="1" applyBorder="1"/>
    <xf numFmtId="0" fontId="0" fillId="0" borderId="10" xfId="0" applyBorder="1"/>
    <xf numFmtId="0" fontId="0" fillId="2" borderId="11" xfId="0" applyFill="1" applyBorder="1"/>
    <xf numFmtId="0" fontId="0" fillId="2" borderId="1" xfId="0" applyFill="1" applyBorder="1"/>
    <xf numFmtId="0" fontId="0" fillId="2" borderId="12" xfId="0" applyFill="1" applyBorder="1"/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1.240243582135603</c:v>
                </c:pt>
                <c:pt idx="1">
                  <c:v>0.365751444731737</c:v>
                </c:pt>
                <c:pt idx="2">
                  <c:v>0.0584399564915675</c:v>
                </c:pt>
                <c:pt idx="3">
                  <c:v>0.0193231154216709</c:v>
                </c:pt>
                <c:pt idx="4">
                  <c:v>0.014564553662213</c:v>
                </c:pt>
                <c:pt idx="5">
                  <c:v>0.0190911116040127</c:v>
                </c:pt>
              </c:numCache>
            </c:numRef>
          </c:yVal>
          <c:smooth val="0"/>
        </c:ser>
        <c:ser>
          <c:idx val="1"/>
          <c:order val="1"/>
          <c:tx>
            <c:v>Quick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Sheet1!$D$12:$D$17</c:f>
              <c:numCache>
                <c:formatCode>General</c:formatCode>
                <c:ptCount val="6"/>
                <c:pt idx="0">
                  <c:v>0.535833392281887</c:v>
                </c:pt>
                <c:pt idx="1">
                  <c:v>0.194164347203268</c:v>
                </c:pt>
                <c:pt idx="2">
                  <c:v>0.0394349294319815</c:v>
                </c:pt>
                <c:pt idx="3">
                  <c:v>0.0167237214091125</c:v>
                </c:pt>
                <c:pt idx="4">
                  <c:v>0.00683855861749779</c:v>
                </c:pt>
                <c:pt idx="5">
                  <c:v>0.00590550611160409</c:v>
                </c:pt>
              </c:numCache>
            </c:numRef>
          </c:yVal>
          <c:smooth val="0"/>
        </c:ser>
        <c:ser>
          <c:idx val="2"/>
          <c:order val="2"/>
          <c:tx>
            <c:v>Merge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Sheet1!$A$21:$A$26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</c:numCache>
            </c:numRef>
          </c:xVal>
          <c:yVal>
            <c:numRef>
              <c:f>Sheet1!$D$21:$D$26</c:f>
              <c:numCache>
                <c:formatCode>General</c:formatCode>
                <c:ptCount val="6"/>
                <c:pt idx="0">
                  <c:v>0.866966387512266</c:v>
                </c:pt>
                <c:pt idx="1">
                  <c:v>0.258283736279696</c:v>
                </c:pt>
                <c:pt idx="2">
                  <c:v>0.0486865846320545</c:v>
                </c:pt>
                <c:pt idx="3">
                  <c:v>0.0303724214125174</c:v>
                </c:pt>
                <c:pt idx="4">
                  <c:v>0.014114814848691</c:v>
                </c:pt>
                <c:pt idx="5">
                  <c:v>0.0125741533652159</c:v>
                </c:pt>
              </c:numCache>
            </c:numRef>
          </c:yVal>
          <c:smooth val="0"/>
        </c:ser>
        <c:ser>
          <c:idx val="3"/>
          <c:order val="3"/>
          <c:tx>
            <c:v>Insertion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Sheet1!$A$30:$A$34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xVal>
          <c:yVal>
            <c:numRef>
              <c:f>Sheet1!$D$30:$D$34</c:f>
              <c:numCache>
                <c:formatCode>General</c:formatCode>
                <c:ptCount val="5"/>
                <c:pt idx="0">
                  <c:v>0.134</c:v>
                </c:pt>
                <c:pt idx="1">
                  <c:v>0.02772</c:v>
                </c:pt>
                <c:pt idx="2">
                  <c:v>0.00479</c:v>
                </c:pt>
                <c:pt idx="3">
                  <c:v>0.000850766</c:v>
                </c:pt>
                <c:pt idx="4">
                  <c:v>0.00030062208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90112"/>
        <c:axId val="-2059334048"/>
      </c:scatterChart>
      <c:valAx>
        <c:axId val="-2100390112"/>
        <c:scaling>
          <c:logBase val="10.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334048"/>
        <c:crosses val="max"/>
        <c:crossBetween val="midCat"/>
      </c:valAx>
      <c:valAx>
        <c:axId val="-205933404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127000</xdr:rowOff>
    </xdr:from>
    <xdr:to>
      <xdr:col>16</xdr:col>
      <xdr:colOff>165100</xdr:colOff>
      <xdr:row>27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2"/>
  <sheetViews>
    <sheetView tabSelected="1" showRuler="0" view="pageLayout" workbookViewId="0">
      <selection activeCell="A38" sqref="A38:D42"/>
    </sheetView>
  </sheetViews>
  <sheetFormatPr baseColWidth="10" defaultColWidth="12" defaultRowHeight="16" x14ac:dyDescent="0.2"/>
  <cols>
    <col min="1" max="1" width="16.5" customWidth="1"/>
    <col min="4" max="4" width="12" customWidth="1"/>
  </cols>
  <sheetData>
    <row r="1" spans="1:8" s="4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">
      <c r="A2" s="5" t="s">
        <v>8</v>
      </c>
      <c r="B2" s="6"/>
      <c r="C2" s="6"/>
      <c r="D2" s="6"/>
      <c r="E2" s="6"/>
      <c r="F2" s="6"/>
      <c r="G2" s="6"/>
      <c r="H2" s="7"/>
    </row>
    <row r="3" spans="1:8" x14ac:dyDescent="0.2">
      <c r="A3" s="8">
        <v>10</v>
      </c>
      <c r="B3" s="9">
        <f>A3*LOG(A3,2)</f>
        <v>33.219280948873624</v>
      </c>
      <c r="C3" s="10">
        <f>(38+49+37+23+59)/5</f>
        <v>41.2</v>
      </c>
      <c r="D3" s="9">
        <f>C3/B3</f>
        <v>1.2402435821356026</v>
      </c>
      <c r="E3" s="10">
        <f>(59+56+55+56+56)/5</f>
        <v>56.4</v>
      </c>
      <c r="F3" s="9">
        <f>E3/B3</f>
        <v>1.6978091755448539</v>
      </c>
      <c r="G3" s="10">
        <f t="shared" ref="G3" si="0">(83+79+79+79+79)/5</f>
        <v>79.8</v>
      </c>
      <c r="H3" s="11">
        <f>G3/B3</f>
        <v>2.4022193653985697</v>
      </c>
    </row>
    <row r="4" spans="1:8" x14ac:dyDescent="0.2">
      <c r="A4" s="8">
        <v>100</v>
      </c>
      <c r="B4" s="9">
        <f t="shared" ref="B4:B8" si="1">A4*LOG(A4,2)</f>
        <v>664.38561897747252</v>
      </c>
      <c r="C4" s="10">
        <f>(282+138+300+290+205)/5</f>
        <v>243</v>
      </c>
      <c r="D4" s="9">
        <f>C4/B4</f>
        <v>0.36575144473173715</v>
      </c>
      <c r="E4" s="10">
        <f>(1471+1488+1494+1478+1496)/5</f>
        <v>1485.4</v>
      </c>
      <c r="F4" s="9">
        <f t="shared" ref="F4:F8" si="2">E4/B4</f>
        <v>2.2357497777963884</v>
      </c>
      <c r="G4" s="10">
        <f>(1732+1748+1758+1742+1761)/5</f>
        <v>1748.2</v>
      </c>
      <c r="H4" s="11">
        <f t="shared" ref="H4:H8" si="3">G4/B4</f>
        <v>2.6313031920988594</v>
      </c>
    </row>
    <row r="5" spans="1:8" x14ac:dyDescent="0.2">
      <c r="A5" s="8">
        <v>1000</v>
      </c>
      <c r="B5" s="9">
        <f t="shared" si="1"/>
        <v>9965.7842846620879</v>
      </c>
      <c r="C5" s="10">
        <f>(616+512+685+659+440)/5</f>
        <v>582.4</v>
      </c>
      <c r="D5" s="9">
        <f t="shared" ref="D5:D8" si="4">C5/B5</f>
        <v>5.8439956491567545E-2</v>
      </c>
      <c r="E5" s="10">
        <f>(24622+24594+24614+24592+24572)/5</f>
        <v>24598.799999999999</v>
      </c>
      <c r="F5" s="9">
        <f t="shared" si="2"/>
        <v>2.4683255524463799</v>
      </c>
      <c r="G5" s="10">
        <f>(27206+27240+27265+27240+27278)/5</f>
        <v>27245.8</v>
      </c>
      <c r="H5" s="11">
        <f t="shared" si="3"/>
        <v>2.7339343519538994</v>
      </c>
    </row>
    <row r="6" spans="1:8" x14ac:dyDescent="0.2">
      <c r="A6" s="8">
        <v>10000</v>
      </c>
      <c r="B6" s="9">
        <f t="shared" si="1"/>
        <v>132877.1237954945</v>
      </c>
      <c r="C6" s="10">
        <f>(2557+2412+2691+2419+2759)/5</f>
        <v>2567.6</v>
      </c>
      <c r="D6" s="9">
        <f t="shared" si="4"/>
        <v>1.9323115421670953E-2</v>
      </c>
      <c r="E6" s="10">
        <f>(346105+346125+345920+346105+346115)/5</f>
        <v>346074</v>
      </c>
      <c r="F6" s="9">
        <f t="shared" si="2"/>
        <v>2.6044663679854159</v>
      </c>
      <c r="G6" s="10">
        <f>(372605+372654+372402+372607+372616)/5</f>
        <v>372576.8</v>
      </c>
      <c r="H6" s="11">
        <f t="shared" si="3"/>
        <v>2.8039198122124995</v>
      </c>
    </row>
    <row r="7" spans="1:8" x14ac:dyDescent="0.2">
      <c r="A7" s="8">
        <v>100000</v>
      </c>
      <c r="B7" s="9">
        <f t="shared" si="1"/>
        <v>1660964.0474436812</v>
      </c>
      <c r="C7" s="10">
        <f>(22984+23381+26116+24346+24129)/5</f>
        <v>24191.200000000001</v>
      </c>
      <c r="D7" s="9">
        <f t="shared" si="4"/>
        <v>1.4564553662213004E-2</v>
      </c>
      <c r="E7" s="10">
        <f>(4459533+4459570+4460449+4459562+4460000)/5</f>
        <v>4459822.8</v>
      </c>
      <c r="F7" s="9">
        <f t="shared" si="2"/>
        <v>2.6850808762922487</v>
      </c>
      <c r="G7" s="10">
        <f>(4724577+4724667+4725734+4724735+4725310)/5</f>
        <v>4725004.5999999996</v>
      </c>
      <c r="H7" s="11">
        <f t="shared" si="3"/>
        <v>2.8447362285005822</v>
      </c>
    </row>
    <row r="8" spans="1:8" x14ac:dyDescent="0.2">
      <c r="A8" s="8">
        <v>1000000</v>
      </c>
      <c r="B8" s="9">
        <f t="shared" si="1"/>
        <v>19931568.569324173</v>
      </c>
      <c r="C8" s="10">
        <f>(271909+544066+360999+360453+365152)/5</f>
        <v>380515.8</v>
      </c>
      <c r="D8" s="9">
        <f t="shared" si="4"/>
        <v>1.9091111604012723E-2</v>
      </c>
      <c r="E8" s="10">
        <f>(54496155+54493865+54493316+54493848+54495049)/5</f>
        <v>54494446.600000001</v>
      </c>
      <c r="F8" s="9">
        <f t="shared" si="2"/>
        <v>2.7340771706181761</v>
      </c>
      <c r="G8" s="10">
        <f>(57147809+57145089+57144192+57145393+57146574)/5</f>
        <v>57145811.399999999</v>
      </c>
      <c r="H8" s="11">
        <f t="shared" si="3"/>
        <v>2.8671005596594479</v>
      </c>
    </row>
    <row r="9" spans="1:8" x14ac:dyDescent="0.2">
      <c r="A9" s="12" t="s">
        <v>9</v>
      </c>
      <c r="B9" s="13"/>
      <c r="C9" s="13"/>
      <c r="D9" s="13">
        <f>AVERAGE(D3:D8)</f>
        <v>0.286235627341134</v>
      </c>
      <c r="E9" s="13"/>
      <c r="F9" s="13">
        <f>AVERAGE(F3:F8)</f>
        <v>2.4042514867805771</v>
      </c>
      <c r="G9" s="13"/>
      <c r="H9" s="14">
        <f>AVERAGE(H3:H8)</f>
        <v>2.7138689183039766</v>
      </c>
    </row>
    <row r="10" spans="1:8" x14ac:dyDescent="0.2">
      <c r="A10" s="1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3" t="s">
        <v>7</v>
      </c>
    </row>
    <row r="11" spans="1:8" x14ac:dyDescent="0.2">
      <c r="A11" s="5" t="s">
        <v>13</v>
      </c>
      <c r="B11" s="6"/>
      <c r="C11" s="6"/>
      <c r="D11" s="6"/>
      <c r="E11" s="6"/>
      <c r="F11" s="6"/>
      <c r="G11" s="6"/>
      <c r="H11" s="7"/>
    </row>
    <row r="12" spans="1:8" x14ac:dyDescent="0.2">
      <c r="A12" s="8">
        <v>10</v>
      </c>
      <c r="B12" s="9">
        <f>A12*LOG(A12,2)</f>
        <v>33.219280948873624</v>
      </c>
      <c r="C12" s="10">
        <f>(13+13+14+34+15)/5</f>
        <v>17.8</v>
      </c>
      <c r="D12" s="9">
        <f>C12/B12</f>
        <v>0.53583339228188653</v>
      </c>
      <c r="E12" s="10">
        <f>(11+11+12+11+14)/5</f>
        <v>11.8</v>
      </c>
      <c r="F12" s="9">
        <f>E12/B12</f>
        <v>0.35521539488349785</v>
      </c>
      <c r="G12" s="10">
        <f>(71+73+74+74+79)/5</f>
        <v>74.2</v>
      </c>
      <c r="H12" s="11">
        <f>G12/B12</f>
        <v>2.2336425678267404</v>
      </c>
    </row>
    <row r="13" spans="1:8" x14ac:dyDescent="0.2">
      <c r="A13" s="8">
        <v>100</v>
      </c>
      <c r="B13" s="9">
        <f t="shared" ref="B13:B17" si="5">A13*LOG(A13,2)</f>
        <v>664.38561897747252</v>
      </c>
      <c r="C13" s="10">
        <f>(134+111+92+196+112)/5</f>
        <v>129</v>
      </c>
      <c r="D13" s="9">
        <f>C13/B13</f>
        <v>0.19416434720326786</v>
      </c>
      <c r="E13" s="10">
        <f>(394+326+306+305+318)/5</f>
        <v>329.8</v>
      </c>
      <c r="F13" s="9">
        <f>E13/B13</f>
        <v>0.49639846284990496</v>
      </c>
      <c r="G13" s="10">
        <f>(1576+1378+1308+1315+1346)/5</f>
        <v>1384.6</v>
      </c>
      <c r="H13" s="11">
        <f t="shared" ref="H13:H16" si="6">G13/B13</f>
        <v>2.0840306599817415</v>
      </c>
    </row>
    <row r="14" spans="1:8" x14ac:dyDescent="0.2">
      <c r="A14" s="8">
        <v>1000</v>
      </c>
      <c r="B14" s="9">
        <f t="shared" si="5"/>
        <v>9965.7842846620879</v>
      </c>
      <c r="C14" s="10">
        <f>(399+457+333+369+407)/5</f>
        <v>393</v>
      </c>
      <c r="D14" s="9">
        <f t="shared" ref="D14:D17" si="7">C14/B14</f>
        <v>3.9434929431981534E-2</v>
      </c>
      <c r="E14" s="10">
        <f>(5897+5470+5875+5612+5404)/5</f>
        <v>5651.6</v>
      </c>
      <c r="F14" s="9">
        <f t="shared" ref="F14:F17" si="8">E14/B14</f>
        <v>0.5671003744981854</v>
      </c>
      <c r="G14" s="10">
        <f>(20169+20859+21606+20437+21688)/5</f>
        <v>20951.8</v>
      </c>
      <c r="H14" s="11">
        <f t="shared" si="6"/>
        <v>2.1023734210508667</v>
      </c>
    </row>
    <row r="15" spans="1:8" x14ac:dyDescent="0.2">
      <c r="A15" s="8">
        <v>10000</v>
      </c>
      <c r="B15" s="9">
        <f t="shared" si="5"/>
        <v>132877.1237954945</v>
      </c>
      <c r="C15" s="10">
        <f>(2616+2109+1800+2718+1868)/5</f>
        <v>2222.1999999999998</v>
      </c>
      <c r="D15" s="9">
        <f t="shared" si="7"/>
        <v>1.6723721409112473E-2</v>
      </c>
      <c r="E15" s="10">
        <f>(75696+77533+72378+77184+79915)/5</f>
        <v>76541.2</v>
      </c>
      <c r="F15" s="9">
        <f t="shared" si="8"/>
        <v>0.57602992760289795</v>
      </c>
      <c r="G15" s="10">
        <f>(267219+272698+257172+271626+279841)/5</f>
        <v>269711.2</v>
      </c>
      <c r="H15" s="11">
        <f t="shared" si="6"/>
        <v>2.0297790341631794</v>
      </c>
    </row>
    <row r="16" spans="1:8" x14ac:dyDescent="0.2">
      <c r="A16" s="8">
        <v>100000</v>
      </c>
      <c r="B16" s="9">
        <f t="shared" si="5"/>
        <v>1660964.0474436812</v>
      </c>
      <c r="C16" s="10">
        <f>(8982+11537+11983+11725+12566)/5</f>
        <v>11358.6</v>
      </c>
      <c r="D16" s="9">
        <f t="shared" si="7"/>
        <v>6.838558617497794E-3</v>
      </c>
      <c r="E16" s="10">
        <f>(1029531+1097913+1022847+1017915+946555)/5</f>
        <v>1022952.2</v>
      </c>
      <c r="F16" s="9">
        <f t="shared" si="8"/>
        <v>0.61587859266092004</v>
      </c>
      <c r="G16" s="10">
        <f>(3239562+3453826+3468256+3488530+3693651)/5</f>
        <v>3468765</v>
      </c>
      <c r="H16" s="11">
        <f t="shared" si="6"/>
        <v>2.0884046258187396</v>
      </c>
    </row>
    <row r="17" spans="1:8" x14ac:dyDescent="0.2">
      <c r="A17" s="8">
        <v>1000000</v>
      </c>
      <c r="B17" s="9">
        <f t="shared" si="5"/>
        <v>19931568.569324173</v>
      </c>
      <c r="C17" s="10">
        <f>(123334+119731+122292+122261+100912)/5</f>
        <v>117706</v>
      </c>
      <c r="D17" s="9">
        <f t="shared" si="7"/>
        <v>5.9055061116040954E-3</v>
      </c>
      <c r="E17" s="10">
        <f>(12016599+12183114+12296846+123966731+12255439)/5</f>
        <v>34543745.799999997</v>
      </c>
      <c r="F17" s="9">
        <f t="shared" si="8"/>
        <v>1.7331172747319448</v>
      </c>
      <c r="G17" s="10">
        <f>(40050303+40548786+40891815+41190055+40767291)/5</f>
        <v>40689650</v>
      </c>
      <c r="H17" s="11">
        <f>G17/B17</f>
        <v>2.0414675271781522</v>
      </c>
    </row>
    <row r="18" spans="1:8" x14ac:dyDescent="0.2">
      <c r="A18" s="12" t="s">
        <v>9</v>
      </c>
      <c r="B18" s="13"/>
      <c r="C18" s="13"/>
      <c r="D18" s="13">
        <f>AVERAGE(D12:D17)</f>
        <v>0.13315007584255842</v>
      </c>
      <c r="E18" s="13"/>
      <c r="F18" s="13">
        <f>AVERAGE(F12:F17)</f>
        <v>0.72395667120455853</v>
      </c>
      <c r="G18" s="13"/>
      <c r="H18" s="14">
        <f>AVERAGE(H12:H17)</f>
        <v>2.0966163060032366</v>
      </c>
    </row>
    <row r="19" spans="1:8" x14ac:dyDescent="0.2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3" t="s">
        <v>7</v>
      </c>
    </row>
    <row r="20" spans="1:8" x14ac:dyDescent="0.2">
      <c r="A20" s="5" t="s">
        <v>11</v>
      </c>
      <c r="B20" s="6"/>
      <c r="C20" s="6"/>
      <c r="D20" s="6"/>
      <c r="E20" s="6"/>
      <c r="F20" s="6"/>
      <c r="G20" s="6"/>
      <c r="H20" s="7"/>
    </row>
    <row r="21" spans="1:8" x14ac:dyDescent="0.2">
      <c r="A21" s="8">
        <v>10</v>
      </c>
      <c r="B21" s="9">
        <f>A21*LOG(A21,2)</f>
        <v>33.219280948873624</v>
      </c>
      <c r="C21" s="10">
        <f>(14+38+19+52+21)/5</f>
        <v>28.8</v>
      </c>
      <c r="D21" s="9">
        <f>C21/B21</f>
        <v>0.86696638751226585</v>
      </c>
      <c r="E21" s="10">
        <f>(23+22+23+23+23)/5</f>
        <v>22.8</v>
      </c>
      <c r="F21" s="9">
        <f>E21/B21</f>
        <v>0.68634839011387716</v>
      </c>
      <c r="G21" s="10">
        <f>(34+34+34+34+34)/5</f>
        <v>34</v>
      </c>
      <c r="H21" s="11">
        <f>G21/B21</f>
        <v>1.023501985257536</v>
      </c>
    </row>
    <row r="22" spans="1:8" x14ac:dyDescent="0.2">
      <c r="A22" s="8">
        <v>100</v>
      </c>
      <c r="B22" s="9">
        <f t="shared" ref="B22:B26" si="9">A22*LOG(A22,2)</f>
        <v>664.38561897747252</v>
      </c>
      <c r="C22" s="10">
        <f>(137+197+168+224+132)/5</f>
        <v>171.6</v>
      </c>
      <c r="D22" s="9">
        <f>C22/B22</f>
        <v>0.25828373627969586</v>
      </c>
      <c r="E22" s="10">
        <f>(541+542+536+541+540)/5</f>
        <v>540</v>
      </c>
      <c r="F22" s="9">
        <f t="shared" ref="F22:F25" si="10">E22/B22</f>
        <v>0.81278098829274914</v>
      </c>
      <c r="G22" s="10">
        <f>(672+672+672+672+672)/5</f>
        <v>672</v>
      </c>
      <c r="H22" s="11">
        <f t="shared" ref="H22:H26" si="11">G22/B22</f>
        <v>1.0114607854309767</v>
      </c>
    </row>
    <row r="23" spans="1:8" x14ac:dyDescent="0.2">
      <c r="A23" s="8">
        <v>1000</v>
      </c>
      <c r="B23" s="9">
        <f t="shared" si="9"/>
        <v>9965.7842846620879</v>
      </c>
      <c r="C23" s="10">
        <f>(671+335+478+535+407)/5</f>
        <v>485.2</v>
      </c>
      <c r="D23" s="9">
        <f t="shared" ref="D23:D26" si="12">C23/B23</f>
        <v>4.8686584632054553E-2</v>
      </c>
      <c r="E23" s="10">
        <f>(8702+8714+8701+8711+8698)/5</f>
        <v>8705.2000000000007</v>
      </c>
      <c r="F23" s="9">
        <f t="shared" si="10"/>
        <v>0.87350877275136307</v>
      </c>
      <c r="G23" s="10">
        <v>9976</v>
      </c>
      <c r="H23" s="11">
        <f t="shared" si="11"/>
        <v>1.0010250789146253</v>
      </c>
    </row>
    <row r="24" spans="1:8" x14ac:dyDescent="0.2">
      <c r="A24" s="8">
        <v>10000</v>
      </c>
      <c r="B24" s="9">
        <f t="shared" si="9"/>
        <v>132877.1237954945</v>
      </c>
      <c r="C24" s="10">
        <f>(2737+4460+4452+4379+4151)/5</f>
        <v>4035.8</v>
      </c>
      <c r="D24" s="9">
        <f t="shared" si="12"/>
        <v>3.0372421412517385E-2</v>
      </c>
      <c r="E24" s="10">
        <f>(120473+120402+120453+120453+120497)/5</f>
        <v>120455.6</v>
      </c>
      <c r="F24" s="9">
        <f t="shared" si="10"/>
        <v>0.9065187186425564</v>
      </c>
      <c r="G24" s="10">
        <v>133616</v>
      </c>
      <c r="H24" s="11">
        <f t="shared" si="11"/>
        <v>1.0055605975159627</v>
      </c>
    </row>
    <row r="25" spans="1:8" x14ac:dyDescent="0.2">
      <c r="A25" s="8">
        <v>100000</v>
      </c>
      <c r="B25" s="9">
        <f t="shared" si="9"/>
        <v>1660964.0474436812</v>
      </c>
      <c r="C25" s="10">
        <f>(23681+27576+24098+23531+18335)/5</f>
        <v>23444.2</v>
      </c>
      <c r="D25" s="9">
        <f t="shared" si="12"/>
        <v>1.4114814848691017E-2</v>
      </c>
      <c r="E25" s="10">
        <f>(1536283+1536443+1536457+1536461+1536395)/5</f>
        <v>1536407.8</v>
      </c>
      <c r="F25" s="9">
        <f t="shared" si="10"/>
        <v>0.92500966674421381</v>
      </c>
      <c r="G25" s="10">
        <v>1668928</v>
      </c>
      <c r="H25" s="11">
        <f t="shared" si="11"/>
        <v>1.0047947772069936</v>
      </c>
    </row>
    <row r="26" spans="1:8" x14ac:dyDescent="0.2">
      <c r="A26" s="8">
        <v>1000000</v>
      </c>
      <c r="B26" s="9">
        <f t="shared" si="9"/>
        <v>19931568.569324173</v>
      </c>
      <c r="C26" s="10">
        <f>(206666+283108+258807+249348+255184)/5</f>
        <v>250622.6</v>
      </c>
      <c r="D26" s="9">
        <f t="shared" si="12"/>
        <v>1.2574153365215951E-2</v>
      </c>
      <c r="E26" s="10">
        <f>(18674357+18674318+18674545+18673840+18674438)/5</f>
        <v>18674299.600000001</v>
      </c>
      <c r="F26" s="9">
        <f>E26/B26</f>
        <v>0.93692072126931447</v>
      </c>
      <c r="G26" s="10">
        <v>19951424</v>
      </c>
      <c r="H26" s="11">
        <f t="shared" si="11"/>
        <v>1.0009961800350418</v>
      </c>
    </row>
    <row r="27" spans="1:8" x14ac:dyDescent="0.2">
      <c r="A27" s="12" t="s">
        <v>9</v>
      </c>
      <c r="B27" s="13"/>
      <c r="C27" s="13"/>
      <c r="D27" s="13">
        <f>AVERAGE(D21:D26)</f>
        <v>0.20516634967507341</v>
      </c>
      <c r="E27" s="13"/>
      <c r="F27" s="13">
        <f>AVERAGE(F21:F26)</f>
        <v>0.8568478763023456</v>
      </c>
      <c r="G27" s="13"/>
      <c r="H27" s="14">
        <f>AVERAGE(H21:H26)</f>
        <v>1.007889900726856</v>
      </c>
    </row>
    <row r="28" spans="1:8" x14ac:dyDescent="0.2">
      <c r="A28" s="1" t="s">
        <v>0</v>
      </c>
      <c r="B28" s="2" t="s">
        <v>14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3" t="s">
        <v>7</v>
      </c>
    </row>
    <row r="29" spans="1:8" x14ac:dyDescent="0.2">
      <c r="A29" s="5" t="s">
        <v>10</v>
      </c>
      <c r="B29" s="6"/>
      <c r="C29" s="6"/>
      <c r="D29" s="6"/>
      <c r="E29" s="6"/>
      <c r="F29" s="6"/>
      <c r="G29" s="6"/>
      <c r="H29" s="7"/>
    </row>
    <row r="30" spans="1:8" x14ac:dyDescent="0.2">
      <c r="A30" s="8">
        <v>10</v>
      </c>
      <c r="B30" s="9">
        <f>POWER(A30,2)</f>
        <v>100</v>
      </c>
      <c r="C30" s="10">
        <f>(12+8+8+12+27)/5</f>
        <v>13.4</v>
      </c>
      <c r="D30" s="9">
        <f>C30/B30</f>
        <v>0.13400000000000001</v>
      </c>
      <c r="E30" s="10">
        <f>(24+22+19+23+23)/5</f>
        <v>22.2</v>
      </c>
      <c r="F30" s="9">
        <f>E30/B30</f>
        <v>0.222</v>
      </c>
      <c r="G30" s="10">
        <f>(42+40+37+41+41)/5</f>
        <v>40.200000000000003</v>
      </c>
      <c r="H30" s="11">
        <f>G30/B30</f>
        <v>0.40200000000000002</v>
      </c>
    </row>
    <row r="31" spans="1:8" x14ac:dyDescent="0.2">
      <c r="A31" s="8">
        <v>100</v>
      </c>
      <c r="B31" s="9">
        <f t="shared" ref="B31:B34" si="13">POWER(A31,2)</f>
        <v>10000</v>
      </c>
      <c r="C31" s="10">
        <f>(217+219+334+317+299)/5</f>
        <v>277.2</v>
      </c>
      <c r="D31" s="9">
        <f>C31/B31</f>
        <v>2.7719999999999998E-2</v>
      </c>
      <c r="E31" s="10">
        <f>(2460+2519+2519+2537+2533)/5</f>
        <v>2513.6</v>
      </c>
      <c r="F31" s="9">
        <f t="shared" ref="F31:F34" si="14">E31/B31</f>
        <v>0.25135999999999997</v>
      </c>
      <c r="G31" s="10">
        <f>(2658+2717+2717+2735+2731)/5</f>
        <v>2711.6</v>
      </c>
      <c r="H31" s="11">
        <f t="shared" ref="H31:H34" si="15">G31/B31</f>
        <v>0.27116000000000001</v>
      </c>
    </row>
    <row r="32" spans="1:8" x14ac:dyDescent="0.2">
      <c r="A32" s="8">
        <v>1000</v>
      </c>
      <c r="B32" s="9">
        <f t="shared" si="13"/>
        <v>1000000</v>
      </c>
      <c r="C32" s="10">
        <f>(4538+3552+8932+3589+3339)/5</f>
        <v>4790</v>
      </c>
      <c r="D32" s="9">
        <f t="shared" ref="D32:D34" si="16">C32/B32</f>
        <v>4.79E-3</v>
      </c>
      <c r="E32" s="10">
        <f>(253459+252052+252714+249132+255061)/5</f>
        <v>252483.6</v>
      </c>
      <c r="F32" s="9">
        <f t="shared" si="14"/>
        <v>0.25248360000000003</v>
      </c>
      <c r="G32" s="10">
        <f>(255457+254050+254712+251130+257059)/5</f>
        <v>254481.6</v>
      </c>
      <c r="H32" s="11">
        <f t="shared" si="15"/>
        <v>0.25448160000000003</v>
      </c>
    </row>
    <row r="33" spans="1:8" x14ac:dyDescent="0.2">
      <c r="A33" s="8">
        <v>10000</v>
      </c>
      <c r="B33" s="9">
        <f t="shared" si="13"/>
        <v>100000000</v>
      </c>
      <c r="C33" s="10">
        <f>(27466+31972+300073+33468+32404)/5</f>
        <v>85076.6</v>
      </c>
      <c r="D33" s="9">
        <f t="shared" si="16"/>
        <v>8.5076600000000009E-4</v>
      </c>
      <c r="E33" s="10">
        <f>(24939684+24991083+25013614+24938089+24949589)/5</f>
        <v>24966411.800000001</v>
      </c>
      <c r="F33" s="9">
        <f t="shared" si="14"/>
        <v>0.24966411800000002</v>
      </c>
      <c r="G33" s="10">
        <f>(24959682+25011081+25033612+24958087+24969587)/5</f>
        <v>24986409.800000001</v>
      </c>
      <c r="H33" s="11">
        <f t="shared" si="15"/>
        <v>0.24986409800000001</v>
      </c>
    </row>
    <row r="34" spans="1:8" x14ac:dyDescent="0.2">
      <c r="A34" s="8">
        <v>100000</v>
      </c>
      <c r="B34" s="9">
        <f t="shared" si="13"/>
        <v>10000000000</v>
      </c>
      <c r="C34" s="10">
        <f>(3082543+2989460+2984894+2987387+2986820)/5</f>
        <v>3006220.8</v>
      </c>
      <c r="D34" s="9">
        <f t="shared" si="16"/>
        <v>3.0062207999999996E-4</v>
      </c>
      <c r="E34" s="10">
        <f>(2501054280+2502140222+2497123214+2499398980+2501112680)/5</f>
        <v>2500165875.1999998</v>
      </c>
      <c r="F34" s="9">
        <f t="shared" si="14"/>
        <v>0.25001658752</v>
      </c>
      <c r="G34" s="10">
        <f>(2501254278+2502340220+2497323212+2499598978+2501312678)/5</f>
        <v>2500365873.1999998</v>
      </c>
      <c r="H34" s="11">
        <f t="shared" si="15"/>
        <v>0.25003658732</v>
      </c>
    </row>
    <row r="35" spans="1:8" x14ac:dyDescent="0.2">
      <c r="A35" s="12" t="s">
        <v>9</v>
      </c>
      <c r="B35" s="13"/>
      <c r="C35" s="13"/>
      <c r="D35" s="13">
        <f>AVERAGE(D30:D34)</f>
        <v>3.3532277616E-2</v>
      </c>
      <c r="E35" s="13"/>
      <c r="F35" s="13">
        <f>AVERAGE(F30:F34)</f>
        <v>0.24510486110400001</v>
      </c>
      <c r="G35" s="13"/>
      <c r="H35" s="14">
        <f>AVERAGE(H30:H34)</f>
        <v>0.28550845706399997</v>
      </c>
    </row>
    <row r="38" spans="1:8" x14ac:dyDescent="0.2">
      <c r="A38" s="15" t="s">
        <v>15</v>
      </c>
      <c r="B38" s="16" t="s">
        <v>16</v>
      </c>
      <c r="C38" s="16" t="s">
        <v>17</v>
      </c>
      <c r="D38" s="16" t="s">
        <v>18</v>
      </c>
    </row>
    <row r="39" spans="1:8" x14ac:dyDescent="0.2">
      <c r="A39" s="17" t="s">
        <v>19</v>
      </c>
      <c r="B39" s="18">
        <f>D9</f>
        <v>0.286235627341134</v>
      </c>
      <c r="C39" s="18">
        <f>F9</f>
        <v>2.4042514867805771</v>
      </c>
      <c r="D39" s="18">
        <f>H9</f>
        <v>2.7138689183039766</v>
      </c>
    </row>
    <row r="40" spans="1:8" x14ac:dyDescent="0.2">
      <c r="A40" s="17" t="s">
        <v>20</v>
      </c>
      <c r="B40" s="18">
        <f>D27</f>
        <v>0.20516634967507341</v>
      </c>
      <c r="C40" s="18">
        <f>F27</f>
        <v>0.8568478763023456</v>
      </c>
      <c r="D40" s="18">
        <f>H27</f>
        <v>1.007889900726856</v>
      </c>
    </row>
    <row r="41" spans="1:8" x14ac:dyDescent="0.2">
      <c r="A41" s="17" t="s">
        <v>21</v>
      </c>
      <c r="B41" s="18">
        <f>D35</f>
        <v>3.3532277616E-2</v>
      </c>
      <c r="C41" s="18">
        <f>F35</f>
        <v>0.24510486110400001</v>
      </c>
      <c r="D41" s="18">
        <f>H35</f>
        <v>0.28550845706399997</v>
      </c>
    </row>
    <row r="42" spans="1:8" x14ac:dyDescent="0.2">
      <c r="A42" s="17" t="s">
        <v>12</v>
      </c>
      <c r="B42" s="18">
        <f>D18</f>
        <v>0.13315007584255842</v>
      </c>
      <c r="C42" s="18">
        <f>F18</f>
        <v>0.72395667120455853</v>
      </c>
      <c r="D42" s="18">
        <f>H18</f>
        <v>2.0966163060032366</v>
      </c>
    </row>
  </sheetData>
  <phoneticPr fontId="4" type="noConversion"/>
  <pageMargins left="0.25" right="0.25" top="0.75" bottom="0.75" header="0.3" footer="0.3"/>
  <pageSetup scale="60" orientation="landscape" horizontalDpi="0" verticalDpi="0"/>
  <colBreaks count="1" manualBreakCount="1">
    <brk id="8" max="1048575" man="1"/>
  </colBreaks>
  <ignoredErrors>
    <ignoredError sqref="C4 G4 E4" formula="1"/>
  </ignoredErrors>
  <drawing r:id="rId1"/>
  <extLst>
    <ext xmlns:mx="http://schemas.microsoft.com/office/mac/excel/2008/main" uri="{64002731-A6B0-56B0-2670-7721B7C09600}">
      <mx:PLV Mode="1" OnePage="0" WScale="88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2015-11-18T06:45:23Z</cp:lastPrinted>
  <dcterms:created xsi:type="dcterms:W3CDTF">2015-11-18T04:13:56Z</dcterms:created>
  <dcterms:modified xsi:type="dcterms:W3CDTF">2015-11-18T06:59:02Z</dcterms:modified>
</cp:coreProperties>
</file>