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ruary" state="visible" r:id="rId4"/>
    <sheet sheetId="2" name="Discount Report" state="visible" r:id="rId5"/>
  </sheets>
  <calcPr calcId="171027"/>
</workbook>
</file>

<file path=xl/sharedStrings.xml><?xml version="1.0" encoding="utf-8"?>
<sst xmlns="http://schemas.openxmlformats.org/spreadsheetml/2006/main" count="9288" uniqueCount="1303">
  <si>
    <t>Molave Youngs Milling Corporation</t>
  </si>
  <si>
    <t>Yuteekiong Marketing Corporation</t>
  </si>
  <si>
    <t>Rizal Avenue, Molave, Zamboanga del Sur</t>
  </si>
  <si>
    <t>Non-Trade Equipment and Supplies</t>
  </si>
  <si>
    <t>Monthly Report</t>
  </si>
  <si>
    <t>No.</t>
  </si>
  <si>
    <t>Request No.</t>
  </si>
  <si>
    <t>Requested Date</t>
  </si>
  <si>
    <t>Canvass Received</t>
  </si>
  <si>
    <t>Purchase Date</t>
  </si>
  <si>
    <t>Date Received</t>
  </si>
  <si>
    <t>Company</t>
  </si>
  <si>
    <t>Departments</t>
  </si>
  <si>
    <t>Category</t>
  </si>
  <si>
    <t>Supplier</t>
  </si>
  <si>
    <t>Tagging</t>
  </si>
  <si>
    <t>Items</t>
  </si>
  <si>
    <t>Spefications</t>
  </si>
  <si>
    <t>Brand</t>
  </si>
  <si>
    <t>Qty</t>
  </si>
  <si>
    <t>Unit</t>
  </si>
  <si>
    <t>Unit Price</t>
  </si>
  <si>
    <t>Total Amount</t>
  </si>
  <si>
    <t>Truck No.</t>
  </si>
  <si>
    <t>Purpose of Requisition</t>
  </si>
  <si>
    <t>Requested by</t>
  </si>
  <si>
    <t>Status</t>
  </si>
  <si>
    <t>Req to PR Team</t>
  </si>
  <si>
    <t>PR Team Canvass Resolve</t>
  </si>
  <si>
    <t>Canvass Resolved Warehouse</t>
  </si>
  <si>
    <t>Remarks</t>
  </si>
  <si>
    <t>1.</t>
  </si>
  <si>
    <t>RQ-01084</t>
  </si>
  <si>
    <t>2025-02-03</t>
  </si>
  <si>
    <t>MYMC (HEAD OFFICE)</t>
  </si>
  <si>
    <t>EXECUTIVE OFFICE DEPARTMENT</t>
  </si>
  <si>
    <t>VEHICLE REPAIR  MAINTENANCE</t>
  </si>
  <si>
    <t>Sheraton Petron Servicenter</t>
  </si>
  <si>
    <t/>
  </si>
  <si>
    <t>Gasoline</t>
  </si>
  <si>
    <t>n/a</t>
  </si>
  <si>
    <t>liter/s</t>
  </si>
  <si>
    <t>JYH-494</t>
  </si>
  <si>
    <t xml:space="preserve">Diesel motorcycle </t>
  </si>
  <si>
    <t xml:space="preserve">Escort, Escort, </t>
  </si>
  <si>
    <t>received</t>
  </si>
  <si>
    <t>2.</t>
  </si>
  <si>
    <t>RQ-01094</t>
  </si>
  <si>
    <t>2025-02-04</t>
  </si>
  <si>
    <t>2025-02-12</t>
  </si>
  <si>
    <t>YIPC</t>
  </si>
  <si>
    <t>petron</t>
  </si>
  <si>
    <t>premium 95 octane</t>
  </si>
  <si>
    <t>JXC-139</t>
  </si>
  <si>
    <t>going to metro bank, to culo warehouse,blancia warehouse, municipal, law firm, to curayag apartment.</t>
  </si>
  <si>
    <t>Batoy, Rey Salabsab</t>
  </si>
  <si>
    <t>3.</t>
  </si>
  <si>
    <t>RQ-01092</t>
  </si>
  <si>
    <t>2025-02-10</t>
  </si>
  <si>
    <t>PURCHASING DEPARTMENT</t>
  </si>
  <si>
    <t>Prem.</t>
  </si>
  <si>
    <t>JVV-162</t>
  </si>
  <si>
    <t>Used for canvasing and purchasing of items.</t>
  </si>
  <si>
    <t>Maghanoy, Raymund Gilbolingo</t>
  </si>
  <si>
    <t>4.</t>
  </si>
  <si>
    <t>RQ-01086</t>
  </si>
  <si>
    <t>2025-02-05</t>
  </si>
  <si>
    <t>MYMC (RICE MILL)</t>
  </si>
  <si>
    <t>MANUFACTURING OPERATIONS</t>
  </si>
  <si>
    <t>HARDWARE EQUIPMENT &amp; SUPPLIES</t>
  </si>
  <si>
    <t>JNY Enterprises Corp.</t>
  </si>
  <si>
    <t>Vulca Seal</t>
  </si>
  <si>
    <t>N/A</t>
  </si>
  <si>
    <t>NEW DRYER ROOFING MAINTENANCE</t>
  </si>
  <si>
    <t>Toledo, Clint Julius Belano</t>
  </si>
  <si>
    <t>5.</t>
  </si>
  <si>
    <t>RQ-01085</t>
  </si>
  <si>
    <t>2025-02-06</t>
  </si>
  <si>
    <t>YMCV</t>
  </si>
  <si>
    <t>BLANCIA WAREHOUSE</t>
  </si>
  <si>
    <t>ICT EQUIPMENT &amp; SUPPLIES</t>
  </si>
  <si>
    <t>MECHZ Electronic Parts and Equipment Trading</t>
  </si>
  <si>
    <t>Router</t>
  </si>
  <si>
    <t>wifi router/dual band/wifi 6/1200hz</t>
  </si>
  <si>
    <t>any brand</t>
  </si>
  <si>
    <t>unit/s</t>
  </si>
  <si>
    <t>wh.dept. for blancia office gamay ( needed ) no wifi connection.</t>
  </si>
  <si>
    <t>Migabon, Ana Luz Nacua</t>
  </si>
  <si>
    <t>AIRPHO AC1200 WIRELESS DUAL BAND GIGABIT ROUTER</t>
  </si>
  <si>
    <t>6.</t>
  </si>
  <si>
    <t>RQ-01111</t>
  </si>
  <si>
    <t>LOGISTICS DEPARTMENT</t>
  </si>
  <si>
    <t>Alternator Assembly</t>
  </si>
  <si>
    <t>pc/s</t>
  </si>
  <si>
    <t>Lonking #2</t>
  </si>
  <si>
    <t>for matenance</t>
  </si>
  <si>
    <t>Gallano, Joan Polinar</t>
  </si>
  <si>
    <t>12v</t>
  </si>
  <si>
    <t>7.</t>
  </si>
  <si>
    <t>Bolt</t>
  </si>
  <si>
    <t>complete</t>
  </si>
  <si>
    <t>5/16x4 complete double washer</t>
  </si>
  <si>
    <t>8.</t>
  </si>
  <si>
    <t>RQ-01112</t>
  </si>
  <si>
    <t>BLANCIA REPAIR AND MAINTENANCE DEPARTMENT</t>
  </si>
  <si>
    <t>MOTORPOOL EQUIPMENT  SUPPLIES</t>
  </si>
  <si>
    <t>Oxygen Refill</t>
  </si>
  <si>
    <t>tank/s</t>
  </si>
  <si>
    <t>for shop used</t>
  </si>
  <si>
    <t>Villaranda, Christopher Adlaon</t>
  </si>
  <si>
    <t>industrial</t>
  </si>
  <si>
    <t>9.</t>
  </si>
  <si>
    <t>RQ-01115</t>
  </si>
  <si>
    <t>Diaphragm</t>
  </si>
  <si>
    <t>no. 20</t>
  </si>
  <si>
    <t>for shop</t>
  </si>
  <si>
    <t>Go, Reynaldo Demetillo</t>
  </si>
  <si>
    <t>10.</t>
  </si>
  <si>
    <t>RQ-01102</t>
  </si>
  <si>
    <t>Led light</t>
  </si>
  <si>
    <t>NEF-8629</t>
  </si>
  <si>
    <t>for maintenance</t>
  </si>
  <si>
    <t>MAMALIAS, DIZON, L</t>
  </si>
  <si>
    <t>WHITE</t>
  </si>
  <si>
    <t>11.</t>
  </si>
  <si>
    <t>RQ-01103</t>
  </si>
  <si>
    <t>Brake Lining</t>
  </si>
  <si>
    <t>15 holes</t>
  </si>
  <si>
    <t>CAA-3828</t>
  </si>
  <si>
    <t>maintenance</t>
  </si>
  <si>
    <t>HORCERADA, JASON, A</t>
  </si>
  <si>
    <t xml:space="preserve">	15 holes</t>
  </si>
  <si>
    <t>12.</t>
  </si>
  <si>
    <t>Rivets</t>
  </si>
  <si>
    <t>10-14</t>
  </si>
  <si>
    <t>13.</t>
  </si>
  <si>
    <t>16 holes</t>
  </si>
  <si>
    <t xml:space="preserve">	16 holes</t>
  </si>
  <si>
    <t>14.</t>
  </si>
  <si>
    <t>1/4X1 COMPLETE</t>
  </si>
  <si>
    <t>15.</t>
  </si>
  <si>
    <t>RQ-01105</t>
  </si>
  <si>
    <t>Oil 10</t>
  </si>
  <si>
    <t>gal/s</t>
  </si>
  <si>
    <t>APA-5971</t>
  </si>
  <si>
    <t>LABAJO, RICHARD, M</t>
  </si>
  <si>
    <t>Whiz Pro</t>
  </si>
  <si>
    <t>16.</t>
  </si>
  <si>
    <t>20 no.</t>
  </si>
  <si>
    <t>17.</t>
  </si>
  <si>
    <t>white big</t>
  </si>
  <si>
    <t>18.</t>
  </si>
  <si>
    <t>Bearing</t>
  </si>
  <si>
    <t>ET-CR 1373 NTN</t>
  </si>
  <si>
    <t>19.</t>
  </si>
  <si>
    <t>RQ-01104</t>
  </si>
  <si>
    <t>Abbys Glass  and Aluminum</t>
  </si>
  <si>
    <t>Labor Charge</t>
  </si>
  <si>
    <t>truck repair  with l- bracket  and revits</t>
  </si>
  <si>
    <t>NBD 9201</t>
  </si>
  <si>
    <t>for payment</t>
  </si>
  <si>
    <t>truck repair with l- bracket and revits</t>
  </si>
  <si>
    <t>20.</t>
  </si>
  <si>
    <t>RQ-01110</t>
  </si>
  <si>
    <t>Jeanica  Hydraulic Trading</t>
  </si>
  <si>
    <t>Monoseal</t>
  </si>
  <si>
    <t>35X45X45/6  FAB  USH</t>
  </si>
  <si>
    <t>Longking #3</t>
  </si>
  <si>
    <t>FOR PAYMENT /  JEANICA H- TRADING</t>
  </si>
  <si>
    <t>35X45X5/6 FAB USH</t>
  </si>
  <si>
    <t>21.</t>
  </si>
  <si>
    <t>35X45X45X10 DMG</t>
  </si>
  <si>
    <t>35X45X10 DMG</t>
  </si>
  <si>
    <t>22.</t>
  </si>
  <si>
    <t>Wearing</t>
  </si>
  <si>
    <t>80x2.5x20 fab</t>
  </si>
  <si>
    <t>23.</t>
  </si>
  <si>
    <t>ush 70x80x6</t>
  </si>
  <si>
    <t>24.</t>
  </si>
  <si>
    <t>Back-up Fabrication</t>
  </si>
  <si>
    <t>35x45xx1 fab</t>
  </si>
  <si>
    <t>35x45x1 fab</t>
  </si>
  <si>
    <t>25.</t>
  </si>
  <si>
    <t>Oring</t>
  </si>
  <si>
    <t>3x80  nbk</t>
  </si>
  <si>
    <t xml:space="preserve">	3x80 nbk</t>
  </si>
  <si>
    <t>26.</t>
  </si>
  <si>
    <t>75.5x80x2 fab</t>
  </si>
  <si>
    <t>27.</t>
  </si>
  <si>
    <t xml:space="preserve">3X74 NBK </t>
  </si>
  <si>
    <t>28.</t>
  </si>
  <si>
    <t>RQ-01099</t>
  </si>
  <si>
    <t>NDQ-4809</t>
  </si>
  <si>
    <t>Yabo, Gilbert Balucan</t>
  </si>
  <si>
    <t>29.</t>
  </si>
  <si>
    <t>Electrical Tape</t>
  </si>
  <si>
    <t>30.</t>
  </si>
  <si>
    <t xml:space="preserve"> Wiper blade</t>
  </si>
  <si>
    <t>31.</t>
  </si>
  <si>
    <t>RQ-01101</t>
  </si>
  <si>
    <t>Back Light</t>
  </si>
  <si>
    <t>NDG 3917</t>
  </si>
  <si>
    <t>maintenace</t>
  </si>
  <si>
    <t>Anguine, Julito Otao</t>
  </si>
  <si>
    <t>Fog Lamp #3</t>
  </si>
  <si>
    <t>32.</t>
  </si>
  <si>
    <t>RQ-01097</t>
  </si>
  <si>
    <t>can/s</t>
  </si>
  <si>
    <t>RJN-425</t>
  </si>
  <si>
    <t>ENGUITO, NEIL DOMINIC, B</t>
  </si>
  <si>
    <t>33.</t>
  </si>
  <si>
    <t>RQ-01096</t>
  </si>
  <si>
    <t>Oil 40</t>
  </si>
  <si>
    <t>JCD-717</t>
  </si>
  <si>
    <t>for shop maintenance</t>
  </si>
  <si>
    <t>Embile, Wilfredo De Guzman</t>
  </si>
  <si>
    <t>34.</t>
  </si>
  <si>
    <t>RQ-01116</t>
  </si>
  <si>
    <t xml:space="preserve">Flange bearing </t>
  </si>
  <si>
    <t>UCF 207</t>
  </si>
  <si>
    <t>Ricemill ruuber, aspirator conveyor and rotary</t>
  </si>
  <si>
    <t>Laguitao, Romel Masayon</t>
  </si>
  <si>
    <t xml:space="preserve">	UCF 207</t>
  </si>
  <si>
    <t>35.</t>
  </si>
  <si>
    <t>UCF 208</t>
  </si>
  <si>
    <t xml:space="preserve">	UCF 208</t>
  </si>
  <si>
    <t>36.</t>
  </si>
  <si>
    <t>UCF 211</t>
  </si>
  <si>
    <t>37.</t>
  </si>
  <si>
    <t>RQ-01091</t>
  </si>
  <si>
    <t>Arges Marketing</t>
  </si>
  <si>
    <t>None</t>
  </si>
  <si>
    <t>JYH WR Red plate # 494</t>
  </si>
  <si>
    <t>38.</t>
  </si>
  <si>
    <t>RQ-01106</t>
  </si>
  <si>
    <t xml:space="preserve">	 ADOLFO L TAN JR III</t>
  </si>
  <si>
    <t>Steering pump</t>
  </si>
  <si>
    <t>39.</t>
  </si>
  <si>
    <t>RQ-01107</t>
  </si>
  <si>
    <t>Brake drum</t>
  </si>
  <si>
    <t>PUSO W/ HWP 6M70</t>
  </si>
  <si>
    <t>FUSO W/ HWP 6M70</t>
  </si>
  <si>
    <t>40.</t>
  </si>
  <si>
    <t>RQ-01118</t>
  </si>
  <si>
    <t>Gear Oil</t>
  </si>
  <si>
    <t>ALA-9967</t>
  </si>
  <si>
    <t>Judilla, Maximo Narvas</t>
  </si>
  <si>
    <t>41.</t>
  </si>
  <si>
    <t>Center Bearing</t>
  </si>
  <si>
    <t>42.</t>
  </si>
  <si>
    <t>RQ-01129</t>
  </si>
  <si>
    <t>Devcon</t>
  </si>
  <si>
    <t>FOR STORAGE</t>
  </si>
  <si>
    <t>Pondoc, Richard</t>
  </si>
  <si>
    <t>43.</t>
  </si>
  <si>
    <t>Epoxy</t>
  </si>
  <si>
    <t>44.</t>
  </si>
  <si>
    <t>V-Belt</t>
  </si>
  <si>
    <t>A-33</t>
  </si>
  <si>
    <t>45.</t>
  </si>
  <si>
    <t>Rubber cap</t>
  </si>
  <si>
    <t>80209</t>
  </si>
  <si>
    <t>46.</t>
  </si>
  <si>
    <t xml:space="preserve">Mighty Gasket </t>
  </si>
  <si>
    <t>47.</t>
  </si>
  <si>
    <t>Sandpaper</t>
  </si>
  <si>
    <t>120</t>
  </si>
  <si>
    <t>48.</t>
  </si>
  <si>
    <t>RQ-01125</t>
  </si>
  <si>
    <t xml:space="preserve"> Priming Pump</t>
  </si>
  <si>
    <t>PRIEMER</t>
  </si>
  <si>
    <t>ABK-3518</t>
  </si>
  <si>
    <t>49.</t>
  </si>
  <si>
    <t>RQ-01124</t>
  </si>
  <si>
    <t>Spark Plug</t>
  </si>
  <si>
    <t>KDT-527</t>
  </si>
  <si>
    <t>jnk brand</t>
  </si>
  <si>
    <t>50.</t>
  </si>
  <si>
    <t>RQ-01123</t>
  </si>
  <si>
    <t>2025-02-18</t>
  </si>
  <si>
    <t>WHOLESALE DEPARTMENT</t>
  </si>
  <si>
    <t>R-100106</t>
  </si>
  <si>
    <t>Rice Outlet used</t>
  </si>
  <si>
    <t>Piñero, Kennth Bryant Michael Amorcillo</t>
  </si>
  <si>
    <t xml:space="preserve">	Prem.</t>
  </si>
  <si>
    <t>51.</t>
  </si>
  <si>
    <t>RQ-01132</t>
  </si>
  <si>
    <t>52.</t>
  </si>
  <si>
    <t>RQ-01117</t>
  </si>
  <si>
    <t>a-38</t>
  </si>
  <si>
    <t>Tempering small conveyor</t>
  </si>
  <si>
    <t xml:space="preserve">	a-38</t>
  </si>
  <si>
    <t>53.</t>
  </si>
  <si>
    <t>RQ-01093</t>
  </si>
  <si>
    <t>VARIOUS ITEMS</t>
  </si>
  <si>
    <t>Seventy Seven Consumer Sales Ventures Corp.</t>
  </si>
  <si>
    <t>Prepaid Load Card</t>
  </si>
  <si>
    <t>300 worth load</t>
  </si>
  <si>
    <t>TNT</t>
  </si>
  <si>
    <t>For canvasser monthly load allowance .</t>
  </si>
  <si>
    <t>TNT 	300 worth load</t>
  </si>
  <si>
    <t>54.</t>
  </si>
  <si>
    <t>RQ-01114</t>
  </si>
  <si>
    <t>SALES DEPARTMENT</t>
  </si>
  <si>
    <t>TNT(brand)  300 worth load</t>
  </si>
  <si>
    <t>monthly supply</t>
  </si>
  <si>
    <t>Mancawan, Rachel Amesola</t>
  </si>
  <si>
    <t xml:space="preserve">	TNT(brand) 300 worth load</t>
  </si>
  <si>
    <t>55.</t>
  </si>
  <si>
    <t>RQ-01127</t>
  </si>
  <si>
    <t>2025-02-11</t>
  </si>
  <si>
    <t>C-103</t>
  </si>
  <si>
    <t>RICEMILL WHITENER</t>
  </si>
  <si>
    <t>Sinadjan, Renato Patalinghug</t>
  </si>
  <si>
    <t>56.</t>
  </si>
  <si>
    <t>B-99</t>
  </si>
  <si>
    <t xml:space="preserve">	B-99</t>
  </si>
  <si>
    <t>57.</t>
  </si>
  <si>
    <t>RQ-01087</t>
  </si>
  <si>
    <t>OFFICE EQUIPMENT  SUPPLIES</t>
  </si>
  <si>
    <t>Newsprint</t>
  </si>
  <si>
    <t>newsprint</t>
  </si>
  <si>
    <t>ream/s</t>
  </si>
  <si>
    <t xml:space="preserve">wh. dept. for RISO( customer acknowledgement &amp; summary of trips) </t>
  </si>
  <si>
    <t>GROUNDWOOD LONG</t>
  </si>
  <si>
    <t>58.</t>
  </si>
  <si>
    <t>RQ-01108</t>
  </si>
  <si>
    <t>Brake shoe</t>
  </si>
  <si>
    <t>RLF-293</t>
  </si>
  <si>
    <t>FOR PAYMENT</t>
  </si>
  <si>
    <t>59.</t>
  </si>
  <si>
    <t>RQ-01141</t>
  </si>
  <si>
    <t>Delez, Allen Marc L</t>
  </si>
  <si>
    <t>60.</t>
  </si>
  <si>
    <t>Juanita Enterprises</t>
  </si>
  <si>
    <t>Load</t>
  </si>
  <si>
    <t>globe 200 load</t>
  </si>
  <si>
    <t>globe  200 load</t>
  </si>
  <si>
    <t>61.</t>
  </si>
  <si>
    <t>RQ-01138</t>
  </si>
  <si>
    <t>2025-02-07</t>
  </si>
  <si>
    <t>unleaded</t>
  </si>
  <si>
    <t>For parking area</t>
  </si>
  <si>
    <t>Balucan, Prinsciphe Ramos</t>
  </si>
  <si>
    <t xml:space="preserve">	unleaded</t>
  </si>
  <si>
    <t>62.</t>
  </si>
  <si>
    <t>RQ-01144</t>
  </si>
  <si>
    <t>JXV-670</t>
  </si>
  <si>
    <t>For field use(Canvassing and purchasing of items).</t>
  </si>
  <si>
    <t>Alcala, Raffy Salinas</t>
  </si>
  <si>
    <t>63.</t>
  </si>
  <si>
    <t>RQ-01142</t>
  </si>
  <si>
    <t>2025-02-08</t>
  </si>
  <si>
    <t>Engine Coolant</t>
  </si>
  <si>
    <t>NEF-8628</t>
  </si>
  <si>
    <t>ENGUITO JR, PASCUAL, C</t>
  </si>
  <si>
    <t>pink color</t>
  </si>
  <si>
    <t>64.</t>
  </si>
  <si>
    <t>Tail Light</t>
  </si>
  <si>
    <t>2 rooms 24v</t>
  </si>
  <si>
    <t>set/s</t>
  </si>
  <si>
    <t>65.</t>
  </si>
  <si>
    <t>5/16</t>
  </si>
  <si>
    <t>5/16x1 1/2</t>
  </si>
  <si>
    <t>66.</t>
  </si>
  <si>
    <t>RQ-01133</t>
  </si>
  <si>
    <t>pail/s</t>
  </si>
  <si>
    <t>TCM #1</t>
  </si>
  <si>
    <t>FOR MAINTENANCE</t>
  </si>
  <si>
    <t>Vasquez, Jonnel Pagaura</t>
  </si>
  <si>
    <t>67.</t>
  </si>
  <si>
    <t>RQ-01140</t>
  </si>
  <si>
    <t>Angle Bar</t>
  </si>
  <si>
    <t>1/4x1</t>
  </si>
  <si>
    <t>length/s</t>
  </si>
  <si>
    <t>para sa samentuhan</t>
  </si>
  <si>
    <t>Dizon, Alexander L</t>
  </si>
  <si>
    <t>1/4x1   3.5MM STD</t>
  </si>
  <si>
    <t>68.</t>
  </si>
  <si>
    <t>Screen</t>
  </si>
  <si>
    <t>1/2</t>
  </si>
  <si>
    <t>meter/s</t>
  </si>
  <si>
    <t xml:space="preserve"> welded screen 1/2x3ft</t>
  </si>
  <si>
    <t>69.</t>
  </si>
  <si>
    <t>RQ-01134</t>
  </si>
  <si>
    <t>Mitsubishi (Yellow)</t>
  </si>
  <si>
    <t>70.</t>
  </si>
  <si>
    <t>RQ-01135</t>
  </si>
  <si>
    <t>30207</t>
  </si>
  <si>
    <t>Lonking #1</t>
  </si>
  <si>
    <t>For replacement</t>
  </si>
  <si>
    <t>Duhaylungsod, Neslie S</t>
  </si>
  <si>
    <t>71.</t>
  </si>
  <si>
    <t>30211</t>
  </si>
  <si>
    <t>72.</t>
  </si>
  <si>
    <t>RQ-01131</t>
  </si>
  <si>
    <t>B-81</t>
  </si>
  <si>
    <t>ricemill elevator dry loading</t>
  </si>
  <si>
    <t xml:space="preserve">	B-81</t>
  </si>
  <si>
    <t>73.</t>
  </si>
  <si>
    <t>SAE 90</t>
  </si>
  <si>
    <t>74.</t>
  </si>
  <si>
    <t>RQ-01113</t>
  </si>
  <si>
    <t>ACCOUNTING DEPARTMENT</t>
  </si>
  <si>
    <t>UTILITY MATERIALS &amp; SUPPLIES</t>
  </si>
  <si>
    <t>Alcohol</t>
  </si>
  <si>
    <t>Greencross</t>
  </si>
  <si>
    <t>Acctg. department supplies for february 2024</t>
  </si>
  <si>
    <t>De Guzman, Montisa Bilan</t>
  </si>
  <si>
    <t>GREENCROSS</t>
  </si>
  <si>
    <t>75.</t>
  </si>
  <si>
    <t>RQ-01135-A</t>
  </si>
  <si>
    <t>Invalid date</t>
  </si>
  <si>
    <t xml:space="preserve">	 CVM Motor Parts Trading</t>
  </si>
  <si>
    <t>Oil Seal</t>
  </si>
  <si>
    <t>9-85-110</t>
  </si>
  <si>
    <t>85-110-13</t>
  </si>
  <si>
    <t>76.</t>
  </si>
  <si>
    <t>RQ-01146</t>
  </si>
  <si>
    <t>PDX Wire</t>
  </si>
  <si>
    <t>PDX NO. 12</t>
  </si>
  <si>
    <t xml:space="preserve">SHOP USED / TRUCKSCALE PLANGKA ELISAN MGA WIRE </t>
  </si>
  <si>
    <t>77.</t>
  </si>
  <si>
    <t>RQ-01147</t>
  </si>
  <si>
    <t>Drum Bolt</t>
  </si>
  <si>
    <t>RIGHT</t>
  </si>
  <si>
    <t>GAR-9159</t>
  </si>
  <si>
    <t>MAINTENANCE</t>
  </si>
  <si>
    <t>VELASCO, ARNEL, F</t>
  </si>
  <si>
    <t>78.</t>
  </si>
  <si>
    <t>RQ-01121</t>
  </si>
  <si>
    <t>Bond Paper</t>
  </si>
  <si>
    <t>LONG</t>
  </si>
  <si>
    <t>Acctg. Department office supplies for the month of February 2024</t>
  </si>
  <si>
    <t>AONE LONG</t>
  </si>
  <si>
    <t>79.</t>
  </si>
  <si>
    <t>A4</t>
  </si>
  <si>
    <t>AONE PLUS A4</t>
  </si>
  <si>
    <t>80.</t>
  </si>
  <si>
    <t>SHORT</t>
  </si>
  <si>
    <t>AONE PLUS SHORT</t>
  </si>
  <si>
    <t>81.</t>
  </si>
  <si>
    <t>Sticky Notes</t>
  </si>
  <si>
    <t>3X3</t>
  </si>
  <si>
    <t>pad/s</t>
  </si>
  <si>
    <t>82.</t>
  </si>
  <si>
    <t>Clearbook</t>
  </si>
  <si>
    <t>Long/ Color Red</t>
  </si>
  <si>
    <t>LONG RED</t>
  </si>
  <si>
    <t>83.</t>
  </si>
  <si>
    <t xml:space="preserve">Clip Board </t>
  </si>
  <si>
    <t>Long</t>
  </si>
  <si>
    <t>84.</t>
  </si>
  <si>
    <t>Staple Wire</t>
  </si>
  <si>
    <t>No. 35</t>
  </si>
  <si>
    <t>box/es</t>
  </si>
  <si>
    <t>85.</t>
  </si>
  <si>
    <t>No. 10-1M</t>
  </si>
  <si>
    <t>86.</t>
  </si>
  <si>
    <t>Paper Fastener</t>
  </si>
  <si>
    <t>standard size</t>
  </si>
  <si>
    <t>87.</t>
  </si>
  <si>
    <t>Brown Envelope</t>
  </si>
  <si>
    <t>88.</t>
  </si>
  <si>
    <t>RQ-01095</t>
  </si>
  <si>
    <t>Aone</t>
  </si>
  <si>
    <t>Monthly consumables.</t>
  </si>
  <si>
    <t>Acosta, Jeremae L</t>
  </si>
  <si>
    <t>89.</t>
  </si>
  <si>
    <t>90.</t>
  </si>
  <si>
    <t>#10</t>
  </si>
  <si>
    <t>91.</t>
  </si>
  <si>
    <t>Ballpen</t>
  </si>
  <si>
    <t>Black</t>
  </si>
  <si>
    <t>Flexstick</t>
  </si>
  <si>
    <t>FLEXOFFICE .5mm BLACK</t>
  </si>
  <si>
    <t>92.</t>
  </si>
  <si>
    <t>ScotchTape</t>
  </si>
  <si>
    <t>1 inch</t>
  </si>
  <si>
    <t>93.</t>
  </si>
  <si>
    <t>Pencil</t>
  </si>
  <si>
    <t>Mongol2</t>
  </si>
  <si>
    <t>mongol 2</t>
  </si>
  <si>
    <t>94.</t>
  </si>
  <si>
    <t>RQ-01098</t>
  </si>
  <si>
    <t>2025-02-13</t>
  </si>
  <si>
    <t>Medium galoon</t>
  </si>
  <si>
    <t>Green cross</t>
  </si>
  <si>
    <t>Monthly Consumables.</t>
  </si>
  <si>
    <t>greencross</t>
  </si>
  <si>
    <t>95.</t>
  </si>
  <si>
    <t>Mr. DIY</t>
  </si>
  <si>
    <t>Spray Bottle</t>
  </si>
  <si>
    <t>Medium size</t>
  </si>
  <si>
    <t>100ml</t>
  </si>
  <si>
    <t>96.</t>
  </si>
  <si>
    <t>RQ-01150</t>
  </si>
  <si>
    <t>Brake Fluid</t>
  </si>
  <si>
    <t>bottle/s</t>
  </si>
  <si>
    <t>NATUIL, JEFFREY, M</t>
  </si>
  <si>
    <t>National</t>
  </si>
  <si>
    <t>97.</t>
  </si>
  <si>
    <t>RQ-01151</t>
  </si>
  <si>
    <t>Clutch Booster</t>
  </si>
  <si>
    <t>REPAIR KIT</t>
  </si>
  <si>
    <t>repair kit 22mm (</t>
  </si>
  <si>
    <t>98.</t>
  </si>
  <si>
    <t>RQ-01152</t>
  </si>
  <si>
    <t>99.</t>
  </si>
  <si>
    <t>RQ-01154</t>
  </si>
  <si>
    <t>LEGAL DEPARTMENT</t>
  </si>
  <si>
    <t>Ben Royal Enterprises</t>
  </si>
  <si>
    <t>Adaptor</t>
  </si>
  <si>
    <t>For office used.</t>
  </si>
  <si>
    <t>Yuteekiong, Jordane Michael Y</t>
  </si>
  <si>
    <t>100.</t>
  </si>
  <si>
    <t>RQ-01158</t>
  </si>
  <si>
    <t>diesel</t>
  </si>
  <si>
    <t>Diesel JYH-494 motorcycle</t>
  </si>
  <si>
    <t>Premium</t>
  </si>
  <si>
    <t>101.</t>
  </si>
  <si>
    <t>RQ-01159</t>
  </si>
  <si>
    <t>102.</t>
  </si>
  <si>
    <t>RQ-01126</t>
  </si>
  <si>
    <t>2025-02-20</t>
  </si>
  <si>
    <t>Artifex Computer Center</t>
  </si>
  <si>
    <t>Cartridge</t>
  </si>
  <si>
    <t>MC-G02</t>
  </si>
  <si>
    <t>CANON</t>
  </si>
  <si>
    <t>Maintenance cartridge canon</t>
  </si>
  <si>
    <t>Lacierda, Sime Aga Dayap</t>
  </si>
  <si>
    <t>103.</t>
  </si>
  <si>
    <t>RQ-01156</t>
  </si>
  <si>
    <t xml:space="preserve">	 GCash Load</t>
  </si>
  <si>
    <t>Globe</t>
  </si>
  <si>
    <t xml:space="preserve">	
Purch Dept.(For Purchasing Supervisor used) Month of Dec Budget.</t>
  </si>
  <si>
    <t>Cadag, Hannah Casison</t>
  </si>
  <si>
    <t>Globe 	300 worth load</t>
  </si>
  <si>
    <t>104.</t>
  </si>
  <si>
    <t>RQ-01165</t>
  </si>
  <si>
    <t>105.</t>
  </si>
  <si>
    <t>Whiz Ecomax</t>
  </si>
  <si>
    <t>106.</t>
  </si>
  <si>
    <t>RQ-01167</t>
  </si>
  <si>
    <t>GENOTIVA, ERIC, C</t>
  </si>
  <si>
    <t>107.</t>
  </si>
  <si>
    <t>108.</t>
  </si>
  <si>
    <t>RQ-01168</t>
  </si>
  <si>
    <t>COMP. 5/16  X 1 1/2</t>
  </si>
  <si>
    <t>MAINTENNACE</t>
  </si>
  <si>
    <t xml:space="preserve">COMP. 5/16 X 1 1/2 </t>
  </si>
  <si>
    <t>109.</t>
  </si>
  <si>
    <t>RQ-01164</t>
  </si>
  <si>
    <t>Bulb</t>
  </si>
  <si>
    <t>h11</t>
  </si>
  <si>
    <t>h11 24v</t>
  </si>
  <si>
    <t>110.</t>
  </si>
  <si>
    <t>RQ-01166</t>
  </si>
  <si>
    <t>Ball Joint</t>
  </si>
  <si>
    <t>dragling end</t>
  </si>
  <si>
    <t>111.</t>
  </si>
  <si>
    <t>Tie Rod End</t>
  </si>
  <si>
    <t>same ra sa gidala nko nga sample</t>
  </si>
  <si>
    <t>112.</t>
  </si>
  <si>
    <t>RQ-01157</t>
  </si>
  <si>
    <t>2025-02-17</t>
  </si>
  <si>
    <t>FINANCE DEPARTMENT</t>
  </si>
  <si>
    <t>J116FG</t>
  </si>
  <si>
    <t>Kapatagan-Kolambugan</t>
  </si>
  <si>
    <t>Caritativo, Jungie Vidal Jr. Perocillo</t>
  </si>
  <si>
    <t xml:space="preserve">	Premium</t>
  </si>
  <si>
    <t>113.</t>
  </si>
  <si>
    <t>114.</t>
  </si>
  <si>
    <t>115.</t>
  </si>
  <si>
    <t>116.</t>
  </si>
  <si>
    <t>117.</t>
  </si>
  <si>
    <t>RQ-01163</t>
  </si>
  <si>
    <t>JEM-584</t>
  </si>
  <si>
    <t>Villamero, Junrey Rabago</t>
  </si>
  <si>
    <t>Kambyo</t>
  </si>
  <si>
    <t>118.</t>
  </si>
  <si>
    <t>screw bolt</t>
  </si>
  <si>
    <t>screw bolt 20inches</t>
  </si>
  <si>
    <t>119.</t>
  </si>
  <si>
    <t>RQ-01122</t>
  </si>
  <si>
    <t>Shopee</t>
  </si>
  <si>
    <t>Mouse</t>
  </si>
  <si>
    <t>wireless/ Color Black</t>
  </si>
  <si>
    <t>wireless/ Color Black chargeable</t>
  </si>
  <si>
    <t>120.</t>
  </si>
  <si>
    <t>RQ-01173</t>
  </si>
  <si>
    <t>Hose Clip</t>
  </si>
  <si>
    <t>T-093004</t>
  </si>
  <si>
    <t>PATCHO, NELLIE, H</t>
  </si>
  <si>
    <t>5 inches</t>
  </si>
  <si>
    <t>121.</t>
  </si>
  <si>
    <t>Chemical Hose</t>
  </si>
  <si>
    <t>3/4</t>
  </si>
  <si>
    <t>122.</t>
  </si>
  <si>
    <t>Wheel Rim</t>
  </si>
  <si>
    <t>8holes 11r 22.5</t>
  </si>
  <si>
    <t>123.</t>
  </si>
  <si>
    <t>1inche</t>
  </si>
  <si>
    <t>124.</t>
  </si>
  <si>
    <t>Radiator Hose</t>
  </si>
  <si>
    <t>for 89c11</t>
  </si>
  <si>
    <t>125.</t>
  </si>
  <si>
    <t>RQ-01175</t>
  </si>
  <si>
    <t>Gasket All</t>
  </si>
  <si>
    <t>Quitoy, Eliezer Alipoyo</t>
  </si>
  <si>
    <t>big</t>
  </si>
  <si>
    <t>126.</t>
  </si>
  <si>
    <t>Gasket Cement</t>
  </si>
  <si>
    <t>127.</t>
  </si>
  <si>
    <t>RQ-01162</t>
  </si>
  <si>
    <t>long</t>
  </si>
  <si>
    <t>tag for young master temporary plate</t>
  </si>
  <si>
    <t>128.</t>
  </si>
  <si>
    <t>RQ-01172</t>
  </si>
  <si>
    <t>2025-02-19</t>
  </si>
  <si>
    <t>Straw</t>
  </si>
  <si>
    <t>ord.</t>
  </si>
  <si>
    <t>For palay and tiki2 tahi</t>
  </si>
  <si>
    <t>Piñero, Eduardo Helido</t>
  </si>
  <si>
    <t>Sunshine Twine 1kg</t>
  </si>
  <si>
    <t>129.</t>
  </si>
  <si>
    <t>RQ-01161</t>
  </si>
  <si>
    <t>PVC Clip</t>
  </si>
  <si>
    <t>For Truckscale  and shop electrical</t>
  </si>
  <si>
    <t>Ayuda, Edwin Jr. Cajote</t>
  </si>
  <si>
    <t>130.</t>
  </si>
  <si>
    <t>131.</t>
  </si>
  <si>
    <t>RQ-01148</t>
  </si>
  <si>
    <t>Welding Rod</t>
  </si>
  <si>
    <t>#12</t>
  </si>
  <si>
    <t>case/s</t>
  </si>
  <si>
    <t>Shop fabrication</t>
  </si>
  <si>
    <t>fujiweld #12</t>
  </si>
  <si>
    <t>132.</t>
  </si>
  <si>
    <t>WD40</t>
  </si>
  <si>
    <t>133.</t>
  </si>
  <si>
    <t>RQ-01171</t>
  </si>
  <si>
    <t>CONSTRUCTION WORKS</t>
  </si>
  <si>
    <t>G.I. Pipe</t>
  </si>
  <si>
    <t>4 inch dia. grade 40</t>
  </si>
  <si>
    <t>eagle</t>
  </si>
  <si>
    <t>for blancia truck scale repair</t>
  </si>
  <si>
    <t>4 inch S40 EAGLE</t>
  </si>
  <si>
    <t>134.</t>
  </si>
  <si>
    <t>RQ-01121-A</t>
  </si>
  <si>
    <t>Assorted colors</t>
  </si>
  <si>
    <t>8 COLOR GEL PEN 0.5MM</t>
  </si>
  <si>
    <t>135.</t>
  </si>
  <si>
    <t>RQ-01162-A</t>
  </si>
  <si>
    <t>Crown Paper and Stationer</t>
  </si>
  <si>
    <t>PARAGON GROUNDWOOD LONG</t>
  </si>
  <si>
    <t>136.</t>
  </si>
  <si>
    <t>RQ-01177</t>
  </si>
  <si>
    <t>faucet</t>
  </si>
  <si>
    <t>2 way faucet</t>
  </si>
  <si>
    <t>for curayag</t>
  </si>
  <si>
    <t>shower set</t>
  </si>
  <si>
    <t>137.</t>
  </si>
  <si>
    <t>RQ-01180</t>
  </si>
  <si>
    <t>maitenance</t>
  </si>
  <si>
    <t>Whiz pro</t>
  </si>
  <si>
    <t>138.</t>
  </si>
  <si>
    <t>RQ-01181</t>
  </si>
  <si>
    <t>139.</t>
  </si>
  <si>
    <t xml:space="preserve"> Whiz Ecomax</t>
  </si>
  <si>
    <t>140.</t>
  </si>
  <si>
    <t>RQ-01183</t>
  </si>
  <si>
    <t>Hydraulic Hose</t>
  </si>
  <si>
    <t>Inch/s</t>
  </si>
  <si>
    <t>141.</t>
  </si>
  <si>
    <t>Ferrule</t>
  </si>
  <si>
    <t>142.</t>
  </si>
  <si>
    <t>RQ-01155</t>
  </si>
  <si>
    <t>2025-02-14</t>
  </si>
  <si>
    <t>Yuteekiong Marketing Corp.</t>
  </si>
  <si>
    <t>Round-Up</t>
  </si>
  <si>
    <t>wh.dept . para patay sagbot</t>
  </si>
  <si>
    <t>Cadorna, Rodel Amparado</t>
  </si>
  <si>
    <t>143.</t>
  </si>
  <si>
    <t>RQ-01187</t>
  </si>
  <si>
    <t>5/16 x 3 complete</t>
  </si>
  <si>
    <t>CCK 6124</t>
  </si>
  <si>
    <t>Para sa forwardga need e usab ang body</t>
  </si>
  <si>
    <t xml:space="preserve">	5/16 x 3 complete</t>
  </si>
  <si>
    <t>144.</t>
  </si>
  <si>
    <t>Steel Plate</t>
  </si>
  <si>
    <t>GI</t>
  </si>
  <si>
    <t>GI Galvanize #16 1.4mm</t>
  </si>
  <si>
    <t>145.</t>
  </si>
  <si>
    <t>angle bar</t>
  </si>
  <si>
    <t>1/4X1 1/2</t>
  </si>
  <si>
    <t>1/4X1 1/2 4.5mm</t>
  </si>
  <si>
    <t>146.</t>
  </si>
  <si>
    <t>Lock Siding</t>
  </si>
  <si>
    <t>STD</t>
  </si>
  <si>
    <t xml:space="preserve">	STD</t>
  </si>
  <si>
    <t>147.</t>
  </si>
  <si>
    <t>6 HOLES</t>
  </si>
  <si>
    <t>6 HOLES 825x20</t>
  </si>
  <si>
    <t>148.</t>
  </si>
  <si>
    <t>Tire</t>
  </si>
  <si>
    <t>825X20</t>
  </si>
  <si>
    <t>825X20 MRF Miller</t>
  </si>
  <si>
    <t>149.</t>
  </si>
  <si>
    <t>3/16  BLACK IRON</t>
  </si>
  <si>
    <t>3/16 BLACK IRON 4mm</t>
  </si>
  <si>
    <t>150.</t>
  </si>
  <si>
    <t>NO. 3 1/4 X3</t>
  </si>
  <si>
    <t>NO. 3 1/4 X3 5mm</t>
  </si>
  <si>
    <t>151.</t>
  </si>
  <si>
    <t>channel bar</t>
  </si>
  <si>
    <t>NO.3</t>
  </si>
  <si>
    <t>NO.3 std</t>
  </si>
  <si>
    <t>152.</t>
  </si>
  <si>
    <t>NO.6</t>
  </si>
  <si>
    <t>NO.6 std</t>
  </si>
  <si>
    <t>153.</t>
  </si>
  <si>
    <t>RQ-01188</t>
  </si>
  <si>
    <t>shop used</t>
  </si>
  <si>
    <t>Industrial</t>
  </si>
  <si>
    <t>154.</t>
  </si>
  <si>
    <t>RQ-01182</t>
  </si>
  <si>
    <t>MAD-9629</t>
  </si>
  <si>
    <t>Excelise, Ariel A</t>
  </si>
  <si>
    <t>1L</t>
  </si>
  <si>
    <t>155.</t>
  </si>
  <si>
    <t>RQ-01186</t>
  </si>
  <si>
    <t>CAH 7893</t>
  </si>
  <si>
    <t>first change oil sukad pag abot</t>
  </si>
  <si>
    <t>Panoy Jr, Carmelito Canada</t>
  </si>
  <si>
    <t>156.</t>
  </si>
  <si>
    <t>Fuel Filter</t>
  </si>
  <si>
    <t>fc319</t>
  </si>
  <si>
    <t>157.</t>
  </si>
  <si>
    <t>158.</t>
  </si>
  <si>
    <t>Oil Filter</t>
  </si>
  <si>
    <t>micr0 t5123</t>
  </si>
  <si>
    <t>micr0 t5123 FOR 6D17</t>
  </si>
  <si>
    <t>159.</t>
  </si>
  <si>
    <t>RQ-01184</t>
  </si>
  <si>
    <t>Life Saver</t>
  </si>
  <si>
    <t>160.</t>
  </si>
  <si>
    <t>Crimping Charge</t>
  </si>
  <si>
    <t>Side</t>
  </si>
  <si>
    <t>161.</t>
  </si>
  <si>
    <t>RQ-01190</t>
  </si>
  <si>
    <t>Hinges</t>
  </si>
  <si>
    <t>PARA USBON ANG BODY</t>
  </si>
  <si>
    <t>std</t>
  </si>
  <si>
    <t>162.</t>
  </si>
  <si>
    <t>RQ-01137</t>
  </si>
  <si>
    <t>Clutch lining</t>
  </si>
  <si>
    <t>JEM-654</t>
  </si>
  <si>
    <t>Galitguit Jr, Romualdo Basin</t>
  </si>
  <si>
    <t>430x14T</t>
  </si>
  <si>
    <t>163.</t>
  </si>
  <si>
    <t>RQ-01193</t>
  </si>
  <si>
    <t>Blancia Canvasser(Used for canvassing and purchasing of items).</t>
  </si>
  <si>
    <t>164.</t>
  </si>
  <si>
    <t>RQ-01197</t>
  </si>
  <si>
    <t>Ads Printing Shop</t>
  </si>
  <si>
    <t>Car Plate</t>
  </si>
  <si>
    <t>INCLUDE LABOR CHARGE</t>
  </si>
  <si>
    <t>165.</t>
  </si>
  <si>
    <t>RQ-01178</t>
  </si>
  <si>
    <t>Flat Bar</t>
  </si>
  <si>
    <t>1/4 X 1 1/2 STD.</t>
  </si>
  <si>
    <t>OLD DRYER</t>
  </si>
  <si>
    <t>166.</t>
  </si>
  <si>
    <t>RQ-01201</t>
  </si>
  <si>
    <t>5 LITRES</t>
  </si>
  <si>
    <t>GAR-9158</t>
  </si>
  <si>
    <t>MAGLINAO, JOGIE, T</t>
  </si>
  <si>
    <t>delo gold ultra</t>
  </si>
  <si>
    <t>167.</t>
  </si>
  <si>
    <t>WD-40</t>
  </si>
  <si>
    <t>168.</t>
  </si>
  <si>
    <t>RQ-01202</t>
  </si>
  <si>
    <t>Release Bearing</t>
  </si>
  <si>
    <t>TK70 1A1</t>
  </si>
  <si>
    <t>169.</t>
  </si>
  <si>
    <t>RQ-01200</t>
  </si>
  <si>
    <t>Hose</t>
  </si>
  <si>
    <t>PARA SA TUBIG</t>
  </si>
  <si>
    <t>CHEMICAL HOSE 3/4</t>
  </si>
  <si>
    <t>170.</t>
  </si>
  <si>
    <t>Startic Relay</t>
  </si>
  <si>
    <t>24V</t>
  </si>
  <si>
    <t xml:space="preserve">	24V</t>
  </si>
  <si>
    <t>171.</t>
  </si>
  <si>
    <t>Switch Toggle</t>
  </si>
  <si>
    <t>172.</t>
  </si>
  <si>
    <t>173.</t>
  </si>
  <si>
    <t>174.</t>
  </si>
  <si>
    <t>175.</t>
  </si>
  <si>
    <t>BIG</t>
  </si>
  <si>
    <t>176.</t>
  </si>
  <si>
    <t>177.</t>
  </si>
  <si>
    <t>RQ-01198</t>
  </si>
  <si>
    <t>178.</t>
  </si>
  <si>
    <t>Tapelon</t>
  </si>
  <si>
    <t>1 INCH</t>
  </si>
  <si>
    <t>179.</t>
  </si>
  <si>
    <t>RQ-01199</t>
  </si>
  <si>
    <t>Automotive wire</t>
  </si>
  <si>
    <t>NO.16</t>
  </si>
  <si>
    <t>roll/s</t>
  </si>
  <si>
    <t>NAO-3217</t>
  </si>
  <si>
    <t>MATUGAS JR., DANILO, S</t>
  </si>
  <si>
    <t>180.</t>
  </si>
  <si>
    <t>3M</t>
  </si>
  <si>
    <t>181.</t>
  </si>
  <si>
    <t>Exhaust Flexible Pipe</t>
  </si>
  <si>
    <t>3 1/2w/Spring</t>
  </si>
  <si>
    <t>182.</t>
  </si>
  <si>
    <t>183.</t>
  </si>
  <si>
    <t>LAVEL HOSE  OR NAVEL HOSE</t>
  </si>
  <si>
    <t>3/16</t>
  </si>
  <si>
    <t>184.</t>
  </si>
  <si>
    <t>RQ-01098-A</t>
  </si>
  <si>
    <t>330ml AlcoPlus Ethyl Alcohol</t>
  </si>
  <si>
    <t>185.</t>
  </si>
  <si>
    <t>RQ-01204</t>
  </si>
  <si>
    <t>Diesel</t>
  </si>
  <si>
    <t>Diesel for JYH-494 requested by escort</t>
  </si>
  <si>
    <t>186.</t>
  </si>
  <si>
    <t>RQ-01205</t>
  </si>
  <si>
    <t>OZAMIS WAREHOUSE</t>
  </si>
  <si>
    <t>VG Fire Fighting Equipment Trading</t>
  </si>
  <si>
    <t>Fire Extinguisher</t>
  </si>
  <si>
    <t>10lbs dry chemical</t>
  </si>
  <si>
    <t xml:space="preserve">For BFP compliance
</t>
  </si>
  <si>
    <t>Mabayo, Kristen Madelo</t>
  </si>
  <si>
    <t>10lbs dry chemical  4.5kg</t>
  </si>
  <si>
    <t>187.</t>
  </si>
  <si>
    <t>Fire alarm bell</t>
  </si>
  <si>
    <t>10 inches diameter</t>
  </si>
  <si>
    <t xml:space="preserve">10 inches diameter	</t>
  </si>
  <si>
    <t>188.</t>
  </si>
  <si>
    <t>RQ-01195</t>
  </si>
  <si>
    <t>2025-02-21</t>
  </si>
  <si>
    <t>For maintenance</t>
  </si>
  <si>
    <t>Medil, Roselito Legarte</t>
  </si>
  <si>
    <t>189.</t>
  </si>
  <si>
    <t>Whiz</t>
  </si>
  <si>
    <t>190.</t>
  </si>
  <si>
    <t>w/sample</t>
  </si>
  <si>
    <t>191.</t>
  </si>
  <si>
    <t>RQ-01196</t>
  </si>
  <si>
    <t>C-512</t>
  </si>
  <si>
    <t>for replacement and maintenance</t>
  </si>
  <si>
    <t>Heolin, Rogine Vender</t>
  </si>
  <si>
    <t>C-512 Vic</t>
  </si>
  <si>
    <t>192.</t>
  </si>
  <si>
    <t>FC-321</t>
  </si>
  <si>
    <t>FC-321 FC-32 Vic</t>
  </si>
  <si>
    <t>193.</t>
  </si>
  <si>
    <t>194.</t>
  </si>
  <si>
    <t>Oil Treatment</t>
  </si>
  <si>
    <t>195.</t>
  </si>
  <si>
    <t>RQ-01209</t>
  </si>
  <si>
    <t>16 HOLES</t>
  </si>
  <si>
    <t>16 HOLES 828514</t>
  </si>
  <si>
    <t>196.</t>
  </si>
  <si>
    <t>10 HOLES</t>
  </si>
  <si>
    <t>10 HOLES 828513</t>
  </si>
  <si>
    <t>197.</t>
  </si>
  <si>
    <t>198.</t>
  </si>
  <si>
    <t>RQ-01210</t>
  </si>
  <si>
    <t>BANDO</t>
  </si>
  <si>
    <t>ANGUINE, ROBERTO, O</t>
  </si>
  <si>
    <t>BANDO RPF 5650 17X1625 LI</t>
  </si>
  <si>
    <t>199.</t>
  </si>
  <si>
    <t>RQ-01211</t>
  </si>
  <si>
    <t>Engine Oil</t>
  </si>
  <si>
    <t>HAVOLINE</t>
  </si>
  <si>
    <t>200.</t>
  </si>
  <si>
    <t>RQ-01213</t>
  </si>
  <si>
    <t>Cinco, Richard Estribor</t>
  </si>
  <si>
    <t>201.</t>
  </si>
  <si>
    <t>RQ-01207</t>
  </si>
  <si>
    <t>Pro tek Auto Parts</t>
  </si>
  <si>
    <t>Transmission Support</t>
  </si>
  <si>
    <t>ASSEMBLY</t>
  </si>
  <si>
    <t>ABB-6318</t>
  </si>
  <si>
    <t>202.</t>
  </si>
  <si>
    <t>RQ-01208</t>
  </si>
  <si>
    <t>203.</t>
  </si>
  <si>
    <t>RQ-01212</t>
  </si>
  <si>
    <t>Fog Lamp</t>
  </si>
  <si>
    <t>204.</t>
  </si>
  <si>
    <t>RQ-01155-A</t>
  </si>
  <si>
    <t>205.</t>
  </si>
  <si>
    <t>RQ-01116-A</t>
  </si>
  <si>
    <t>Ball bearing</t>
  </si>
  <si>
    <t>6309ZZ</t>
  </si>
  <si>
    <t>6309ZZ  2pcs only</t>
  </si>
  <si>
    <t>206.</t>
  </si>
  <si>
    <t>RQ-01217</t>
  </si>
  <si>
    <t>Rubber Cap</t>
  </si>
  <si>
    <t>SC 7638</t>
  </si>
  <si>
    <t>GRY-821</t>
  </si>
  <si>
    <t>For maintenance and replacement</t>
  </si>
  <si>
    <t xml:space="preserve">	SC 7638</t>
  </si>
  <si>
    <t>207.</t>
  </si>
  <si>
    <t>1 1/2</t>
  </si>
  <si>
    <t xml:space="preserve">	1 1/2</t>
  </si>
  <si>
    <t>208.</t>
  </si>
  <si>
    <t>Rubber Boots</t>
  </si>
  <si>
    <t>SC30054</t>
  </si>
  <si>
    <t xml:space="preserve">	SC30054</t>
  </si>
  <si>
    <t>209.</t>
  </si>
  <si>
    <t>210.</t>
  </si>
  <si>
    <t>Sand Paper</t>
  </si>
  <si>
    <t>1000</t>
  </si>
  <si>
    <t xml:space="preserve">	1000</t>
  </si>
  <si>
    <t>211.</t>
  </si>
  <si>
    <t>Propeller bolt 12mm</t>
  </si>
  <si>
    <t xml:space="preserve">Propeller bolt 12mm	</t>
  </si>
  <si>
    <t>212.</t>
  </si>
  <si>
    <t>1</t>
  </si>
  <si>
    <t xml:space="preserve">	1</t>
  </si>
  <si>
    <t>213.</t>
  </si>
  <si>
    <t>Booster piston</t>
  </si>
  <si>
    <t>19MM</t>
  </si>
  <si>
    <t xml:space="preserve">	19MM</t>
  </si>
  <si>
    <t>214.</t>
  </si>
  <si>
    <t>RQ-01221</t>
  </si>
  <si>
    <t>for replacement (reimbursement)</t>
  </si>
  <si>
    <t>215.</t>
  </si>
  <si>
    <t>RQ-01230</t>
  </si>
  <si>
    <t>CAB 8724</t>
  </si>
  <si>
    <t>aintenance</t>
  </si>
  <si>
    <t>Labajo Sr, Fernando Maghanoy</t>
  </si>
  <si>
    <t>216.</t>
  </si>
  <si>
    <t>217.</t>
  </si>
  <si>
    <t>24 v   sc</t>
  </si>
  <si>
    <t>24 v sc</t>
  </si>
  <si>
    <t>218.</t>
  </si>
  <si>
    <t>24 v dc</t>
  </si>
  <si>
    <t>219.</t>
  </si>
  <si>
    <t>RQ-01231</t>
  </si>
  <si>
    <t>220.</t>
  </si>
  <si>
    <t>Clutch Piston</t>
  </si>
  <si>
    <t>SECONDARY ASSY.</t>
  </si>
  <si>
    <t>SECONDARY ASSY. 22mm</t>
  </si>
  <si>
    <t>221.</t>
  </si>
  <si>
    <t xml:space="preserve">	3M</t>
  </si>
  <si>
    <t>222.</t>
  </si>
  <si>
    <t>RQ-01232</t>
  </si>
  <si>
    <t>Leaf Spring</t>
  </si>
  <si>
    <t>KC FV415 F-3</t>
  </si>
  <si>
    <t>223.</t>
  </si>
  <si>
    <t>center bolt</t>
  </si>
  <si>
    <t>14MMX200</t>
  </si>
  <si>
    <t>224.</t>
  </si>
  <si>
    <t>RQ-01229</t>
  </si>
  <si>
    <t>2025-02-15</t>
  </si>
  <si>
    <t>J Steel Bolts and Nuts Trading</t>
  </si>
  <si>
    <t>pro. bolt</t>
  </si>
  <si>
    <t>for reimbursent</t>
  </si>
  <si>
    <t xml:space="preserve">	pro. bolt</t>
  </si>
  <si>
    <t>225.</t>
  </si>
  <si>
    <t>RQ-01240</t>
  </si>
  <si>
    <t>E.A Brake Haus</t>
  </si>
  <si>
    <t>Brake Bonding</t>
  </si>
  <si>
    <t>CAG-7583</t>
  </si>
  <si>
    <t>Perez, Edgar</t>
  </si>
  <si>
    <t>226.</t>
  </si>
  <si>
    <t>RQ-01234</t>
  </si>
  <si>
    <t>1 7/6</t>
  </si>
  <si>
    <t xml:space="preserve">	1 7/6</t>
  </si>
  <si>
    <t>227.</t>
  </si>
  <si>
    <t>RQ-01242</t>
  </si>
  <si>
    <t>prem</t>
  </si>
  <si>
    <t>JXP-911</t>
  </si>
  <si>
    <t>For Culo messenger</t>
  </si>
  <si>
    <t>228.</t>
  </si>
  <si>
    <t>RQ-01236</t>
  </si>
  <si>
    <t>Alag Sr, Alberto Samborio</t>
  </si>
  <si>
    <t>for 6d16</t>
  </si>
  <si>
    <t>229.</t>
  </si>
  <si>
    <t>10-12 dili 10-14 kay gamay og size iyang buho sa lining</t>
  </si>
  <si>
    <t>230.</t>
  </si>
  <si>
    <t>3/8</t>
  </si>
  <si>
    <t>231.</t>
  </si>
  <si>
    <t>double entry</t>
  </si>
  <si>
    <t>232.</t>
  </si>
  <si>
    <t>EA Brakehouz</t>
  </si>
  <si>
    <t>10 holes</t>
  </si>
  <si>
    <t>233.</t>
  </si>
  <si>
    <t>RQ-01237</t>
  </si>
  <si>
    <t xml:space="preserve"> Oxy-acetylene lighter</t>
  </si>
  <si>
    <t>234.</t>
  </si>
  <si>
    <t>RQ-01219</t>
  </si>
  <si>
    <t>Battery</t>
  </si>
  <si>
    <t>TRIPLE AAA</t>
  </si>
  <si>
    <t>For old pugon and electrical spare</t>
  </si>
  <si>
    <t>Ni-MH Batteries AAA Rechargeable 2pcs/set</t>
  </si>
  <si>
    <t>235.</t>
  </si>
  <si>
    <t>BATTERY CHARGER</t>
  </si>
  <si>
    <t>236.</t>
  </si>
  <si>
    <t>Cable Tie</t>
  </si>
  <si>
    <t>#5</t>
  </si>
  <si>
    <t>pack/s</t>
  </si>
  <si>
    <t>#6</t>
  </si>
  <si>
    <t>237.</t>
  </si>
  <si>
    <t>238.</t>
  </si>
  <si>
    <t>RQ-01244</t>
  </si>
  <si>
    <t>4523</t>
  </si>
  <si>
    <t>for replacement</t>
  </si>
  <si>
    <t xml:space="preserve">	4523</t>
  </si>
  <si>
    <t>239.</t>
  </si>
  <si>
    <t>Cross Bearing</t>
  </si>
  <si>
    <t>240.</t>
  </si>
  <si>
    <t>241.</t>
  </si>
  <si>
    <t>242.</t>
  </si>
  <si>
    <t>RQ-01233</t>
  </si>
  <si>
    <t>Ozamiz Liberty Marketing</t>
  </si>
  <si>
    <t>Paint Roller</t>
  </si>
  <si>
    <t>paint roller with tray</t>
  </si>
  <si>
    <t>wh. dept for ozamis warehouse use.</t>
  </si>
  <si>
    <t>Alegrado, Merry El Aiko Rada</t>
  </si>
  <si>
    <t>243.</t>
  </si>
  <si>
    <t>RQ-01223</t>
  </si>
  <si>
    <t>Kaixelle Online Shop</t>
  </si>
  <si>
    <t>GOMO LOAD 30GB</t>
  </si>
  <si>
    <t>wh. ozamis use for pocket wifi.</t>
  </si>
  <si>
    <t xml:space="preserve">	GOMO LOAD 30GB</t>
  </si>
  <si>
    <t>244.</t>
  </si>
  <si>
    <t>RQ-01248</t>
  </si>
  <si>
    <t>CAI-4727</t>
  </si>
  <si>
    <t>Cosido, Marlon Quinco</t>
  </si>
  <si>
    <t>by 1 Liter not can</t>
  </si>
  <si>
    <t>245.</t>
  </si>
  <si>
    <t>RQ-01249</t>
  </si>
  <si>
    <t xml:space="preserve">SECONDARY </t>
  </si>
  <si>
    <t>SECONDARY</t>
  </si>
  <si>
    <t>246.</t>
  </si>
  <si>
    <t>247.</t>
  </si>
  <si>
    <t>RQ-01214</t>
  </si>
  <si>
    <t>5 MINITS SAME KADAKO SA DEVCON</t>
  </si>
  <si>
    <t>248.</t>
  </si>
  <si>
    <t>RQ-01247</t>
  </si>
  <si>
    <t>Acetylene Refill</t>
  </si>
  <si>
    <t>249.</t>
  </si>
  <si>
    <t>RQ-01254</t>
  </si>
  <si>
    <t xml:space="preserve">8  holes </t>
  </si>
  <si>
    <t>8 holes 11R 22.5</t>
  </si>
  <si>
    <t>250.</t>
  </si>
  <si>
    <t>RQ-01255</t>
  </si>
  <si>
    <t>Glow Plug</t>
  </si>
  <si>
    <t>FOR 4GJ2</t>
  </si>
  <si>
    <t>251.</t>
  </si>
  <si>
    <t>RQ-01253</t>
  </si>
  <si>
    <t xml:space="preserve">	6 HOLES</t>
  </si>
  <si>
    <t>252.</t>
  </si>
  <si>
    <t>RQ-01256</t>
  </si>
  <si>
    <t>Strainer</t>
  </si>
  <si>
    <t>strainer only</t>
  </si>
  <si>
    <t>request for head office 2nd floor lavatory strainer</t>
  </si>
  <si>
    <t>253.</t>
  </si>
  <si>
    <t>RQ-01243</t>
  </si>
  <si>
    <t>Kolambugan</t>
  </si>
  <si>
    <t xml:space="preserve"> Premium - Tubil 02-10-2025  Manual RSNo.86317</t>
  </si>
  <si>
    <t>254.</t>
  </si>
  <si>
    <t>Premium - Tubil 02-11-2025  Manual RSNo.86318</t>
  </si>
  <si>
    <t>255.</t>
  </si>
  <si>
    <t>Premium - Tubil 02-12-2025  Manual RSNo.86320</t>
  </si>
  <si>
    <t>256.</t>
  </si>
  <si>
    <t>Premium - Tubil 02-13-2025  Manual RSNo.86324</t>
  </si>
  <si>
    <t>257.</t>
  </si>
  <si>
    <t>Premium - Tubil 02-14-2025  Manual RSNo.86340</t>
  </si>
  <si>
    <t>258.</t>
  </si>
  <si>
    <t>RQ-01246</t>
  </si>
  <si>
    <t>Paint Tray</t>
  </si>
  <si>
    <t>paint tray</t>
  </si>
  <si>
    <t xml:space="preserve">	paint tray</t>
  </si>
  <si>
    <t>259.</t>
  </si>
  <si>
    <t>RQ-01250</t>
  </si>
  <si>
    <t>NC 100</t>
  </si>
  <si>
    <t>shop fabrication</t>
  </si>
  <si>
    <t>260.</t>
  </si>
  <si>
    <t>RQ-01251</t>
  </si>
  <si>
    <t>A-55</t>
  </si>
  <si>
    <t>For new dryer gen.set</t>
  </si>
  <si>
    <t xml:space="preserve">	A-55</t>
  </si>
  <si>
    <t>261.</t>
  </si>
  <si>
    <t>RQ-01258</t>
  </si>
  <si>
    <t>Lumingkit, Marven Pelayo</t>
  </si>
  <si>
    <t>262.</t>
  </si>
  <si>
    <t xml:space="preserve">Hydrovac </t>
  </si>
  <si>
    <t>vacume type</t>
  </si>
  <si>
    <t>vacuum</t>
  </si>
  <si>
    <t>263.</t>
  </si>
  <si>
    <t>RQ-01224</t>
  </si>
  <si>
    <t>Altherr Shell Station</t>
  </si>
  <si>
    <t>Buug-Molave</t>
  </si>
  <si>
    <t>264.</t>
  </si>
  <si>
    <t>RQ-01267</t>
  </si>
  <si>
    <t>2025-02-25</t>
  </si>
  <si>
    <t>H4</t>
  </si>
  <si>
    <t>TRUCK MAINTENANCE</t>
  </si>
  <si>
    <t>H4 12V</t>
  </si>
  <si>
    <t>265.</t>
  </si>
  <si>
    <t>WEDGE BULB</t>
  </si>
  <si>
    <t>WEDGE BULB 12V</t>
  </si>
  <si>
    <t>266.</t>
  </si>
  <si>
    <t>RQ-01270</t>
  </si>
  <si>
    <t xml:space="preserve"> Sander stone</t>
  </si>
  <si>
    <t>TYROLET BRAND</t>
  </si>
  <si>
    <t>267.</t>
  </si>
  <si>
    <t>Cutting Disc</t>
  </si>
  <si>
    <t>268.</t>
  </si>
  <si>
    <t>RQ-01261</t>
  </si>
  <si>
    <t>Battery clamp</t>
  </si>
  <si>
    <t>269.</t>
  </si>
  <si>
    <t>RQ-01264</t>
  </si>
  <si>
    <t>Level Hose</t>
  </si>
  <si>
    <t>standard color green</t>
  </si>
  <si>
    <t>request level hose for civil works dept. tools</t>
  </si>
  <si>
    <t xml:space="preserve">	standard color green</t>
  </si>
  <si>
    <t>270.</t>
  </si>
  <si>
    <t>RQ-01219-B</t>
  </si>
  <si>
    <t>2025-02-22</t>
  </si>
  <si>
    <t xml:space="preserve">	BATTERY CHARGER</t>
  </si>
  <si>
    <t>271.</t>
  </si>
  <si>
    <t>RQ-01265</t>
  </si>
  <si>
    <t>2025-02-24</t>
  </si>
  <si>
    <t>Jim Star</t>
  </si>
  <si>
    <t>Certificate Holder</t>
  </si>
  <si>
    <t>8.5x14</t>
  </si>
  <si>
    <t>Rice Outlet used for business permit.</t>
  </si>
  <si>
    <t xml:space="preserve">	8.5x14</t>
  </si>
  <si>
    <t>272.</t>
  </si>
  <si>
    <t>RQ-01279</t>
  </si>
  <si>
    <t xml:space="preserve">	 Dico Dry Goods</t>
  </si>
  <si>
    <t>Rope</t>
  </si>
  <si>
    <t>CCO-4615</t>
  </si>
  <si>
    <t>MY SUKI / OZAMIS</t>
  </si>
  <si>
    <t>Pakinggan, Ricky Batilo</t>
  </si>
  <si>
    <t>#28</t>
  </si>
  <si>
    <t>273.</t>
  </si>
  <si>
    <t>RQ-01275</t>
  </si>
  <si>
    <t xml:space="preserve">Cambric tube </t>
  </si>
  <si>
    <t>w/sample small</t>
  </si>
  <si>
    <t>shop electrical</t>
  </si>
  <si>
    <t>274.</t>
  </si>
  <si>
    <t>w/sample medium</t>
  </si>
  <si>
    <t>275.</t>
  </si>
  <si>
    <t>w/sample large</t>
  </si>
  <si>
    <t xml:space="preserve">	w/sample large</t>
  </si>
  <si>
    <t>276.</t>
  </si>
  <si>
    <t>RQ-01274</t>
  </si>
  <si>
    <t xml:space="preserve"> Radiator cap</t>
  </si>
  <si>
    <t>FOR REPLACEMENT</t>
  </si>
  <si>
    <t>Tabuan, Regie Saa</t>
  </si>
  <si>
    <t>277.</t>
  </si>
  <si>
    <t>RQ-01276</t>
  </si>
  <si>
    <t xml:space="preserve"> Brake Master</t>
  </si>
  <si>
    <t>MC-821449</t>
  </si>
  <si>
    <t xml:space="preserve">	MC-821449</t>
  </si>
  <si>
    <t>278.</t>
  </si>
  <si>
    <t>RQ-01288</t>
  </si>
  <si>
    <t>PREMIUM 2K</t>
  </si>
  <si>
    <t>lot/s</t>
  </si>
  <si>
    <t>RESCUE TUBOD LAKEWOOD / TRUCK PLATE NO. CAH 7893  E DOWN ANG TRANSMISSION VICE VERSA</t>
  </si>
  <si>
    <t xml:space="preserve">PREMIUM </t>
  </si>
  <si>
    <t>279.</t>
  </si>
  <si>
    <t>RQ-01289</t>
  </si>
  <si>
    <t>280.</t>
  </si>
  <si>
    <t>RQ-01283</t>
  </si>
  <si>
    <t>GROCERY ITEMS</t>
  </si>
  <si>
    <t>Fresh milk</t>
  </si>
  <si>
    <t>1 liter freshmilk low fat blue packaging</t>
  </si>
  <si>
    <t>executive used only</t>
  </si>
  <si>
    <t>Macalisang, Rosely Agot</t>
  </si>
  <si>
    <t>1 liter freshmilk low fat blue packaging - Nestle</t>
  </si>
  <si>
    <t>281.</t>
  </si>
  <si>
    <t>RQ-01280</t>
  </si>
  <si>
    <t>Novo</t>
  </si>
  <si>
    <t>Mouse Trap</t>
  </si>
  <si>
    <t>Steel Rat Cage</t>
  </si>
  <si>
    <t xml:space="preserve">Executive used only </t>
  </si>
  <si>
    <t>282.</t>
  </si>
  <si>
    <t>RQ-01290</t>
  </si>
  <si>
    <t>14TX430MM FOR 8DC10</t>
  </si>
  <si>
    <t>283.</t>
  </si>
  <si>
    <t>CLUTCH BOOSTER PISTON</t>
  </si>
  <si>
    <t>284.</t>
  </si>
  <si>
    <t>FOR 8DC10 SAME SILA OG SPECS</t>
  </si>
  <si>
    <t>285.</t>
  </si>
  <si>
    <t>RQ-01306</t>
  </si>
  <si>
    <t>Tiffz Zone Consumer Electronics Trading</t>
  </si>
  <si>
    <t>Remote</t>
  </si>
  <si>
    <t xml:space="preserve">For Boss Jy's residence used only </t>
  </si>
  <si>
    <t>Repulle, Sarah Mae Anenion</t>
  </si>
  <si>
    <t>AC Panasonic</t>
  </si>
  <si>
    <t>286.</t>
  </si>
  <si>
    <t xml:space="preserve">double A </t>
  </si>
  <si>
    <t>double A</t>
  </si>
  <si>
    <t>287.</t>
  </si>
  <si>
    <t>RQ-01291</t>
  </si>
  <si>
    <t>rice outlet used</t>
  </si>
  <si>
    <t>288.</t>
  </si>
  <si>
    <t>RQ-01299</t>
  </si>
  <si>
    <t>Back Rest</t>
  </si>
  <si>
    <t>289.</t>
  </si>
  <si>
    <t>Grease</t>
  </si>
  <si>
    <t>grease gun</t>
  </si>
  <si>
    <t>290.</t>
  </si>
  <si>
    <t>RQ-01305</t>
  </si>
  <si>
    <t>1/4</t>
  </si>
  <si>
    <t>New  Dryer</t>
  </si>
  <si>
    <t xml:space="preserve">	1/4</t>
  </si>
  <si>
    <t>291.</t>
  </si>
  <si>
    <t xml:space="preserve"> Mighty Gasket</t>
  </si>
  <si>
    <t xml:space="preserve">	big</t>
  </si>
  <si>
    <t>292.</t>
  </si>
  <si>
    <t>RQ-01340</t>
  </si>
  <si>
    <t>Pvc pipe</t>
  </si>
  <si>
    <t>PVC Blue pipe 1/2</t>
  </si>
  <si>
    <t>For Curayag Apartment repair and maintenance</t>
  </si>
  <si>
    <t>BLUE PIPE 1/2</t>
  </si>
  <si>
    <t>293.</t>
  </si>
  <si>
    <t>PVC Elbow</t>
  </si>
  <si>
    <t>PVC Blue elbow 1/2</t>
  </si>
  <si>
    <t>BLUE ELBOW 1/2</t>
  </si>
  <si>
    <t>294.</t>
  </si>
  <si>
    <t>solvent cement</t>
  </si>
  <si>
    <t>295.</t>
  </si>
  <si>
    <t>PVC Adapter</t>
  </si>
  <si>
    <t>pvc female adapter 1/2</t>
  </si>
  <si>
    <t xml:space="preserve">pvc female adapter 1/2	</t>
  </si>
  <si>
    <t>296.</t>
  </si>
  <si>
    <t>297.</t>
  </si>
  <si>
    <t>298.</t>
  </si>
  <si>
    <t>299.</t>
  </si>
  <si>
    <t>RQ-01347</t>
  </si>
  <si>
    <t>G.I. Tee Reducer</t>
  </si>
  <si>
    <t>1x3/4</t>
  </si>
  <si>
    <t>For Curayag apartment repair and maintenance (Fittings for water meter)</t>
  </si>
  <si>
    <t>300.</t>
  </si>
  <si>
    <t>G.I. Nipple</t>
  </si>
  <si>
    <t>1x3</t>
  </si>
  <si>
    <t>301.</t>
  </si>
  <si>
    <t xml:space="preserve"> G.I. Elbow Reducer</t>
  </si>
  <si>
    <t>3/4x1/2</t>
  </si>
  <si>
    <t>302.</t>
  </si>
  <si>
    <t>1/2x6</t>
  </si>
  <si>
    <t>303.</t>
  </si>
  <si>
    <t>Stopcock</t>
  </si>
  <si>
    <t>304.</t>
  </si>
  <si>
    <t>1/2x12</t>
  </si>
  <si>
    <t>305.</t>
  </si>
  <si>
    <t>P.E. Elbow</t>
  </si>
  <si>
    <t>306.</t>
  </si>
  <si>
    <t>Teflon</t>
  </si>
  <si>
    <t>tombo</t>
  </si>
  <si>
    <t>307.</t>
  </si>
  <si>
    <t>RQ-01332</t>
  </si>
  <si>
    <t>new dryer</t>
  </si>
  <si>
    <t>Total</t>
  </si>
  <si>
    <t>Prepared by</t>
  </si>
  <si>
    <t>ALEJANDRO OLETRES</t>
  </si>
  <si>
    <t>SHERATON PETRON SERVICENTER</t>
  </si>
  <si>
    <t>Item Name</t>
  </si>
  <si>
    <t>Quantity</t>
  </si>
  <si>
    <t>Price</t>
  </si>
  <si>
    <t>Discount</t>
  </si>
  <si>
    <t>JNY ENTERPRISES CORP.</t>
  </si>
  <si>
    <t>MECHZ ELECTRONIC PARTS AND EQUIPMENT TRADING</t>
  </si>
  <si>
    <t>ABBYS GLASS  AND ALUMINUM</t>
  </si>
  <si>
    <t>JEANICA  HYDRAULIC TRADING</t>
  </si>
  <si>
    <t>ARGES MARKETING</t>
  </si>
  <si>
    <t>SEVENTY SEVEN CONSUMER SALES VENTURES CORP.</t>
  </si>
  <si>
    <t>JUANITA ENTERPRISES</t>
  </si>
  <si>
    <t xml:space="preserve">	 CVM MOTOR PARTS TRADING</t>
  </si>
  <si>
    <t>MR. DIY</t>
  </si>
  <si>
    <t>BEN ROYAL ENTERPRISES</t>
  </si>
  <si>
    <t>ARTIFEX COMPUTER CENTER</t>
  </si>
  <si>
    <t xml:space="preserve">	 GCASH LOAD</t>
  </si>
  <si>
    <t>SHOPEE</t>
  </si>
  <si>
    <t>CROWN PAPER AND STATIONER</t>
  </si>
  <si>
    <t>YUTEEKIONG MARKETING CORP.</t>
  </si>
  <si>
    <t>ADS PRINTING SHOP</t>
  </si>
  <si>
    <t>VG FIRE FIGHTING EQUIPMENT TRADING</t>
  </si>
  <si>
    <t>PRO TEK AUTO PARTS</t>
  </si>
  <si>
    <t>J STEEL BOLTS AND NUTS TRADING</t>
  </si>
  <si>
    <t>E.A BRAKE HAUS</t>
  </si>
  <si>
    <t>EA BRAKEHOUZ</t>
  </si>
  <si>
    <t>OZAMIZ LIBERTY MARKETING</t>
  </si>
  <si>
    <t>KAIXELLE ONLINE SHOP</t>
  </si>
  <si>
    <t>ALTHERR SHELL STATION</t>
  </si>
  <si>
    <t>JIM STAR</t>
  </si>
  <si>
    <t xml:space="preserve">	 DICO DRY GOODS</t>
  </si>
  <si>
    <t>NOVO</t>
  </si>
  <si>
    <t>TIFFZ ZONE CONSUMER ELECTRONICS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</si>
</sst>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₱&quot;#,##0.00;[Red]-&quot;£&quot;#,##0.00"/>
  </numFmts>
  <fonts count="4" x14ac:knownFonts="1">
    <font>
      <color theme="1"/>
      <family val="2"/>
      <scheme val="minor"/>
      <sz val="11"/>
      <name val="Calibri"/>
    </font>
    <font>
      <i/>
      <sz val="8"/>
    </font>
    <font>
      <b/>
      <sz val="10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7:Z315" totalsRowCount="1" headerRowCount="1">
  <autoFilter ref="A7:Z31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1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  <filterColumn colId="20" hiddenButton="0"/>
    <filterColumn colId="21" hiddenButton="0"/>
    <filterColumn colId="22" hiddenButton="0"/>
    <filterColumn colId="23" hiddenButton="0"/>
    <filterColumn colId="24" hiddenButton="0"/>
    <filterColumn colId="25" hiddenButton="0"/>
  </autoFilter>
  <tableColumns count="26">
    <tableColumn id="1" name="No." totalsRowLabel="Total"/>
    <tableColumn id="2" name="Request No." totalsRowFunction="none"/>
    <tableColumn id="3" name="Requested Date" totalsRowFunction="none"/>
    <tableColumn id="4" name="Canvass Received" totalsRowFunction="none"/>
    <tableColumn id="5" name="Purchase Date" totalsRowFunction="none"/>
    <tableColumn id="6" name="Date Received" totalsRowFunction="none"/>
    <tableColumn id="7" name="Company" totalsRowFunction="none"/>
    <tableColumn id="8" name="Departments" totalsRowFunction="none"/>
    <tableColumn id="9" name="Category" totalsRowFunction="none"/>
    <tableColumn id="10" name="Supplier" totalsRowFunction="none"/>
    <tableColumn id="11" name="Tagging" totalsRowFunction="none"/>
    <tableColumn id="12" name="Items" totalsRowFunction="none"/>
    <tableColumn id="13" name="Spefications" totalsRowFunction="none"/>
    <tableColumn id="14" name="Brand" totalsRowFunction="none"/>
    <tableColumn id="15" name="Qty" totalsRowFunction="none"/>
    <tableColumn id="16" name="Unit" totalsRowLabel="Total Monthly Expenses" totalsRowFunction="none"/>
    <tableColumn id="17" name="Unit Price" totalsRowFunction="none"/>
    <tableColumn id="18" name="Total Amount" totalsRowFunction="sum"/>
    <tableColumn id="19" name="Truck No." totalsRowFunction="none"/>
    <tableColumn id="20" name="Purpose of Requisition" totalsRowFunction="none"/>
    <tableColumn id="21" name="Requested by" totalsRowFunction="none"/>
    <tableColumn id="22" name="Status" totalsRowFunction="none"/>
    <tableColumn id="23" name="Req to PR Team" totalsRowFunction="none"/>
    <tableColumn id="24" name="PR Team Canvass Resolve" totalsRowFunction="none"/>
    <tableColumn id="25" name="Canvass Resolved Warehouse" totalsRowFunction="none"/>
    <tableColumn id="26" name="Remarks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discountedTable2" displayName="discountedTable2" ref="B3:E5" totalsRowCount="1" headerRowCount="1">
  <autoFilter ref="B3:E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discountedTable8" displayName="discountedTable8" ref="B9:E11" totalsRowCount="1" headerRowCount="1">
  <autoFilter ref="B9:E1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discountedTable14" displayName="discountedTable14" ref="B15:E17" totalsRowCount="1" headerRowCount="1">
  <autoFilter ref="B15:E1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scountedTable20" displayName="discountedTable20" ref="B21:E23" totalsRowCount="1" headerRowCount="1">
  <autoFilter ref="B21:E2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discountedTable26" displayName="discountedTable26" ref="B27:E29" totalsRowCount="1" headerRowCount="1">
  <autoFilter ref="B27:E2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discountedTable32" displayName="discountedTable32" ref="B33:E35" totalsRowCount="1" headerRowCount="1">
  <autoFilter ref="B33:E3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discountedTable38" displayName="discountedTable38" ref="B39:E41" totalsRowCount="1" headerRowCount="1">
  <autoFilter ref="B39:E4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discountedTable44" displayName="discountedTable44" ref="B45:E47" totalsRowCount="1" headerRowCount="1">
  <autoFilter ref="B45:E4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discountedTable50" displayName="discountedTable50" ref="B51:E57" totalsRowCount="1" headerRowCount="1">
  <autoFilter ref="B51:E5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discountedTable60" displayName="discountedTable60" ref="B61:E63" totalsRowCount="1" headerRowCount="1">
  <autoFilter ref="B61:E6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iscountedTable66" displayName="discountedTable66" ref="B67:E69" totalsRowCount="1" headerRowCount="1">
  <autoFilter ref="B67:E6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discountedTable72" displayName="discountedTable72" ref="B73:E75" totalsRowCount="1" headerRowCount="1">
  <autoFilter ref="B73:E7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discountedTable78" displayName="discountedTable78" ref="B79:E85" totalsRowCount="1" headerRowCount="1">
  <autoFilter ref="B79:E8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discountedTable88" displayName="discountedTable88" ref="B89:E91" totalsRowCount="1" headerRowCount="1">
  <autoFilter ref="B89:E9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discountedTable94" displayName="discountedTable94" ref="B95:E97" totalsRowCount="1" headerRowCount="1">
  <autoFilter ref="B95:E9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discountedTable101" displayName="discountedTable101" ref="B102:E104" totalsRowCount="1" headerRowCount="1">
  <autoFilter ref="B102:E10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discountedTable107" displayName="discountedTable107" ref="B108:E111" totalsRowCount="1" headerRowCount="1">
  <autoFilter ref="B108:E11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discountedTable114" displayName="discountedTable114" ref="B115:E117" totalsRowCount="1" headerRowCount="1">
  <autoFilter ref="B115:E11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discountedTable120" displayName="discountedTable120" ref="B121:E123" totalsRowCount="1" headerRowCount="1">
  <autoFilter ref="B121:E12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discountedTable126" displayName="discountedTable126" ref="B127:E129" totalsRowCount="1" headerRowCount="1">
  <autoFilter ref="B127:E12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discountedTable132" displayName="discountedTable132" ref="B133:E138" totalsRowCount="1" headerRowCount="1">
  <autoFilter ref="B133:E13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discountedTable141" displayName="discountedTable141" ref="B142:E147" totalsRowCount="1" headerRowCount="1">
  <autoFilter ref="B142:E14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discountedTable150" displayName="discountedTable150" ref="B151:E155" totalsRowCount="1" headerRowCount="1">
  <autoFilter ref="B151:E15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discountedTable158" displayName="discountedTable158" ref="B159:E161" totalsRowCount="1" headerRowCount="1">
  <autoFilter ref="B159:E16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discountedTable164" displayName="discountedTable164" ref="B165:E167" totalsRowCount="1" headerRowCount="1">
  <autoFilter ref="B165:E16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discountedTable170" displayName="discountedTable170" ref="B171:E173" totalsRowCount="1" headerRowCount="1">
  <autoFilter ref="B171:E17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discountedTable176" displayName="discountedTable176" ref="B177:E181" totalsRowCount="1" headerRowCount="1">
  <autoFilter ref="B177:E18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discountedTable184" displayName="discountedTable184" ref="B185:E188" totalsRowCount="1" headerRowCount="1">
  <autoFilter ref="B185:E18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discountedTable191" displayName="discountedTable191" ref="B192:E199" totalsRowCount="1" headerRowCount="1">
  <autoFilter ref="B192:E19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discountedTable202" displayName="discountedTable202" ref="B203:E205" totalsRowCount="1" headerRowCount="1">
  <autoFilter ref="B203:E20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discountedTable208" displayName="discountedTable208" ref="B209:E211" totalsRowCount="1" headerRowCount="1">
  <autoFilter ref="B209:E21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discountedTable214" displayName="discountedTable214" ref="B215:E217" totalsRowCount="1" headerRowCount="1">
  <autoFilter ref="B215:E21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discountedTable220" displayName="discountedTable220" ref="B221:E223" totalsRowCount="1" headerRowCount="1">
  <autoFilter ref="B221:E22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discountedTable226" displayName="discountedTable226" ref="B227:E230" totalsRowCount="1" headerRowCount="1">
  <autoFilter ref="B227:E22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discountedTable233" displayName="discountedTable233" ref="B234:E238" totalsRowCount="1" headerRowCount="1">
  <autoFilter ref="B234:E23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discountedTable241" displayName="discountedTable241" ref="B242:E244" totalsRowCount="1" headerRowCount="1">
  <autoFilter ref="B242:E24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discountedTable247" displayName="discountedTable247" ref="B248:E251" totalsRowCount="1" headerRowCount="1">
  <autoFilter ref="B248:E25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discountedTable254" displayName="discountedTable254" ref="B255:E257" totalsRowCount="1" headerRowCount="1">
  <autoFilter ref="B255:E25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discountedTable260" displayName="discountedTable260" ref="B261:E264" totalsRowCount="1" headerRowCount="1">
  <autoFilter ref="B261:E26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discountedTable267" displayName="discountedTable267" ref="B268:E271" totalsRowCount="1" headerRowCount="1">
  <autoFilter ref="B268:E27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discountedTable274" displayName="discountedTable274" ref="B275:E277" totalsRowCount="1" headerRowCount="1">
  <autoFilter ref="B275:E27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discountedTable280" displayName="discountedTable280" ref="B281:E283" totalsRowCount="1" headerRowCount="1">
  <autoFilter ref="B281:E28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discountedTable286" displayName="discountedTable286" ref="B287:E289" totalsRowCount="1" headerRowCount="1">
  <autoFilter ref="B287:E28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discountedTable292" displayName="discountedTable292" ref="B293:E295" totalsRowCount="1" headerRowCount="1">
  <autoFilter ref="B293:E29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discountedTable298" displayName="discountedTable298" ref="B299:E301" totalsRowCount="1" headerRowCount="1">
  <autoFilter ref="B299:E30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discountedTable304" displayName="discountedTable304" ref="B305:E308" totalsRowCount="1" headerRowCount="1">
  <autoFilter ref="B305:E30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discountedTable311" displayName="discountedTable311" ref="B312:E315" totalsRowCount="1" headerRowCount="1">
  <autoFilter ref="B312:E31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discountedTable318" displayName="discountedTable318" ref="B319:E321" totalsRowCount="1" headerRowCount="1">
  <autoFilter ref="B319:E32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discountedTable324" displayName="discountedTable324" ref="B325:E327" totalsRowCount="1" headerRowCount="1">
  <autoFilter ref="B325:E32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discountedTable330" displayName="discountedTable330" ref="B331:E334" totalsRowCount="1" headerRowCount="1">
  <autoFilter ref="B331:E33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discountedTable337" displayName="discountedTable337" ref="B338:E344" totalsRowCount="1" headerRowCount="1">
  <autoFilter ref="B338:E34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discountedTable347" displayName="discountedTable347" ref="B348:E351" totalsRowCount="1" headerRowCount="1">
  <autoFilter ref="B348:E35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discountedTable354" displayName="discountedTable354" ref="B355:E358" totalsRowCount="1" headerRowCount="1">
  <autoFilter ref="B355:E35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discountedTable361" displayName="discountedTable361" ref="B362:E365" totalsRowCount="1" headerRowCount="1">
  <autoFilter ref="B362:E36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discountedTable368" displayName="discountedTable368" ref="B369:E371" totalsRowCount="1" headerRowCount="1">
  <autoFilter ref="B369:E37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discountedTable374" displayName="discountedTable374" ref="B375:E377" totalsRowCount="1" headerRowCount="1">
  <autoFilter ref="B375:E37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discountedTable380" displayName="discountedTable380" ref="B381:E384" totalsRowCount="1" headerRowCount="1">
  <autoFilter ref="B381:E38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discountedTable387" displayName="discountedTable387" ref="B388:E391" totalsRowCount="1" headerRowCount="1">
  <autoFilter ref="B388:E39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discountedTable394" displayName="discountedTable394" ref="B395:E406" totalsRowCount="1" headerRowCount="1">
  <autoFilter ref="B395:E40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discountedTable409" displayName="discountedTable409" ref="B410:E412" totalsRowCount="1" headerRowCount="1">
  <autoFilter ref="B410:E41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discountedTable415" displayName="discountedTable415" ref="B416:E418" totalsRowCount="1" headerRowCount="1">
  <autoFilter ref="B416:E41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discountedTable421" displayName="discountedTable421" ref="B422:E426" totalsRowCount="1" headerRowCount="1">
  <autoFilter ref="B422:E42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discountedTable429" displayName="discountedTable429" ref="B430:E433" totalsRowCount="1" headerRowCount="1">
  <autoFilter ref="B430:E43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discountedTable436" displayName="discountedTable436" ref="B437:E439" totalsRowCount="1" headerRowCount="1">
  <autoFilter ref="B437:E43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discountedTable442" displayName="discountedTable442" ref="B443:E445" totalsRowCount="1" headerRowCount="1">
  <autoFilter ref="B443:E44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discountedTable448" displayName="discountedTable448" ref="B449:E451" totalsRowCount="1" headerRowCount="1">
  <autoFilter ref="B449:E45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discountedTable454" displayName="discountedTable454" ref="B455:E458" totalsRowCount="1" headerRowCount="1">
  <autoFilter ref="B455:E45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discountedTable461" displayName="discountedTable461" ref="B462:E464" totalsRowCount="1" headerRowCount="1">
  <autoFilter ref="B462:E46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discountedTable467" displayName="discountedTable467" ref="B468:E477" totalsRowCount="1" headerRowCount="1">
  <autoFilter ref="B468:E47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discountedTable480" displayName="discountedTable480" ref="B481:E484" totalsRowCount="1" headerRowCount="1">
  <autoFilter ref="B481:E48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discountedTable487" displayName="discountedTable487" ref="B488:E494" totalsRowCount="1" headerRowCount="1">
  <autoFilter ref="B488:E49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discountedTable497" displayName="discountedTable497" ref="B498:E502" totalsRowCount="1" headerRowCount="1">
  <autoFilter ref="B498:E50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discountedTable505" displayName="discountedTable505" ref="B506:E511" totalsRowCount="1" headerRowCount="1">
  <autoFilter ref="B506:E51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discountedTable514" displayName="discountedTable514" ref="B515:E519" totalsRowCount="1" headerRowCount="1">
  <autoFilter ref="B515:E51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discountedTable522" displayName="discountedTable522" ref="B523:E525" totalsRowCount="1" headerRowCount="1">
  <autoFilter ref="B523:E52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discountedTable528" displayName="discountedTable528" ref="B529:E531" totalsRowCount="1" headerRowCount="1">
  <autoFilter ref="B529:E53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discountedTable534" displayName="discountedTable534" ref="B535:E537" totalsRowCount="1" headerRowCount="1">
  <autoFilter ref="B535:E53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discountedTable540" displayName="discountedTable540" ref="B541:E543" totalsRowCount="1" headerRowCount="1">
  <autoFilter ref="B541:E54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discountedTable546" displayName="discountedTable546" ref="B547:E549" totalsRowCount="1" headerRowCount="1">
  <autoFilter ref="B547:E54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discountedTable552" displayName="discountedTable552" ref="B553:E555" totalsRowCount="1" headerRowCount="1">
  <autoFilter ref="B553:E55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discountedTable558" displayName="discountedTable558" ref="B559:E568" totalsRowCount="1" headerRowCount="1">
  <autoFilter ref="B559:E56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discountedTable571" displayName="discountedTable571" ref="B572:E577" totalsRowCount="1" headerRowCount="1">
  <autoFilter ref="B572:E57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discountedTable580" displayName="discountedTable580" ref="B581:E585" totalsRowCount="1" headerRowCount="1">
  <autoFilter ref="B581:E58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discountedTable588" displayName="discountedTable588" ref="B589:E592" totalsRowCount="1" headerRowCount="1">
  <autoFilter ref="B589:E59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discountedTable595" displayName="discountedTable595" ref="B596:E601" totalsRowCount="1" headerRowCount="1">
  <autoFilter ref="B596:E60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discountedTable604" displayName="discountedTable604" ref="B605:E607" totalsRowCount="1" headerRowCount="1">
  <autoFilter ref="B605:E60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discountedTable610" displayName="discountedTable610" ref="B611:E616" totalsRowCount="1" headerRowCount="1">
  <autoFilter ref="B611:E61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discountedTable619" displayName="discountedTable619" ref="B620:E622" totalsRowCount="1" headerRowCount="1">
  <autoFilter ref="B620:E62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discountedTable625" displayName="discountedTable625" ref="B626:E629" totalsRowCount="1" headerRowCount="1">
  <autoFilter ref="B626:E62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discountedTable632" displayName="discountedTable632" ref="B633:E635" totalsRowCount="1" headerRowCount="1">
  <autoFilter ref="B633:E63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discountedTable638" displayName="discountedTable638" ref="B639:E641" totalsRowCount="1" headerRowCount="1">
  <autoFilter ref="B639:E64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discountedTable644" displayName="discountedTable644" ref="B645:E647" totalsRowCount="1" headerRowCount="1">
  <autoFilter ref="B645:E64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discountedTable650" displayName="discountedTable650" ref="B651:E653" totalsRowCount="1" headerRowCount="1">
  <autoFilter ref="B651:E65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discountedTable656" displayName="discountedTable656" ref="B657:E659" totalsRowCount="1" headerRowCount="1">
  <autoFilter ref="B657:E65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discountedTable662" displayName="discountedTable662" ref="B663:E665" totalsRowCount="1" headerRowCount="1">
  <autoFilter ref="B663:E66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discountedTable668" displayName="discountedTable668" ref="B669:E672" totalsRowCount="1" headerRowCount="1">
  <autoFilter ref="B669:E67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discountedTable675" displayName="discountedTable675" ref="B676:E679" totalsRowCount="1" headerRowCount="1">
  <autoFilter ref="B676:E67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discountedTable682" displayName="discountedTable682" ref="B683:E686" totalsRowCount="1" headerRowCount="1">
  <autoFilter ref="B683:E68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discountedTable689" displayName="discountedTable689" ref="B690:E692" totalsRowCount="1" headerRowCount="1">
  <autoFilter ref="B690:E69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discountedTable695" displayName="discountedTable695" ref="B696:E700" totalsRowCount="1" headerRowCount="1">
  <autoFilter ref="B696:E69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discountedTable703" displayName="discountedTable703" ref="B704:E706" totalsRowCount="1" headerRowCount="1">
  <autoFilter ref="B704:E70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discountedTable709" displayName="discountedTable709" ref="B710:E712" totalsRowCount="1" headerRowCount="1">
  <autoFilter ref="B710:E71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discountedTable715" displayName="discountedTable715" ref="B716:E718" totalsRowCount="1" headerRowCount="1">
  <autoFilter ref="B716:E71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discountedTable721" displayName="discountedTable721" ref="B722:E725" totalsRowCount="1" headerRowCount="1">
  <autoFilter ref="B722:E72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discountedTable728" displayName="discountedTable728" ref="B729:E732" totalsRowCount="1" headerRowCount="1">
  <autoFilter ref="B729:E73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discountedTable735" displayName="discountedTable735" ref="B736:E739" totalsRowCount="1" headerRowCount="1">
  <autoFilter ref="B736:E73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discountedTable742" displayName="discountedTable742" ref="B743:E751" totalsRowCount="1" headerRowCount="1">
  <autoFilter ref="B743:E75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discountedTable754" displayName="discountedTable754" ref="B755:E764" totalsRowCount="1" headerRowCount="1">
  <autoFilter ref="B755:E76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discountedTable767" displayName="discountedTable767" ref="B768:E770" totalsRowCount="1" headerRowCount="1">
  <autoFilter ref="B768:E76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discountedTable774" displayName="discountedTable774" ref="B775:E777" totalsRowCount="1" headerRowCount="1">
  <autoFilter ref="B775:E77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discountedTable780" displayName="discountedTable780" ref="B781:E783" totalsRowCount="1" headerRowCount="1">
  <autoFilter ref="B781:E78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discountedTable787" displayName="discountedTable787" ref="B788:E790" totalsRowCount="1" headerRowCount="1">
  <autoFilter ref="B788:E78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discountedTable794" displayName="discountedTable794" ref="B795:E804" totalsRowCount="1" headerRowCount="1">
  <autoFilter ref="B795:E80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discountedTable808" displayName="discountedTable808" ref="B809:E811" totalsRowCount="1" headerRowCount="1">
  <autoFilter ref="B809:E81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discountedTable815" displayName="discountedTable815" ref="B816:E818" totalsRowCount="1" headerRowCount="1">
  <autoFilter ref="B816:E81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discountedTable821" displayName="discountedTable821" ref="B822:E824" totalsRowCount="1" headerRowCount="1">
  <autoFilter ref="B822:E82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discountedTable827" displayName="discountedTable827" ref="B828:E830" totalsRowCount="1" headerRowCount="1">
  <autoFilter ref="B828:E82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discountedTable834" displayName="discountedTable834" ref="B835:E837" totalsRowCount="1" headerRowCount="1">
  <autoFilter ref="B835:E83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discountedTable840" displayName="discountedTable840" ref="B841:E843" totalsRowCount="1" headerRowCount="1">
  <autoFilter ref="B841:E84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discountedTable846" displayName="discountedTable846" ref="B847:E849" totalsRowCount="1" headerRowCount="1">
  <autoFilter ref="B847:E84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discountedTable852" displayName="discountedTable852" ref="B853:E855" totalsRowCount="1" headerRowCount="1">
  <autoFilter ref="B853:E85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discountedTable858" displayName="discountedTable858" ref="B859:E861" totalsRowCount="1" headerRowCount="1">
  <autoFilter ref="B859:E86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discountedTable864" displayName="discountedTable864" ref="B865:E876" totalsRowCount="1" headerRowCount="1">
  <autoFilter ref="B865:E87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discountedTable879" displayName="discountedTable879" ref="B880:E886" totalsRowCount="1" headerRowCount="1">
  <autoFilter ref="B880:E88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discountedTable889" displayName="discountedTable889" ref="B890:E892" totalsRowCount="1" headerRowCount="1">
  <autoFilter ref="B890:E89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discountedTable895" displayName="discountedTable895" ref="B896:E898" totalsRowCount="1" headerRowCount="1">
  <autoFilter ref="B896:E89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discountedTable901" displayName="discountedTable901" ref="B902:E904" totalsRowCount="1" headerRowCount="1">
  <autoFilter ref="B902:E90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discountedTable907" displayName="discountedTable907" ref="B908:E910" totalsRowCount="1" headerRowCount="1">
  <autoFilter ref="B908:E90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discountedTable913" displayName="discountedTable913" ref="B914:E916" totalsRowCount="1" headerRowCount="1">
  <autoFilter ref="B914:E91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discountedTable920" displayName="discountedTable920" ref="B921:E923" totalsRowCount="1" headerRowCount="1">
  <autoFilter ref="B921:E92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discountedTable926" displayName="discountedTable926" ref="B927:E929" totalsRowCount="1" headerRowCount="1">
  <autoFilter ref="B927:E92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discountedTable932" displayName="discountedTable932" ref="B933:E935" totalsRowCount="1" headerRowCount="1">
  <autoFilter ref="B933:E93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discountedTable938" displayName="discountedTable938" ref="B939:E941" totalsRowCount="1" headerRowCount="1">
  <autoFilter ref="B939:E94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discountedTable945" displayName="discountedTable945" ref="B946:E948" totalsRowCount="1" headerRowCount="1">
  <autoFilter ref="B946:E94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discountedTable951" displayName="discountedTable951" ref="B952:E954" totalsRowCount="1" headerRowCount="1">
  <autoFilter ref="B952:E95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discountedTable957" displayName="discountedTable957" ref="B958:E960" totalsRowCount="1" headerRowCount="1">
  <autoFilter ref="B958:E95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discountedTable963" displayName="discountedTable963" ref="B964:E966" totalsRowCount="1" headerRowCount="1">
  <autoFilter ref="B964:E96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discountedTable969" displayName="discountedTable969" ref="B970:E972" totalsRowCount="1" headerRowCount="1">
  <autoFilter ref="B970:E97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discountedTable975" displayName="discountedTable975" ref="B976:E978" totalsRowCount="1" headerRowCount="1">
  <autoFilter ref="B976:E97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discountedTable981" displayName="discountedTable981" ref="B982:E984" totalsRowCount="1" headerRowCount="1">
  <autoFilter ref="B982:E98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discountedTable987" displayName="discountedTable987" ref="B988:E990" totalsRowCount="1" headerRowCount="1">
  <autoFilter ref="B988:E98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discountedTable994" displayName="discountedTable994" ref="B995:E997" totalsRowCount="1" headerRowCount="1">
  <autoFilter ref="B995:E99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discountedTable1000" displayName="discountedTable1000" ref="B1001:E1003" totalsRowCount="1" headerRowCount="1">
  <autoFilter ref="B1001:E100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discountedTable1006" displayName="discountedTable1006" ref="B1007:E1009" totalsRowCount="1" headerRowCount="1">
  <autoFilter ref="B1007:E100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discountedTable1012" displayName="discountedTable1012" ref="B1013:E1016" totalsRowCount="1" headerRowCount="1">
  <autoFilter ref="B1013:E101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discountedTable1020" displayName="discountedTable1020" ref="B1021:E1023" totalsRowCount="1" headerRowCount="1">
  <autoFilter ref="B1021:E102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discountedTable1026" displayName="discountedTable1026" ref="B1027:E1030" totalsRowCount="1" headerRowCount="1">
  <autoFilter ref="B1027:E102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discountedTable1033" displayName="discountedTable1033" ref="B1034:E1036" totalsRowCount="1" headerRowCount="1">
  <autoFilter ref="B1034:E103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discountedTable1040" displayName="discountedTable1040" ref="B1041:E1043" totalsRowCount="1" headerRowCount="1">
  <autoFilter ref="B1041:E104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discountedTable1047" displayName="discountedTable1047" ref="B1048:E1050" totalsRowCount="1" headerRowCount="1">
  <autoFilter ref="B1048:E104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discountedTable1054" displayName="discountedTable1054" ref="B1055:E1057" totalsRowCount="1" headerRowCount="1">
  <autoFilter ref="B1055:E105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discountedTable1061" displayName="discountedTable1061" ref="B1062:E1064" totalsRowCount="1" headerRowCount="1">
  <autoFilter ref="B1062:E106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discountedTable1068" displayName="discountedTable1068" ref="B1069:E1071" totalsRowCount="1" headerRowCount="1">
  <autoFilter ref="B1069:E107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discountedTable1074" displayName="discountedTable1074" ref="B1075:E1077" totalsRowCount="1" headerRowCount="1">
  <autoFilter ref="B1075:E107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discountedTable1081" displayName="discountedTable1081" ref="B1082:E1084" totalsRowCount="1" headerRowCount="1">
  <autoFilter ref="B1082:E1083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discountedTable1088" displayName="discountedTable1088" ref="B1089:E1091" totalsRowCount="1" headerRowCount="1">
  <autoFilter ref="B1089:E1090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discountedTable1095" displayName="discountedTable1095" ref="B1096:E1098" totalsRowCount="1" headerRowCount="1">
  <autoFilter ref="B1096:E1097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discountedTable1102" displayName="discountedTable1102" ref="B1103:E1105" totalsRowCount="1" headerRowCount="1">
  <autoFilter ref="B1103:E110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discountedTable1109" displayName="discountedTable1109" ref="B1110:E1112" totalsRowCount="1" headerRowCount="1">
  <autoFilter ref="B1110:E111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discountedTable1116" displayName="discountedTable1116" ref="B1117:E1119" totalsRowCount="1" headerRowCount="1">
  <autoFilter ref="B1117:E111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discountedTable1123" displayName="discountedTable1123" ref="B1124:E1126" totalsRowCount="1" headerRowCount="1">
  <autoFilter ref="B1124:E112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discountedTable1129" displayName="discountedTable1129" ref="B1130:E1132" totalsRowCount="1" headerRowCount="1">
  <autoFilter ref="B1130:E1131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discountedTable1136" displayName="discountedTable1136" ref="B1137:E1139" totalsRowCount="1" headerRowCount="1">
  <autoFilter ref="B1137:E1138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discountedTable1143" displayName="discountedTable1143" ref="B1144:E1146" totalsRowCount="1" headerRowCount="1">
  <autoFilter ref="B1144:E1145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discountedTable1150" displayName="discountedTable1150" ref="B1151:E1153" totalsRowCount="1" headerRowCount="1">
  <autoFilter ref="B1151:E1152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discountedTable1157" displayName="discountedTable1157" ref="B1158:E1160" totalsRowCount="1" headerRowCount="1">
  <autoFilter ref="B1158:E1159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discountedTable1164" displayName="discountedTable1164" ref="B1165:E1167" totalsRowCount="1" headerRowCount="1">
  <autoFilter ref="B1165:E1166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discountedTable1171" displayName="discountedTable1171" ref="B1172:E1175" totalsRowCount="1" headerRowCount="1">
  <autoFilter ref="B1172:E1174">
    <filterColumn colId="0" hiddenButton="0"/>
    <filterColumn colId="1" hiddenButton="0"/>
    <filterColumn colId="2" hiddenButton="0"/>
    <filterColumn colId="3" hiddenButton="0"/>
  </autoFilter>
  <tableColumns count="4">
    <tableColumn id="1" name="No." totalsRowLabel="Total"/>
    <tableColumn id="2" name="Item Name" totalsRowFunction="none"/>
    <tableColumn id="3" name="Quantity" totalsRowFunction="none"/>
    <tableColumn id="4" name="Pric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Relationship Id="rId9" Type="http://schemas.openxmlformats.org/officeDocument/2006/relationships/table" Target="../tables/table10.xml"/><Relationship Id="rId10" Type="http://schemas.openxmlformats.org/officeDocument/2006/relationships/table" Target="../tables/table11.xml"/><Relationship Id="rId11" Type="http://schemas.openxmlformats.org/officeDocument/2006/relationships/table" Target="../tables/table12.xml"/><Relationship Id="rId12" Type="http://schemas.openxmlformats.org/officeDocument/2006/relationships/table" Target="../tables/table13.xml"/><Relationship Id="rId13" Type="http://schemas.openxmlformats.org/officeDocument/2006/relationships/table" Target="../tables/table14.xml"/><Relationship Id="rId14" Type="http://schemas.openxmlformats.org/officeDocument/2006/relationships/table" Target="../tables/table15.xml"/><Relationship Id="rId15" Type="http://schemas.openxmlformats.org/officeDocument/2006/relationships/table" Target="../tables/table16.xml"/><Relationship Id="rId16" Type="http://schemas.openxmlformats.org/officeDocument/2006/relationships/table" Target="../tables/table17.xml"/><Relationship Id="rId17" Type="http://schemas.openxmlformats.org/officeDocument/2006/relationships/table" Target="../tables/table18.xml"/><Relationship Id="rId18" Type="http://schemas.openxmlformats.org/officeDocument/2006/relationships/table" Target="../tables/table19.xml"/><Relationship Id="rId19" Type="http://schemas.openxmlformats.org/officeDocument/2006/relationships/table" Target="../tables/table20.xml"/><Relationship Id="rId20" Type="http://schemas.openxmlformats.org/officeDocument/2006/relationships/table" Target="../tables/table21.xml"/><Relationship Id="rId21" Type="http://schemas.openxmlformats.org/officeDocument/2006/relationships/table" Target="../tables/table22.xml"/><Relationship Id="rId22" Type="http://schemas.openxmlformats.org/officeDocument/2006/relationships/table" Target="../tables/table23.xml"/><Relationship Id="rId23" Type="http://schemas.openxmlformats.org/officeDocument/2006/relationships/table" Target="../tables/table24.xml"/><Relationship Id="rId24" Type="http://schemas.openxmlformats.org/officeDocument/2006/relationships/table" Target="../tables/table25.xml"/><Relationship Id="rId25" Type="http://schemas.openxmlformats.org/officeDocument/2006/relationships/table" Target="../tables/table26.xml"/><Relationship Id="rId26" Type="http://schemas.openxmlformats.org/officeDocument/2006/relationships/table" Target="../tables/table27.xml"/><Relationship Id="rId27" Type="http://schemas.openxmlformats.org/officeDocument/2006/relationships/table" Target="../tables/table28.xml"/><Relationship Id="rId28" Type="http://schemas.openxmlformats.org/officeDocument/2006/relationships/table" Target="../tables/table29.xml"/><Relationship Id="rId29" Type="http://schemas.openxmlformats.org/officeDocument/2006/relationships/table" Target="../tables/table30.xml"/><Relationship Id="rId30" Type="http://schemas.openxmlformats.org/officeDocument/2006/relationships/table" Target="../tables/table31.xml"/><Relationship Id="rId31" Type="http://schemas.openxmlformats.org/officeDocument/2006/relationships/table" Target="../tables/table32.xml"/><Relationship Id="rId32" Type="http://schemas.openxmlformats.org/officeDocument/2006/relationships/table" Target="../tables/table33.xml"/><Relationship Id="rId33" Type="http://schemas.openxmlformats.org/officeDocument/2006/relationships/table" Target="../tables/table34.xml"/><Relationship Id="rId34" Type="http://schemas.openxmlformats.org/officeDocument/2006/relationships/table" Target="../tables/table35.xml"/><Relationship Id="rId35" Type="http://schemas.openxmlformats.org/officeDocument/2006/relationships/table" Target="../tables/table36.xml"/><Relationship Id="rId36" Type="http://schemas.openxmlformats.org/officeDocument/2006/relationships/table" Target="../tables/table37.xml"/><Relationship Id="rId37" Type="http://schemas.openxmlformats.org/officeDocument/2006/relationships/table" Target="../tables/table38.xml"/><Relationship Id="rId38" Type="http://schemas.openxmlformats.org/officeDocument/2006/relationships/table" Target="../tables/table39.xml"/><Relationship Id="rId39" Type="http://schemas.openxmlformats.org/officeDocument/2006/relationships/table" Target="../tables/table40.xml"/><Relationship Id="rId40" Type="http://schemas.openxmlformats.org/officeDocument/2006/relationships/table" Target="../tables/table41.xml"/><Relationship Id="rId41" Type="http://schemas.openxmlformats.org/officeDocument/2006/relationships/table" Target="../tables/table42.xml"/><Relationship Id="rId42" Type="http://schemas.openxmlformats.org/officeDocument/2006/relationships/table" Target="../tables/table43.xml"/><Relationship Id="rId43" Type="http://schemas.openxmlformats.org/officeDocument/2006/relationships/table" Target="../tables/table44.xml"/><Relationship Id="rId44" Type="http://schemas.openxmlformats.org/officeDocument/2006/relationships/table" Target="../tables/table45.xml"/><Relationship Id="rId45" Type="http://schemas.openxmlformats.org/officeDocument/2006/relationships/table" Target="../tables/table46.xml"/><Relationship Id="rId46" Type="http://schemas.openxmlformats.org/officeDocument/2006/relationships/table" Target="../tables/table47.xml"/><Relationship Id="rId47" Type="http://schemas.openxmlformats.org/officeDocument/2006/relationships/table" Target="../tables/table48.xml"/><Relationship Id="rId48" Type="http://schemas.openxmlformats.org/officeDocument/2006/relationships/table" Target="../tables/table49.xml"/><Relationship Id="rId49" Type="http://schemas.openxmlformats.org/officeDocument/2006/relationships/table" Target="../tables/table50.xml"/><Relationship Id="rId50" Type="http://schemas.openxmlformats.org/officeDocument/2006/relationships/table" Target="../tables/table51.xml"/><Relationship Id="rId51" Type="http://schemas.openxmlformats.org/officeDocument/2006/relationships/table" Target="../tables/table52.xml"/><Relationship Id="rId52" Type="http://schemas.openxmlformats.org/officeDocument/2006/relationships/table" Target="../tables/table53.xml"/><Relationship Id="rId53" Type="http://schemas.openxmlformats.org/officeDocument/2006/relationships/table" Target="../tables/table54.xml"/><Relationship Id="rId54" Type="http://schemas.openxmlformats.org/officeDocument/2006/relationships/table" Target="../tables/table55.xml"/><Relationship Id="rId55" Type="http://schemas.openxmlformats.org/officeDocument/2006/relationships/table" Target="../tables/table56.xml"/><Relationship Id="rId56" Type="http://schemas.openxmlformats.org/officeDocument/2006/relationships/table" Target="../tables/table57.xml"/><Relationship Id="rId57" Type="http://schemas.openxmlformats.org/officeDocument/2006/relationships/table" Target="../tables/table58.xml"/><Relationship Id="rId58" Type="http://schemas.openxmlformats.org/officeDocument/2006/relationships/table" Target="../tables/table59.xml"/><Relationship Id="rId59" Type="http://schemas.openxmlformats.org/officeDocument/2006/relationships/table" Target="../tables/table60.xml"/><Relationship Id="rId60" Type="http://schemas.openxmlformats.org/officeDocument/2006/relationships/table" Target="../tables/table61.xml"/><Relationship Id="rId61" Type="http://schemas.openxmlformats.org/officeDocument/2006/relationships/table" Target="../tables/table62.xml"/><Relationship Id="rId62" Type="http://schemas.openxmlformats.org/officeDocument/2006/relationships/table" Target="../tables/table63.xml"/><Relationship Id="rId63" Type="http://schemas.openxmlformats.org/officeDocument/2006/relationships/table" Target="../tables/table64.xml"/><Relationship Id="rId64" Type="http://schemas.openxmlformats.org/officeDocument/2006/relationships/table" Target="../tables/table65.xml"/><Relationship Id="rId65" Type="http://schemas.openxmlformats.org/officeDocument/2006/relationships/table" Target="../tables/table66.xml"/><Relationship Id="rId66" Type="http://schemas.openxmlformats.org/officeDocument/2006/relationships/table" Target="../tables/table67.xml"/><Relationship Id="rId67" Type="http://schemas.openxmlformats.org/officeDocument/2006/relationships/table" Target="../tables/table68.xml"/><Relationship Id="rId68" Type="http://schemas.openxmlformats.org/officeDocument/2006/relationships/table" Target="../tables/table69.xml"/><Relationship Id="rId69" Type="http://schemas.openxmlformats.org/officeDocument/2006/relationships/table" Target="../tables/table70.xml"/><Relationship Id="rId70" Type="http://schemas.openxmlformats.org/officeDocument/2006/relationships/table" Target="../tables/table71.xml"/><Relationship Id="rId71" Type="http://schemas.openxmlformats.org/officeDocument/2006/relationships/table" Target="../tables/table72.xml"/><Relationship Id="rId72" Type="http://schemas.openxmlformats.org/officeDocument/2006/relationships/table" Target="../tables/table73.xml"/><Relationship Id="rId73" Type="http://schemas.openxmlformats.org/officeDocument/2006/relationships/table" Target="../tables/table74.xml"/><Relationship Id="rId74" Type="http://schemas.openxmlformats.org/officeDocument/2006/relationships/table" Target="../tables/table75.xml"/><Relationship Id="rId75" Type="http://schemas.openxmlformats.org/officeDocument/2006/relationships/table" Target="../tables/table76.xml"/><Relationship Id="rId76" Type="http://schemas.openxmlformats.org/officeDocument/2006/relationships/table" Target="../tables/table77.xml"/><Relationship Id="rId77" Type="http://schemas.openxmlformats.org/officeDocument/2006/relationships/table" Target="../tables/table78.xml"/><Relationship Id="rId78" Type="http://schemas.openxmlformats.org/officeDocument/2006/relationships/table" Target="../tables/table79.xml"/><Relationship Id="rId79" Type="http://schemas.openxmlformats.org/officeDocument/2006/relationships/table" Target="../tables/table80.xml"/><Relationship Id="rId80" Type="http://schemas.openxmlformats.org/officeDocument/2006/relationships/table" Target="../tables/table81.xml"/><Relationship Id="rId81" Type="http://schemas.openxmlformats.org/officeDocument/2006/relationships/table" Target="../tables/table82.xml"/><Relationship Id="rId82" Type="http://schemas.openxmlformats.org/officeDocument/2006/relationships/table" Target="../tables/table83.xml"/><Relationship Id="rId83" Type="http://schemas.openxmlformats.org/officeDocument/2006/relationships/table" Target="../tables/table84.xml"/><Relationship Id="rId84" Type="http://schemas.openxmlformats.org/officeDocument/2006/relationships/table" Target="../tables/table85.xml"/><Relationship Id="rId85" Type="http://schemas.openxmlformats.org/officeDocument/2006/relationships/table" Target="../tables/table86.xml"/><Relationship Id="rId86" Type="http://schemas.openxmlformats.org/officeDocument/2006/relationships/table" Target="../tables/table87.xml"/><Relationship Id="rId87" Type="http://schemas.openxmlformats.org/officeDocument/2006/relationships/table" Target="../tables/table88.xml"/><Relationship Id="rId88" Type="http://schemas.openxmlformats.org/officeDocument/2006/relationships/table" Target="../tables/table89.xml"/><Relationship Id="rId89" Type="http://schemas.openxmlformats.org/officeDocument/2006/relationships/table" Target="../tables/table90.xml"/><Relationship Id="rId90" Type="http://schemas.openxmlformats.org/officeDocument/2006/relationships/table" Target="../tables/table91.xml"/><Relationship Id="rId91" Type="http://schemas.openxmlformats.org/officeDocument/2006/relationships/table" Target="../tables/table92.xml"/><Relationship Id="rId92" Type="http://schemas.openxmlformats.org/officeDocument/2006/relationships/table" Target="../tables/table93.xml"/><Relationship Id="rId93" Type="http://schemas.openxmlformats.org/officeDocument/2006/relationships/table" Target="../tables/table94.xml"/><Relationship Id="rId94" Type="http://schemas.openxmlformats.org/officeDocument/2006/relationships/table" Target="../tables/table95.xml"/><Relationship Id="rId95" Type="http://schemas.openxmlformats.org/officeDocument/2006/relationships/table" Target="../tables/table96.xml"/><Relationship Id="rId96" Type="http://schemas.openxmlformats.org/officeDocument/2006/relationships/table" Target="../tables/table97.xml"/><Relationship Id="rId97" Type="http://schemas.openxmlformats.org/officeDocument/2006/relationships/table" Target="../tables/table98.xml"/><Relationship Id="rId98" Type="http://schemas.openxmlformats.org/officeDocument/2006/relationships/table" Target="../tables/table99.xml"/><Relationship Id="rId99" Type="http://schemas.openxmlformats.org/officeDocument/2006/relationships/table" Target="../tables/table100.xml"/><Relationship Id="rId100" Type="http://schemas.openxmlformats.org/officeDocument/2006/relationships/table" Target="../tables/table101.xml"/><Relationship Id="rId101" Type="http://schemas.openxmlformats.org/officeDocument/2006/relationships/table" Target="../tables/table102.xml"/><Relationship Id="rId102" Type="http://schemas.openxmlformats.org/officeDocument/2006/relationships/table" Target="../tables/table103.xml"/><Relationship Id="rId103" Type="http://schemas.openxmlformats.org/officeDocument/2006/relationships/table" Target="../tables/table104.xml"/><Relationship Id="rId104" Type="http://schemas.openxmlformats.org/officeDocument/2006/relationships/table" Target="../tables/table105.xml"/><Relationship Id="rId105" Type="http://schemas.openxmlformats.org/officeDocument/2006/relationships/table" Target="../tables/table106.xml"/><Relationship Id="rId106" Type="http://schemas.openxmlformats.org/officeDocument/2006/relationships/table" Target="../tables/table107.xml"/><Relationship Id="rId107" Type="http://schemas.openxmlformats.org/officeDocument/2006/relationships/table" Target="../tables/table108.xml"/><Relationship Id="rId108" Type="http://schemas.openxmlformats.org/officeDocument/2006/relationships/table" Target="../tables/table109.xml"/><Relationship Id="rId109" Type="http://schemas.openxmlformats.org/officeDocument/2006/relationships/table" Target="../tables/table110.xml"/><Relationship Id="rId110" Type="http://schemas.openxmlformats.org/officeDocument/2006/relationships/table" Target="../tables/table111.xml"/><Relationship Id="rId111" Type="http://schemas.openxmlformats.org/officeDocument/2006/relationships/table" Target="../tables/table112.xml"/><Relationship Id="rId112" Type="http://schemas.openxmlformats.org/officeDocument/2006/relationships/table" Target="../tables/table113.xml"/><Relationship Id="rId113" Type="http://schemas.openxmlformats.org/officeDocument/2006/relationships/table" Target="../tables/table114.xml"/><Relationship Id="rId114" Type="http://schemas.openxmlformats.org/officeDocument/2006/relationships/table" Target="../tables/table115.xml"/><Relationship Id="rId115" Type="http://schemas.openxmlformats.org/officeDocument/2006/relationships/table" Target="../tables/table116.xml"/><Relationship Id="rId116" Type="http://schemas.openxmlformats.org/officeDocument/2006/relationships/table" Target="../tables/table117.xml"/><Relationship Id="rId117" Type="http://schemas.openxmlformats.org/officeDocument/2006/relationships/table" Target="../tables/table118.xml"/><Relationship Id="rId118" Type="http://schemas.openxmlformats.org/officeDocument/2006/relationships/table" Target="../tables/table119.xml"/><Relationship Id="rId119" Type="http://schemas.openxmlformats.org/officeDocument/2006/relationships/table" Target="../tables/table120.xml"/><Relationship Id="rId120" Type="http://schemas.openxmlformats.org/officeDocument/2006/relationships/table" Target="../tables/table121.xml"/><Relationship Id="rId121" Type="http://schemas.openxmlformats.org/officeDocument/2006/relationships/table" Target="../tables/table122.xml"/><Relationship Id="rId122" Type="http://schemas.openxmlformats.org/officeDocument/2006/relationships/table" Target="../tables/table123.xml"/><Relationship Id="rId123" Type="http://schemas.openxmlformats.org/officeDocument/2006/relationships/table" Target="../tables/table124.xml"/><Relationship Id="rId124" Type="http://schemas.openxmlformats.org/officeDocument/2006/relationships/table" Target="../tables/table125.xml"/><Relationship Id="rId125" Type="http://schemas.openxmlformats.org/officeDocument/2006/relationships/table" Target="../tables/table126.xml"/><Relationship Id="rId126" Type="http://schemas.openxmlformats.org/officeDocument/2006/relationships/table" Target="../tables/table127.xml"/><Relationship Id="rId127" Type="http://schemas.openxmlformats.org/officeDocument/2006/relationships/table" Target="../tables/table128.xml"/><Relationship Id="rId128" Type="http://schemas.openxmlformats.org/officeDocument/2006/relationships/table" Target="../tables/table129.xml"/><Relationship Id="rId129" Type="http://schemas.openxmlformats.org/officeDocument/2006/relationships/table" Target="../tables/table130.xml"/><Relationship Id="rId130" Type="http://schemas.openxmlformats.org/officeDocument/2006/relationships/table" Target="../tables/table131.xml"/><Relationship Id="rId131" Type="http://schemas.openxmlformats.org/officeDocument/2006/relationships/table" Target="../tables/table132.xml"/><Relationship Id="rId132" Type="http://schemas.openxmlformats.org/officeDocument/2006/relationships/table" Target="../tables/table133.xml"/><Relationship Id="rId133" Type="http://schemas.openxmlformats.org/officeDocument/2006/relationships/table" Target="../tables/table134.xml"/><Relationship Id="rId134" Type="http://schemas.openxmlformats.org/officeDocument/2006/relationships/table" Target="../tables/table135.xml"/><Relationship Id="rId135" Type="http://schemas.openxmlformats.org/officeDocument/2006/relationships/table" Target="../tables/table136.xml"/><Relationship Id="rId136" Type="http://schemas.openxmlformats.org/officeDocument/2006/relationships/table" Target="../tables/table137.xml"/><Relationship Id="rId137" Type="http://schemas.openxmlformats.org/officeDocument/2006/relationships/table" Target="../tables/table138.xml"/><Relationship Id="rId138" Type="http://schemas.openxmlformats.org/officeDocument/2006/relationships/table" Target="../tables/table139.xml"/><Relationship Id="rId139" Type="http://schemas.openxmlformats.org/officeDocument/2006/relationships/table" Target="../tables/table140.xml"/><Relationship Id="rId140" Type="http://schemas.openxmlformats.org/officeDocument/2006/relationships/table" Target="../tables/table141.xml"/><Relationship Id="rId141" Type="http://schemas.openxmlformats.org/officeDocument/2006/relationships/table" Target="../tables/table142.xml"/><Relationship Id="rId142" Type="http://schemas.openxmlformats.org/officeDocument/2006/relationships/table" Target="../tables/table143.xml"/><Relationship Id="rId143" Type="http://schemas.openxmlformats.org/officeDocument/2006/relationships/table" Target="../tables/table144.xml"/><Relationship Id="rId144" Type="http://schemas.openxmlformats.org/officeDocument/2006/relationships/table" Target="../tables/table145.xml"/><Relationship Id="rId145" Type="http://schemas.openxmlformats.org/officeDocument/2006/relationships/table" Target="../tables/table146.xml"/><Relationship Id="rId146" Type="http://schemas.openxmlformats.org/officeDocument/2006/relationships/table" Target="../tables/table147.xml"/><Relationship Id="rId147" Type="http://schemas.openxmlformats.org/officeDocument/2006/relationships/table" Target="../tables/table148.xml"/><Relationship Id="rId148" Type="http://schemas.openxmlformats.org/officeDocument/2006/relationships/table" Target="../tables/table149.xml"/><Relationship Id="rId149" Type="http://schemas.openxmlformats.org/officeDocument/2006/relationships/table" Target="../tables/table150.xml"/><Relationship Id="rId150" Type="http://schemas.openxmlformats.org/officeDocument/2006/relationships/table" Target="../tables/table151.xml"/><Relationship Id="rId151" Type="http://schemas.openxmlformats.org/officeDocument/2006/relationships/table" Target="../tables/table152.xml"/><Relationship Id="rId152" Type="http://schemas.openxmlformats.org/officeDocument/2006/relationships/table" Target="../tables/table153.xml"/><Relationship Id="rId153" Type="http://schemas.openxmlformats.org/officeDocument/2006/relationships/table" Target="../tables/table154.xml"/><Relationship Id="rId154" Type="http://schemas.openxmlformats.org/officeDocument/2006/relationships/table" Target="../tables/table155.xml"/><Relationship Id="rId155" Type="http://schemas.openxmlformats.org/officeDocument/2006/relationships/table" Target="../tables/table156.xml"/><Relationship Id="rId156" Type="http://schemas.openxmlformats.org/officeDocument/2006/relationships/table" Target="../tables/table157.xml"/><Relationship Id="rId157" Type="http://schemas.openxmlformats.org/officeDocument/2006/relationships/table" Target="../tables/table158.xml"/><Relationship Id="rId158" Type="http://schemas.openxmlformats.org/officeDocument/2006/relationships/table" Target="../tables/table159.xml"/><Relationship Id="rId159" Type="http://schemas.openxmlformats.org/officeDocument/2006/relationships/table" Target="../tables/table160.xml"/><Relationship Id="rId160" Type="http://schemas.openxmlformats.org/officeDocument/2006/relationships/table" Target="../tables/table161.xml"/><Relationship Id="rId161" Type="http://schemas.openxmlformats.org/officeDocument/2006/relationships/table" Target="../tables/table162.xml"/><Relationship Id="rId162" Type="http://schemas.openxmlformats.org/officeDocument/2006/relationships/table" Target="../tables/table163.xml"/><Relationship Id="rId163" Type="http://schemas.openxmlformats.org/officeDocument/2006/relationships/table" Target="../tables/table164.xml"/><Relationship Id="rId164" Type="http://schemas.openxmlformats.org/officeDocument/2006/relationships/table" Target="../tables/table165.xml"/><Relationship Id="rId165" Type="http://schemas.openxmlformats.org/officeDocument/2006/relationships/table" Target="../tables/table166.xml"/><Relationship Id="rId166" Type="http://schemas.openxmlformats.org/officeDocument/2006/relationships/table" Target="../tables/table167.xml"/><Relationship Id="rId167" Type="http://schemas.openxmlformats.org/officeDocument/2006/relationships/table" Target="../tables/table168.xml"/><Relationship Id="rId168" Type="http://schemas.openxmlformats.org/officeDocument/2006/relationships/table" Target="../tables/table16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Z319"/>
  <sheetViews>
    <sheetView workbookViewId="0">
      <pane xSplit="2" ySplit="7" topLeftCell="C8" activePane="bottomRight" state="frozen"/>
      <selection pane="bottomRight" activeCell="A8" sqref="A8"/>
    </sheetView>
  </sheetViews>
  <sheetFormatPr defaultRowHeight="15" outlineLevelRow="0" outlineLevelCol="0" x14ac:dyDescent="55"/>
  <cols>
    <col min="1" max="1" width="9" style="1" customWidth="1"/>
    <col min="2" max="8" width="25" style="1" customWidth="1"/>
    <col min="9" max="12" width="20" style="1" customWidth="1"/>
    <col min="13" max="14" width="20" style="2" customWidth="1"/>
    <col min="15" max="15" width="30" style="3" customWidth="1"/>
    <col min="16" max="18" width="20" style="1" customWidth="1"/>
    <col min="19" max="21" width="30" style="1" customWidth="1"/>
    <col min="22" max="23" width="20" style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0</v>
      </c>
      <c r="M1" s="2"/>
      <c r="N1" s="2"/>
      <c r="O1" s="3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</v>
      </c>
      <c r="M2" s="2"/>
      <c r="N2" s="2"/>
      <c r="O2" s="3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2</v>
      </c>
      <c r="M3" s="2"/>
      <c r="N3" s="2"/>
      <c r="O3" s="3"/>
      <c r="P3" s="1"/>
      <c r="Q3" s="1"/>
      <c r="R3" s="1"/>
      <c r="S3" s="1"/>
      <c r="T3" s="1"/>
      <c r="U3" s="1"/>
      <c r="V3" s="1"/>
      <c r="W3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5" t="s">
        <v>3</v>
      </c>
      <c r="M5" s="2"/>
      <c r="N5" s="2"/>
      <c r="O5" s="3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 t="s">
        <v>4</v>
      </c>
      <c r="M6" s="2"/>
      <c r="N6" s="2"/>
      <c r="O6" s="3"/>
      <c r="P6" s="1"/>
      <c r="Q6" s="1"/>
      <c r="R6" s="1"/>
      <c r="S6" s="1"/>
      <c r="T6" s="1"/>
      <c r="U6" s="1"/>
      <c r="V6" s="1"/>
      <c r="W6" s="1"/>
    </row>
    <row r="7" spans="1:26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2" t="s">
        <v>17</v>
      </c>
      <c r="N7" s="2" t="s">
        <v>18</v>
      </c>
      <c r="O7" s="3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t="s">
        <v>28</v>
      </c>
      <c r="Y7" t="s">
        <v>29</v>
      </c>
      <c r="Z7" t="s">
        <v>30</v>
      </c>
    </row>
    <row r="8" spans="1:26" x14ac:dyDescent="0.25">
      <c r="A8" s="1" t="s">
        <v>31</v>
      </c>
      <c r="B8" s="1" t="s">
        <v>32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2" t="s">
        <v>40</v>
      </c>
      <c r="N8" s="2"/>
      <c r="O8" s="3">
        <v>3</v>
      </c>
      <c r="P8" s="1" t="s">
        <v>41</v>
      </c>
      <c r="Q8" s="1">
        <v>60.05</v>
      </c>
      <c r="R8" s="1">
        <v>180.14999999999998</v>
      </c>
      <c r="S8" s="1" t="s">
        <v>42</v>
      </c>
      <c r="T8" s="1" t="s">
        <v>43</v>
      </c>
      <c r="U8" s="1" t="s">
        <v>44</v>
      </c>
      <c r="V8" s="1" t="s">
        <v>45</v>
      </c>
      <c r="W8" s="1" t="s">
        <v>38</v>
      </c>
      <c r="X8" t="s">
        <v>38</v>
      </c>
      <c r="Y8" t="s">
        <v>38</v>
      </c>
    </row>
    <row r="9" spans="1:26" x14ac:dyDescent="0.25">
      <c r="A9" s="1" t="s">
        <v>46</v>
      </c>
      <c r="B9" s="1" t="s">
        <v>47</v>
      </c>
      <c r="C9" s="1" t="s">
        <v>48</v>
      </c>
      <c r="D9" s="1" t="s">
        <v>48</v>
      </c>
      <c r="E9" s="1" t="s">
        <v>48</v>
      </c>
      <c r="F9" s="1" t="s">
        <v>49</v>
      </c>
      <c r="G9" s="1" t="s">
        <v>50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2" t="s">
        <v>51</v>
      </c>
      <c r="N9" s="2" t="s">
        <v>52</v>
      </c>
      <c r="O9" s="3">
        <v>2</v>
      </c>
      <c r="P9" s="1" t="s">
        <v>41</v>
      </c>
      <c r="Q9" s="1">
        <v>60.75</v>
      </c>
      <c r="R9" s="1">
        <v>121.5</v>
      </c>
      <c r="S9" s="1" t="s">
        <v>53</v>
      </c>
      <c r="T9" s="1" t="s">
        <v>54</v>
      </c>
      <c r="U9" s="1" t="s">
        <v>55</v>
      </c>
      <c r="V9" s="1" t="s">
        <v>45</v>
      </c>
      <c r="W9" s="1" t="s">
        <v>38</v>
      </c>
      <c r="X9" t="s">
        <v>38</v>
      </c>
      <c r="Y9" t="s">
        <v>38</v>
      </c>
      <c r="Z9" t="s">
        <v>52</v>
      </c>
    </row>
    <row r="10" spans="1:26" x14ac:dyDescent="0.25">
      <c r="A10" s="1" t="s">
        <v>56</v>
      </c>
      <c r="B10" s="1" t="s">
        <v>57</v>
      </c>
      <c r="C10" s="1" t="s">
        <v>48</v>
      </c>
      <c r="D10" s="1" t="s">
        <v>48</v>
      </c>
      <c r="E10" s="1" t="s">
        <v>48</v>
      </c>
      <c r="F10" s="1" t="s">
        <v>58</v>
      </c>
      <c r="G10" s="1" t="s">
        <v>34</v>
      </c>
      <c r="H10" s="1" t="s">
        <v>59</v>
      </c>
      <c r="I10" s="1" t="s">
        <v>36</v>
      </c>
      <c r="J10" s="1" t="s">
        <v>37</v>
      </c>
      <c r="K10" s="1" t="s">
        <v>38</v>
      </c>
      <c r="L10" s="1" t="s">
        <v>39</v>
      </c>
      <c r="M10" s="2" t="s">
        <v>60</v>
      </c>
      <c r="N10" s="2"/>
      <c r="O10" s="3">
        <v>3</v>
      </c>
      <c r="P10" s="1" t="s">
        <v>41</v>
      </c>
      <c r="Q10" s="1">
        <v>60.75</v>
      </c>
      <c r="R10" s="1">
        <v>182.25</v>
      </c>
      <c r="S10" s="1" t="s">
        <v>61</v>
      </c>
      <c r="T10" s="1" t="s">
        <v>62</v>
      </c>
      <c r="U10" s="1" t="s">
        <v>63</v>
      </c>
      <c r="V10" s="1" t="s">
        <v>45</v>
      </c>
      <c r="W10" s="1" t="s">
        <v>38</v>
      </c>
      <c r="X10" t="s">
        <v>38</v>
      </c>
      <c r="Y10" t="s">
        <v>38</v>
      </c>
      <c r="Z10" t="s">
        <v>60</v>
      </c>
    </row>
    <row r="11" spans="1:26" x14ac:dyDescent="0.25">
      <c r="A11" s="1" t="s">
        <v>64</v>
      </c>
      <c r="B11" s="1" t="s">
        <v>65</v>
      </c>
      <c r="C11" s="1" t="s">
        <v>33</v>
      </c>
      <c r="D11" s="1" t="s">
        <v>33</v>
      </c>
      <c r="E11" s="1" t="s">
        <v>66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38</v>
      </c>
      <c r="L11" s="1" t="s">
        <v>71</v>
      </c>
      <c r="M11" s="2" t="s">
        <v>72</v>
      </c>
      <c r="N11" s="2"/>
      <c r="O11" s="3">
        <v>10</v>
      </c>
      <c r="P11" s="1" t="s">
        <v>41</v>
      </c>
      <c r="Q11" s="1">
        <v>630</v>
      </c>
      <c r="R11" s="1">
        <v>6300</v>
      </c>
      <c r="S11" s="1" t="s">
        <v>38</v>
      </c>
      <c r="T11" s="1" t="s">
        <v>73</v>
      </c>
      <c r="U11" s="1" t="s">
        <v>74</v>
      </c>
      <c r="V11" s="1" t="s">
        <v>45</v>
      </c>
      <c r="W11" s="1" t="s">
        <v>38</v>
      </c>
      <c r="X11" t="s">
        <v>38</v>
      </c>
      <c r="Y11" t="s">
        <v>38</v>
      </c>
    </row>
    <row r="12" spans="1:26" x14ac:dyDescent="0.25">
      <c r="A12" s="1" t="s">
        <v>75</v>
      </c>
      <c r="B12" s="1" t="s">
        <v>76</v>
      </c>
      <c r="C12" s="1" t="s">
        <v>33</v>
      </c>
      <c r="D12" s="1" t="s">
        <v>33</v>
      </c>
      <c r="E12" s="1" t="s">
        <v>48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38</v>
      </c>
      <c r="L12" s="1" t="s">
        <v>82</v>
      </c>
      <c r="M12" s="2" t="s">
        <v>83</v>
      </c>
      <c r="N12" s="2" t="s">
        <v>84</v>
      </c>
      <c r="O12" s="3">
        <v>1</v>
      </c>
      <c r="P12" s="1" t="s">
        <v>85</v>
      </c>
      <c r="Q12" s="1">
        <v>1450</v>
      </c>
      <c r="R12" s="1">
        <v>1450</v>
      </c>
      <c r="S12" s="1" t="s">
        <v>38</v>
      </c>
      <c r="T12" s="1" t="s">
        <v>86</v>
      </c>
      <c r="U12" s="1" t="s">
        <v>87</v>
      </c>
      <c r="V12" s="1" t="s">
        <v>45</v>
      </c>
      <c r="W12" s="1" t="s">
        <v>38</v>
      </c>
      <c r="X12" t="s">
        <v>38</v>
      </c>
      <c r="Y12" t="s">
        <v>38</v>
      </c>
      <c r="Z12" t="s">
        <v>88</v>
      </c>
    </row>
    <row r="13" spans="1:26" x14ac:dyDescent="0.25">
      <c r="A13" s="1" t="s">
        <v>89</v>
      </c>
      <c r="B13" s="1" t="s">
        <v>90</v>
      </c>
      <c r="C13" s="1" t="s">
        <v>48</v>
      </c>
      <c r="D13" s="1" t="s">
        <v>48</v>
      </c>
      <c r="E13" s="1" t="s">
        <v>66</v>
      </c>
      <c r="F13" s="1" t="s">
        <v>66</v>
      </c>
      <c r="G13" s="1" t="s">
        <v>78</v>
      </c>
      <c r="H13" s="1" t="s">
        <v>91</v>
      </c>
      <c r="I13" s="1" t="s">
        <v>36</v>
      </c>
      <c r="J13" s="1" t="s">
        <v>70</v>
      </c>
      <c r="K13" s="1" t="s">
        <v>38</v>
      </c>
      <c r="L13" s="1" t="s">
        <v>92</v>
      </c>
      <c r="M13" s="2" t="s">
        <v>40</v>
      </c>
      <c r="N13" s="2"/>
      <c r="O13" s="3">
        <v>1</v>
      </c>
      <c r="P13" s="1" t="s">
        <v>93</v>
      </c>
      <c r="Q13" s="1">
        <v>5750</v>
      </c>
      <c r="R13" s="1">
        <v>5750</v>
      </c>
      <c r="S13" s="1" t="s">
        <v>94</v>
      </c>
      <c r="T13" s="1" t="s">
        <v>95</v>
      </c>
      <c r="U13" s="1" t="s">
        <v>96</v>
      </c>
      <c r="V13" s="1" t="s">
        <v>45</v>
      </c>
      <c r="W13" s="1" t="s">
        <v>38</v>
      </c>
      <c r="X13" t="s">
        <v>38</v>
      </c>
      <c r="Y13" t="s">
        <v>38</v>
      </c>
      <c r="Z13" t="s">
        <v>97</v>
      </c>
    </row>
    <row r="14" spans="1:26" x14ac:dyDescent="0.25">
      <c r="A14" s="1" t="s">
        <v>98</v>
      </c>
      <c r="B14" s="1" t="s">
        <v>90</v>
      </c>
      <c r="C14" s="1" t="s">
        <v>48</v>
      </c>
      <c r="D14" s="1" t="s">
        <v>48</v>
      </c>
      <c r="E14" s="1" t="s">
        <v>66</v>
      </c>
      <c r="F14" s="1" t="s">
        <v>66</v>
      </c>
      <c r="G14" s="1" t="s">
        <v>78</v>
      </c>
      <c r="H14" s="1" t="s">
        <v>91</v>
      </c>
      <c r="I14" s="1" t="s">
        <v>36</v>
      </c>
      <c r="J14" s="1" t="s">
        <v>70</v>
      </c>
      <c r="K14" s="1" t="s">
        <v>38</v>
      </c>
      <c r="L14" s="1" t="s">
        <v>99</v>
      </c>
      <c r="M14" s="2" t="s">
        <v>100</v>
      </c>
      <c r="N14" s="2"/>
      <c r="O14" s="3">
        <v>1</v>
      </c>
      <c r="P14" s="1" t="s">
        <v>93</v>
      </c>
      <c r="Q14" s="1">
        <v>12</v>
      </c>
      <c r="R14" s="1">
        <v>12</v>
      </c>
      <c r="S14" s="1" t="s">
        <v>94</v>
      </c>
      <c r="T14" s="1" t="s">
        <v>95</v>
      </c>
      <c r="U14" s="1" t="s">
        <v>96</v>
      </c>
      <c r="V14" s="1" t="s">
        <v>45</v>
      </c>
      <c r="W14" s="1" t="s">
        <v>38</v>
      </c>
      <c r="X14" t="s">
        <v>38</v>
      </c>
      <c r="Y14" t="s">
        <v>38</v>
      </c>
      <c r="Z14" t="s">
        <v>101</v>
      </c>
    </row>
    <row r="15" spans="1:26" x14ac:dyDescent="0.25">
      <c r="A15" s="1" t="s">
        <v>102</v>
      </c>
      <c r="B15" s="1" t="s">
        <v>103</v>
      </c>
      <c r="C15" s="1" t="s">
        <v>48</v>
      </c>
      <c r="D15" s="1" t="s">
        <v>48</v>
      </c>
      <c r="E15" s="1" t="s">
        <v>48</v>
      </c>
      <c r="F15" s="1" t="s">
        <v>66</v>
      </c>
      <c r="G15" s="1" t="s">
        <v>78</v>
      </c>
      <c r="H15" s="1" t="s">
        <v>104</v>
      </c>
      <c r="I15" s="1" t="s">
        <v>105</v>
      </c>
      <c r="J15" s="1" t="s">
        <v>70</v>
      </c>
      <c r="K15" s="1" t="s">
        <v>38</v>
      </c>
      <c r="L15" s="1" t="s">
        <v>106</v>
      </c>
      <c r="M15" s="2" t="s">
        <v>40</v>
      </c>
      <c r="N15" s="2"/>
      <c r="O15" s="3">
        <v>1</v>
      </c>
      <c r="P15" s="1" t="s">
        <v>107</v>
      </c>
      <c r="Q15" s="1">
        <v>800</v>
      </c>
      <c r="R15" s="1">
        <v>800</v>
      </c>
      <c r="S15" s="1"/>
      <c r="T15" s="1" t="s">
        <v>108</v>
      </c>
      <c r="U15" s="1" t="s">
        <v>109</v>
      </c>
      <c r="V15" s="1" t="s">
        <v>45</v>
      </c>
      <c r="W15" s="1" t="s">
        <v>38</v>
      </c>
      <c r="X15" t="s">
        <v>38</v>
      </c>
      <c r="Y15" t="s">
        <v>38</v>
      </c>
      <c r="Z15" t="s">
        <v>110</v>
      </c>
    </row>
    <row r="16" spans="1:26" x14ac:dyDescent="0.25">
      <c r="A16" s="1" t="s">
        <v>111</v>
      </c>
      <c r="B16" s="1" t="s">
        <v>112</v>
      </c>
      <c r="C16" s="1" t="s">
        <v>48</v>
      </c>
      <c r="D16" s="1" t="s">
        <v>48</v>
      </c>
      <c r="E16" s="1" t="s">
        <v>48</v>
      </c>
      <c r="F16" s="1" t="s">
        <v>66</v>
      </c>
      <c r="G16" s="1" t="s">
        <v>78</v>
      </c>
      <c r="H16" s="1" t="s">
        <v>104</v>
      </c>
      <c r="I16" s="1" t="s">
        <v>105</v>
      </c>
      <c r="J16" s="1" t="s">
        <v>70</v>
      </c>
      <c r="K16" s="1" t="s">
        <v>38</v>
      </c>
      <c r="L16" s="1" t="s">
        <v>113</v>
      </c>
      <c r="M16" s="2" t="s">
        <v>114</v>
      </c>
      <c r="N16" s="2"/>
      <c r="O16" s="3">
        <v>20</v>
      </c>
      <c r="P16" s="1" t="s">
        <v>93</v>
      </c>
      <c r="Q16" s="1">
        <v>180</v>
      </c>
      <c r="R16" s="1">
        <v>3600</v>
      </c>
      <c r="S16" s="1"/>
      <c r="T16" s="1" t="s">
        <v>115</v>
      </c>
      <c r="U16" s="1" t="s">
        <v>116</v>
      </c>
      <c r="V16" s="1" t="s">
        <v>45</v>
      </c>
      <c r="W16" s="1" t="s">
        <v>38</v>
      </c>
      <c r="X16" t="s">
        <v>38</v>
      </c>
      <c r="Y16" t="s">
        <v>38</v>
      </c>
      <c r="Z16" t="s">
        <v>114</v>
      </c>
    </row>
    <row r="17" spans="1:26" x14ac:dyDescent="0.25">
      <c r="A17" s="1" t="s">
        <v>117</v>
      </c>
      <c r="B17" s="1" t="s">
        <v>118</v>
      </c>
      <c r="C17" s="1" t="s">
        <v>33</v>
      </c>
      <c r="D17" s="1" t="s">
        <v>48</v>
      </c>
      <c r="E17" s="1" t="s">
        <v>48</v>
      </c>
      <c r="F17" s="1" t="s">
        <v>66</v>
      </c>
      <c r="G17" s="1" t="s">
        <v>78</v>
      </c>
      <c r="H17" s="1" t="s">
        <v>91</v>
      </c>
      <c r="I17" s="1" t="s">
        <v>36</v>
      </c>
      <c r="J17" s="1" t="s">
        <v>70</v>
      </c>
      <c r="K17" s="1" t="s">
        <v>38</v>
      </c>
      <c r="L17" s="1" t="s">
        <v>119</v>
      </c>
      <c r="M17" s="2" t="s">
        <v>40</v>
      </c>
      <c r="N17" s="2"/>
      <c r="O17" s="3">
        <v>4</v>
      </c>
      <c r="P17" s="1" t="s">
        <v>93</v>
      </c>
      <c r="Q17" s="1">
        <v>210</v>
      </c>
      <c r="R17" s="1">
        <v>840</v>
      </c>
      <c r="S17" s="1" t="s">
        <v>120</v>
      </c>
      <c r="T17" s="1" t="s">
        <v>121</v>
      </c>
      <c r="U17" s="1" t="s">
        <v>122</v>
      </c>
      <c r="V17" s="1" t="s">
        <v>45</v>
      </c>
      <c r="W17" s="1" t="s">
        <v>38</v>
      </c>
      <c r="X17" t="s">
        <v>38</v>
      </c>
      <c r="Y17" t="s">
        <v>38</v>
      </c>
      <c r="Z17" t="s">
        <v>123</v>
      </c>
    </row>
    <row r="18" spans="1:26" x14ac:dyDescent="0.25">
      <c r="A18" s="1" t="s">
        <v>124</v>
      </c>
      <c r="B18" s="1" t="s">
        <v>125</v>
      </c>
      <c r="C18" s="1" t="s">
        <v>33</v>
      </c>
      <c r="D18" s="1" t="s">
        <v>48</v>
      </c>
      <c r="E18" s="1" t="s">
        <v>66</v>
      </c>
      <c r="F18" s="1" t="s">
        <v>66</v>
      </c>
      <c r="G18" s="1" t="s">
        <v>78</v>
      </c>
      <c r="H18" s="1" t="s">
        <v>91</v>
      </c>
      <c r="I18" s="1" t="s">
        <v>36</v>
      </c>
      <c r="J18" s="1" t="s">
        <v>70</v>
      </c>
      <c r="K18" s="1" t="s">
        <v>38</v>
      </c>
      <c r="L18" s="1" t="s">
        <v>126</v>
      </c>
      <c r="M18" s="2" t="s">
        <v>127</v>
      </c>
      <c r="N18" s="2"/>
      <c r="O18" s="3">
        <v>8</v>
      </c>
      <c r="P18" s="1" t="s">
        <v>93</v>
      </c>
      <c r="Q18" s="1">
        <v>620</v>
      </c>
      <c r="R18" s="1">
        <v>4960</v>
      </c>
      <c r="S18" s="1" t="s">
        <v>128</v>
      </c>
      <c r="T18" s="1" t="s">
        <v>129</v>
      </c>
      <c r="U18" s="1" t="s">
        <v>130</v>
      </c>
      <c r="V18" s="1" t="s">
        <v>45</v>
      </c>
      <c r="W18" s="1" t="s">
        <v>38</v>
      </c>
      <c r="X18" t="s">
        <v>38</v>
      </c>
      <c r="Y18" t="s">
        <v>38</v>
      </c>
      <c r="Z18" t="s">
        <v>131</v>
      </c>
    </row>
    <row r="19" spans="1:26" x14ac:dyDescent="0.25">
      <c r="A19" s="1" t="s">
        <v>132</v>
      </c>
      <c r="B19" s="1" t="s">
        <v>125</v>
      </c>
      <c r="C19" s="1" t="s">
        <v>33</v>
      </c>
      <c r="D19" s="1" t="s">
        <v>48</v>
      </c>
      <c r="E19" s="1" t="s">
        <v>66</v>
      </c>
      <c r="F19" s="1" t="s">
        <v>66</v>
      </c>
      <c r="G19" s="1" t="s">
        <v>78</v>
      </c>
      <c r="H19" s="1" t="s">
        <v>91</v>
      </c>
      <c r="I19" s="1" t="s">
        <v>36</v>
      </c>
      <c r="J19" s="1" t="s">
        <v>70</v>
      </c>
      <c r="K19" s="1" t="s">
        <v>38</v>
      </c>
      <c r="L19" s="1" t="s">
        <v>133</v>
      </c>
      <c r="M19" s="2" t="s">
        <v>134</v>
      </c>
      <c r="N19" s="2"/>
      <c r="O19" s="3">
        <v>300</v>
      </c>
      <c r="P19" s="1" t="s">
        <v>93</v>
      </c>
      <c r="Q19" s="1">
        <v>2</v>
      </c>
      <c r="R19" s="1">
        <v>600</v>
      </c>
      <c r="S19" s="1" t="s">
        <v>128</v>
      </c>
      <c r="T19" s="1" t="s">
        <v>129</v>
      </c>
      <c r="U19" s="1" t="s">
        <v>130</v>
      </c>
      <c r="V19" s="1" t="s">
        <v>45</v>
      </c>
      <c r="W19" s="1" t="s">
        <v>38</v>
      </c>
      <c r="X19" t="s">
        <v>38</v>
      </c>
      <c r="Y19" t="s">
        <v>38</v>
      </c>
      <c r="Z19" t="s">
        <v>134</v>
      </c>
    </row>
    <row r="20" spans="1:26" x14ac:dyDescent="0.25">
      <c r="A20" s="1" t="s">
        <v>135</v>
      </c>
      <c r="B20" s="1" t="s">
        <v>125</v>
      </c>
      <c r="C20" s="1" t="s">
        <v>33</v>
      </c>
      <c r="D20" s="1" t="s">
        <v>48</v>
      </c>
      <c r="E20" s="1" t="s">
        <v>66</v>
      </c>
      <c r="F20" s="1" t="s">
        <v>66</v>
      </c>
      <c r="G20" s="1" t="s">
        <v>78</v>
      </c>
      <c r="H20" s="1" t="s">
        <v>91</v>
      </c>
      <c r="I20" s="1" t="s">
        <v>36</v>
      </c>
      <c r="J20" s="1" t="s">
        <v>70</v>
      </c>
      <c r="K20" s="1" t="s">
        <v>38</v>
      </c>
      <c r="L20" s="1" t="s">
        <v>126</v>
      </c>
      <c r="M20" s="2" t="s">
        <v>136</v>
      </c>
      <c r="N20" s="2"/>
      <c r="O20" s="3">
        <v>8</v>
      </c>
      <c r="P20" s="1" t="s">
        <v>93</v>
      </c>
      <c r="Q20" s="1">
        <v>700</v>
      </c>
      <c r="R20" s="1">
        <v>5600</v>
      </c>
      <c r="S20" s="1" t="s">
        <v>128</v>
      </c>
      <c r="T20" s="1" t="s">
        <v>129</v>
      </c>
      <c r="U20" s="1" t="s">
        <v>130</v>
      </c>
      <c r="V20" s="1" t="s">
        <v>45</v>
      </c>
      <c r="W20" s="1" t="s">
        <v>38</v>
      </c>
      <c r="X20" t="s">
        <v>38</v>
      </c>
      <c r="Y20" t="s">
        <v>38</v>
      </c>
      <c r="Z20" t="s">
        <v>137</v>
      </c>
    </row>
    <row r="21" spans="1:26" x14ac:dyDescent="0.25">
      <c r="A21" s="1" t="s">
        <v>138</v>
      </c>
      <c r="B21" s="1" t="s">
        <v>125</v>
      </c>
      <c r="C21" s="1" t="s">
        <v>33</v>
      </c>
      <c r="D21" s="1" t="s">
        <v>48</v>
      </c>
      <c r="E21" s="1" t="s">
        <v>66</v>
      </c>
      <c r="F21" s="1" t="s">
        <v>66</v>
      </c>
      <c r="G21" s="1" t="s">
        <v>78</v>
      </c>
      <c r="H21" s="1" t="s">
        <v>91</v>
      </c>
      <c r="I21" s="1" t="s">
        <v>36</v>
      </c>
      <c r="J21" s="1" t="s">
        <v>70</v>
      </c>
      <c r="K21" s="1" t="s">
        <v>38</v>
      </c>
      <c r="L21" s="1" t="s">
        <v>99</v>
      </c>
      <c r="M21" s="2" t="s">
        <v>100</v>
      </c>
      <c r="N21" s="2"/>
      <c r="O21" s="3">
        <v>40</v>
      </c>
      <c r="P21" s="1" t="s">
        <v>93</v>
      </c>
      <c r="Q21" s="1">
        <v>3</v>
      </c>
      <c r="R21" s="1">
        <v>120</v>
      </c>
      <c r="S21" s="1" t="s">
        <v>128</v>
      </c>
      <c r="T21" s="1" t="s">
        <v>129</v>
      </c>
      <c r="U21" s="1" t="s">
        <v>130</v>
      </c>
      <c r="V21" s="1" t="s">
        <v>45</v>
      </c>
      <c r="W21" s="1" t="s">
        <v>38</v>
      </c>
      <c r="X21" t="s">
        <v>38</v>
      </c>
      <c r="Y21" t="s">
        <v>38</v>
      </c>
      <c r="Z21" t="s">
        <v>139</v>
      </c>
    </row>
    <row r="22" spans="1:26" x14ac:dyDescent="0.25">
      <c r="A22" s="1" t="s">
        <v>140</v>
      </c>
      <c r="B22" s="1" t="s">
        <v>141</v>
      </c>
      <c r="C22" s="1" t="s">
        <v>33</v>
      </c>
      <c r="D22" s="1" t="s">
        <v>48</v>
      </c>
      <c r="E22" s="1" t="s">
        <v>66</v>
      </c>
      <c r="F22" s="1" t="s">
        <v>66</v>
      </c>
      <c r="G22" s="1" t="s">
        <v>78</v>
      </c>
      <c r="H22" s="1" t="s">
        <v>91</v>
      </c>
      <c r="I22" s="1" t="s">
        <v>36</v>
      </c>
      <c r="J22" s="1" t="s">
        <v>70</v>
      </c>
      <c r="K22" s="1" t="s">
        <v>38</v>
      </c>
      <c r="L22" s="1" t="s">
        <v>142</v>
      </c>
      <c r="M22" s="2" t="s">
        <v>40</v>
      </c>
      <c r="N22" s="2"/>
      <c r="O22" s="3">
        <v>1</v>
      </c>
      <c r="P22" s="1" t="s">
        <v>143</v>
      </c>
      <c r="Q22" s="1">
        <v>720</v>
      </c>
      <c r="R22" s="1">
        <v>720</v>
      </c>
      <c r="S22" s="1" t="s">
        <v>144</v>
      </c>
      <c r="T22" s="1" t="s">
        <v>129</v>
      </c>
      <c r="U22" s="1" t="s">
        <v>145</v>
      </c>
      <c r="V22" s="1" t="s">
        <v>45</v>
      </c>
      <c r="W22" s="1" t="s">
        <v>38</v>
      </c>
      <c r="X22" t="s">
        <v>38</v>
      </c>
      <c r="Y22" t="s">
        <v>38</v>
      </c>
      <c r="Z22" t="s">
        <v>146</v>
      </c>
    </row>
    <row r="23" spans="1:26" x14ac:dyDescent="0.25">
      <c r="A23" s="1" t="s">
        <v>147</v>
      </c>
      <c r="B23" s="1" t="s">
        <v>141</v>
      </c>
      <c r="C23" s="1" t="s">
        <v>33</v>
      </c>
      <c r="D23" s="1" t="s">
        <v>48</v>
      </c>
      <c r="E23" s="1" t="s">
        <v>66</v>
      </c>
      <c r="F23" s="1" t="s">
        <v>66</v>
      </c>
      <c r="G23" s="1" t="s">
        <v>78</v>
      </c>
      <c r="H23" s="1" t="s">
        <v>91</v>
      </c>
      <c r="I23" s="1" t="s">
        <v>36</v>
      </c>
      <c r="J23" s="1" t="s">
        <v>70</v>
      </c>
      <c r="K23" s="1" t="s">
        <v>38</v>
      </c>
      <c r="L23" s="1" t="s">
        <v>113</v>
      </c>
      <c r="M23" s="2" t="s">
        <v>148</v>
      </c>
      <c r="N23" s="2"/>
      <c r="O23" s="3">
        <v>2</v>
      </c>
      <c r="P23" s="1" t="s">
        <v>93</v>
      </c>
      <c r="Q23" s="1">
        <v>180</v>
      </c>
      <c r="R23" s="1">
        <v>360</v>
      </c>
      <c r="S23" s="1" t="s">
        <v>144</v>
      </c>
      <c r="T23" s="1" t="s">
        <v>129</v>
      </c>
      <c r="U23" s="1" t="s">
        <v>145</v>
      </c>
      <c r="V23" s="1" t="s">
        <v>45</v>
      </c>
      <c r="W23" s="1" t="s">
        <v>38</v>
      </c>
      <c r="X23" t="s">
        <v>38</v>
      </c>
      <c r="Y23" t="s">
        <v>38</v>
      </c>
      <c r="Z23" t="s">
        <v>114</v>
      </c>
    </row>
    <row r="24" spans="1:26" x14ac:dyDescent="0.25">
      <c r="A24" s="1" t="s">
        <v>149</v>
      </c>
      <c r="B24" s="1" t="s">
        <v>141</v>
      </c>
      <c r="C24" s="1" t="s">
        <v>33</v>
      </c>
      <c r="D24" s="1" t="s">
        <v>48</v>
      </c>
      <c r="E24" s="1" t="s">
        <v>66</v>
      </c>
      <c r="F24" s="1" t="s">
        <v>66</v>
      </c>
      <c r="G24" s="1" t="s">
        <v>78</v>
      </c>
      <c r="H24" s="1" t="s">
        <v>91</v>
      </c>
      <c r="I24" s="1" t="s">
        <v>36</v>
      </c>
      <c r="J24" s="1" t="s">
        <v>70</v>
      </c>
      <c r="K24" s="1" t="s">
        <v>38</v>
      </c>
      <c r="L24" s="1" t="s">
        <v>119</v>
      </c>
      <c r="M24" s="2" t="s">
        <v>150</v>
      </c>
      <c r="N24" s="2"/>
      <c r="O24" s="3">
        <v>4</v>
      </c>
      <c r="P24" s="1" t="s">
        <v>93</v>
      </c>
      <c r="Q24" s="1">
        <v>210</v>
      </c>
      <c r="R24" s="1">
        <v>840</v>
      </c>
      <c r="S24" s="1" t="s">
        <v>144</v>
      </c>
      <c r="T24" s="1" t="s">
        <v>129</v>
      </c>
      <c r="U24" s="1" t="s">
        <v>145</v>
      </c>
      <c r="V24" s="1" t="s">
        <v>45</v>
      </c>
      <c r="W24" s="1" t="s">
        <v>38</v>
      </c>
      <c r="X24" t="s">
        <v>38</v>
      </c>
      <c r="Y24" t="s">
        <v>38</v>
      </c>
      <c r="Z24" t="s">
        <v>150</v>
      </c>
    </row>
    <row r="25" spans="1:26" x14ac:dyDescent="0.25">
      <c r="A25" s="1" t="s">
        <v>151</v>
      </c>
      <c r="B25" s="1" t="s">
        <v>141</v>
      </c>
      <c r="C25" s="1" t="s">
        <v>33</v>
      </c>
      <c r="D25" s="1" t="s">
        <v>48</v>
      </c>
      <c r="E25" s="1" t="s">
        <v>66</v>
      </c>
      <c r="F25" s="1" t="s">
        <v>66</v>
      </c>
      <c r="G25" s="1" t="s">
        <v>78</v>
      </c>
      <c r="H25" s="1" t="s">
        <v>91</v>
      </c>
      <c r="I25" s="1" t="s">
        <v>36</v>
      </c>
      <c r="J25" s="1" t="s">
        <v>70</v>
      </c>
      <c r="K25" s="1" t="s">
        <v>38</v>
      </c>
      <c r="L25" s="1" t="s">
        <v>152</v>
      </c>
      <c r="M25" s="2" t="s">
        <v>40</v>
      </c>
      <c r="N25" s="2"/>
      <c r="O25" s="3">
        <v>1</v>
      </c>
      <c r="P25" s="1" t="s">
        <v>93</v>
      </c>
      <c r="Q25" s="1">
        <v>8250</v>
      </c>
      <c r="R25" s="1">
        <v>8250</v>
      </c>
      <c r="S25" s="1" t="s">
        <v>144</v>
      </c>
      <c r="T25" s="1" t="s">
        <v>129</v>
      </c>
      <c r="U25" s="1" t="s">
        <v>145</v>
      </c>
      <c r="V25" s="1" t="s">
        <v>45</v>
      </c>
      <c r="W25" s="1" t="s">
        <v>38</v>
      </c>
      <c r="X25" t="s">
        <v>38</v>
      </c>
      <c r="Y25" t="s">
        <v>38</v>
      </c>
      <c r="Z25" t="s">
        <v>153</v>
      </c>
    </row>
    <row r="26" spans="1:26" x14ac:dyDescent="0.25">
      <c r="A26" s="1" t="s">
        <v>154</v>
      </c>
      <c r="B26" s="1" t="s">
        <v>155</v>
      </c>
      <c r="C26" s="1" t="s">
        <v>33</v>
      </c>
      <c r="D26" s="1" t="s">
        <v>48</v>
      </c>
      <c r="E26" s="1" t="s">
        <v>66</v>
      </c>
      <c r="F26" s="1" t="s">
        <v>77</v>
      </c>
      <c r="G26" s="1" t="s">
        <v>78</v>
      </c>
      <c r="H26" s="1" t="s">
        <v>91</v>
      </c>
      <c r="I26" s="1" t="s">
        <v>36</v>
      </c>
      <c r="J26" s="1" t="s">
        <v>156</v>
      </c>
      <c r="K26" s="1" t="s">
        <v>38</v>
      </c>
      <c r="L26" s="1" t="s">
        <v>157</v>
      </c>
      <c r="M26" s="2" t="s">
        <v>158</v>
      </c>
      <c r="N26" s="2"/>
      <c r="O26" s="3">
        <v>1</v>
      </c>
      <c r="P26" s="1" t="s">
        <v>85</v>
      </c>
      <c r="Q26" s="1">
        <v>8500</v>
      </c>
      <c r="R26" s="1">
        <v>8500</v>
      </c>
      <c r="S26" s="1" t="s">
        <v>159</v>
      </c>
      <c r="T26" s="1" t="s">
        <v>160</v>
      </c>
      <c r="U26" s="1" t="s">
        <v>116</v>
      </c>
      <c r="V26" s="1" t="s">
        <v>45</v>
      </c>
      <c r="W26" s="1" t="s">
        <v>38</v>
      </c>
      <c r="X26" t="s">
        <v>38</v>
      </c>
      <c r="Y26" t="s">
        <v>38</v>
      </c>
      <c r="Z26" t="s">
        <v>161</v>
      </c>
    </row>
    <row r="27" spans="1:26" x14ac:dyDescent="0.25">
      <c r="A27" s="1" t="s">
        <v>162</v>
      </c>
      <c r="B27" s="1" t="s">
        <v>163</v>
      </c>
      <c r="C27" s="1" t="s">
        <v>33</v>
      </c>
      <c r="D27" s="1" t="s">
        <v>48</v>
      </c>
      <c r="E27" s="1" t="s">
        <v>48</v>
      </c>
      <c r="F27" s="1" t="s">
        <v>66</v>
      </c>
      <c r="G27" s="1" t="s">
        <v>78</v>
      </c>
      <c r="H27" s="1" t="s">
        <v>91</v>
      </c>
      <c r="I27" s="1" t="s">
        <v>36</v>
      </c>
      <c r="J27" s="1" t="s">
        <v>164</v>
      </c>
      <c r="K27" s="1" t="s">
        <v>38</v>
      </c>
      <c r="L27" s="1" t="s">
        <v>165</v>
      </c>
      <c r="M27" s="2" t="s">
        <v>166</v>
      </c>
      <c r="N27" s="2"/>
      <c r="O27" s="3">
        <v>2</v>
      </c>
      <c r="P27" s="1" t="s">
        <v>93</v>
      </c>
      <c r="Q27" s="1">
        <v>550</v>
      </c>
      <c r="R27" s="1">
        <v>1100</v>
      </c>
      <c r="S27" s="1" t="s">
        <v>167</v>
      </c>
      <c r="T27" s="1" t="s">
        <v>168</v>
      </c>
      <c r="U27" s="1" t="s">
        <v>116</v>
      </c>
      <c r="V27" s="1" t="s">
        <v>45</v>
      </c>
      <c r="W27" s="1" t="s">
        <v>38</v>
      </c>
      <c r="X27" t="s">
        <v>38</v>
      </c>
      <c r="Y27" t="s">
        <v>38</v>
      </c>
      <c r="Z27" t="s">
        <v>169</v>
      </c>
    </row>
    <row r="28" spans="1:26" x14ac:dyDescent="0.25">
      <c r="A28" s="1" t="s">
        <v>170</v>
      </c>
      <c r="B28" s="1" t="s">
        <v>163</v>
      </c>
      <c r="C28" s="1" t="s">
        <v>33</v>
      </c>
      <c r="D28" s="1" t="s">
        <v>48</v>
      </c>
      <c r="E28" s="1" t="s">
        <v>48</v>
      </c>
      <c r="F28" s="1" t="s">
        <v>66</v>
      </c>
      <c r="G28" s="1" t="s">
        <v>78</v>
      </c>
      <c r="H28" s="1" t="s">
        <v>91</v>
      </c>
      <c r="I28" s="1" t="s">
        <v>36</v>
      </c>
      <c r="J28" s="1" t="s">
        <v>164</v>
      </c>
      <c r="K28" s="1" t="s">
        <v>38</v>
      </c>
      <c r="L28" s="1" t="s">
        <v>165</v>
      </c>
      <c r="M28" s="2" t="s">
        <v>171</v>
      </c>
      <c r="N28" s="2"/>
      <c r="O28" s="3">
        <v>2</v>
      </c>
      <c r="P28" s="1" t="s">
        <v>93</v>
      </c>
      <c r="Q28" s="1">
        <v>650</v>
      </c>
      <c r="R28" s="1">
        <v>1300</v>
      </c>
      <c r="S28" s="1" t="s">
        <v>167</v>
      </c>
      <c r="T28" s="1" t="s">
        <v>168</v>
      </c>
      <c r="U28" s="1" t="s">
        <v>116</v>
      </c>
      <c r="V28" s="1" t="s">
        <v>45</v>
      </c>
      <c r="W28" s="1" t="s">
        <v>38</v>
      </c>
      <c r="X28" t="s">
        <v>38</v>
      </c>
      <c r="Y28" t="s">
        <v>38</v>
      </c>
      <c r="Z28" t="s">
        <v>172</v>
      </c>
    </row>
    <row r="29" spans="1:26" x14ac:dyDescent="0.25">
      <c r="A29" s="1" t="s">
        <v>173</v>
      </c>
      <c r="B29" s="1" t="s">
        <v>163</v>
      </c>
      <c r="C29" s="1" t="s">
        <v>33</v>
      </c>
      <c r="D29" s="1" t="s">
        <v>48</v>
      </c>
      <c r="E29" s="1" t="s">
        <v>48</v>
      </c>
      <c r="F29" s="1" t="s">
        <v>66</v>
      </c>
      <c r="G29" s="1" t="s">
        <v>78</v>
      </c>
      <c r="H29" s="1" t="s">
        <v>91</v>
      </c>
      <c r="I29" s="1" t="s">
        <v>36</v>
      </c>
      <c r="J29" s="1" t="s">
        <v>164</v>
      </c>
      <c r="K29" s="1" t="s">
        <v>38</v>
      </c>
      <c r="L29" s="1" t="s">
        <v>174</v>
      </c>
      <c r="M29" s="2" t="s">
        <v>175</v>
      </c>
      <c r="N29" s="2"/>
      <c r="O29" s="3">
        <v>2</v>
      </c>
      <c r="P29" s="1" t="s">
        <v>93</v>
      </c>
      <c r="Q29" s="1">
        <v>900</v>
      </c>
      <c r="R29" s="1">
        <v>1800</v>
      </c>
      <c r="S29" s="1" t="s">
        <v>167</v>
      </c>
      <c r="T29" s="1" t="s">
        <v>168</v>
      </c>
      <c r="U29" s="1" t="s">
        <v>116</v>
      </c>
      <c r="V29" s="1" t="s">
        <v>45</v>
      </c>
      <c r="W29" s="1" t="s">
        <v>38</v>
      </c>
      <c r="X29" t="s">
        <v>38</v>
      </c>
      <c r="Y29" t="s">
        <v>38</v>
      </c>
      <c r="Z29" t="s">
        <v>175</v>
      </c>
    </row>
    <row r="30" spans="1:26" x14ac:dyDescent="0.25">
      <c r="A30" s="1" t="s">
        <v>176</v>
      </c>
      <c r="B30" s="1" t="s">
        <v>163</v>
      </c>
      <c r="C30" s="1" t="s">
        <v>33</v>
      </c>
      <c r="D30" s="1" t="s">
        <v>48</v>
      </c>
      <c r="E30" s="1" t="s">
        <v>48</v>
      </c>
      <c r="F30" s="1" t="s">
        <v>66</v>
      </c>
      <c r="G30" s="1" t="s">
        <v>78</v>
      </c>
      <c r="H30" s="1" t="s">
        <v>91</v>
      </c>
      <c r="I30" s="1" t="s">
        <v>36</v>
      </c>
      <c r="J30" s="1" t="s">
        <v>164</v>
      </c>
      <c r="K30" s="1" t="s">
        <v>38</v>
      </c>
      <c r="L30" s="1" t="s">
        <v>165</v>
      </c>
      <c r="M30" s="2" t="s">
        <v>177</v>
      </c>
      <c r="N30" s="2"/>
      <c r="O30" s="3">
        <v>4</v>
      </c>
      <c r="P30" s="1" t="s">
        <v>93</v>
      </c>
      <c r="Q30" s="1">
        <v>550</v>
      </c>
      <c r="R30" s="1">
        <v>2200</v>
      </c>
      <c r="S30" s="1" t="s">
        <v>167</v>
      </c>
      <c r="T30" s="1" t="s">
        <v>168</v>
      </c>
      <c r="U30" s="1" t="s">
        <v>116</v>
      </c>
      <c r="V30" s="1" t="s">
        <v>45</v>
      </c>
      <c r="W30" s="1" t="s">
        <v>38</v>
      </c>
      <c r="X30" t="s">
        <v>38</v>
      </c>
      <c r="Y30" t="s">
        <v>38</v>
      </c>
      <c r="Z30" t="s">
        <v>177</v>
      </c>
    </row>
    <row r="31" spans="1:26" x14ac:dyDescent="0.25">
      <c r="A31" s="1" t="s">
        <v>178</v>
      </c>
      <c r="B31" s="1" t="s">
        <v>163</v>
      </c>
      <c r="C31" s="1" t="s">
        <v>33</v>
      </c>
      <c r="D31" s="1" t="s">
        <v>48</v>
      </c>
      <c r="E31" s="1" t="s">
        <v>48</v>
      </c>
      <c r="F31" s="1" t="s">
        <v>66</v>
      </c>
      <c r="G31" s="1" t="s">
        <v>78</v>
      </c>
      <c r="H31" s="1" t="s">
        <v>91</v>
      </c>
      <c r="I31" s="1" t="s">
        <v>36</v>
      </c>
      <c r="J31" s="1" t="s">
        <v>164</v>
      </c>
      <c r="K31" s="1" t="s">
        <v>38</v>
      </c>
      <c r="L31" s="1" t="s">
        <v>179</v>
      </c>
      <c r="M31" s="2" t="s">
        <v>180</v>
      </c>
      <c r="N31" s="2" t="s">
        <v>38</v>
      </c>
      <c r="O31" s="3">
        <v>2</v>
      </c>
      <c r="P31" s="1" t="s">
        <v>93</v>
      </c>
      <c r="Q31" s="1">
        <v>250</v>
      </c>
      <c r="R31" s="1">
        <v>500</v>
      </c>
      <c r="S31" s="1" t="s">
        <v>167</v>
      </c>
      <c r="T31" s="1" t="s">
        <v>168</v>
      </c>
      <c r="U31" s="1" t="s">
        <v>116</v>
      </c>
      <c r="V31" s="1" t="s">
        <v>45</v>
      </c>
      <c r="W31" s="1" t="s">
        <v>38</v>
      </c>
      <c r="X31" t="s">
        <v>38</v>
      </c>
      <c r="Y31" t="s">
        <v>38</v>
      </c>
      <c r="Z31" t="s">
        <v>181</v>
      </c>
    </row>
    <row r="32" spans="1:26" x14ac:dyDescent="0.25">
      <c r="A32" s="1" t="s">
        <v>182</v>
      </c>
      <c r="B32" s="1" t="s">
        <v>163</v>
      </c>
      <c r="C32" s="1" t="s">
        <v>33</v>
      </c>
      <c r="D32" s="1" t="s">
        <v>48</v>
      </c>
      <c r="E32" s="1" t="s">
        <v>48</v>
      </c>
      <c r="F32" s="1" t="s">
        <v>66</v>
      </c>
      <c r="G32" s="1" t="s">
        <v>78</v>
      </c>
      <c r="H32" s="1" t="s">
        <v>91</v>
      </c>
      <c r="I32" s="1" t="s">
        <v>36</v>
      </c>
      <c r="J32" s="1" t="s">
        <v>164</v>
      </c>
      <c r="K32" s="1" t="s">
        <v>38</v>
      </c>
      <c r="L32" s="1" t="s">
        <v>183</v>
      </c>
      <c r="M32" s="2" t="s">
        <v>184</v>
      </c>
      <c r="N32" s="2" t="s">
        <v>38</v>
      </c>
      <c r="O32" s="3">
        <v>2</v>
      </c>
      <c r="P32" s="1" t="s">
        <v>93</v>
      </c>
      <c r="Q32" s="1">
        <v>70</v>
      </c>
      <c r="R32" s="1">
        <v>140</v>
      </c>
      <c r="S32" s="1" t="s">
        <v>167</v>
      </c>
      <c r="T32" s="1" t="s">
        <v>168</v>
      </c>
      <c r="U32" s="1" t="s">
        <v>116</v>
      </c>
      <c r="V32" s="1" t="s">
        <v>45</v>
      </c>
      <c r="W32" s="1" t="s">
        <v>38</v>
      </c>
      <c r="X32" t="s">
        <v>38</v>
      </c>
      <c r="Y32" t="s">
        <v>38</v>
      </c>
      <c r="Z32" t="s">
        <v>185</v>
      </c>
    </row>
    <row r="33" spans="1:26" x14ac:dyDescent="0.25">
      <c r="A33" s="1" t="s">
        <v>186</v>
      </c>
      <c r="B33" s="1" t="s">
        <v>163</v>
      </c>
      <c r="C33" s="1" t="s">
        <v>33</v>
      </c>
      <c r="D33" s="1" t="s">
        <v>48</v>
      </c>
      <c r="E33" s="1" t="s">
        <v>48</v>
      </c>
      <c r="F33" s="1" t="s">
        <v>66</v>
      </c>
      <c r="G33" s="1" t="s">
        <v>78</v>
      </c>
      <c r="H33" s="1" t="s">
        <v>91</v>
      </c>
      <c r="I33" s="1" t="s">
        <v>36</v>
      </c>
      <c r="J33" s="1" t="s">
        <v>164</v>
      </c>
      <c r="K33" s="1" t="s">
        <v>38</v>
      </c>
      <c r="L33" s="1" t="s">
        <v>179</v>
      </c>
      <c r="M33" s="2" t="s">
        <v>187</v>
      </c>
      <c r="N33" s="2" t="s">
        <v>38</v>
      </c>
      <c r="O33" s="3">
        <v>2</v>
      </c>
      <c r="P33" s="1" t="s">
        <v>93</v>
      </c>
      <c r="Q33" s="1">
        <v>350</v>
      </c>
      <c r="R33" s="1">
        <v>700</v>
      </c>
      <c r="S33" s="1" t="s">
        <v>167</v>
      </c>
      <c r="T33" s="1" t="s">
        <v>168</v>
      </c>
      <c r="U33" s="1" t="s">
        <v>116</v>
      </c>
      <c r="V33" s="1" t="s">
        <v>45</v>
      </c>
      <c r="W33" s="1" t="s">
        <v>38</v>
      </c>
      <c r="X33" t="s">
        <v>38</v>
      </c>
      <c r="Y33" t="s">
        <v>38</v>
      </c>
      <c r="Z33" t="s">
        <v>187</v>
      </c>
    </row>
    <row r="34" spans="1:26" x14ac:dyDescent="0.25">
      <c r="A34" s="1" t="s">
        <v>188</v>
      </c>
      <c r="B34" s="1" t="s">
        <v>163</v>
      </c>
      <c r="C34" s="1" t="s">
        <v>33</v>
      </c>
      <c r="D34" s="1" t="s">
        <v>48</v>
      </c>
      <c r="E34" s="1" t="s">
        <v>48</v>
      </c>
      <c r="F34" s="1" t="s">
        <v>66</v>
      </c>
      <c r="G34" s="1" t="s">
        <v>78</v>
      </c>
      <c r="H34" s="1" t="s">
        <v>91</v>
      </c>
      <c r="I34" s="1" t="s">
        <v>36</v>
      </c>
      <c r="J34" s="1" t="s">
        <v>164</v>
      </c>
      <c r="K34" s="1" t="s">
        <v>38</v>
      </c>
      <c r="L34" s="1" t="s">
        <v>183</v>
      </c>
      <c r="M34" s="2" t="s">
        <v>184</v>
      </c>
      <c r="N34" s="2" t="s">
        <v>38</v>
      </c>
      <c r="O34" s="3">
        <v>2</v>
      </c>
      <c r="P34" s="1" t="s">
        <v>93</v>
      </c>
      <c r="Q34" s="1">
        <v>65</v>
      </c>
      <c r="R34" s="1">
        <v>130</v>
      </c>
      <c r="S34" s="1" t="s">
        <v>167</v>
      </c>
      <c r="T34" s="1" t="s">
        <v>168</v>
      </c>
      <c r="U34" s="1" t="s">
        <v>116</v>
      </c>
      <c r="V34" s="1" t="s">
        <v>45</v>
      </c>
      <c r="W34" s="1" t="s">
        <v>38</v>
      </c>
      <c r="X34" t="s">
        <v>38</v>
      </c>
      <c r="Y34" t="s">
        <v>38</v>
      </c>
      <c r="Z34" t="s">
        <v>189</v>
      </c>
    </row>
    <row r="35" spans="1:26" x14ac:dyDescent="0.25">
      <c r="A35" s="1" t="s">
        <v>190</v>
      </c>
      <c r="B35" s="1" t="s">
        <v>191</v>
      </c>
      <c r="C35" s="1" t="s">
        <v>33</v>
      </c>
      <c r="D35" s="1" t="s">
        <v>48</v>
      </c>
      <c r="E35" s="1" t="s">
        <v>48</v>
      </c>
      <c r="F35" s="1" t="s">
        <v>66</v>
      </c>
      <c r="G35" s="1" t="s">
        <v>78</v>
      </c>
      <c r="H35" s="1" t="s">
        <v>91</v>
      </c>
      <c r="I35" s="1" t="s">
        <v>36</v>
      </c>
      <c r="J35" s="1" t="s">
        <v>70</v>
      </c>
      <c r="K35" s="1" t="s">
        <v>38</v>
      </c>
      <c r="L35" s="1" t="s">
        <v>119</v>
      </c>
      <c r="M35" s="2" t="s">
        <v>40</v>
      </c>
      <c r="N35" s="2"/>
      <c r="O35" s="3">
        <v>2</v>
      </c>
      <c r="P35" s="1" t="s">
        <v>93</v>
      </c>
      <c r="Q35" s="1">
        <v>210</v>
      </c>
      <c r="R35" s="1">
        <v>420</v>
      </c>
      <c r="S35" s="1" t="s">
        <v>192</v>
      </c>
      <c r="T35" s="1" t="s">
        <v>129</v>
      </c>
      <c r="U35" s="1" t="s">
        <v>193</v>
      </c>
      <c r="V35" s="1" t="s">
        <v>45</v>
      </c>
      <c r="W35" s="1" t="s">
        <v>38</v>
      </c>
      <c r="X35" t="s">
        <v>38</v>
      </c>
      <c r="Y35" t="s">
        <v>38</v>
      </c>
    </row>
    <row r="36" spans="1:26" x14ac:dyDescent="0.25">
      <c r="A36" s="1" t="s">
        <v>194</v>
      </c>
      <c r="B36" s="1" t="s">
        <v>191</v>
      </c>
      <c r="C36" s="1" t="s">
        <v>33</v>
      </c>
      <c r="D36" s="1" t="s">
        <v>48</v>
      </c>
      <c r="E36" s="1" t="s">
        <v>48</v>
      </c>
      <c r="F36" s="1" t="s">
        <v>66</v>
      </c>
      <c r="G36" s="1" t="s">
        <v>78</v>
      </c>
      <c r="H36" s="1" t="s">
        <v>91</v>
      </c>
      <c r="I36" s="1" t="s">
        <v>36</v>
      </c>
      <c r="J36" s="1" t="s">
        <v>70</v>
      </c>
      <c r="K36" s="1" t="s">
        <v>38</v>
      </c>
      <c r="L36" s="1" t="s">
        <v>195</v>
      </c>
      <c r="M36" s="2" t="s">
        <v>40</v>
      </c>
      <c r="N36" s="2"/>
      <c r="O36" s="3">
        <v>1</v>
      </c>
      <c r="P36" s="1" t="s">
        <v>93</v>
      </c>
      <c r="Q36" s="1">
        <v>50</v>
      </c>
      <c r="R36" s="1">
        <v>50</v>
      </c>
      <c r="S36" s="1" t="s">
        <v>192</v>
      </c>
      <c r="T36" s="1" t="s">
        <v>129</v>
      </c>
      <c r="U36" s="1" t="s">
        <v>193</v>
      </c>
      <c r="V36" s="1" t="s">
        <v>45</v>
      </c>
      <c r="W36" s="1" t="s">
        <v>38</v>
      </c>
      <c r="X36" t="s">
        <v>38</v>
      </c>
      <c r="Y36" t="s">
        <v>38</v>
      </c>
    </row>
    <row r="37" spans="1:26" x14ac:dyDescent="0.25">
      <c r="A37" s="1" t="s">
        <v>196</v>
      </c>
      <c r="B37" s="1" t="s">
        <v>191</v>
      </c>
      <c r="C37" s="1" t="s">
        <v>33</v>
      </c>
      <c r="D37" s="1" t="s">
        <v>48</v>
      </c>
      <c r="E37" s="1" t="s">
        <v>48</v>
      </c>
      <c r="F37" s="1" t="s">
        <v>66</v>
      </c>
      <c r="G37" s="1" t="s">
        <v>78</v>
      </c>
      <c r="H37" s="1" t="s">
        <v>91</v>
      </c>
      <c r="I37" s="1" t="s">
        <v>36</v>
      </c>
      <c r="J37" s="1" t="s">
        <v>70</v>
      </c>
      <c r="K37" s="1" t="s">
        <v>38</v>
      </c>
      <c r="L37" s="1" t="s">
        <v>197</v>
      </c>
      <c r="M37" s="2" t="s">
        <v>40</v>
      </c>
      <c r="N37" s="2" t="s">
        <v>38</v>
      </c>
      <c r="O37" s="3">
        <v>2</v>
      </c>
      <c r="P37" s="1" t="s">
        <v>93</v>
      </c>
      <c r="Q37" s="1">
        <v>250</v>
      </c>
      <c r="R37" s="1">
        <v>500</v>
      </c>
      <c r="S37" s="1" t="s">
        <v>192</v>
      </c>
      <c r="T37" s="1" t="s">
        <v>129</v>
      </c>
      <c r="U37" s="1" t="s">
        <v>193</v>
      </c>
      <c r="V37" s="1" t="s">
        <v>45</v>
      </c>
      <c r="W37" s="1" t="s">
        <v>38</v>
      </c>
      <c r="X37" t="s">
        <v>38</v>
      </c>
      <c r="Y37" t="s">
        <v>38</v>
      </c>
    </row>
    <row r="38" spans="1:26" x14ac:dyDescent="0.25">
      <c r="A38" s="1" t="s">
        <v>198</v>
      </c>
      <c r="B38" s="1" t="s">
        <v>199</v>
      </c>
      <c r="C38" s="1" t="s">
        <v>33</v>
      </c>
      <c r="D38" s="1" t="s">
        <v>48</v>
      </c>
      <c r="E38" s="1" t="s">
        <v>48</v>
      </c>
      <c r="F38" s="1" t="s">
        <v>66</v>
      </c>
      <c r="G38" s="1" t="s">
        <v>78</v>
      </c>
      <c r="H38" s="1" t="s">
        <v>91</v>
      </c>
      <c r="I38" s="1" t="s">
        <v>36</v>
      </c>
      <c r="J38" s="1" t="s">
        <v>70</v>
      </c>
      <c r="K38" s="1" t="s">
        <v>38</v>
      </c>
      <c r="L38" s="1" t="s">
        <v>200</v>
      </c>
      <c r="M38" s="2" t="s">
        <v>40</v>
      </c>
      <c r="N38" s="2"/>
      <c r="O38" s="3">
        <v>2</v>
      </c>
      <c r="P38" s="1" t="s">
        <v>93</v>
      </c>
      <c r="Q38" s="1">
        <v>320</v>
      </c>
      <c r="R38" s="1">
        <v>640</v>
      </c>
      <c r="S38" s="1" t="s">
        <v>201</v>
      </c>
      <c r="T38" s="1" t="s">
        <v>202</v>
      </c>
      <c r="U38" s="1" t="s">
        <v>203</v>
      </c>
      <c r="V38" s="1" t="s">
        <v>45</v>
      </c>
      <c r="W38" s="1" t="s">
        <v>38</v>
      </c>
      <c r="X38" t="s">
        <v>38</v>
      </c>
      <c r="Y38" t="s">
        <v>38</v>
      </c>
      <c r="Z38" t="s">
        <v>204</v>
      </c>
    </row>
    <row r="39" spans="1:26" x14ac:dyDescent="0.25">
      <c r="A39" s="1" t="s">
        <v>205</v>
      </c>
      <c r="B39" s="1" t="s">
        <v>206</v>
      </c>
      <c r="C39" s="1" t="s">
        <v>33</v>
      </c>
      <c r="D39" s="1" t="s">
        <v>48</v>
      </c>
      <c r="E39" s="1" t="s">
        <v>48</v>
      </c>
      <c r="F39" s="1" t="s">
        <v>66</v>
      </c>
      <c r="G39" s="1" t="s">
        <v>78</v>
      </c>
      <c r="H39" s="1" t="s">
        <v>91</v>
      </c>
      <c r="I39" s="1" t="s">
        <v>36</v>
      </c>
      <c r="J39" s="1" t="s">
        <v>70</v>
      </c>
      <c r="K39" s="1" t="s">
        <v>38</v>
      </c>
      <c r="L39" s="1" t="s">
        <v>71</v>
      </c>
      <c r="M39" s="2" t="s">
        <v>40</v>
      </c>
      <c r="N39" s="2"/>
      <c r="O39" s="3">
        <v>1</v>
      </c>
      <c r="P39" s="1" t="s">
        <v>207</v>
      </c>
      <c r="Q39" s="1">
        <v>630</v>
      </c>
      <c r="R39" s="1">
        <v>630</v>
      </c>
      <c r="S39" s="1" t="s">
        <v>208</v>
      </c>
      <c r="T39" s="1" t="s">
        <v>129</v>
      </c>
      <c r="U39" s="1" t="s">
        <v>209</v>
      </c>
      <c r="V39" s="1" t="s">
        <v>45</v>
      </c>
      <c r="W39" s="1" t="s">
        <v>38</v>
      </c>
      <c r="X39" t="s">
        <v>38</v>
      </c>
      <c r="Y39" t="s">
        <v>38</v>
      </c>
    </row>
    <row r="40" spans="1:26" x14ac:dyDescent="0.25">
      <c r="A40" s="1" t="s">
        <v>210</v>
      </c>
      <c r="B40" s="1" t="s">
        <v>211</v>
      </c>
      <c r="C40" s="1" t="s">
        <v>33</v>
      </c>
      <c r="D40" s="1" t="s">
        <v>48</v>
      </c>
      <c r="E40" s="1" t="s">
        <v>48</v>
      </c>
      <c r="F40" s="1" t="s">
        <v>66</v>
      </c>
      <c r="G40" s="1" t="s">
        <v>78</v>
      </c>
      <c r="H40" s="1" t="s">
        <v>91</v>
      </c>
      <c r="I40" s="1" t="s">
        <v>36</v>
      </c>
      <c r="J40" s="1" t="s">
        <v>70</v>
      </c>
      <c r="K40" s="1" t="s">
        <v>38</v>
      </c>
      <c r="L40" s="1" t="s">
        <v>212</v>
      </c>
      <c r="M40" s="2" t="s">
        <v>40</v>
      </c>
      <c r="N40" s="2"/>
      <c r="O40" s="3">
        <v>2</v>
      </c>
      <c r="P40" s="1" t="s">
        <v>143</v>
      </c>
      <c r="Q40" s="1">
        <v>720</v>
      </c>
      <c r="R40" s="1">
        <v>1440</v>
      </c>
      <c r="S40" s="1" t="s">
        <v>213</v>
      </c>
      <c r="T40" s="1" t="s">
        <v>214</v>
      </c>
      <c r="U40" s="1" t="s">
        <v>215</v>
      </c>
      <c r="V40" s="1" t="s">
        <v>45</v>
      </c>
      <c r="W40" s="1" t="s">
        <v>38</v>
      </c>
      <c r="X40" t="s">
        <v>38</v>
      </c>
      <c r="Y40" t="s">
        <v>38</v>
      </c>
    </row>
    <row r="41" spans="1:26" x14ac:dyDescent="0.25">
      <c r="A41" s="1" t="s">
        <v>216</v>
      </c>
      <c r="B41" s="1" t="s">
        <v>217</v>
      </c>
      <c r="C41" s="1" t="s">
        <v>48</v>
      </c>
      <c r="D41" s="1" t="s">
        <v>48</v>
      </c>
      <c r="E41" s="1" t="s">
        <v>66</v>
      </c>
      <c r="F41" s="1" t="s">
        <v>66</v>
      </c>
      <c r="G41" s="1" t="s">
        <v>67</v>
      </c>
      <c r="H41" s="1" t="s">
        <v>68</v>
      </c>
      <c r="I41" s="1" t="s">
        <v>69</v>
      </c>
      <c r="J41" s="1" t="s">
        <v>70</v>
      </c>
      <c r="K41" s="1" t="s">
        <v>38</v>
      </c>
      <c r="L41" s="1" t="s">
        <v>218</v>
      </c>
      <c r="M41" s="2" t="s">
        <v>219</v>
      </c>
      <c r="N41" s="2"/>
      <c r="O41" s="3">
        <v>6</v>
      </c>
      <c r="P41" s="1" t="s">
        <v>93</v>
      </c>
      <c r="Q41" s="1">
        <v>950</v>
      </c>
      <c r="R41" s="1">
        <v>5700</v>
      </c>
      <c r="S41" s="1" t="s">
        <v>38</v>
      </c>
      <c r="T41" s="1" t="s">
        <v>220</v>
      </c>
      <c r="U41" s="1" t="s">
        <v>221</v>
      </c>
      <c r="V41" s="1" t="s">
        <v>45</v>
      </c>
      <c r="W41" s="1" t="s">
        <v>38</v>
      </c>
      <c r="X41" t="s">
        <v>38</v>
      </c>
      <c r="Y41" t="s">
        <v>38</v>
      </c>
      <c r="Z41" t="s">
        <v>222</v>
      </c>
    </row>
    <row r="42" spans="1:26" x14ac:dyDescent="0.25">
      <c r="A42" s="1" t="s">
        <v>223</v>
      </c>
      <c r="B42" s="1" t="s">
        <v>217</v>
      </c>
      <c r="C42" s="1" t="s">
        <v>48</v>
      </c>
      <c r="D42" s="1" t="s">
        <v>48</v>
      </c>
      <c r="E42" s="1" t="s">
        <v>66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38</v>
      </c>
      <c r="L42" s="1" t="s">
        <v>218</v>
      </c>
      <c r="M42" s="2" t="s">
        <v>224</v>
      </c>
      <c r="N42" s="2"/>
      <c r="O42" s="3">
        <v>4</v>
      </c>
      <c r="P42" s="1" t="s">
        <v>93</v>
      </c>
      <c r="Q42" s="1">
        <v>1150</v>
      </c>
      <c r="R42" s="1">
        <v>4600</v>
      </c>
      <c r="S42" s="1" t="s">
        <v>38</v>
      </c>
      <c r="T42" s="1" t="s">
        <v>220</v>
      </c>
      <c r="U42" s="1" t="s">
        <v>221</v>
      </c>
      <c r="V42" s="1" t="s">
        <v>45</v>
      </c>
      <c r="W42" s="1" t="s">
        <v>38</v>
      </c>
      <c r="X42" t="s">
        <v>38</v>
      </c>
      <c r="Y42" t="s">
        <v>38</v>
      </c>
      <c r="Z42" t="s">
        <v>225</v>
      </c>
    </row>
    <row r="43" spans="1:26" x14ac:dyDescent="0.25">
      <c r="A43" s="1" t="s">
        <v>226</v>
      </c>
      <c r="B43" s="1" t="s">
        <v>217</v>
      </c>
      <c r="C43" s="1" t="s">
        <v>48</v>
      </c>
      <c r="D43" s="1" t="s">
        <v>48</v>
      </c>
      <c r="E43" s="1" t="s">
        <v>66</v>
      </c>
      <c r="F43" s="1" t="s">
        <v>66</v>
      </c>
      <c r="G43" s="1" t="s">
        <v>67</v>
      </c>
      <c r="H43" s="1" t="s">
        <v>68</v>
      </c>
      <c r="I43" s="1" t="s">
        <v>69</v>
      </c>
      <c r="J43" s="1" t="s">
        <v>70</v>
      </c>
      <c r="K43" s="1" t="s">
        <v>38</v>
      </c>
      <c r="L43" s="1" t="s">
        <v>218</v>
      </c>
      <c r="M43" s="2" t="s">
        <v>227</v>
      </c>
      <c r="N43" s="2"/>
      <c r="O43" s="3">
        <v>4</v>
      </c>
      <c r="P43" s="1" t="s">
        <v>93</v>
      </c>
      <c r="Q43" s="1">
        <v>1890</v>
      </c>
      <c r="R43" s="1">
        <v>7560</v>
      </c>
      <c r="S43" s="1" t="s">
        <v>38</v>
      </c>
      <c r="T43" s="1" t="s">
        <v>220</v>
      </c>
      <c r="U43" s="1" t="s">
        <v>221</v>
      </c>
      <c r="V43" s="1" t="s">
        <v>45</v>
      </c>
      <c r="W43" s="1" t="s">
        <v>38</v>
      </c>
      <c r="X43" t="s">
        <v>38</v>
      </c>
      <c r="Y43" t="s">
        <v>38</v>
      </c>
      <c r="Z43" t="s">
        <v>227</v>
      </c>
    </row>
    <row r="44" spans="1:26" x14ac:dyDescent="0.25">
      <c r="A44" s="1" t="s">
        <v>228</v>
      </c>
      <c r="B44" s="1" t="s">
        <v>229</v>
      </c>
      <c r="C44" s="1" t="s">
        <v>33</v>
      </c>
      <c r="D44" s="1" t="s">
        <v>33</v>
      </c>
      <c r="E44" s="1" t="s">
        <v>48</v>
      </c>
      <c r="F44" s="1" t="s">
        <v>49</v>
      </c>
      <c r="G44" s="1" t="s">
        <v>34</v>
      </c>
      <c r="H44" s="1" t="s">
        <v>35</v>
      </c>
      <c r="I44" s="1" t="s">
        <v>36</v>
      </c>
      <c r="J44" s="1" t="s">
        <v>230</v>
      </c>
      <c r="K44" s="1" t="s">
        <v>38</v>
      </c>
      <c r="L44" s="1" t="s">
        <v>157</v>
      </c>
      <c r="M44" s="2" t="s">
        <v>231</v>
      </c>
      <c r="N44" s="2"/>
      <c r="O44" s="3">
        <v>1</v>
      </c>
      <c r="P44" s="1" t="s">
        <v>93</v>
      </c>
      <c r="Q44" s="1">
        <v>50</v>
      </c>
      <c r="R44" s="1">
        <v>50</v>
      </c>
      <c r="S44" s="1" t="s">
        <v>42</v>
      </c>
      <c r="T44" s="1" t="s">
        <v>232</v>
      </c>
      <c r="U44" s="1" t="s">
        <v>44</v>
      </c>
      <c r="V44" s="1" t="s">
        <v>45</v>
      </c>
      <c r="W44" s="1" t="s">
        <v>38</v>
      </c>
      <c r="X44" t="s">
        <v>38</v>
      </c>
      <c r="Y44" t="s">
        <v>38</v>
      </c>
    </row>
    <row r="45" spans="1:26" x14ac:dyDescent="0.25">
      <c r="A45" s="1" t="s">
        <v>233</v>
      </c>
      <c r="B45" s="1" t="s">
        <v>234</v>
      </c>
      <c r="C45" s="1" t="s">
        <v>33</v>
      </c>
      <c r="D45" s="1" t="s">
        <v>48</v>
      </c>
      <c r="E45" s="1" t="s">
        <v>77</v>
      </c>
      <c r="F45" s="1" t="s">
        <v>58</v>
      </c>
      <c r="G45" s="1" t="s">
        <v>78</v>
      </c>
      <c r="H45" s="1" t="s">
        <v>91</v>
      </c>
      <c r="I45" s="1" t="s">
        <v>36</v>
      </c>
      <c r="J45" s="1" t="s">
        <v>235</v>
      </c>
      <c r="K45" s="1" t="s">
        <v>38</v>
      </c>
      <c r="L45" s="1" t="s">
        <v>236</v>
      </c>
      <c r="M45" s="2" t="s">
        <v>40</v>
      </c>
      <c r="N45" s="2"/>
      <c r="O45" s="3">
        <v>1</v>
      </c>
      <c r="P45" s="1" t="s">
        <v>93</v>
      </c>
      <c r="Q45" s="1">
        <v>22000</v>
      </c>
      <c r="R45" s="1">
        <v>22000</v>
      </c>
      <c r="S45" s="1" t="s">
        <v>144</v>
      </c>
      <c r="T45" s="1" t="s">
        <v>160</v>
      </c>
      <c r="U45" s="1" t="s">
        <v>116</v>
      </c>
      <c r="V45" s="1" t="s">
        <v>45</v>
      </c>
      <c r="W45" s="1" t="s">
        <v>38</v>
      </c>
      <c r="X45" t="s">
        <v>38</v>
      </c>
      <c r="Y45" t="s">
        <v>38</v>
      </c>
      <c r="Z45" t="s">
        <v>38</v>
      </c>
    </row>
    <row r="46" spans="1:26" x14ac:dyDescent="0.25">
      <c r="A46" s="1" t="s">
        <v>237</v>
      </c>
      <c r="B46" s="1" t="s">
        <v>238</v>
      </c>
      <c r="C46" s="1" t="s">
        <v>33</v>
      </c>
      <c r="D46" s="1" t="s">
        <v>48</v>
      </c>
      <c r="E46" s="1" t="s">
        <v>77</v>
      </c>
      <c r="F46" s="1" t="s">
        <v>58</v>
      </c>
      <c r="G46" s="1" t="s">
        <v>78</v>
      </c>
      <c r="H46" s="1" t="s">
        <v>91</v>
      </c>
      <c r="I46" s="1" t="s">
        <v>36</v>
      </c>
      <c r="J46" s="1" t="s">
        <v>235</v>
      </c>
      <c r="K46" s="1" t="s">
        <v>38</v>
      </c>
      <c r="L46" s="1" t="s">
        <v>239</v>
      </c>
      <c r="M46" s="2" t="s">
        <v>240</v>
      </c>
      <c r="N46" s="2"/>
      <c r="O46" s="3">
        <v>1</v>
      </c>
      <c r="P46" s="1" t="s">
        <v>93</v>
      </c>
      <c r="Q46" s="1">
        <v>25000</v>
      </c>
      <c r="R46" s="1">
        <v>25000</v>
      </c>
      <c r="S46" s="1" t="s">
        <v>128</v>
      </c>
      <c r="T46" s="1" t="s">
        <v>160</v>
      </c>
      <c r="U46" s="1" t="s">
        <v>116</v>
      </c>
      <c r="V46" s="1" t="s">
        <v>45</v>
      </c>
      <c r="W46" s="1" t="s">
        <v>38</v>
      </c>
      <c r="X46" t="s">
        <v>38</v>
      </c>
      <c r="Y46" t="s">
        <v>38</v>
      </c>
      <c r="Z46" t="s">
        <v>241</v>
      </c>
    </row>
    <row r="47" spans="1:26" x14ac:dyDescent="0.25">
      <c r="A47" s="1" t="s">
        <v>242</v>
      </c>
      <c r="B47" s="1" t="s">
        <v>243</v>
      </c>
      <c r="C47" s="1" t="s">
        <v>33</v>
      </c>
      <c r="D47" s="1" t="s">
        <v>66</v>
      </c>
      <c r="E47" s="1" t="s">
        <v>66</v>
      </c>
      <c r="F47" s="1" t="s">
        <v>66</v>
      </c>
      <c r="G47" s="1" t="s">
        <v>78</v>
      </c>
      <c r="H47" s="1" t="s">
        <v>91</v>
      </c>
      <c r="I47" s="1" t="s">
        <v>36</v>
      </c>
      <c r="J47" s="1" t="s">
        <v>70</v>
      </c>
      <c r="K47" s="1" t="s">
        <v>38</v>
      </c>
      <c r="L47" s="1" t="s">
        <v>244</v>
      </c>
      <c r="M47" s="2" t="s">
        <v>40</v>
      </c>
      <c r="N47" s="2"/>
      <c r="O47" s="3">
        <v>2</v>
      </c>
      <c r="P47" s="1" t="s">
        <v>41</v>
      </c>
      <c r="Q47" s="1">
        <v>215</v>
      </c>
      <c r="R47" s="1">
        <v>430</v>
      </c>
      <c r="S47" s="1" t="s">
        <v>245</v>
      </c>
      <c r="T47" s="1" t="s">
        <v>121</v>
      </c>
      <c r="U47" s="1" t="s">
        <v>246</v>
      </c>
      <c r="V47" s="1" t="s">
        <v>45</v>
      </c>
      <c r="W47" s="1" t="s">
        <v>38</v>
      </c>
      <c r="X47" t="s">
        <v>38</v>
      </c>
      <c r="Y47" t="s">
        <v>38</v>
      </c>
    </row>
    <row r="48" spans="1:26" x14ac:dyDescent="0.25">
      <c r="A48" s="1" t="s">
        <v>247</v>
      </c>
      <c r="B48" s="1" t="s">
        <v>243</v>
      </c>
      <c r="C48" s="1" t="s">
        <v>33</v>
      </c>
      <c r="D48" s="1" t="s">
        <v>66</v>
      </c>
      <c r="E48" s="1" t="s">
        <v>66</v>
      </c>
      <c r="F48" s="1" t="s">
        <v>66</v>
      </c>
      <c r="G48" s="1" t="s">
        <v>78</v>
      </c>
      <c r="H48" s="1" t="s">
        <v>91</v>
      </c>
      <c r="I48" s="1" t="s">
        <v>36</v>
      </c>
      <c r="J48" s="1" t="s">
        <v>70</v>
      </c>
      <c r="K48" s="1" t="s">
        <v>38</v>
      </c>
      <c r="L48" s="1" t="s">
        <v>248</v>
      </c>
      <c r="M48" s="2" t="s">
        <v>40</v>
      </c>
      <c r="N48" s="2"/>
      <c r="O48" s="3">
        <v>1</v>
      </c>
      <c r="P48" s="1" t="s">
        <v>93</v>
      </c>
      <c r="Q48" s="1">
        <v>1020</v>
      </c>
      <c r="R48" s="1">
        <v>1020</v>
      </c>
      <c r="S48" s="1" t="s">
        <v>245</v>
      </c>
      <c r="T48" s="1" t="s">
        <v>121</v>
      </c>
      <c r="U48" s="1" t="s">
        <v>246</v>
      </c>
      <c r="V48" s="1" t="s">
        <v>45</v>
      </c>
      <c r="W48" s="1" t="s">
        <v>38</v>
      </c>
      <c r="X48" t="s">
        <v>38</v>
      </c>
      <c r="Y48" t="s">
        <v>38</v>
      </c>
    </row>
    <row r="49" spans="1:26" x14ac:dyDescent="0.25">
      <c r="A49" s="1" t="s">
        <v>249</v>
      </c>
      <c r="B49" s="1" t="s">
        <v>250</v>
      </c>
      <c r="C49" s="1" t="s">
        <v>48</v>
      </c>
      <c r="D49" s="1" t="s">
        <v>66</v>
      </c>
      <c r="E49" s="1" t="s">
        <v>66</v>
      </c>
      <c r="F49" s="1" t="s">
        <v>66</v>
      </c>
      <c r="G49" s="1" t="s">
        <v>78</v>
      </c>
      <c r="H49" s="1" t="s">
        <v>104</v>
      </c>
      <c r="I49" s="1" t="s">
        <v>105</v>
      </c>
      <c r="J49" s="1" t="s">
        <v>70</v>
      </c>
      <c r="K49" s="1" t="s">
        <v>38</v>
      </c>
      <c r="L49" s="1" t="s">
        <v>251</v>
      </c>
      <c r="M49" s="2" t="s">
        <v>40</v>
      </c>
      <c r="N49" s="2"/>
      <c r="O49" s="3">
        <v>10</v>
      </c>
      <c r="P49" s="1" t="s">
        <v>93</v>
      </c>
      <c r="Q49" s="1">
        <v>160</v>
      </c>
      <c r="R49" s="1">
        <v>1600</v>
      </c>
      <c r="S49" s="1" t="s">
        <v>38</v>
      </c>
      <c r="T49" s="1" t="s">
        <v>252</v>
      </c>
      <c r="U49" s="1" t="s">
        <v>253</v>
      </c>
      <c r="V49" s="1" t="s">
        <v>45</v>
      </c>
      <c r="W49" s="1" t="s">
        <v>38</v>
      </c>
      <c r="X49" t="s">
        <v>38</v>
      </c>
      <c r="Y49" t="s">
        <v>38</v>
      </c>
      <c r="Z49" t="s">
        <v>40</v>
      </c>
    </row>
    <row r="50" spans="1:26" x14ac:dyDescent="0.25">
      <c r="A50" s="1" t="s">
        <v>254</v>
      </c>
      <c r="B50" s="1" t="s">
        <v>250</v>
      </c>
      <c r="C50" s="1" t="s">
        <v>48</v>
      </c>
      <c r="D50" s="1" t="s">
        <v>66</v>
      </c>
      <c r="E50" s="1" t="s">
        <v>66</v>
      </c>
      <c r="F50" s="1" t="s">
        <v>66</v>
      </c>
      <c r="G50" s="1" t="s">
        <v>78</v>
      </c>
      <c r="H50" s="1" t="s">
        <v>104</v>
      </c>
      <c r="I50" s="1" t="s">
        <v>105</v>
      </c>
      <c r="J50" s="1" t="s">
        <v>70</v>
      </c>
      <c r="K50" s="1" t="s">
        <v>38</v>
      </c>
      <c r="L50" s="1" t="s">
        <v>255</v>
      </c>
      <c r="M50" s="2" t="s">
        <v>40</v>
      </c>
      <c r="N50" s="2"/>
      <c r="O50" s="3">
        <v>10</v>
      </c>
      <c r="P50" s="1" t="s">
        <v>93</v>
      </c>
      <c r="Q50" s="1">
        <v>112</v>
      </c>
      <c r="R50" s="1">
        <v>1120</v>
      </c>
      <c r="S50" s="1" t="s">
        <v>38</v>
      </c>
      <c r="T50" s="1" t="s">
        <v>252</v>
      </c>
      <c r="U50" s="1" t="s">
        <v>253</v>
      </c>
      <c r="V50" s="1" t="s">
        <v>45</v>
      </c>
      <c r="W50" s="1" t="s">
        <v>38</v>
      </c>
      <c r="X50" t="s">
        <v>38</v>
      </c>
      <c r="Y50" t="s">
        <v>38</v>
      </c>
      <c r="Z50" t="s">
        <v>40</v>
      </c>
    </row>
    <row r="51" spans="1:26" x14ac:dyDescent="0.25">
      <c r="A51" s="1" t="s">
        <v>256</v>
      </c>
      <c r="B51" s="1" t="s">
        <v>250</v>
      </c>
      <c r="C51" s="1" t="s">
        <v>48</v>
      </c>
      <c r="D51" s="1" t="s">
        <v>66</v>
      </c>
      <c r="E51" s="1" t="s">
        <v>66</v>
      </c>
      <c r="F51" s="1" t="s">
        <v>66</v>
      </c>
      <c r="G51" s="1" t="s">
        <v>78</v>
      </c>
      <c r="H51" s="1" t="s">
        <v>104</v>
      </c>
      <c r="I51" s="1" t="s">
        <v>105</v>
      </c>
      <c r="J51" s="1" t="s">
        <v>70</v>
      </c>
      <c r="K51" s="1" t="s">
        <v>38</v>
      </c>
      <c r="L51" s="1" t="s">
        <v>257</v>
      </c>
      <c r="M51" s="2" t="s">
        <v>258</v>
      </c>
      <c r="N51" s="2"/>
      <c r="O51" s="3">
        <v>2</v>
      </c>
      <c r="P51" s="1" t="s">
        <v>93</v>
      </c>
      <c r="Q51" s="1">
        <v>110</v>
      </c>
      <c r="R51" s="1">
        <v>220</v>
      </c>
      <c r="S51" s="1" t="s">
        <v>38</v>
      </c>
      <c r="T51" s="1" t="s">
        <v>252</v>
      </c>
      <c r="U51" s="1" t="s">
        <v>253</v>
      </c>
      <c r="V51" s="1" t="s">
        <v>45</v>
      </c>
      <c r="W51" s="1" t="s">
        <v>38</v>
      </c>
      <c r="X51" t="s">
        <v>38</v>
      </c>
      <c r="Y51" t="s">
        <v>38</v>
      </c>
      <c r="Z51" t="s">
        <v>258</v>
      </c>
    </row>
    <row r="52" spans="1:26" x14ac:dyDescent="0.25">
      <c r="A52" s="1" t="s">
        <v>259</v>
      </c>
      <c r="B52" s="1" t="s">
        <v>250</v>
      </c>
      <c r="C52" s="1" t="s">
        <v>48</v>
      </c>
      <c r="D52" s="1" t="s">
        <v>66</v>
      </c>
      <c r="E52" s="1" t="s">
        <v>66</v>
      </c>
      <c r="F52" s="1" t="s">
        <v>66</v>
      </c>
      <c r="G52" s="1" t="s">
        <v>78</v>
      </c>
      <c r="H52" s="1" t="s">
        <v>104</v>
      </c>
      <c r="I52" s="1" t="s">
        <v>105</v>
      </c>
      <c r="J52" s="1" t="s">
        <v>70</v>
      </c>
      <c r="K52" s="1" t="s">
        <v>38</v>
      </c>
      <c r="L52" s="1" t="s">
        <v>260</v>
      </c>
      <c r="M52" s="2" t="s">
        <v>40</v>
      </c>
      <c r="N52" s="2" t="s">
        <v>38</v>
      </c>
      <c r="O52" s="3">
        <v>20</v>
      </c>
      <c r="P52" s="1" t="s">
        <v>93</v>
      </c>
      <c r="Q52" s="1">
        <v>90</v>
      </c>
      <c r="R52" s="1">
        <v>1800</v>
      </c>
      <c r="S52" s="1" t="s">
        <v>38</v>
      </c>
      <c r="T52" s="1" t="s">
        <v>252</v>
      </c>
      <c r="U52" s="1" t="s">
        <v>253</v>
      </c>
      <c r="V52" s="1" t="s">
        <v>45</v>
      </c>
      <c r="W52" s="1" t="s">
        <v>38</v>
      </c>
      <c r="X52" t="s">
        <v>38</v>
      </c>
      <c r="Y52" t="s">
        <v>38</v>
      </c>
      <c r="Z52" t="s">
        <v>261</v>
      </c>
    </row>
    <row r="53" spans="1:26" x14ac:dyDescent="0.25">
      <c r="A53" s="1" t="s">
        <v>262</v>
      </c>
      <c r="B53" s="1" t="s">
        <v>250</v>
      </c>
      <c r="C53" s="1" t="s">
        <v>48</v>
      </c>
      <c r="D53" s="1" t="s">
        <v>66</v>
      </c>
      <c r="E53" s="1" t="s">
        <v>66</v>
      </c>
      <c r="F53" s="1" t="s">
        <v>66</v>
      </c>
      <c r="G53" s="1" t="s">
        <v>78</v>
      </c>
      <c r="H53" s="1" t="s">
        <v>104</v>
      </c>
      <c r="I53" s="1" t="s">
        <v>105</v>
      </c>
      <c r="J53" s="1" t="s">
        <v>70</v>
      </c>
      <c r="K53" s="1" t="s">
        <v>38</v>
      </c>
      <c r="L53" s="1" t="s">
        <v>263</v>
      </c>
      <c r="M53" s="2" t="s">
        <v>40</v>
      </c>
      <c r="N53" s="2" t="s">
        <v>38</v>
      </c>
      <c r="O53" s="3">
        <v>10</v>
      </c>
      <c r="P53" s="1" t="s">
        <v>93</v>
      </c>
      <c r="Q53" s="1">
        <v>170</v>
      </c>
      <c r="R53" s="1">
        <v>1700</v>
      </c>
      <c r="S53" s="1" t="s">
        <v>38</v>
      </c>
      <c r="T53" s="1" t="s">
        <v>252</v>
      </c>
      <c r="U53" s="1" t="s">
        <v>253</v>
      </c>
      <c r="V53" s="1" t="s">
        <v>45</v>
      </c>
      <c r="W53" s="1" t="s">
        <v>38</v>
      </c>
      <c r="X53" t="s">
        <v>38</v>
      </c>
      <c r="Y53" t="s">
        <v>38</v>
      </c>
      <c r="Z53" t="s">
        <v>40</v>
      </c>
    </row>
    <row r="54" spans="1:26" x14ac:dyDescent="0.25">
      <c r="A54" s="1" t="s">
        <v>264</v>
      </c>
      <c r="B54" s="1" t="s">
        <v>250</v>
      </c>
      <c r="C54" s="1" t="s">
        <v>48</v>
      </c>
      <c r="D54" s="1" t="s">
        <v>66</v>
      </c>
      <c r="E54" s="1" t="s">
        <v>66</v>
      </c>
      <c r="F54" s="1" t="s">
        <v>66</v>
      </c>
      <c r="G54" s="1" t="s">
        <v>78</v>
      </c>
      <c r="H54" s="1" t="s">
        <v>104</v>
      </c>
      <c r="I54" s="1" t="s">
        <v>105</v>
      </c>
      <c r="J54" s="1" t="s">
        <v>70</v>
      </c>
      <c r="K54" s="1" t="s">
        <v>38</v>
      </c>
      <c r="L54" s="1" t="s">
        <v>265</v>
      </c>
      <c r="M54" s="2" t="s">
        <v>266</v>
      </c>
      <c r="N54" s="2" t="s">
        <v>38</v>
      </c>
      <c r="O54" s="3">
        <v>100</v>
      </c>
      <c r="P54" s="1" t="s">
        <v>93</v>
      </c>
      <c r="Q54" s="1">
        <v>20</v>
      </c>
      <c r="R54" s="1">
        <v>2000</v>
      </c>
      <c r="S54" s="1" t="s">
        <v>38</v>
      </c>
      <c r="T54" s="1" t="s">
        <v>252</v>
      </c>
      <c r="U54" s="1" t="s">
        <v>253</v>
      </c>
      <c r="V54" s="1" t="s">
        <v>45</v>
      </c>
      <c r="W54" s="1" t="s">
        <v>38</v>
      </c>
      <c r="X54" t="s">
        <v>38</v>
      </c>
      <c r="Y54" t="s">
        <v>38</v>
      </c>
      <c r="Z54" t="s">
        <v>266</v>
      </c>
    </row>
    <row r="55" spans="1:26" x14ac:dyDescent="0.25">
      <c r="A55" s="1" t="s">
        <v>267</v>
      </c>
      <c r="B55" s="1" t="s">
        <v>268</v>
      </c>
      <c r="C55" s="1" t="s">
        <v>66</v>
      </c>
      <c r="D55" s="1" t="s">
        <v>66</v>
      </c>
      <c r="E55" s="1" t="s">
        <v>66</v>
      </c>
      <c r="F55" s="1" t="s">
        <v>66</v>
      </c>
      <c r="G55" s="1" t="s">
        <v>78</v>
      </c>
      <c r="H55" s="1" t="s">
        <v>91</v>
      </c>
      <c r="I55" s="1" t="s">
        <v>36</v>
      </c>
      <c r="J55" s="1" t="s">
        <v>70</v>
      </c>
      <c r="K55" s="1" t="s">
        <v>38</v>
      </c>
      <c r="L55" s="1" t="s">
        <v>269</v>
      </c>
      <c r="M55" s="2" t="s">
        <v>270</v>
      </c>
      <c r="N55" s="2"/>
      <c r="O55" s="3">
        <v>1</v>
      </c>
      <c r="P55" s="1" t="s">
        <v>93</v>
      </c>
      <c r="Q55" s="1">
        <v>680</v>
      </c>
      <c r="R55" s="1">
        <v>680</v>
      </c>
      <c r="S55" s="1" t="s">
        <v>271</v>
      </c>
      <c r="T55" s="1" t="s">
        <v>129</v>
      </c>
      <c r="U55" s="1" t="s">
        <v>116</v>
      </c>
      <c r="V55" s="1" t="s">
        <v>45</v>
      </c>
      <c r="W55" s="1" t="s">
        <v>38</v>
      </c>
      <c r="X55" t="s">
        <v>38</v>
      </c>
      <c r="Y55" t="s">
        <v>38</v>
      </c>
      <c r="Z55" t="s">
        <v>270</v>
      </c>
    </row>
    <row r="56" spans="1:26" x14ac:dyDescent="0.25">
      <c r="A56" s="1" t="s">
        <v>272</v>
      </c>
      <c r="B56" s="1" t="s">
        <v>273</v>
      </c>
      <c r="C56" s="1" t="s">
        <v>66</v>
      </c>
      <c r="D56" s="1" t="s">
        <v>66</v>
      </c>
      <c r="E56" s="1" t="s">
        <v>66</v>
      </c>
      <c r="F56" s="1" t="s">
        <v>66</v>
      </c>
      <c r="G56" s="1" t="s">
        <v>78</v>
      </c>
      <c r="H56" s="1" t="s">
        <v>91</v>
      </c>
      <c r="I56" s="1" t="s">
        <v>36</v>
      </c>
      <c r="J56" s="1" t="s">
        <v>70</v>
      </c>
      <c r="K56" s="1" t="s">
        <v>38</v>
      </c>
      <c r="L56" s="1" t="s">
        <v>274</v>
      </c>
      <c r="M56" s="2" t="s">
        <v>40</v>
      </c>
      <c r="N56" s="2"/>
      <c r="O56" s="3">
        <v>1</v>
      </c>
      <c r="P56" s="1" t="s">
        <v>93</v>
      </c>
      <c r="Q56" s="1">
        <v>250</v>
      </c>
      <c r="R56" s="1">
        <v>250</v>
      </c>
      <c r="S56" s="1" t="s">
        <v>275</v>
      </c>
      <c r="T56" s="1" t="s">
        <v>129</v>
      </c>
      <c r="U56" s="1" t="s">
        <v>116</v>
      </c>
      <c r="V56" s="1" t="s">
        <v>45</v>
      </c>
      <c r="W56" s="1" t="s">
        <v>38</v>
      </c>
      <c r="X56" t="s">
        <v>38</v>
      </c>
      <c r="Y56" t="s">
        <v>38</v>
      </c>
      <c r="Z56" t="s">
        <v>276</v>
      </c>
    </row>
    <row r="57" spans="1:26" x14ac:dyDescent="0.25">
      <c r="A57" s="1" t="s">
        <v>277</v>
      </c>
      <c r="B57" s="1" t="s">
        <v>278</v>
      </c>
      <c r="C57" s="1" t="s">
        <v>48</v>
      </c>
      <c r="D57" s="1" t="s">
        <v>48</v>
      </c>
      <c r="E57" s="1" t="s">
        <v>66</v>
      </c>
      <c r="F57" s="1" t="s">
        <v>279</v>
      </c>
      <c r="G57" s="1" t="s">
        <v>34</v>
      </c>
      <c r="H57" s="1" t="s">
        <v>280</v>
      </c>
      <c r="I57" s="1" t="s">
        <v>36</v>
      </c>
      <c r="J57" s="1" t="s">
        <v>37</v>
      </c>
      <c r="K57" s="1" t="s">
        <v>38</v>
      </c>
      <c r="L57" s="1" t="s">
        <v>39</v>
      </c>
      <c r="M57" s="2" t="s">
        <v>60</v>
      </c>
      <c r="N57" s="2"/>
      <c r="O57" s="3">
        <v>5</v>
      </c>
      <c r="P57" s="1" t="s">
        <v>41</v>
      </c>
      <c r="Q57" s="1">
        <v>60.75</v>
      </c>
      <c r="R57" s="1">
        <v>303.75</v>
      </c>
      <c r="S57" s="1" t="s">
        <v>281</v>
      </c>
      <c r="T57" s="1" t="s">
        <v>282</v>
      </c>
      <c r="U57" s="1" t="s">
        <v>283</v>
      </c>
      <c r="V57" s="1" t="s">
        <v>45</v>
      </c>
      <c r="W57" s="1" t="s">
        <v>38</v>
      </c>
      <c r="X57" t="s">
        <v>38</v>
      </c>
      <c r="Y57" t="s">
        <v>38</v>
      </c>
      <c r="Z57" t="s">
        <v>284</v>
      </c>
    </row>
    <row r="58" spans="1:26" x14ac:dyDescent="0.25">
      <c r="A58" s="1" t="s">
        <v>285</v>
      </c>
      <c r="B58" s="1" t="s">
        <v>286</v>
      </c>
      <c r="C58" s="1" t="s">
        <v>66</v>
      </c>
      <c r="D58" s="1" t="s">
        <v>66</v>
      </c>
      <c r="E58" s="1" t="s">
        <v>66</v>
      </c>
      <c r="F58" s="1" t="s">
        <v>66</v>
      </c>
      <c r="G58" s="1" t="s">
        <v>78</v>
      </c>
      <c r="H58" s="1" t="s">
        <v>91</v>
      </c>
      <c r="I58" s="1" t="s">
        <v>36</v>
      </c>
      <c r="J58" s="1" t="s">
        <v>70</v>
      </c>
      <c r="K58" s="1" t="s">
        <v>38</v>
      </c>
      <c r="L58" s="1" t="s">
        <v>274</v>
      </c>
      <c r="M58" s="2" t="s">
        <v>40</v>
      </c>
      <c r="N58" s="2"/>
      <c r="O58" s="3">
        <v>3</v>
      </c>
      <c r="P58" s="1" t="s">
        <v>93</v>
      </c>
      <c r="Q58" s="1">
        <v>250</v>
      </c>
      <c r="R58" s="1">
        <v>750</v>
      </c>
      <c r="S58" s="1" t="s">
        <v>275</v>
      </c>
      <c r="T58" s="1" t="s">
        <v>129</v>
      </c>
      <c r="U58" s="1" t="s">
        <v>116</v>
      </c>
      <c r="V58" s="1" t="s">
        <v>45</v>
      </c>
      <c r="W58" s="1" t="s">
        <v>38</v>
      </c>
      <c r="X58" t="s">
        <v>38</v>
      </c>
      <c r="Y58" t="s">
        <v>38</v>
      </c>
      <c r="Z58" t="s">
        <v>276</v>
      </c>
    </row>
    <row r="59" spans="1:26" x14ac:dyDescent="0.25">
      <c r="A59" s="1" t="s">
        <v>287</v>
      </c>
      <c r="B59" s="1" t="s">
        <v>288</v>
      </c>
      <c r="C59" s="1" t="s">
        <v>48</v>
      </c>
      <c r="D59" s="1" t="s">
        <v>66</v>
      </c>
      <c r="E59" s="1" t="s">
        <v>66</v>
      </c>
      <c r="F59" s="1" t="s">
        <v>66</v>
      </c>
      <c r="G59" s="1" t="s">
        <v>67</v>
      </c>
      <c r="H59" s="1" t="s">
        <v>68</v>
      </c>
      <c r="I59" s="1" t="s">
        <v>105</v>
      </c>
      <c r="J59" s="1" t="s">
        <v>70</v>
      </c>
      <c r="K59" s="1" t="s">
        <v>38</v>
      </c>
      <c r="L59" s="1" t="s">
        <v>257</v>
      </c>
      <c r="M59" s="2" t="s">
        <v>289</v>
      </c>
      <c r="N59" s="2"/>
      <c r="O59" s="3">
        <v>6</v>
      </c>
      <c r="P59" s="1" t="s">
        <v>93</v>
      </c>
      <c r="Q59" s="1">
        <v>114</v>
      </c>
      <c r="R59" s="1">
        <v>684</v>
      </c>
      <c r="S59" s="1" t="s">
        <v>38</v>
      </c>
      <c r="T59" s="1" t="s">
        <v>290</v>
      </c>
      <c r="U59" s="1" t="s">
        <v>221</v>
      </c>
      <c r="V59" s="1" t="s">
        <v>45</v>
      </c>
      <c r="W59" s="1" t="s">
        <v>38</v>
      </c>
      <c r="X59" t="s">
        <v>38</v>
      </c>
      <c r="Y59" t="s">
        <v>38</v>
      </c>
      <c r="Z59" t="s">
        <v>291</v>
      </c>
    </row>
    <row r="60" spans="1:26" x14ac:dyDescent="0.25">
      <c r="A60" s="1" t="s">
        <v>292</v>
      </c>
      <c r="B60" s="1" t="s">
        <v>293</v>
      </c>
      <c r="C60" s="1" t="s">
        <v>48</v>
      </c>
      <c r="D60" s="1" t="s">
        <v>66</v>
      </c>
      <c r="E60" s="1" t="s">
        <v>66</v>
      </c>
      <c r="F60" s="1" t="s">
        <v>58</v>
      </c>
      <c r="G60" s="1" t="s">
        <v>34</v>
      </c>
      <c r="H60" s="1" t="s">
        <v>59</v>
      </c>
      <c r="I60" s="1" t="s">
        <v>294</v>
      </c>
      <c r="J60" s="1" t="s">
        <v>295</v>
      </c>
      <c r="K60" s="1" t="s">
        <v>38</v>
      </c>
      <c r="L60" s="1" t="s">
        <v>296</v>
      </c>
      <c r="M60" s="2" t="s">
        <v>297</v>
      </c>
      <c r="N60" s="2" t="s">
        <v>298</v>
      </c>
      <c r="O60" s="3">
        <v>1</v>
      </c>
      <c r="P60" s="1" t="s">
        <v>93</v>
      </c>
      <c r="Q60" s="1">
        <v>295</v>
      </c>
      <c r="R60" s="1">
        <v>295</v>
      </c>
      <c r="S60" s="1"/>
      <c r="T60" s="1" t="s">
        <v>299</v>
      </c>
      <c r="U60" s="1" t="s">
        <v>63</v>
      </c>
      <c r="V60" s="1" t="s">
        <v>45</v>
      </c>
      <c r="W60" s="1" t="s">
        <v>38</v>
      </c>
      <c r="X60" t="s">
        <v>38</v>
      </c>
      <c r="Y60" t="s">
        <v>38</v>
      </c>
      <c r="Z60" t="s">
        <v>300</v>
      </c>
    </row>
    <row r="61" spans="1:26" x14ac:dyDescent="0.25">
      <c r="A61" s="1" t="s">
        <v>301</v>
      </c>
      <c r="B61" s="1" t="s">
        <v>302</v>
      </c>
      <c r="C61" s="1" t="s">
        <v>48</v>
      </c>
      <c r="D61" s="1" t="s">
        <v>66</v>
      </c>
      <c r="E61" s="1" t="s">
        <v>66</v>
      </c>
      <c r="F61" s="1" t="s">
        <v>58</v>
      </c>
      <c r="G61" s="1" t="s">
        <v>78</v>
      </c>
      <c r="H61" s="1" t="s">
        <v>303</v>
      </c>
      <c r="I61" s="1" t="s">
        <v>294</v>
      </c>
      <c r="J61" s="1" t="s">
        <v>295</v>
      </c>
      <c r="K61" s="1" t="s">
        <v>38</v>
      </c>
      <c r="L61" s="1" t="s">
        <v>296</v>
      </c>
      <c r="M61" s="2" t="s">
        <v>304</v>
      </c>
      <c r="N61" s="2"/>
      <c r="O61" s="3">
        <v>1</v>
      </c>
      <c r="P61" s="1" t="s">
        <v>93</v>
      </c>
      <c r="Q61" s="1">
        <v>295</v>
      </c>
      <c r="R61" s="1">
        <v>295</v>
      </c>
      <c r="S61" s="1" t="s">
        <v>38</v>
      </c>
      <c r="T61" s="1" t="s">
        <v>305</v>
      </c>
      <c r="U61" s="1" t="s">
        <v>306</v>
      </c>
      <c r="V61" s="1" t="s">
        <v>45</v>
      </c>
      <c r="W61" s="1" t="s">
        <v>38</v>
      </c>
      <c r="X61" t="s">
        <v>38</v>
      </c>
      <c r="Y61" t="s">
        <v>38</v>
      </c>
      <c r="Z61" t="s">
        <v>307</v>
      </c>
    </row>
    <row r="62" spans="1:26" x14ac:dyDescent="0.25">
      <c r="A62" s="1" t="s">
        <v>308</v>
      </c>
      <c r="B62" s="1" t="s">
        <v>309</v>
      </c>
      <c r="C62" s="1" t="s">
        <v>66</v>
      </c>
      <c r="D62" s="1" t="s">
        <v>66</v>
      </c>
      <c r="E62" s="1" t="s">
        <v>310</v>
      </c>
      <c r="F62" s="1" t="s">
        <v>49</v>
      </c>
      <c r="G62" s="1" t="s">
        <v>67</v>
      </c>
      <c r="H62" s="1" t="s">
        <v>68</v>
      </c>
      <c r="I62" s="1" t="s">
        <v>105</v>
      </c>
      <c r="J62" s="1" t="s">
        <v>70</v>
      </c>
      <c r="K62" s="1" t="s">
        <v>38</v>
      </c>
      <c r="L62" s="1" t="s">
        <v>257</v>
      </c>
      <c r="M62" s="2" t="s">
        <v>311</v>
      </c>
      <c r="N62" s="2"/>
      <c r="O62" s="3">
        <v>5</v>
      </c>
      <c r="P62" s="1" t="s">
        <v>93</v>
      </c>
      <c r="Q62" s="1">
        <v>925</v>
      </c>
      <c r="R62" s="1">
        <v>4625</v>
      </c>
      <c r="S62" s="1" t="s">
        <v>38</v>
      </c>
      <c r="T62" s="1" t="s">
        <v>312</v>
      </c>
      <c r="U62" s="1" t="s">
        <v>313</v>
      </c>
      <c r="V62" s="1" t="s">
        <v>45</v>
      </c>
      <c r="W62" s="1" t="s">
        <v>38</v>
      </c>
      <c r="X62" t="s">
        <v>38</v>
      </c>
      <c r="Y62" t="s">
        <v>38</v>
      </c>
      <c r="Z62" t="s">
        <v>311</v>
      </c>
    </row>
    <row r="63" spans="1:26" x14ac:dyDescent="0.25">
      <c r="A63" s="1" t="s">
        <v>314</v>
      </c>
      <c r="B63" s="1" t="s">
        <v>309</v>
      </c>
      <c r="C63" s="1" t="s">
        <v>66</v>
      </c>
      <c r="D63" s="1" t="s">
        <v>66</v>
      </c>
      <c r="E63" s="1" t="s">
        <v>310</v>
      </c>
      <c r="F63" s="1" t="s">
        <v>49</v>
      </c>
      <c r="G63" s="1" t="s">
        <v>67</v>
      </c>
      <c r="H63" s="1" t="s">
        <v>68</v>
      </c>
      <c r="I63" s="1" t="s">
        <v>105</v>
      </c>
      <c r="J63" s="1" t="s">
        <v>70</v>
      </c>
      <c r="K63" s="1" t="s">
        <v>38</v>
      </c>
      <c r="L63" s="1" t="s">
        <v>257</v>
      </c>
      <c r="M63" s="2" t="s">
        <v>315</v>
      </c>
      <c r="N63" s="2"/>
      <c r="O63" s="3">
        <v>8</v>
      </c>
      <c r="P63" s="1" t="s">
        <v>93</v>
      </c>
      <c r="Q63" s="1">
        <v>482</v>
      </c>
      <c r="R63" s="1">
        <v>3856</v>
      </c>
      <c r="S63" s="1" t="s">
        <v>38</v>
      </c>
      <c r="T63" s="1" t="s">
        <v>312</v>
      </c>
      <c r="U63" s="1" t="s">
        <v>313</v>
      </c>
      <c r="V63" s="1" t="s">
        <v>45</v>
      </c>
      <c r="W63" s="1" t="s">
        <v>38</v>
      </c>
      <c r="X63" t="s">
        <v>38</v>
      </c>
      <c r="Y63" t="s">
        <v>38</v>
      </c>
      <c r="Z63" t="s">
        <v>316</v>
      </c>
    </row>
    <row r="64" spans="1:26" x14ac:dyDescent="0.25">
      <c r="A64" s="1" t="s">
        <v>317</v>
      </c>
      <c r="B64" s="1" t="s">
        <v>318</v>
      </c>
      <c r="C64" s="1" t="s">
        <v>33</v>
      </c>
      <c r="D64" s="1" t="s">
        <v>48</v>
      </c>
      <c r="E64" s="1" t="s">
        <v>77</v>
      </c>
      <c r="F64" s="1" t="s">
        <v>49</v>
      </c>
      <c r="G64" s="1" t="s">
        <v>78</v>
      </c>
      <c r="H64" s="1" t="s">
        <v>79</v>
      </c>
      <c r="I64" s="1" t="s">
        <v>319</v>
      </c>
      <c r="J64" s="1" t="s">
        <v>295</v>
      </c>
      <c r="K64" s="1" t="s">
        <v>38</v>
      </c>
      <c r="L64" s="1" t="s">
        <v>320</v>
      </c>
      <c r="M64" s="2" t="s">
        <v>321</v>
      </c>
      <c r="N64" s="2"/>
      <c r="O64" s="3">
        <v>3</v>
      </c>
      <c r="P64" s="1" t="s">
        <v>322</v>
      </c>
      <c r="Q64" s="1">
        <v>199</v>
      </c>
      <c r="R64" s="1">
        <v>597</v>
      </c>
      <c r="S64" s="1" t="s">
        <v>38</v>
      </c>
      <c r="T64" s="1" t="s">
        <v>323</v>
      </c>
      <c r="U64" s="1" t="s">
        <v>87</v>
      </c>
      <c r="V64" s="1" t="s">
        <v>45</v>
      </c>
      <c r="W64" s="1" t="s">
        <v>38</v>
      </c>
      <c r="X64" t="s">
        <v>38</v>
      </c>
      <c r="Y64" t="s">
        <v>38</v>
      </c>
      <c r="Z64" t="s">
        <v>324</v>
      </c>
    </row>
    <row r="65" spans="1:26" x14ac:dyDescent="0.25">
      <c r="A65" s="1" t="s">
        <v>325</v>
      </c>
      <c r="B65" s="1" t="s">
        <v>326</v>
      </c>
      <c r="C65" s="1" t="s">
        <v>33</v>
      </c>
      <c r="D65" s="1" t="s">
        <v>48</v>
      </c>
      <c r="E65" s="1" t="s">
        <v>77</v>
      </c>
      <c r="F65" s="1" t="s">
        <v>310</v>
      </c>
      <c r="G65" s="1" t="s">
        <v>78</v>
      </c>
      <c r="H65" s="1" t="s">
        <v>91</v>
      </c>
      <c r="I65" s="1" t="s">
        <v>36</v>
      </c>
      <c r="J65" s="1" t="s">
        <v>235</v>
      </c>
      <c r="K65" s="1" t="s">
        <v>38</v>
      </c>
      <c r="L65" s="1" t="s">
        <v>327</v>
      </c>
      <c r="M65" s="2" t="s">
        <v>72</v>
      </c>
      <c r="N65" s="2"/>
      <c r="O65" s="3">
        <v>8</v>
      </c>
      <c r="P65" s="1" t="s">
        <v>93</v>
      </c>
      <c r="Q65" s="1">
        <v>7500</v>
      </c>
      <c r="R65" s="1">
        <v>60000</v>
      </c>
      <c r="S65" s="1" t="s">
        <v>328</v>
      </c>
      <c r="T65" s="1" t="s">
        <v>329</v>
      </c>
      <c r="U65" s="1" t="s">
        <v>116</v>
      </c>
      <c r="V65" s="1" t="s">
        <v>45</v>
      </c>
      <c r="W65" s="1" t="s">
        <v>38</v>
      </c>
      <c r="X65" t="s">
        <v>38</v>
      </c>
      <c r="Y65" t="s">
        <v>38</v>
      </c>
      <c r="Z65" t="s">
        <v>38</v>
      </c>
    </row>
    <row r="66" spans="1:26" x14ac:dyDescent="0.25">
      <c r="A66" s="1" t="s">
        <v>330</v>
      </c>
      <c r="B66" s="1" t="s">
        <v>331</v>
      </c>
      <c r="C66" s="1" t="s">
        <v>77</v>
      </c>
      <c r="D66" s="1" t="s">
        <v>77</v>
      </c>
      <c r="E66" s="1" t="s">
        <v>77</v>
      </c>
      <c r="F66" s="1" t="s">
        <v>58</v>
      </c>
      <c r="G66" s="1" t="s">
        <v>78</v>
      </c>
      <c r="H66" s="1" t="s">
        <v>303</v>
      </c>
      <c r="I66" s="1" t="s">
        <v>294</v>
      </c>
      <c r="J66" s="1" t="s">
        <v>295</v>
      </c>
      <c r="K66" s="1" t="s">
        <v>38</v>
      </c>
      <c r="L66" s="1" t="s">
        <v>296</v>
      </c>
      <c r="M66" s="2" t="s">
        <v>304</v>
      </c>
      <c r="N66" s="2"/>
      <c r="O66" s="3">
        <v>1</v>
      </c>
      <c r="P66" s="1" t="s">
        <v>93</v>
      </c>
      <c r="Q66" s="1">
        <v>295</v>
      </c>
      <c r="R66" s="1">
        <v>295</v>
      </c>
      <c r="S66" s="1" t="s">
        <v>38</v>
      </c>
      <c r="T66" s="1" t="s">
        <v>305</v>
      </c>
      <c r="U66" s="1" t="s">
        <v>332</v>
      </c>
      <c r="V66" s="1" t="s">
        <v>45</v>
      </c>
      <c r="W66" s="1" t="s">
        <v>38</v>
      </c>
      <c r="X66" t="s">
        <v>38</v>
      </c>
      <c r="Y66" t="s">
        <v>38</v>
      </c>
      <c r="Z66" t="s">
        <v>307</v>
      </c>
    </row>
    <row r="67" spans="1:26" x14ac:dyDescent="0.25">
      <c r="A67" s="1" t="s">
        <v>333</v>
      </c>
      <c r="B67" s="1" t="s">
        <v>331</v>
      </c>
      <c r="C67" s="1" t="s">
        <v>77</v>
      </c>
      <c r="D67" s="1" t="s">
        <v>77</v>
      </c>
      <c r="E67" s="1" t="s">
        <v>77</v>
      </c>
      <c r="F67" s="1" t="s">
        <v>58</v>
      </c>
      <c r="G67" s="1" t="s">
        <v>78</v>
      </c>
      <c r="H67" s="1" t="s">
        <v>303</v>
      </c>
      <c r="I67" s="1" t="s">
        <v>294</v>
      </c>
      <c r="J67" s="1" t="s">
        <v>334</v>
      </c>
      <c r="K67" s="1" t="s">
        <v>38</v>
      </c>
      <c r="L67" s="1" t="s">
        <v>335</v>
      </c>
      <c r="M67" s="2" t="s">
        <v>336</v>
      </c>
      <c r="N67" s="2" t="s">
        <v>38</v>
      </c>
      <c r="O67" s="3">
        <v>1</v>
      </c>
      <c r="P67" s="1" t="s">
        <v>93</v>
      </c>
      <c r="Q67" s="1">
        <v>220</v>
      </c>
      <c r="R67" s="1">
        <v>220</v>
      </c>
      <c r="S67" s="1" t="s">
        <v>38</v>
      </c>
      <c r="T67" s="1" t="s">
        <v>305</v>
      </c>
      <c r="U67" s="1" t="s">
        <v>332</v>
      </c>
      <c r="V67" s="1" t="s">
        <v>45</v>
      </c>
      <c r="W67" s="1" t="s">
        <v>38</v>
      </c>
      <c r="X67" t="s">
        <v>38</v>
      </c>
      <c r="Y67" t="s">
        <v>38</v>
      </c>
      <c r="Z67" t="s">
        <v>337</v>
      </c>
    </row>
    <row r="68" spans="1:26" x14ac:dyDescent="0.25">
      <c r="A68" s="1" t="s">
        <v>338</v>
      </c>
      <c r="B68" s="1" t="s">
        <v>339</v>
      </c>
      <c r="C68" s="1" t="s">
        <v>77</v>
      </c>
      <c r="D68" s="1" t="s">
        <v>77</v>
      </c>
      <c r="E68" s="1" t="s">
        <v>77</v>
      </c>
      <c r="F68" s="1" t="s">
        <v>340</v>
      </c>
      <c r="G68" s="1" t="s">
        <v>67</v>
      </c>
      <c r="H68" s="1" t="s">
        <v>68</v>
      </c>
      <c r="I68" s="1" t="s">
        <v>105</v>
      </c>
      <c r="J68" s="1" t="s">
        <v>37</v>
      </c>
      <c r="K68" s="1" t="s">
        <v>38</v>
      </c>
      <c r="L68" s="1" t="s">
        <v>39</v>
      </c>
      <c r="M68" s="2" t="s">
        <v>341</v>
      </c>
      <c r="N68" s="2"/>
      <c r="O68" s="3">
        <v>5</v>
      </c>
      <c r="P68" s="1" t="s">
        <v>41</v>
      </c>
      <c r="Q68" s="1">
        <v>60.75</v>
      </c>
      <c r="R68" s="1">
        <v>303.75</v>
      </c>
      <c r="S68" s="1" t="s">
        <v>38</v>
      </c>
      <c r="T68" s="1" t="s">
        <v>342</v>
      </c>
      <c r="U68" s="1" t="s">
        <v>343</v>
      </c>
      <c r="V68" s="1" t="s">
        <v>45</v>
      </c>
      <c r="W68" s="1" t="s">
        <v>38</v>
      </c>
      <c r="X68" t="s">
        <v>38</v>
      </c>
      <c r="Y68" t="s">
        <v>38</v>
      </c>
      <c r="Z68" t="s">
        <v>344</v>
      </c>
    </row>
    <row r="69" spans="1:26" x14ac:dyDescent="0.25">
      <c r="A69" s="1" t="s">
        <v>345</v>
      </c>
      <c r="B69" s="1" t="s">
        <v>346</v>
      </c>
      <c r="C69" s="1" t="s">
        <v>77</v>
      </c>
      <c r="D69" s="1" t="s">
        <v>77</v>
      </c>
      <c r="E69" s="1" t="s">
        <v>77</v>
      </c>
      <c r="F69" s="1" t="s">
        <v>58</v>
      </c>
      <c r="G69" s="1" t="s">
        <v>34</v>
      </c>
      <c r="H69" s="1" t="s">
        <v>59</v>
      </c>
      <c r="I69" s="1" t="s">
        <v>36</v>
      </c>
      <c r="J69" s="1" t="s">
        <v>37</v>
      </c>
      <c r="K69" s="1" t="s">
        <v>38</v>
      </c>
      <c r="L69" s="1" t="s">
        <v>39</v>
      </c>
      <c r="M69" s="2" t="s">
        <v>60</v>
      </c>
      <c r="N69" s="2"/>
      <c r="O69" s="3">
        <v>2</v>
      </c>
      <c r="P69" s="1" t="s">
        <v>41</v>
      </c>
      <c r="Q69" s="1">
        <v>60.75</v>
      </c>
      <c r="R69" s="1">
        <v>121.5</v>
      </c>
      <c r="S69" s="1" t="s">
        <v>347</v>
      </c>
      <c r="T69" s="1" t="s">
        <v>348</v>
      </c>
      <c r="U69" s="1" t="s">
        <v>349</v>
      </c>
      <c r="V69" s="1" t="s">
        <v>45</v>
      </c>
      <c r="W69" s="1" t="s">
        <v>38</v>
      </c>
      <c r="X69" t="s">
        <v>38</v>
      </c>
      <c r="Y69" t="s">
        <v>38</v>
      </c>
      <c r="Z69" t="s">
        <v>284</v>
      </c>
    </row>
    <row r="70" spans="1:26" x14ac:dyDescent="0.25">
      <c r="A70" s="1" t="s">
        <v>350</v>
      </c>
      <c r="B70" s="1" t="s">
        <v>351</v>
      </c>
      <c r="C70" s="1" t="s">
        <v>77</v>
      </c>
      <c r="D70" s="1" t="s">
        <v>77</v>
      </c>
      <c r="E70" s="1" t="s">
        <v>77</v>
      </c>
      <c r="F70" s="1" t="s">
        <v>352</v>
      </c>
      <c r="G70" s="1" t="s">
        <v>78</v>
      </c>
      <c r="H70" s="1" t="s">
        <v>91</v>
      </c>
      <c r="I70" s="1" t="s">
        <v>36</v>
      </c>
      <c r="J70" s="1" t="s">
        <v>70</v>
      </c>
      <c r="K70" s="1" t="s">
        <v>38</v>
      </c>
      <c r="L70" s="1" t="s">
        <v>353</v>
      </c>
      <c r="M70" s="2" t="s">
        <v>40</v>
      </c>
      <c r="N70" s="2"/>
      <c r="O70" s="3">
        <v>4</v>
      </c>
      <c r="P70" s="1" t="s">
        <v>93</v>
      </c>
      <c r="Q70" s="1">
        <v>140</v>
      </c>
      <c r="R70" s="1">
        <v>560</v>
      </c>
      <c r="S70" s="1" t="s">
        <v>354</v>
      </c>
      <c r="T70" s="1" t="s">
        <v>129</v>
      </c>
      <c r="U70" s="1" t="s">
        <v>355</v>
      </c>
      <c r="V70" s="1" t="s">
        <v>45</v>
      </c>
      <c r="W70" s="1" t="s">
        <v>38</v>
      </c>
      <c r="X70" t="s">
        <v>38</v>
      </c>
      <c r="Y70" t="s">
        <v>38</v>
      </c>
      <c r="Z70" t="s">
        <v>356</v>
      </c>
    </row>
    <row r="71" spans="1:26" x14ac:dyDescent="0.25">
      <c r="A71" s="1" t="s">
        <v>357</v>
      </c>
      <c r="B71" s="1" t="s">
        <v>351</v>
      </c>
      <c r="C71" s="1" t="s">
        <v>77</v>
      </c>
      <c r="D71" s="1" t="s">
        <v>77</v>
      </c>
      <c r="E71" s="1" t="s">
        <v>77</v>
      </c>
      <c r="F71" s="1" t="s">
        <v>352</v>
      </c>
      <c r="G71" s="1" t="s">
        <v>78</v>
      </c>
      <c r="H71" s="1" t="s">
        <v>91</v>
      </c>
      <c r="I71" s="1" t="s">
        <v>36</v>
      </c>
      <c r="J71" s="1" t="s">
        <v>70</v>
      </c>
      <c r="K71" s="1" t="s">
        <v>38</v>
      </c>
      <c r="L71" s="1" t="s">
        <v>358</v>
      </c>
      <c r="M71" s="2" t="s">
        <v>359</v>
      </c>
      <c r="N71" s="2"/>
      <c r="O71" s="3">
        <v>1</v>
      </c>
      <c r="P71" s="1" t="s">
        <v>360</v>
      </c>
      <c r="Q71" s="1">
        <v>1300</v>
      </c>
      <c r="R71" s="1">
        <v>1300</v>
      </c>
      <c r="S71" s="1" t="s">
        <v>354</v>
      </c>
      <c r="T71" s="1" t="s">
        <v>129</v>
      </c>
      <c r="U71" s="1" t="s">
        <v>355</v>
      </c>
      <c r="V71" s="1" t="s">
        <v>45</v>
      </c>
      <c r="W71" s="1" t="s">
        <v>38</v>
      </c>
      <c r="X71" t="s">
        <v>38</v>
      </c>
      <c r="Y71" t="s">
        <v>38</v>
      </c>
      <c r="Z71" t="s">
        <v>359</v>
      </c>
    </row>
    <row r="72" spans="1:26" x14ac:dyDescent="0.25">
      <c r="A72" s="1" t="s">
        <v>361</v>
      </c>
      <c r="B72" s="1" t="s">
        <v>351</v>
      </c>
      <c r="C72" s="1" t="s">
        <v>77</v>
      </c>
      <c r="D72" s="1" t="s">
        <v>77</v>
      </c>
      <c r="E72" s="1" t="s">
        <v>77</v>
      </c>
      <c r="F72" s="1" t="s">
        <v>352</v>
      </c>
      <c r="G72" s="1" t="s">
        <v>78</v>
      </c>
      <c r="H72" s="1" t="s">
        <v>91</v>
      </c>
      <c r="I72" s="1" t="s">
        <v>36</v>
      </c>
      <c r="J72" s="1" t="s">
        <v>70</v>
      </c>
      <c r="K72" s="1" t="s">
        <v>38</v>
      </c>
      <c r="L72" s="1" t="s">
        <v>99</v>
      </c>
      <c r="M72" s="2" t="s">
        <v>362</v>
      </c>
      <c r="N72" s="2"/>
      <c r="O72" s="3">
        <v>6</v>
      </c>
      <c r="P72" s="1" t="s">
        <v>93</v>
      </c>
      <c r="Q72" s="1">
        <v>5.5</v>
      </c>
      <c r="R72" s="1">
        <v>33</v>
      </c>
      <c r="S72" s="1" t="s">
        <v>354</v>
      </c>
      <c r="T72" s="1" t="s">
        <v>129</v>
      </c>
      <c r="U72" s="1" t="s">
        <v>355</v>
      </c>
      <c r="V72" s="1" t="s">
        <v>45</v>
      </c>
      <c r="W72" s="1" t="s">
        <v>38</v>
      </c>
      <c r="X72" t="s">
        <v>38</v>
      </c>
      <c r="Y72" t="s">
        <v>38</v>
      </c>
      <c r="Z72" t="s">
        <v>363</v>
      </c>
    </row>
    <row r="73" spans="1:26" x14ac:dyDescent="0.25">
      <c r="A73" s="1" t="s">
        <v>364</v>
      </c>
      <c r="B73" s="1" t="s">
        <v>365</v>
      </c>
      <c r="C73" s="1" t="s">
        <v>66</v>
      </c>
      <c r="D73" s="1" t="s">
        <v>77</v>
      </c>
      <c r="E73" s="1" t="s">
        <v>77</v>
      </c>
      <c r="F73" s="1" t="s">
        <v>340</v>
      </c>
      <c r="G73" s="1" t="s">
        <v>78</v>
      </c>
      <c r="H73" s="1" t="s">
        <v>68</v>
      </c>
      <c r="I73" s="1" t="s">
        <v>36</v>
      </c>
      <c r="J73" s="1" t="s">
        <v>70</v>
      </c>
      <c r="K73" s="1" t="s">
        <v>38</v>
      </c>
      <c r="L73" s="1" t="s">
        <v>142</v>
      </c>
      <c r="M73" s="2" t="s">
        <v>72</v>
      </c>
      <c r="N73" s="2"/>
      <c r="O73" s="3">
        <v>1</v>
      </c>
      <c r="P73" s="1" t="s">
        <v>366</v>
      </c>
      <c r="Q73" s="1">
        <v>3180</v>
      </c>
      <c r="R73" s="1">
        <v>3180</v>
      </c>
      <c r="S73" s="1" t="s">
        <v>367</v>
      </c>
      <c r="T73" s="1" t="s">
        <v>368</v>
      </c>
      <c r="U73" s="1" t="s">
        <v>369</v>
      </c>
      <c r="V73" s="1" t="s">
        <v>45</v>
      </c>
      <c r="W73" s="1" t="s">
        <v>38</v>
      </c>
      <c r="X73" t="s">
        <v>38</v>
      </c>
      <c r="Y73" t="s">
        <v>38</v>
      </c>
    </row>
    <row r="74" spans="1:26" x14ac:dyDescent="0.25">
      <c r="A74" s="1" t="s">
        <v>370</v>
      </c>
      <c r="B74" s="1" t="s">
        <v>371</v>
      </c>
      <c r="C74" s="1" t="s">
        <v>77</v>
      </c>
      <c r="D74" s="1" t="s">
        <v>77</v>
      </c>
      <c r="E74" s="1" t="s">
        <v>77</v>
      </c>
      <c r="F74" s="1" t="s">
        <v>352</v>
      </c>
      <c r="G74" s="1" t="s">
        <v>78</v>
      </c>
      <c r="H74" s="1" t="s">
        <v>104</v>
      </c>
      <c r="I74" s="1" t="s">
        <v>69</v>
      </c>
      <c r="J74" s="1" t="s">
        <v>70</v>
      </c>
      <c r="K74" s="1" t="s">
        <v>38</v>
      </c>
      <c r="L74" s="1" t="s">
        <v>372</v>
      </c>
      <c r="M74" s="2" t="s">
        <v>373</v>
      </c>
      <c r="N74" s="2"/>
      <c r="O74" s="3">
        <v>1</v>
      </c>
      <c r="P74" s="1" t="s">
        <v>374</v>
      </c>
      <c r="Q74" s="1">
        <v>345</v>
      </c>
      <c r="R74" s="1">
        <v>345</v>
      </c>
      <c r="S74" s="1"/>
      <c r="T74" s="1" t="s">
        <v>375</v>
      </c>
      <c r="U74" s="1" t="s">
        <v>376</v>
      </c>
      <c r="V74" s="1" t="s">
        <v>45</v>
      </c>
      <c r="W74" s="1" t="s">
        <v>38</v>
      </c>
      <c r="X74" t="s">
        <v>38</v>
      </c>
      <c r="Y74" t="s">
        <v>38</v>
      </c>
      <c r="Z74" t="s">
        <v>377</v>
      </c>
    </row>
    <row r="75" spans="1:26" x14ac:dyDescent="0.25">
      <c r="A75" s="1" t="s">
        <v>378</v>
      </c>
      <c r="B75" s="1" t="s">
        <v>371</v>
      </c>
      <c r="C75" s="1" t="s">
        <v>77</v>
      </c>
      <c r="D75" s="1" t="s">
        <v>77</v>
      </c>
      <c r="E75" s="1" t="s">
        <v>77</v>
      </c>
      <c r="F75" s="1" t="s">
        <v>352</v>
      </c>
      <c r="G75" s="1" t="s">
        <v>78</v>
      </c>
      <c r="H75" s="1" t="s">
        <v>104</v>
      </c>
      <c r="I75" s="1" t="s">
        <v>69</v>
      </c>
      <c r="J75" s="1" t="s">
        <v>70</v>
      </c>
      <c r="K75" s="1" t="s">
        <v>38</v>
      </c>
      <c r="L75" s="1" t="s">
        <v>379</v>
      </c>
      <c r="M75" s="2" t="s">
        <v>380</v>
      </c>
      <c r="N75" s="2" t="s">
        <v>38</v>
      </c>
      <c r="O75" s="3">
        <v>1</v>
      </c>
      <c r="P75" s="1" t="s">
        <v>381</v>
      </c>
      <c r="Q75" s="1">
        <v>260</v>
      </c>
      <c r="R75" s="1">
        <v>260</v>
      </c>
      <c r="S75" s="1"/>
      <c r="T75" s="1" t="s">
        <v>375</v>
      </c>
      <c r="U75" s="1" t="s">
        <v>376</v>
      </c>
      <c r="V75" s="1" t="s">
        <v>45</v>
      </c>
      <c r="W75" s="1" t="s">
        <v>38</v>
      </c>
      <c r="X75" t="s">
        <v>38</v>
      </c>
      <c r="Y75" t="s">
        <v>38</v>
      </c>
      <c r="Z75" t="s">
        <v>382</v>
      </c>
    </row>
    <row r="76" spans="1:26" x14ac:dyDescent="0.25">
      <c r="A76" s="1" t="s">
        <v>383</v>
      </c>
      <c r="B76" s="1" t="s">
        <v>384</v>
      </c>
      <c r="C76" s="1" t="s">
        <v>66</v>
      </c>
      <c r="D76" s="1" t="s">
        <v>77</v>
      </c>
      <c r="E76" s="1" t="s">
        <v>77</v>
      </c>
      <c r="F76" s="1" t="s">
        <v>340</v>
      </c>
      <c r="G76" s="1" t="s">
        <v>78</v>
      </c>
      <c r="H76" s="1" t="s">
        <v>68</v>
      </c>
      <c r="I76" s="1" t="s">
        <v>36</v>
      </c>
      <c r="J76" s="1" t="s">
        <v>70</v>
      </c>
      <c r="K76" s="1" t="s">
        <v>38</v>
      </c>
      <c r="L76" s="1" t="s">
        <v>142</v>
      </c>
      <c r="M76" s="2" t="s">
        <v>72</v>
      </c>
      <c r="N76" s="2"/>
      <c r="O76" s="3">
        <v>1</v>
      </c>
      <c r="P76" s="1" t="s">
        <v>366</v>
      </c>
      <c r="Q76" s="1">
        <v>3180</v>
      </c>
      <c r="R76" s="1">
        <v>3180</v>
      </c>
      <c r="S76" s="1" t="s">
        <v>385</v>
      </c>
      <c r="T76" s="1" t="s">
        <v>368</v>
      </c>
      <c r="U76" s="1" t="s">
        <v>369</v>
      </c>
      <c r="V76" s="1" t="s">
        <v>45</v>
      </c>
      <c r="W76" s="1" t="s">
        <v>38</v>
      </c>
      <c r="X76" t="s">
        <v>38</v>
      </c>
      <c r="Y76" t="s">
        <v>38</v>
      </c>
    </row>
    <row r="77" spans="1:26" x14ac:dyDescent="0.25">
      <c r="A77" s="1" t="s">
        <v>386</v>
      </c>
      <c r="B77" s="1" t="s">
        <v>387</v>
      </c>
      <c r="C77" s="1" t="s">
        <v>77</v>
      </c>
      <c r="D77" s="1" t="s">
        <v>77</v>
      </c>
      <c r="E77" s="1" t="s">
        <v>77</v>
      </c>
      <c r="F77" s="1" t="s">
        <v>340</v>
      </c>
      <c r="G77" s="1" t="s">
        <v>78</v>
      </c>
      <c r="H77" s="1" t="s">
        <v>68</v>
      </c>
      <c r="I77" s="1" t="s">
        <v>36</v>
      </c>
      <c r="J77" s="1" t="s">
        <v>70</v>
      </c>
      <c r="K77" s="1" t="s">
        <v>38</v>
      </c>
      <c r="L77" s="1" t="s">
        <v>152</v>
      </c>
      <c r="M77" s="2" t="s">
        <v>388</v>
      </c>
      <c r="N77" s="2"/>
      <c r="O77" s="3">
        <v>2</v>
      </c>
      <c r="P77" s="1" t="s">
        <v>93</v>
      </c>
      <c r="Q77" s="1">
        <v>400</v>
      </c>
      <c r="R77" s="1">
        <v>800</v>
      </c>
      <c r="S77" s="1" t="s">
        <v>389</v>
      </c>
      <c r="T77" s="1" t="s">
        <v>390</v>
      </c>
      <c r="U77" s="1" t="s">
        <v>391</v>
      </c>
      <c r="V77" s="1" t="s">
        <v>45</v>
      </c>
      <c r="W77" s="1" t="s">
        <v>38</v>
      </c>
      <c r="X77" t="s">
        <v>38</v>
      </c>
      <c r="Y77" t="s">
        <v>38</v>
      </c>
      <c r="Z77" t="s">
        <v>388</v>
      </c>
    </row>
    <row r="78" spans="1:26" x14ac:dyDescent="0.25">
      <c r="A78" s="1" t="s">
        <v>392</v>
      </c>
      <c r="B78" s="1" t="s">
        <v>387</v>
      </c>
      <c r="C78" s="1" t="s">
        <v>77</v>
      </c>
      <c r="D78" s="1" t="s">
        <v>77</v>
      </c>
      <c r="E78" s="1" t="s">
        <v>77</v>
      </c>
      <c r="F78" s="1" t="s">
        <v>340</v>
      </c>
      <c r="G78" s="1" t="s">
        <v>78</v>
      </c>
      <c r="H78" s="1" t="s">
        <v>68</v>
      </c>
      <c r="I78" s="1" t="s">
        <v>36</v>
      </c>
      <c r="J78" s="1" t="s">
        <v>70</v>
      </c>
      <c r="K78" s="1" t="s">
        <v>38</v>
      </c>
      <c r="L78" s="1" t="s">
        <v>152</v>
      </c>
      <c r="M78" s="2" t="s">
        <v>393</v>
      </c>
      <c r="N78" s="2"/>
      <c r="O78" s="3">
        <v>2</v>
      </c>
      <c r="P78" s="1" t="s">
        <v>93</v>
      </c>
      <c r="Q78" s="1">
        <v>790</v>
      </c>
      <c r="R78" s="1">
        <v>1580</v>
      </c>
      <c r="S78" s="1" t="s">
        <v>389</v>
      </c>
      <c r="T78" s="1" t="s">
        <v>390</v>
      </c>
      <c r="U78" s="1" t="s">
        <v>391</v>
      </c>
      <c r="V78" s="1" t="s">
        <v>45</v>
      </c>
      <c r="W78" s="1" t="s">
        <v>38</v>
      </c>
      <c r="X78" t="s">
        <v>38</v>
      </c>
      <c r="Y78" t="s">
        <v>38</v>
      </c>
      <c r="Z78" t="s">
        <v>393</v>
      </c>
    </row>
    <row r="79" spans="1:26" x14ac:dyDescent="0.25">
      <c r="A79" s="1" t="s">
        <v>394</v>
      </c>
      <c r="B79" s="1" t="s">
        <v>395</v>
      </c>
      <c r="C79" s="1" t="s">
        <v>66</v>
      </c>
      <c r="D79" s="1" t="s">
        <v>77</v>
      </c>
      <c r="E79" s="1" t="s">
        <v>310</v>
      </c>
      <c r="F79" s="1" t="s">
        <v>49</v>
      </c>
      <c r="G79" s="1" t="s">
        <v>67</v>
      </c>
      <c r="H79" s="1" t="s">
        <v>68</v>
      </c>
      <c r="I79" s="1" t="s">
        <v>105</v>
      </c>
      <c r="J79" s="1" t="s">
        <v>70</v>
      </c>
      <c r="K79" s="1" t="s">
        <v>38</v>
      </c>
      <c r="L79" s="1" t="s">
        <v>257</v>
      </c>
      <c r="M79" s="2" t="s">
        <v>396</v>
      </c>
      <c r="N79" s="2"/>
      <c r="O79" s="3">
        <v>6</v>
      </c>
      <c r="P79" s="1" t="s">
        <v>93</v>
      </c>
      <c r="Q79" s="1">
        <v>407</v>
      </c>
      <c r="R79" s="1">
        <v>2442</v>
      </c>
      <c r="S79" s="1" t="s">
        <v>38</v>
      </c>
      <c r="T79" s="1" t="s">
        <v>397</v>
      </c>
      <c r="U79" s="1" t="s">
        <v>221</v>
      </c>
      <c r="V79" s="1" t="s">
        <v>45</v>
      </c>
      <c r="W79" s="1" t="s">
        <v>38</v>
      </c>
      <c r="X79" t="s">
        <v>38</v>
      </c>
      <c r="Y79" t="s">
        <v>38</v>
      </c>
      <c r="Z79" t="s">
        <v>398</v>
      </c>
    </row>
    <row r="80" spans="1:26" x14ac:dyDescent="0.25">
      <c r="A80" s="1" t="s">
        <v>399</v>
      </c>
      <c r="B80" s="1" t="s">
        <v>395</v>
      </c>
      <c r="C80" s="1" t="s">
        <v>66</v>
      </c>
      <c r="D80" s="1" t="s">
        <v>77</v>
      </c>
      <c r="E80" s="1" t="s">
        <v>310</v>
      </c>
      <c r="F80" s="1" t="s">
        <v>49</v>
      </c>
      <c r="G80" s="1" t="s">
        <v>67</v>
      </c>
      <c r="H80" s="1" t="s">
        <v>68</v>
      </c>
      <c r="I80" s="1" t="s">
        <v>105</v>
      </c>
      <c r="J80" s="1" t="s">
        <v>70</v>
      </c>
      <c r="K80" s="1" t="s">
        <v>38</v>
      </c>
      <c r="L80" s="1" t="s">
        <v>244</v>
      </c>
      <c r="M80" s="2" t="s">
        <v>400</v>
      </c>
      <c r="N80" s="2" t="s">
        <v>38</v>
      </c>
      <c r="O80" s="3">
        <v>1</v>
      </c>
      <c r="P80" s="1" t="s">
        <v>366</v>
      </c>
      <c r="Q80" s="1">
        <v>3720</v>
      </c>
      <c r="R80" s="1">
        <v>3720</v>
      </c>
      <c r="S80" s="1" t="s">
        <v>38</v>
      </c>
      <c r="T80" s="1" t="s">
        <v>397</v>
      </c>
      <c r="U80" s="1" t="s">
        <v>221</v>
      </c>
      <c r="V80" s="1" t="s">
        <v>45</v>
      </c>
      <c r="W80" s="1" t="s">
        <v>38</v>
      </c>
      <c r="X80" t="s">
        <v>38</v>
      </c>
      <c r="Y80" t="s">
        <v>38</v>
      </c>
      <c r="Z80" t="s">
        <v>400</v>
      </c>
    </row>
    <row r="81" spans="1:26" x14ac:dyDescent="0.25">
      <c r="A81" s="1" t="s">
        <v>401</v>
      </c>
      <c r="B81" s="1" t="s">
        <v>402</v>
      </c>
      <c r="C81" s="1" t="s">
        <v>48</v>
      </c>
      <c r="D81" s="1" t="s">
        <v>77</v>
      </c>
      <c r="E81" s="1" t="s">
        <v>58</v>
      </c>
      <c r="F81" s="1" t="s">
        <v>310</v>
      </c>
      <c r="G81" s="1" t="s">
        <v>34</v>
      </c>
      <c r="H81" s="1" t="s">
        <v>403</v>
      </c>
      <c r="I81" s="1" t="s">
        <v>404</v>
      </c>
      <c r="J81" s="1" t="s">
        <v>295</v>
      </c>
      <c r="K81" s="1" t="s">
        <v>38</v>
      </c>
      <c r="L81" s="1" t="s">
        <v>405</v>
      </c>
      <c r="M81" s="2" t="s">
        <v>406</v>
      </c>
      <c r="N81" s="2"/>
      <c r="O81" s="3">
        <v>1</v>
      </c>
      <c r="P81" s="1" t="s">
        <v>143</v>
      </c>
      <c r="Q81" s="1">
        <v>561.75</v>
      </c>
      <c r="R81" s="1">
        <v>561.75</v>
      </c>
      <c r="S81" s="1" t="s">
        <v>38</v>
      </c>
      <c r="T81" s="1" t="s">
        <v>407</v>
      </c>
      <c r="U81" s="1" t="s">
        <v>408</v>
      </c>
      <c r="V81" s="1" t="s">
        <v>45</v>
      </c>
      <c r="W81" s="1" t="s">
        <v>38</v>
      </c>
      <c r="X81" t="s">
        <v>38</v>
      </c>
      <c r="Y81" t="s">
        <v>38</v>
      </c>
      <c r="Z81" t="s">
        <v>409</v>
      </c>
    </row>
    <row r="82" spans="1:26" x14ac:dyDescent="0.25">
      <c r="A82" s="1" t="s">
        <v>410</v>
      </c>
      <c r="B82" s="1" t="s">
        <v>411</v>
      </c>
      <c r="C82" s="1" t="s">
        <v>77</v>
      </c>
      <c r="D82" s="1" t="s">
        <v>412</v>
      </c>
      <c r="E82" s="1" t="s">
        <v>340</v>
      </c>
      <c r="F82" s="1" t="s">
        <v>49</v>
      </c>
      <c r="G82" s="1" t="s">
        <v>78</v>
      </c>
      <c r="H82" s="1" t="s">
        <v>68</v>
      </c>
      <c r="I82" s="1" t="s">
        <v>36</v>
      </c>
      <c r="J82" s="1" t="s">
        <v>413</v>
      </c>
      <c r="K82" s="1" t="s">
        <v>38</v>
      </c>
      <c r="L82" s="1" t="s">
        <v>414</v>
      </c>
      <c r="M82" s="2" t="s">
        <v>415</v>
      </c>
      <c r="N82" s="2" t="s">
        <v>38</v>
      </c>
      <c r="O82" s="3">
        <v>2</v>
      </c>
      <c r="P82" s="1" t="s">
        <v>93</v>
      </c>
      <c r="Q82" s="1">
        <v>690</v>
      </c>
      <c r="R82" s="1">
        <v>1380</v>
      </c>
      <c r="S82" s="1" t="s">
        <v>389</v>
      </c>
      <c r="T82" s="1" t="s">
        <v>390</v>
      </c>
      <c r="U82" s="1" t="s">
        <v>391</v>
      </c>
      <c r="V82" s="1" t="s">
        <v>45</v>
      </c>
      <c r="W82" s="1" t="s">
        <v>38</v>
      </c>
      <c r="X82" t="s">
        <v>38</v>
      </c>
      <c r="Y82" t="s">
        <v>38</v>
      </c>
      <c r="Z82" t="s">
        <v>416</v>
      </c>
    </row>
    <row r="83" spans="1:26" x14ac:dyDescent="0.25">
      <c r="A83" s="1" t="s">
        <v>417</v>
      </c>
      <c r="B83" s="1" t="s">
        <v>418</v>
      </c>
      <c r="C83" s="1" t="s">
        <v>340</v>
      </c>
      <c r="D83" s="1" t="s">
        <v>340</v>
      </c>
      <c r="E83" s="1" t="s">
        <v>340</v>
      </c>
      <c r="F83" s="1" t="s">
        <v>352</v>
      </c>
      <c r="G83" s="1" t="s">
        <v>78</v>
      </c>
      <c r="H83" s="1" t="s">
        <v>104</v>
      </c>
      <c r="I83" s="1" t="s">
        <v>69</v>
      </c>
      <c r="J83" s="1" t="s">
        <v>70</v>
      </c>
      <c r="K83" s="1" t="s">
        <v>38</v>
      </c>
      <c r="L83" s="1" t="s">
        <v>419</v>
      </c>
      <c r="M83" s="2" t="s">
        <v>420</v>
      </c>
      <c r="N83" s="2"/>
      <c r="O83" s="3">
        <v>10</v>
      </c>
      <c r="P83" s="1" t="s">
        <v>381</v>
      </c>
      <c r="Q83" s="1">
        <v>64</v>
      </c>
      <c r="R83" s="1">
        <v>640</v>
      </c>
      <c r="S83" s="1" t="s">
        <v>38</v>
      </c>
      <c r="T83" s="1" t="s">
        <v>421</v>
      </c>
      <c r="U83" s="1" t="s">
        <v>193</v>
      </c>
      <c r="V83" s="1" t="s">
        <v>45</v>
      </c>
      <c r="W83" s="1" t="s">
        <v>38</v>
      </c>
      <c r="X83" t="s">
        <v>38</v>
      </c>
      <c r="Y83" t="s">
        <v>38</v>
      </c>
      <c r="Z83" t="s">
        <v>420</v>
      </c>
    </row>
    <row r="84" spans="1:26" x14ac:dyDescent="0.25">
      <c r="A84" s="1" t="s">
        <v>422</v>
      </c>
      <c r="B84" s="1" t="s">
        <v>423</v>
      </c>
      <c r="C84" s="1" t="s">
        <v>340</v>
      </c>
      <c r="D84" s="1" t="s">
        <v>340</v>
      </c>
      <c r="E84" s="1" t="s">
        <v>340</v>
      </c>
      <c r="F84" s="1" t="s">
        <v>352</v>
      </c>
      <c r="G84" s="1" t="s">
        <v>78</v>
      </c>
      <c r="H84" s="1" t="s">
        <v>91</v>
      </c>
      <c r="I84" s="1" t="s">
        <v>36</v>
      </c>
      <c r="J84" s="1" t="s">
        <v>70</v>
      </c>
      <c r="K84" s="1" t="s">
        <v>38</v>
      </c>
      <c r="L84" s="1" t="s">
        <v>424</v>
      </c>
      <c r="M84" s="2" t="s">
        <v>425</v>
      </c>
      <c r="N84" s="2"/>
      <c r="O84" s="3">
        <v>6</v>
      </c>
      <c r="P84" s="1" t="s">
        <v>93</v>
      </c>
      <c r="Q84" s="1">
        <v>450</v>
      </c>
      <c r="R84" s="1">
        <v>2700</v>
      </c>
      <c r="S84" s="1" t="s">
        <v>426</v>
      </c>
      <c r="T84" s="1" t="s">
        <v>427</v>
      </c>
      <c r="U84" s="1" t="s">
        <v>428</v>
      </c>
      <c r="V84" s="1" t="s">
        <v>45</v>
      </c>
      <c r="W84" s="1" t="s">
        <v>38</v>
      </c>
      <c r="X84" t="s">
        <v>38</v>
      </c>
      <c r="Y84" t="s">
        <v>38</v>
      </c>
      <c r="Z84" t="s">
        <v>425</v>
      </c>
    </row>
    <row r="85" spans="1:26" x14ac:dyDescent="0.25">
      <c r="A85" s="1" t="s">
        <v>429</v>
      </c>
      <c r="B85" s="1" t="s">
        <v>430</v>
      </c>
      <c r="C85" s="1" t="s">
        <v>48</v>
      </c>
      <c r="D85" s="1" t="s">
        <v>77</v>
      </c>
      <c r="E85" s="1" t="s">
        <v>58</v>
      </c>
      <c r="F85" s="1" t="s">
        <v>310</v>
      </c>
      <c r="G85" s="1" t="s">
        <v>34</v>
      </c>
      <c r="H85" s="1" t="s">
        <v>403</v>
      </c>
      <c r="I85" s="1" t="s">
        <v>319</v>
      </c>
      <c r="J85" s="1" t="s">
        <v>295</v>
      </c>
      <c r="K85" s="1" t="s">
        <v>38</v>
      </c>
      <c r="L85" s="1" t="s">
        <v>431</v>
      </c>
      <c r="M85" s="2" t="s">
        <v>432</v>
      </c>
      <c r="N85" s="2"/>
      <c r="O85" s="3">
        <v>4</v>
      </c>
      <c r="P85" s="1" t="s">
        <v>322</v>
      </c>
      <c r="Q85" s="1">
        <v>215</v>
      </c>
      <c r="R85" s="1">
        <v>860</v>
      </c>
      <c r="S85" s="1" t="s">
        <v>38</v>
      </c>
      <c r="T85" s="1" t="s">
        <v>433</v>
      </c>
      <c r="U85" s="1" t="s">
        <v>408</v>
      </c>
      <c r="V85" s="1" t="s">
        <v>45</v>
      </c>
      <c r="W85" s="1" t="s">
        <v>38</v>
      </c>
      <c r="X85" t="s">
        <v>38</v>
      </c>
      <c r="Y85" t="s">
        <v>38</v>
      </c>
      <c r="Z85" t="s">
        <v>434</v>
      </c>
    </row>
    <row r="86" spans="1:26" x14ac:dyDescent="0.25">
      <c r="A86" s="1" t="s">
        <v>435</v>
      </c>
      <c r="B86" s="1" t="s">
        <v>430</v>
      </c>
      <c r="C86" s="1" t="s">
        <v>48</v>
      </c>
      <c r="D86" s="1" t="s">
        <v>77</v>
      </c>
      <c r="E86" s="1" t="s">
        <v>58</v>
      </c>
      <c r="F86" s="1" t="s">
        <v>310</v>
      </c>
      <c r="G86" s="1" t="s">
        <v>34</v>
      </c>
      <c r="H86" s="1" t="s">
        <v>403</v>
      </c>
      <c r="I86" s="1" t="s">
        <v>319</v>
      </c>
      <c r="J86" s="1" t="s">
        <v>295</v>
      </c>
      <c r="K86" s="1" t="s">
        <v>38</v>
      </c>
      <c r="L86" s="1" t="s">
        <v>431</v>
      </c>
      <c r="M86" s="2" t="s">
        <v>436</v>
      </c>
      <c r="N86" s="2"/>
      <c r="O86" s="3">
        <v>1</v>
      </c>
      <c r="P86" s="1" t="s">
        <v>322</v>
      </c>
      <c r="Q86" s="1">
        <v>246</v>
      </c>
      <c r="R86" s="1">
        <v>246</v>
      </c>
      <c r="S86" s="1" t="s">
        <v>38</v>
      </c>
      <c r="T86" s="1" t="s">
        <v>433</v>
      </c>
      <c r="U86" s="1" t="s">
        <v>408</v>
      </c>
      <c r="V86" s="1" t="s">
        <v>45</v>
      </c>
      <c r="W86" s="1" t="s">
        <v>38</v>
      </c>
      <c r="X86" t="s">
        <v>38</v>
      </c>
      <c r="Y86" t="s">
        <v>38</v>
      </c>
      <c r="Z86" t="s">
        <v>437</v>
      </c>
    </row>
    <row r="87" spans="1:26" x14ac:dyDescent="0.25">
      <c r="A87" s="1" t="s">
        <v>438</v>
      </c>
      <c r="B87" s="1" t="s">
        <v>430</v>
      </c>
      <c r="C87" s="1" t="s">
        <v>48</v>
      </c>
      <c r="D87" s="1" t="s">
        <v>77</v>
      </c>
      <c r="E87" s="1" t="s">
        <v>58</v>
      </c>
      <c r="F87" s="1" t="s">
        <v>310</v>
      </c>
      <c r="G87" s="1" t="s">
        <v>34</v>
      </c>
      <c r="H87" s="1" t="s">
        <v>403</v>
      </c>
      <c r="I87" s="1" t="s">
        <v>319</v>
      </c>
      <c r="J87" s="1" t="s">
        <v>295</v>
      </c>
      <c r="K87" s="1" t="s">
        <v>38</v>
      </c>
      <c r="L87" s="1" t="s">
        <v>431</v>
      </c>
      <c r="M87" s="2" t="s">
        <v>439</v>
      </c>
      <c r="N87" s="2"/>
      <c r="O87" s="3">
        <v>1</v>
      </c>
      <c r="P87" s="1" t="s">
        <v>322</v>
      </c>
      <c r="Q87" s="1">
        <v>224</v>
      </c>
      <c r="R87" s="1">
        <v>224</v>
      </c>
      <c r="S87" s="1" t="s">
        <v>38</v>
      </c>
      <c r="T87" s="1" t="s">
        <v>433</v>
      </c>
      <c r="U87" s="1" t="s">
        <v>408</v>
      </c>
      <c r="V87" s="1" t="s">
        <v>45</v>
      </c>
      <c r="W87" s="1" t="s">
        <v>38</v>
      </c>
      <c r="X87" t="s">
        <v>38</v>
      </c>
      <c r="Y87" t="s">
        <v>38</v>
      </c>
      <c r="Z87" t="s">
        <v>440</v>
      </c>
    </row>
    <row r="88" spans="1:26" x14ac:dyDescent="0.25">
      <c r="A88" s="1" t="s">
        <v>441</v>
      </c>
      <c r="B88" s="1" t="s">
        <v>430</v>
      </c>
      <c r="C88" s="1" t="s">
        <v>48</v>
      </c>
      <c r="D88" s="1" t="s">
        <v>77</v>
      </c>
      <c r="E88" s="1" t="s">
        <v>58</v>
      </c>
      <c r="F88" s="1" t="s">
        <v>310</v>
      </c>
      <c r="G88" s="1" t="s">
        <v>34</v>
      </c>
      <c r="H88" s="1" t="s">
        <v>403</v>
      </c>
      <c r="I88" s="1" t="s">
        <v>319</v>
      </c>
      <c r="J88" s="1" t="s">
        <v>295</v>
      </c>
      <c r="K88" s="1" t="s">
        <v>38</v>
      </c>
      <c r="L88" s="1" t="s">
        <v>442</v>
      </c>
      <c r="M88" s="2" t="s">
        <v>443</v>
      </c>
      <c r="N88" s="2"/>
      <c r="O88" s="3">
        <v>1</v>
      </c>
      <c r="P88" s="1" t="s">
        <v>444</v>
      </c>
      <c r="Q88" s="1">
        <v>21</v>
      </c>
      <c r="R88" s="1">
        <v>21</v>
      </c>
      <c r="S88" s="1" t="s">
        <v>38</v>
      </c>
      <c r="T88" s="1" t="s">
        <v>433</v>
      </c>
      <c r="U88" s="1" t="s">
        <v>408</v>
      </c>
      <c r="V88" s="1" t="s">
        <v>45</v>
      </c>
      <c r="W88" s="1" t="s">
        <v>38</v>
      </c>
      <c r="X88" t="s">
        <v>38</v>
      </c>
      <c r="Y88" t="s">
        <v>38</v>
      </c>
      <c r="Z88" t="s">
        <v>443</v>
      </c>
    </row>
    <row r="89" spans="1:26" x14ac:dyDescent="0.25">
      <c r="A89" s="1" t="s">
        <v>445</v>
      </c>
      <c r="B89" s="1" t="s">
        <v>430</v>
      </c>
      <c r="C89" s="1" t="s">
        <v>48</v>
      </c>
      <c r="D89" s="1" t="s">
        <v>77</v>
      </c>
      <c r="E89" s="1" t="s">
        <v>58</v>
      </c>
      <c r="F89" s="1" t="s">
        <v>310</v>
      </c>
      <c r="G89" s="1" t="s">
        <v>34</v>
      </c>
      <c r="H89" s="1" t="s">
        <v>403</v>
      </c>
      <c r="I89" s="1" t="s">
        <v>319</v>
      </c>
      <c r="J89" s="1" t="s">
        <v>295</v>
      </c>
      <c r="K89" s="1" t="s">
        <v>38</v>
      </c>
      <c r="L89" s="1" t="s">
        <v>446</v>
      </c>
      <c r="M89" s="2" t="s">
        <v>447</v>
      </c>
      <c r="N89" s="2"/>
      <c r="O89" s="3">
        <v>1</v>
      </c>
      <c r="P89" s="1" t="s">
        <v>93</v>
      </c>
      <c r="Q89" s="1">
        <v>60</v>
      </c>
      <c r="R89" s="1">
        <v>60</v>
      </c>
      <c r="S89" s="1" t="s">
        <v>38</v>
      </c>
      <c r="T89" s="1" t="s">
        <v>433</v>
      </c>
      <c r="U89" s="1" t="s">
        <v>408</v>
      </c>
      <c r="V89" s="1" t="s">
        <v>45</v>
      </c>
      <c r="W89" s="1" t="s">
        <v>38</v>
      </c>
      <c r="X89" t="s">
        <v>38</v>
      </c>
      <c r="Y89" t="s">
        <v>38</v>
      </c>
      <c r="Z89" t="s">
        <v>448</v>
      </c>
    </row>
    <row r="90" spans="1:26" x14ac:dyDescent="0.25">
      <c r="A90" s="1" t="s">
        <v>449</v>
      </c>
      <c r="B90" s="1" t="s">
        <v>430</v>
      </c>
      <c r="C90" s="1" t="s">
        <v>48</v>
      </c>
      <c r="D90" s="1" t="s">
        <v>77</v>
      </c>
      <c r="E90" s="1" t="s">
        <v>58</v>
      </c>
      <c r="F90" s="1" t="s">
        <v>310</v>
      </c>
      <c r="G90" s="1" t="s">
        <v>34</v>
      </c>
      <c r="H90" s="1" t="s">
        <v>403</v>
      </c>
      <c r="I90" s="1" t="s">
        <v>319</v>
      </c>
      <c r="J90" s="1" t="s">
        <v>295</v>
      </c>
      <c r="K90" s="1" t="s">
        <v>38</v>
      </c>
      <c r="L90" s="1" t="s">
        <v>450</v>
      </c>
      <c r="M90" s="2" t="s">
        <v>451</v>
      </c>
      <c r="N90" s="2"/>
      <c r="O90" s="3">
        <v>5</v>
      </c>
      <c r="P90" s="1" t="s">
        <v>93</v>
      </c>
      <c r="Q90" s="1">
        <v>75</v>
      </c>
      <c r="R90" s="1">
        <v>375</v>
      </c>
      <c r="S90" s="1" t="s">
        <v>38</v>
      </c>
      <c r="T90" s="1" t="s">
        <v>433</v>
      </c>
      <c r="U90" s="1" t="s">
        <v>408</v>
      </c>
      <c r="V90" s="1" t="s">
        <v>45</v>
      </c>
      <c r="W90" s="1" t="s">
        <v>38</v>
      </c>
      <c r="X90" t="s">
        <v>38</v>
      </c>
      <c r="Y90" t="s">
        <v>38</v>
      </c>
      <c r="Z90" t="s">
        <v>432</v>
      </c>
    </row>
    <row r="91" spans="1:26" x14ac:dyDescent="0.25">
      <c r="A91" s="1" t="s">
        <v>452</v>
      </c>
      <c r="B91" s="1" t="s">
        <v>430</v>
      </c>
      <c r="C91" s="1" t="s">
        <v>48</v>
      </c>
      <c r="D91" s="1" t="s">
        <v>77</v>
      </c>
      <c r="E91" s="1" t="s">
        <v>58</v>
      </c>
      <c r="F91" s="1" t="s">
        <v>310</v>
      </c>
      <c r="G91" s="1" t="s">
        <v>34</v>
      </c>
      <c r="H91" s="1" t="s">
        <v>403</v>
      </c>
      <c r="I91" s="1" t="s">
        <v>319</v>
      </c>
      <c r="J91" s="1" t="s">
        <v>295</v>
      </c>
      <c r="K91" s="1" t="s">
        <v>38</v>
      </c>
      <c r="L91" s="1" t="s">
        <v>453</v>
      </c>
      <c r="M91" s="2" t="s">
        <v>454</v>
      </c>
      <c r="N91" s="2"/>
      <c r="O91" s="3">
        <v>1</v>
      </c>
      <c r="P91" s="1" t="s">
        <v>455</v>
      </c>
      <c r="Q91" s="1">
        <v>34</v>
      </c>
      <c r="R91" s="1">
        <v>34</v>
      </c>
      <c r="S91" s="1" t="s">
        <v>38</v>
      </c>
      <c r="T91" s="1" t="s">
        <v>433</v>
      </c>
      <c r="U91" s="1" t="s">
        <v>408</v>
      </c>
      <c r="V91" s="1" t="s">
        <v>45</v>
      </c>
      <c r="W91" s="1" t="s">
        <v>38</v>
      </c>
      <c r="X91" t="s">
        <v>38</v>
      </c>
      <c r="Y91" t="s">
        <v>38</v>
      </c>
      <c r="Z91" t="s">
        <v>454</v>
      </c>
    </row>
    <row r="92" spans="1:26" x14ac:dyDescent="0.25">
      <c r="A92" s="1" t="s">
        <v>456</v>
      </c>
      <c r="B92" s="1" t="s">
        <v>430</v>
      </c>
      <c r="C92" s="1" t="s">
        <v>48</v>
      </c>
      <c r="D92" s="1" t="s">
        <v>77</v>
      </c>
      <c r="E92" s="1" t="s">
        <v>58</v>
      </c>
      <c r="F92" s="1" t="s">
        <v>310</v>
      </c>
      <c r="G92" s="1" t="s">
        <v>34</v>
      </c>
      <c r="H92" s="1" t="s">
        <v>403</v>
      </c>
      <c r="I92" s="1" t="s">
        <v>319</v>
      </c>
      <c r="J92" s="1" t="s">
        <v>295</v>
      </c>
      <c r="K92" s="1" t="s">
        <v>38</v>
      </c>
      <c r="L92" s="1" t="s">
        <v>453</v>
      </c>
      <c r="M92" s="2" t="s">
        <v>457</v>
      </c>
      <c r="N92" s="2"/>
      <c r="O92" s="3">
        <v>1</v>
      </c>
      <c r="P92" s="1" t="s">
        <v>455</v>
      </c>
      <c r="Q92" s="1">
        <v>11</v>
      </c>
      <c r="R92" s="1">
        <v>11</v>
      </c>
      <c r="S92" s="1" t="s">
        <v>38</v>
      </c>
      <c r="T92" s="1" t="s">
        <v>433</v>
      </c>
      <c r="U92" s="1" t="s">
        <v>408</v>
      </c>
      <c r="V92" s="1" t="s">
        <v>45</v>
      </c>
      <c r="W92" s="1" t="s">
        <v>38</v>
      </c>
      <c r="X92" t="s">
        <v>38</v>
      </c>
      <c r="Y92" t="s">
        <v>38</v>
      </c>
      <c r="Z92" t="s">
        <v>457</v>
      </c>
    </row>
    <row r="93" spans="1:26" x14ac:dyDescent="0.25">
      <c r="A93" s="1" t="s">
        <v>458</v>
      </c>
      <c r="B93" s="1" t="s">
        <v>430</v>
      </c>
      <c r="C93" s="1" t="s">
        <v>48</v>
      </c>
      <c r="D93" s="1" t="s">
        <v>77</v>
      </c>
      <c r="E93" s="1" t="s">
        <v>58</v>
      </c>
      <c r="F93" s="1" t="s">
        <v>310</v>
      </c>
      <c r="G93" s="1" t="s">
        <v>34</v>
      </c>
      <c r="H93" s="1" t="s">
        <v>403</v>
      </c>
      <c r="I93" s="1" t="s">
        <v>319</v>
      </c>
      <c r="J93" s="1" t="s">
        <v>295</v>
      </c>
      <c r="K93" s="1" t="s">
        <v>38</v>
      </c>
      <c r="L93" s="1" t="s">
        <v>459</v>
      </c>
      <c r="M93" s="2" t="s">
        <v>460</v>
      </c>
      <c r="N93" s="2" t="s">
        <v>38</v>
      </c>
      <c r="O93" s="3">
        <v>2</v>
      </c>
      <c r="P93" s="1" t="s">
        <v>455</v>
      </c>
      <c r="Q93" s="1">
        <v>50</v>
      </c>
      <c r="R93" s="1">
        <v>100</v>
      </c>
      <c r="S93" s="1" t="s">
        <v>38</v>
      </c>
      <c r="T93" s="1" t="s">
        <v>433</v>
      </c>
      <c r="U93" s="1" t="s">
        <v>408</v>
      </c>
      <c r="V93" s="1" t="s">
        <v>45</v>
      </c>
      <c r="W93" s="1" t="s">
        <v>38</v>
      </c>
      <c r="X93" t="s">
        <v>38</v>
      </c>
      <c r="Y93" t="s">
        <v>38</v>
      </c>
      <c r="Z93" t="s">
        <v>38</v>
      </c>
    </row>
    <row r="94" spans="1:26" x14ac:dyDescent="0.25">
      <c r="A94" s="1" t="s">
        <v>461</v>
      </c>
      <c r="B94" s="1" t="s">
        <v>430</v>
      </c>
      <c r="C94" s="1" t="s">
        <v>48</v>
      </c>
      <c r="D94" s="1" t="s">
        <v>77</v>
      </c>
      <c r="E94" s="1" t="s">
        <v>58</v>
      </c>
      <c r="F94" s="1" t="s">
        <v>310</v>
      </c>
      <c r="G94" s="1" t="s">
        <v>34</v>
      </c>
      <c r="H94" s="1" t="s">
        <v>403</v>
      </c>
      <c r="I94" s="1" t="s">
        <v>319</v>
      </c>
      <c r="J94" s="1" t="s">
        <v>295</v>
      </c>
      <c r="K94" s="1" t="s">
        <v>38</v>
      </c>
      <c r="L94" s="1" t="s">
        <v>462</v>
      </c>
      <c r="M94" s="2" t="s">
        <v>451</v>
      </c>
      <c r="N94" s="2" t="s">
        <v>38</v>
      </c>
      <c r="O94" s="3">
        <v>10</v>
      </c>
      <c r="P94" s="1" t="s">
        <v>93</v>
      </c>
      <c r="Q94" s="1">
        <v>6</v>
      </c>
      <c r="R94" s="1">
        <v>60</v>
      </c>
      <c r="S94" s="1" t="s">
        <v>38</v>
      </c>
      <c r="T94" s="1" t="s">
        <v>433</v>
      </c>
      <c r="U94" s="1" t="s">
        <v>408</v>
      </c>
      <c r="V94" s="1" t="s">
        <v>45</v>
      </c>
      <c r="W94" s="1" t="s">
        <v>38</v>
      </c>
      <c r="X94" t="s">
        <v>38</v>
      </c>
      <c r="Y94" t="s">
        <v>38</v>
      </c>
      <c r="Z94" t="s">
        <v>432</v>
      </c>
    </row>
    <row r="95" spans="1:26" x14ac:dyDescent="0.25">
      <c r="A95" s="1" t="s">
        <v>463</v>
      </c>
      <c r="B95" s="1" t="s">
        <v>464</v>
      </c>
      <c r="C95" s="1" t="s">
        <v>48</v>
      </c>
      <c r="D95" s="1" t="s">
        <v>77</v>
      </c>
      <c r="E95" s="1" t="s">
        <v>58</v>
      </c>
      <c r="F95" s="1" t="s">
        <v>310</v>
      </c>
      <c r="G95" s="1" t="s">
        <v>34</v>
      </c>
      <c r="H95" s="1" t="s">
        <v>59</v>
      </c>
      <c r="I95" s="1" t="s">
        <v>319</v>
      </c>
      <c r="J95" s="1" t="s">
        <v>295</v>
      </c>
      <c r="K95" s="1" t="s">
        <v>38</v>
      </c>
      <c r="L95" s="1" t="s">
        <v>431</v>
      </c>
      <c r="M95" s="2" t="s">
        <v>451</v>
      </c>
      <c r="N95" s="2" t="s">
        <v>465</v>
      </c>
      <c r="O95" s="3">
        <v>1</v>
      </c>
      <c r="P95" s="1" t="s">
        <v>322</v>
      </c>
      <c r="Q95" s="1">
        <v>215</v>
      </c>
      <c r="R95" s="1">
        <v>215</v>
      </c>
      <c r="S95" s="1" t="s">
        <v>38</v>
      </c>
      <c r="T95" s="1" t="s">
        <v>466</v>
      </c>
      <c r="U95" s="1" t="s">
        <v>467</v>
      </c>
      <c r="V95" s="1" t="s">
        <v>45</v>
      </c>
      <c r="W95" s="1" t="s">
        <v>38</v>
      </c>
      <c r="X95" t="s">
        <v>38</v>
      </c>
      <c r="Y95" t="s">
        <v>38</v>
      </c>
      <c r="Z95" t="s">
        <v>434</v>
      </c>
    </row>
    <row r="96" spans="1:26" x14ac:dyDescent="0.25">
      <c r="A96" s="1" t="s">
        <v>468</v>
      </c>
      <c r="B96" s="1" t="s">
        <v>464</v>
      </c>
      <c r="C96" s="1" t="s">
        <v>48</v>
      </c>
      <c r="D96" s="1" t="s">
        <v>77</v>
      </c>
      <c r="E96" s="1" t="s">
        <v>58</v>
      </c>
      <c r="F96" s="1" t="s">
        <v>310</v>
      </c>
      <c r="G96" s="1" t="s">
        <v>34</v>
      </c>
      <c r="H96" s="1" t="s">
        <v>59</v>
      </c>
      <c r="I96" s="1" t="s">
        <v>319</v>
      </c>
      <c r="J96" s="1" t="s">
        <v>295</v>
      </c>
      <c r="K96" s="1" t="s">
        <v>38</v>
      </c>
      <c r="L96" s="1" t="s">
        <v>320</v>
      </c>
      <c r="M96" s="2" t="s">
        <v>451</v>
      </c>
      <c r="N96" s="2"/>
      <c r="O96" s="3">
        <v>1</v>
      </c>
      <c r="P96" s="1" t="s">
        <v>322</v>
      </c>
      <c r="Q96" s="1">
        <v>199</v>
      </c>
      <c r="R96" s="1">
        <v>199</v>
      </c>
      <c r="S96" s="1" t="s">
        <v>38</v>
      </c>
      <c r="T96" s="1" t="s">
        <v>466</v>
      </c>
      <c r="U96" s="1" t="s">
        <v>467</v>
      </c>
      <c r="V96" s="1" t="s">
        <v>45</v>
      </c>
      <c r="W96" s="1" t="s">
        <v>38</v>
      </c>
      <c r="X96" t="s">
        <v>38</v>
      </c>
      <c r="Y96" t="s">
        <v>38</v>
      </c>
      <c r="Z96" t="s">
        <v>324</v>
      </c>
    </row>
    <row r="97" spans="1:26" x14ac:dyDescent="0.25">
      <c r="A97" s="1" t="s">
        <v>469</v>
      </c>
      <c r="B97" s="1" t="s">
        <v>464</v>
      </c>
      <c r="C97" s="1" t="s">
        <v>48</v>
      </c>
      <c r="D97" s="1" t="s">
        <v>77</v>
      </c>
      <c r="E97" s="1" t="s">
        <v>58</v>
      </c>
      <c r="F97" s="1" t="s">
        <v>310</v>
      </c>
      <c r="G97" s="1" t="s">
        <v>34</v>
      </c>
      <c r="H97" s="1" t="s">
        <v>59</v>
      </c>
      <c r="I97" s="1" t="s">
        <v>319</v>
      </c>
      <c r="J97" s="1" t="s">
        <v>295</v>
      </c>
      <c r="K97" s="1" t="s">
        <v>38</v>
      </c>
      <c r="L97" s="1" t="s">
        <v>453</v>
      </c>
      <c r="M97" s="2" t="s">
        <v>470</v>
      </c>
      <c r="N97" s="2" t="s">
        <v>72</v>
      </c>
      <c r="O97" s="3">
        <v>1</v>
      </c>
      <c r="P97" s="1" t="s">
        <v>455</v>
      </c>
      <c r="Q97" s="1">
        <v>7</v>
      </c>
      <c r="R97" s="1">
        <v>7</v>
      </c>
      <c r="S97" s="1" t="s">
        <v>38</v>
      </c>
      <c r="T97" s="1" t="s">
        <v>466</v>
      </c>
      <c r="U97" s="1" t="s">
        <v>467</v>
      </c>
      <c r="V97" s="1" t="s">
        <v>45</v>
      </c>
      <c r="W97" s="1" t="s">
        <v>38</v>
      </c>
      <c r="X97" t="s">
        <v>38</v>
      </c>
      <c r="Y97" t="s">
        <v>38</v>
      </c>
      <c r="Z97" t="s">
        <v>470</v>
      </c>
    </row>
    <row r="98" spans="1:26" x14ac:dyDescent="0.25">
      <c r="A98" s="1" t="s">
        <v>471</v>
      </c>
      <c r="B98" s="1" t="s">
        <v>464</v>
      </c>
      <c r="C98" s="1" t="s">
        <v>48</v>
      </c>
      <c r="D98" s="1" t="s">
        <v>77</v>
      </c>
      <c r="E98" s="1" t="s">
        <v>58</v>
      </c>
      <c r="F98" s="1" t="s">
        <v>310</v>
      </c>
      <c r="G98" s="1" t="s">
        <v>34</v>
      </c>
      <c r="H98" s="1" t="s">
        <v>59</v>
      </c>
      <c r="I98" s="1" t="s">
        <v>319</v>
      </c>
      <c r="J98" s="1" t="s">
        <v>295</v>
      </c>
      <c r="K98" s="1" t="s">
        <v>38</v>
      </c>
      <c r="L98" s="1" t="s">
        <v>472</v>
      </c>
      <c r="M98" s="2" t="s">
        <v>473</v>
      </c>
      <c r="N98" s="2" t="s">
        <v>474</v>
      </c>
      <c r="O98" s="3">
        <v>3</v>
      </c>
      <c r="P98" s="1" t="s">
        <v>93</v>
      </c>
      <c r="Q98" s="1">
        <v>7.5</v>
      </c>
      <c r="R98" s="1">
        <v>22.5</v>
      </c>
      <c r="S98" s="1" t="s">
        <v>38</v>
      </c>
      <c r="T98" s="1" t="s">
        <v>466</v>
      </c>
      <c r="U98" s="1" t="s">
        <v>467</v>
      </c>
      <c r="V98" s="1" t="s">
        <v>45</v>
      </c>
      <c r="W98" s="1" t="s">
        <v>38</v>
      </c>
      <c r="X98" t="s">
        <v>38</v>
      </c>
      <c r="Y98" t="s">
        <v>38</v>
      </c>
      <c r="Z98" t="s">
        <v>475</v>
      </c>
    </row>
    <row r="99" spans="1:26" x14ac:dyDescent="0.25">
      <c r="A99" s="1" t="s">
        <v>476</v>
      </c>
      <c r="B99" s="1" t="s">
        <v>464</v>
      </c>
      <c r="C99" s="1" t="s">
        <v>48</v>
      </c>
      <c r="D99" s="1" t="s">
        <v>77</v>
      </c>
      <c r="E99" s="1" t="s">
        <v>58</v>
      </c>
      <c r="F99" s="1" t="s">
        <v>310</v>
      </c>
      <c r="G99" s="1" t="s">
        <v>34</v>
      </c>
      <c r="H99" s="1" t="s">
        <v>59</v>
      </c>
      <c r="I99" s="1" t="s">
        <v>319</v>
      </c>
      <c r="J99" s="1" t="s">
        <v>295</v>
      </c>
      <c r="K99" s="1" t="s">
        <v>38</v>
      </c>
      <c r="L99" s="1" t="s">
        <v>477</v>
      </c>
      <c r="M99" s="2" t="s">
        <v>478</v>
      </c>
      <c r="N99" s="2"/>
      <c r="O99" s="3">
        <v>1</v>
      </c>
      <c r="P99" s="1" t="s">
        <v>93</v>
      </c>
      <c r="Q99" s="1">
        <v>30</v>
      </c>
      <c r="R99" s="1">
        <v>30</v>
      </c>
      <c r="S99" s="1" t="s">
        <v>38</v>
      </c>
      <c r="T99" s="1" t="s">
        <v>466</v>
      </c>
      <c r="U99" s="1" t="s">
        <v>467</v>
      </c>
      <c r="V99" s="1" t="s">
        <v>45</v>
      </c>
      <c r="W99" s="1" t="s">
        <v>38</v>
      </c>
      <c r="X99" t="s">
        <v>38</v>
      </c>
      <c r="Y99" t="s">
        <v>38</v>
      </c>
      <c r="Z99" t="s">
        <v>478</v>
      </c>
    </row>
    <row r="100" spans="1:26" x14ac:dyDescent="0.25">
      <c r="A100" s="1" t="s">
        <v>479</v>
      </c>
      <c r="B100" s="1" t="s">
        <v>464</v>
      </c>
      <c r="C100" s="1" t="s">
        <v>48</v>
      </c>
      <c r="D100" s="1" t="s">
        <v>77</v>
      </c>
      <c r="E100" s="1" t="s">
        <v>58</v>
      </c>
      <c r="F100" s="1" t="s">
        <v>310</v>
      </c>
      <c r="G100" s="1" t="s">
        <v>34</v>
      </c>
      <c r="H100" s="1" t="s">
        <v>59</v>
      </c>
      <c r="I100" s="1" t="s">
        <v>319</v>
      </c>
      <c r="J100" s="1" t="s">
        <v>334</v>
      </c>
      <c r="K100" s="1" t="s">
        <v>38</v>
      </c>
      <c r="L100" s="1" t="s">
        <v>480</v>
      </c>
      <c r="M100" s="2" t="s">
        <v>72</v>
      </c>
      <c r="N100" s="2" t="s">
        <v>481</v>
      </c>
      <c r="O100" s="3">
        <v>1</v>
      </c>
      <c r="P100" s="1" t="s">
        <v>455</v>
      </c>
      <c r="Q100" s="1">
        <v>131</v>
      </c>
      <c r="R100" s="1">
        <v>131</v>
      </c>
      <c r="S100" s="1" t="s">
        <v>38</v>
      </c>
      <c r="T100" s="1" t="s">
        <v>466</v>
      </c>
      <c r="U100" s="1" t="s">
        <v>467</v>
      </c>
      <c r="V100" s="1" t="s">
        <v>45</v>
      </c>
      <c r="W100" s="1" t="s">
        <v>38</v>
      </c>
      <c r="X100" t="s">
        <v>38</v>
      </c>
      <c r="Y100" t="s">
        <v>38</v>
      </c>
      <c r="Z100" t="s">
        <v>482</v>
      </c>
    </row>
    <row r="101" spans="1:26" x14ac:dyDescent="0.25">
      <c r="A101" s="1" t="s">
        <v>483</v>
      </c>
      <c r="B101" s="1" t="s">
        <v>484</v>
      </c>
      <c r="C101" s="1" t="s">
        <v>48</v>
      </c>
      <c r="D101" s="1" t="s">
        <v>77</v>
      </c>
      <c r="E101" s="1" t="s">
        <v>58</v>
      </c>
      <c r="F101" s="1" t="s">
        <v>485</v>
      </c>
      <c r="G101" s="1" t="s">
        <v>34</v>
      </c>
      <c r="H101" s="1" t="s">
        <v>59</v>
      </c>
      <c r="I101" s="1" t="s">
        <v>404</v>
      </c>
      <c r="J101" s="1" t="s">
        <v>295</v>
      </c>
      <c r="K101" s="1" t="s">
        <v>38</v>
      </c>
      <c r="L101" s="1" t="s">
        <v>405</v>
      </c>
      <c r="M101" s="2" t="s">
        <v>486</v>
      </c>
      <c r="N101" s="2" t="s">
        <v>487</v>
      </c>
      <c r="O101" s="3">
        <v>1</v>
      </c>
      <c r="P101" s="1" t="s">
        <v>143</v>
      </c>
      <c r="Q101" s="1">
        <v>561.75</v>
      </c>
      <c r="R101" s="1">
        <v>561.75</v>
      </c>
      <c r="S101" s="1" t="s">
        <v>38</v>
      </c>
      <c r="T101" s="1" t="s">
        <v>488</v>
      </c>
      <c r="U101" s="1" t="s">
        <v>467</v>
      </c>
      <c r="V101" s="1" t="s">
        <v>45</v>
      </c>
      <c r="W101" s="1" t="s">
        <v>38</v>
      </c>
      <c r="X101" t="s">
        <v>38</v>
      </c>
      <c r="Y101" t="s">
        <v>38</v>
      </c>
      <c r="Z101" t="s">
        <v>489</v>
      </c>
    </row>
    <row r="102" spans="1:26" x14ac:dyDescent="0.25">
      <c r="A102" s="1" t="s">
        <v>490</v>
      </c>
      <c r="B102" s="1" t="s">
        <v>484</v>
      </c>
      <c r="C102" s="1" t="s">
        <v>48</v>
      </c>
      <c r="D102" s="1" t="s">
        <v>77</v>
      </c>
      <c r="E102" s="1" t="s">
        <v>58</v>
      </c>
      <c r="F102" s="1" t="s">
        <v>485</v>
      </c>
      <c r="G102" s="1" t="s">
        <v>34</v>
      </c>
      <c r="H102" s="1" t="s">
        <v>59</v>
      </c>
      <c r="I102" s="1" t="s">
        <v>404</v>
      </c>
      <c r="J102" s="1" t="s">
        <v>491</v>
      </c>
      <c r="K102" s="1" t="s">
        <v>38</v>
      </c>
      <c r="L102" s="1" t="s">
        <v>492</v>
      </c>
      <c r="M102" s="2" t="s">
        <v>493</v>
      </c>
      <c r="N102" s="2" t="s">
        <v>72</v>
      </c>
      <c r="O102" s="3">
        <v>0</v>
      </c>
      <c r="P102" s="1" t="s">
        <v>93</v>
      </c>
      <c r="Q102" s="1">
        <v>18</v>
      </c>
      <c r="R102" s="1">
        <v>0</v>
      </c>
      <c r="S102" s="1" t="s">
        <v>38</v>
      </c>
      <c r="T102" s="1" t="s">
        <v>488</v>
      </c>
      <c r="U102" s="1" t="s">
        <v>467</v>
      </c>
      <c r="V102" s="1" t="s">
        <v>45</v>
      </c>
      <c r="W102" s="1" t="s">
        <v>38</v>
      </c>
      <c r="X102" t="s">
        <v>38</v>
      </c>
      <c r="Y102" t="s">
        <v>38</v>
      </c>
      <c r="Z102" t="s">
        <v>494</v>
      </c>
    </row>
    <row r="103" spans="1:26" x14ac:dyDescent="0.25">
      <c r="A103" s="1" t="s">
        <v>495</v>
      </c>
      <c r="B103" s="1" t="s">
        <v>496</v>
      </c>
      <c r="C103" s="1" t="s">
        <v>340</v>
      </c>
      <c r="D103" s="1" t="s">
        <v>340</v>
      </c>
      <c r="E103" s="1" t="s">
        <v>340</v>
      </c>
      <c r="F103" s="1" t="s">
        <v>352</v>
      </c>
      <c r="G103" s="1" t="s">
        <v>78</v>
      </c>
      <c r="H103" s="1" t="s">
        <v>91</v>
      </c>
      <c r="I103" s="1" t="s">
        <v>36</v>
      </c>
      <c r="J103" s="1" t="s">
        <v>70</v>
      </c>
      <c r="K103" s="1" t="s">
        <v>38</v>
      </c>
      <c r="L103" s="1" t="s">
        <v>497</v>
      </c>
      <c r="M103" s="2" t="s">
        <v>72</v>
      </c>
      <c r="N103" s="2"/>
      <c r="O103" s="3">
        <v>1</v>
      </c>
      <c r="P103" s="1" t="s">
        <v>498</v>
      </c>
      <c r="Q103" s="1">
        <v>240</v>
      </c>
      <c r="R103" s="1">
        <v>240</v>
      </c>
      <c r="S103" s="1" t="s">
        <v>159</v>
      </c>
      <c r="T103" s="1" t="s">
        <v>427</v>
      </c>
      <c r="U103" s="1" t="s">
        <v>499</v>
      </c>
      <c r="V103" s="1" t="s">
        <v>45</v>
      </c>
      <c r="W103" s="1" t="s">
        <v>38</v>
      </c>
      <c r="X103" t="s">
        <v>38</v>
      </c>
      <c r="Y103" t="s">
        <v>38</v>
      </c>
      <c r="Z103" t="s">
        <v>500</v>
      </c>
    </row>
    <row r="104" spans="1:26" x14ac:dyDescent="0.25">
      <c r="A104" s="1" t="s">
        <v>501</v>
      </c>
      <c r="B104" s="1" t="s">
        <v>502</v>
      </c>
      <c r="C104" s="1" t="s">
        <v>340</v>
      </c>
      <c r="D104" s="1" t="s">
        <v>340</v>
      </c>
      <c r="E104" s="1" t="s">
        <v>340</v>
      </c>
      <c r="F104" s="1" t="s">
        <v>352</v>
      </c>
      <c r="G104" s="1" t="s">
        <v>78</v>
      </c>
      <c r="H104" s="1" t="s">
        <v>91</v>
      </c>
      <c r="I104" s="1" t="s">
        <v>36</v>
      </c>
      <c r="J104" s="1" t="s">
        <v>70</v>
      </c>
      <c r="K104" s="1" t="s">
        <v>38</v>
      </c>
      <c r="L104" s="1" t="s">
        <v>503</v>
      </c>
      <c r="M104" s="2" t="s">
        <v>504</v>
      </c>
      <c r="N104" s="2"/>
      <c r="O104" s="3">
        <v>1</v>
      </c>
      <c r="P104" s="1" t="s">
        <v>360</v>
      </c>
      <c r="Q104" s="1">
        <v>550</v>
      </c>
      <c r="R104" s="1">
        <v>550</v>
      </c>
      <c r="S104" s="1" t="s">
        <v>159</v>
      </c>
      <c r="T104" s="1" t="s">
        <v>427</v>
      </c>
      <c r="U104" s="1" t="s">
        <v>499</v>
      </c>
      <c r="V104" s="1" t="s">
        <v>45</v>
      </c>
      <c r="W104" s="1" t="s">
        <v>38</v>
      </c>
      <c r="X104" t="s">
        <v>38</v>
      </c>
      <c r="Y104" t="s">
        <v>38</v>
      </c>
      <c r="Z104" t="s">
        <v>505</v>
      </c>
    </row>
    <row r="105" spans="1:26" x14ac:dyDescent="0.25">
      <c r="A105" s="1" t="s">
        <v>506</v>
      </c>
      <c r="B105" s="1" t="s">
        <v>507</v>
      </c>
      <c r="C105" s="1" t="s">
        <v>340</v>
      </c>
      <c r="D105" s="1" t="s">
        <v>340</v>
      </c>
      <c r="E105" s="1" t="s">
        <v>340</v>
      </c>
      <c r="F105" s="1" t="s">
        <v>58</v>
      </c>
      <c r="G105" s="1" t="s">
        <v>34</v>
      </c>
      <c r="H105" s="1" t="s">
        <v>59</v>
      </c>
      <c r="I105" s="1" t="s">
        <v>36</v>
      </c>
      <c r="J105" s="1" t="s">
        <v>37</v>
      </c>
      <c r="K105" s="1" t="s">
        <v>38</v>
      </c>
      <c r="L105" s="1" t="s">
        <v>39</v>
      </c>
      <c r="M105" s="2" t="s">
        <v>60</v>
      </c>
      <c r="N105" s="2"/>
      <c r="O105" s="3">
        <v>3</v>
      </c>
      <c r="P105" s="1" t="s">
        <v>41</v>
      </c>
      <c r="Q105" s="1">
        <v>60.75</v>
      </c>
      <c r="R105" s="1">
        <v>182.25</v>
      </c>
      <c r="S105" s="1" t="s">
        <v>61</v>
      </c>
      <c r="T105" s="1" t="s">
        <v>62</v>
      </c>
      <c r="U105" s="1" t="s">
        <v>63</v>
      </c>
      <c r="V105" s="1" t="s">
        <v>45</v>
      </c>
      <c r="W105" s="1" t="s">
        <v>38</v>
      </c>
      <c r="X105" t="s">
        <v>38</v>
      </c>
      <c r="Y105" t="s">
        <v>38</v>
      </c>
      <c r="Z105" t="s">
        <v>284</v>
      </c>
    </row>
    <row r="106" spans="1:26" x14ac:dyDescent="0.25">
      <c r="A106" s="1" t="s">
        <v>508</v>
      </c>
      <c r="B106" s="1" t="s">
        <v>509</v>
      </c>
      <c r="C106" s="1" t="s">
        <v>340</v>
      </c>
      <c r="D106" s="1" t="s">
        <v>340</v>
      </c>
      <c r="E106" s="1" t="s">
        <v>340</v>
      </c>
      <c r="F106" s="1" t="s">
        <v>310</v>
      </c>
      <c r="G106" s="1" t="s">
        <v>78</v>
      </c>
      <c r="H106" s="1" t="s">
        <v>510</v>
      </c>
      <c r="I106" s="1" t="s">
        <v>69</v>
      </c>
      <c r="J106" s="1" t="s">
        <v>511</v>
      </c>
      <c r="K106" s="1" t="s">
        <v>38</v>
      </c>
      <c r="L106" s="1" t="s">
        <v>512</v>
      </c>
      <c r="M106" s="2" t="s">
        <v>72</v>
      </c>
      <c r="N106" s="2"/>
      <c r="O106" s="3">
        <v>2</v>
      </c>
      <c r="P106" s="1" t="s">
        <v>93</v>
      </c>
      <c r="Q106" s="1">
        <v>55</v>
      </c>
      <c r="R106" s="1">
        <v>110</v>
      </c>
      <c r="S106" s="1" t="s">
        <v>38</v>
      </c>
      <c r="T106" s="1" t="s">
        <v>513</v>
      </c>
      <c r="U106" s="1" t="s">
        <v>514</v>
      </c>
      <c r="V106" s="1" t="s">
        <v>45</v>
      </c>
      <c r="W106" s="1" t="s">
        <v>38</v>
      </c>
      <c r="X106" t="s">
        <v>38</v>
      </c>
      <c r="Y106" t="s">
        <v>38</v>
      </c>
    </row>
    <row r="107" spans="1:26" x14ac:dyDescent="0.25">
      <c r="A107" s="1" t="s">
        <v>515</v>
      </c>
      <c r="B107" s="1" t="s">
        <v>516</v>
      </c>
      <c r="C107" s="1" t="s">
        <v>58</v>
      </c>
      <c r="D107" s="1" t="s">
        <v>58</v>
      </c>
      <c r="E107" s="1" t="s">
        <v>58</v>
      </c>
      <c r="F107" s="1" t="s">
        <v>49</v>
      </c>
      <c r="G107" s="1" t="s">
        <v>34</v>
      </c>
      <c r="H107" s="1" t="s">
        <v>35</v>
      </c>
      <c r="I107" s="1" t="s">
        <v>36</v>
      </c>
      <c r="J107" s="1" t="s">
        <v>37</v>
      </c>
      <c r="K107" s="1" t="s">
        <v>38</v>
      </c>
      <c r="L107" s="1" t="s">
        <v>39</v>
      </c>
      <c r="M107" s="2" t="s">
        <v>40</v>
      </c>
      <c r="N107" s="2" t="s">
        <v>517</v>
      </c>
      <c r="O107" s="3">
        <v>3</v>
      </c>
      <c r="P107" s="1" t="s">
        <v>41</v>
      </c>
      <c r="Q107" s="1">
        <v>60.75</v>
      </c>
      <c r="R107" s="1">
        <v>182.25</v>
      </c>
      <c r="S107" s="1" t="s">
        <v>42</v>
      </c>
      <c r="T107" s="1" t="s">
        <v>518</v>
      </c>
      <c r="U107" s="1" t="s">
        <v>44</v>
      </c>
      <c r="V107" s="1" t="s">
        <v>45</v>
      </c>
      <c r="W107" s="1" t="s">
        <v>38</v>
      </c>
      <c r="X107" t="s">
        <v>38</v>
      </c>
      <c r="Y107" t="s">
        <v>38</v>
      </c>
      <c r="Z107" t="s">
        <v>519</v>
      </c>
    </row>
    <row r="108" spans="1:26" x14ac:dyDescent="0.25">
      <c r="A108" s="1" t="s">
        <v>520</v>
      </c>
      <c r="B108" s="1" t="s">
        <v>521</v>
      </c>
      <c r="C108" s="1" t="s">
        <v>58</v>
      </c>
      <c r="D108" s="1" t="s">
        <v>58</v>
      </c>
      <c r="E108" s="1" t="s">
        <v>58</v>
      </c>
      <c r="F108" s="1" t="s">
        <v>310</v>
      </c>
      <c r="G108" s="1" t="s">
        <v>78</v>
      </c>
      <c r="H108" s="1" t="s">
        <v>91</v>
      </c>
      <c r="I108" s="1" t="s">
        <v>36</v>
      </c>
      <c r="J108" s="1" t="s">
        <v>70</v>
      </c>
      <c r="K108" s="1" t="s">
        <v>38</v>
      </c>
      <c r="L108" s="1" t="s">
        <v>212</v>
      </c>
      <c r="M108" s="2" t="s">
        <v>40</v>
      </c>
      <c r="N108" s="2"/>
      <c r="O108" s="3">
        <v>1</v>
      </c>
      <c r="P108" s="1" t="s">
        <v>143</v>
      </c>
      <c r="Q108" s="1">
        <v>720</v>
      </c>
      <c r="R108" s="1">
        <v>720</v>
      </c>
      <c r="S108" s="1" t="s">
        <v>208</v>
      </c>
      <c r="T108" s="1" t="s">
        <v>129</v>
      </c>
      <c r="U108" s="1" t="s">
        <v>209</v>
      </c>
      <c r="V108" s="1" t="s">
        <v>45</v>
      </c>
      <c r="W108" s="1" t="s">
        <v>38</v>
      </c>
      <c r="X108" t="s">
        <v>38</v>
      </c>
      <c r="Y108" t="s">
        <v>38</v>
      </c>
    </row>
    <row r="109" spans="1:26" x14ac:dyDescent="0.25">
      <c r="A109" s="1" t="s">
        <v>522</v>
      </c>
      <c r="B109" s="1" t="s">
        <v>523</v>
      </c>
      <c r="C109" s="1" t="s">
        <v>66</v>
      </c>
      <c r="D109" s="1" t="s">
        <v>66</v>
      </c>
      <c r="E109" s="1" t="s">
        <v>58</v>
      </c>
      <c r="F109" s="1" t="s">
        <v>524</v>
      </c>
      <c r="G109" s="1" t="s">
        <v>67</v>
      </c>
      <c r="H109" s="1" t="s">
        <v>68</v>
      </c>
      <c r="I109" s="1" t="s">
        <v>80</v>
      </c>
      <c r="J109" s="1" t="s">
        <v>525</v>
      </c>
      <c r="K109" s="1" t="s">
        <v>38</v>
      </c>
      <c r="L109" s="1" t="s">
        <v>526</v>
      </c>
      <c r="M109" s="2" t="s">
        <v>527</v>
      </c>
      <c r="N109" s="2" t="s">
        <v>528</v>
      </c>
      <c r="O109" s="3">
        <v>2</v>
      </c>
      <c r="P109" s="1" t="s">
        <v>93</v>
      </c>
      <c r="Q109" s="1">
        <v>990</v>
      </c>
      <c r="R109" s="1">
        <v>1980</v>
      </c>
      <c r="S109" s="1" t="s">
        <v>38</v>
      </c>
      <c r="T109" s="1" t="s">
        <v>529</v>
      </c>
      <c r="U109" s="1" t="s">
        <v>530</v>
      </c>
      <c r="V109" s="1" t="s">
        <v>45</v>
      </c>
      <c r="W109" s="1" t="s">
        <v>38</v>
      </c>
      <c r="X109" t="s">
        <v>38</v>
      </c>
      <c r="Y109" t="s">
        <v>38</v>
      </c>
      <c r="Z109" t="s">
        <v>527</v>
      </c>
    </row>
    <row r="110" spans="1:26" x14ac:dyDescent="0.25">
      <c r="A110" s="1" t="s">
        <v>531</v>
      </c>
      <c r="B110" s="1" t="s">
        <v>532</v>
      </c>
      <c r="C110" s="1" t="s">
        <v>340</v>
      </c>
      <c r="D110" s="1" t="s">
        <v>58</v>
      </c>
      <c r="E110" s="1" t="s">
        <v>58</v>
      </c>
      <c r="F110" s="1" t="s">
        <v>58</v>
      </c>
      <c r="G110" s="1" t="s">
        <v>34</v>
      </c>
      <c r="H110" s="1" t="s">
        <v>59</v>
      </c>
      <c r="I110" s="1" t="s">
        <v>294</v>
      </c>
      <c r="J110" s="1" t="s">
        <v>533</v>
      </c>
      <c r="K110" s="1" t="s">
        <v>38</v>
      </c>
      <c r="L110" s="1" t="s">
        <v>335</v>
      </c>
      <c r="M110" s="2" t="s">
        <v>297</v>
      </c>
      <c r="N110" s="2" t="s">
        <v>534</v>
      </c>
      <c r="O110" s="3">
        <v>1</v>
      </c>
      <c r="P110" s="1" t="s">
        <v>85</v>
      </c>
      <c r="Q110" s="1">
        <v>298</v>
      </c>
      <c r="R110" s="1">
        <v>298</v>
      </c>
      <c r="S110" s="1" t="s">
        <v>38</v>
      </c>
      <c r="T110" s="1" t="s">
        <v>535</v>
      </c>
      <c r="U110" s="1" t="s">
        <v>536</v>
      </c>
      <c r="V110" s="1" t="s">
        <v>45</v>
      </c>
      <c r="W110" s="1" t="s">
        <v>38</v>
      </c>
      <c r="X110" t="s">
        <v>38</v>
      </c>
      <c r="Y110" t="s">
        <v>38</v>
      </c>
      <c r="Z110" t="s">
        <v>537</v>
      </c>
    </row>
    <row r="111" spans="1:26" x14ac:dyDescent="0.25">
      <c r="A111" s="1" t="s">
        <v>538</v>
      </c>
      <c r="B111" s="1" t="s">
        <v>539</v>
      </c>
      <c r="C111" s="1" t="s">
        <v>58</v>
      </c>
      <c r="D111" s="1" t="s">
        <v>58</v>
      </c>
      <c r="E111" s="1" t="s">
        <v>58</v>
      </c>
      <c r="F111" s="1" t="s">
        <v>310</v>
      </c>
      <c r="G111" s="1" t="s">
        <v>78</v>
      </c>
      <c r="H111" s="1" t="s">
        <v>91</v>
      </c>
      <c r="I111" s="1" t="s">
        <v>36</v>
      </c>
      <c r="J111" s="1" t="s">
        <v>70</v>
      </c>
      <c r="K111" s="1" t="s">
        <v>38</v>
      </c>
      <c r="L111" s="1" t="s">
        <v>142</v>
      </c>
      <c r="M111" s="2" t="s">
        <v>40</v>
      </c>
      <c r="N111" s="2"/>
      <c r="O111" s="3">
        <v>2</v>
      </c>
      <c r="P111" s="1" t="s">
        <v>143</v>
      </c>
      <c r="Q111" s="1">
        <v>720</v>
      </c>
      <c r="R111" s="1">
        <v>1440</v>
      </c>
      <c r="S111" s="1" t="s">
        <v>94</v>
      </c>
      <c r="T111" s="1" t="s">
        <v>129</v>
      </c>
      <c r="U111" s="1" t="s">
        <v>96</v>
      </c>
      <c r="V111" s="1" t="s">
        <v>45</v>
      </c>
      <c r="W111" s="1" t="s">
        <v>38</v>
      </c>
      <c r="X111" t="s">
        <v>38</v>
      </c>
      <c r="Y111" t="s">
        <v>38</v>
      </c>
      <c r="Z111" t="s">
        <v>146</v>
      </c>
    </row>
    <row r="112" spans="1:26" x14ac:dyDescent="0.25">
      <c r="A112" s="1" t="s">
        <v>540</v>
      </c>
      <c r="B112" s="1" t="s">
        <v>539</v>
      </c>
      <c r="C112" s="1" t="s">
        <v>58</v>
      </c>
      <c r="D112" s="1" t="s">
        <v>58</v>
      </c>
      <c r="E112" s="1" t="s">
        <v>58</v>
      </c>
      <c r="F112" s="1" t="s">
        <v>310</v>
      </c>
      <c r="G112" s="1" t="s">
        <v>78</v>
      </c>
      <c r="H112" s="1" t="s">
        <v>91</v>
      </c>
      <c r="I112" s="1" t="s">
        <v>36</v>
      </c>
      <c r="J112" s="1" t="s">
        <v>70</v>
      </c>
      <c r="K112" s="1" t="s">
        <v>38</v>
      </c>
      <c r="L112" s="1" t="s">
        <v>212</v>
      </c>
      <c r="M112" s="2" t="s">
        <v>40</v>
      </c>
      <c r="N112" s="2"/>
      <c r="O112" s="3">
        <v>1</v>
      </c>
      <c r="P112" s="1" t="s">
        <v>143</v>
      </c>
      <c r="Q112" s="1">
        <v>720</v>
      </c>
      <c r="R112" s="1">
        <v>720</v>
      </c>
      <c r="S112" s="1" t="s">
        <v>94</v>
      </c>
      <c r="T112" s="1" t="s">
        <v>129</v>
      </c>
      <c r="U112" s="1" t="s">
        <v>96</v>
      </c>
      <c r="V112" s="1" t="s">
        <v>45</v>
      </c>
      <c r="W112" s="1" t="s">
        <v>38</v>
      </c>
      <c r="X112" t="s">
        <v>38</v>
      </c>
      <c r="Y112" t="s">
        <v>38</v>
      </c>
      <c r="Z112" t="s">
        <v>541</v>
      </c>
    </row>
    <row r="113" spans="1:26" x14ac:dyDescent="0.25">
      <c r="A113" s="1" t="s">
        <v>542</v>
      </c>
      <c r="B113" s="1" t="s">
        <v>543</v>
      </c>
      <c r="C113" s="1" t="s">
        <v>58</v>
      </c>
      <c r="D113" s="1" t="s">
        <v>58</v>
      </c>
      <c r="E113" s="1" t="s">
        <v>58</v>
      </c>
      <c r="F113" s="1" t="s">
        <v>310</v>
      </c>
      <c r="G113" s="1" t="s">
        <v>78</v>
      </c>
      <c r="H113" s="1" t="s">
        <v>91</v>
      </c>
      <c r="I113" s="1" t="s">
        <v>36</v>
      </c>
      <c r="J113" s="1" t="s">
        <v>70</v>
      </c>
      <c r="K113" s="1" t="s">
        <v>38</v>
      </c>
      <c r="L113" s="1" t="s">
        <v>212</v>
      </c>
      <c r="M113" s="2" t="s">
        <v>72</v>
      </c>
      <c r="N113" s="2"/>
      <c r="O113" s="3">
        <v>1</v>
      </c>
      <c r="P113" s="1" t="s">
        <v>143</v>
      </c>
      <c r="Q113" s="1">
        <v>720</v>
      </c>
      <c r="R113" s="1">
        <v>720</v>
      </c>
      <c r="S113" s="1" t="s">
        <v>192</v>
      </c>
      <c r="T113" s="1" t="s">
        <v>427</v>
      </c>
      <c r="U113" s="1" t="s">
        <v>544</v>
      </c>
      <c r="V113" s="1" t="s">
        <v>45</v>
      </c>
      <c r="W113" s="1" t="s">
        <v>38</v>
      </c>
      <c r="X113" t="s">
        <v>38</v>
      </c>
      <c r="Y113" t="s">
        <v>38</v>
      </c>
      <c r="Z113" t="s">
        <v>541</v>
      </c>
    </row>
    <row r="114" spans="1:26" x14ac:dyDescent="0.25">
      <c r="A114" s="1" t="s">
        <v>545</v>
      </c>
      <c r="B114" s="1" t="s">
        <v>543</v>
      </c>
      <c r="C114" s="1" t="s">
        <v>58</v>
      </c>
      <c r="D114" s="1" t="s">
        <v>58</v>
      </c>
      <c r="E114" s="1" t="s">
        <v>58</v>
      </c>
      <c r="F114" s="1" t="s">
        <v>310</v>
      </c>
      <c r="G114" s="1" t="s">
        <v>78</v>
      </c>
      <c r="H114" s="1" t="s">
        <v>91</v>
      </c>
      <c r="I114" s="1" t="s">
        <v>36</v>
      </c>
      <c r="J114" s="1" t="s">
        <v>70</v>
      </c>
      <c r="K114" s="1" t="s">
        <v>38</v>
      </c>
      <c r="L114" s="1" t="s">
        <v>497</v>
      </c>
      <c r="M114" s="2" t="s">
        <v>72</v>
      </c>
      <c r="N114" s="2"/>
      <c r="O114" s="3">
        <v>2</v>
      </c>
      <c r="P114" s="1" t="s">
        <v>498</v>
      </c>
      <c r="Q114" s="1">
        <v>240</v>
      </c>
      <c r="R114" s="1">
        <v>480</v>
      </c>
      <c r="S114" s="1" t="s">
        <v>192</v>
      </c>
      <c r="T114" s="1" t="s">
        <v>427</v>
      </c>
      <c r="U114" s="1" t="s">
        <v>544</v>
      </c>
      <c r="V114" s="1" t="s">
        <v>45</v>
      </c>
      <c r="W114" s="1" t="s">
        <v>38</v>
      </c>
      <c r="X114" t="s">
        <v>38</v>
      </c>
      <c r="Y114" t="s">
        <v>38</v>
      </c>
      <c r="Z114" t="s">
        <v>500</v>
      </c>
    </row>
    <row r="115" spans="1:26" x14ac:dyDescent="0.25">
      <c r="A115" s="1" t="s">
        <v>546</v>
      </c>
      <c r="B115" s="1" t="s">
        <v>547</v>
      </c>
      <c r="C115" s="1" t="s">
        <v>58</v>
      </c>
      <c r="D115" s="1" t="s">
        <v>58</v>
      </c>
      <c r="E115" s="1" t="s">
        <v>58</v>
      </c>
      <c r="F115" s="1" t="s">
        <v>310</v>
      </c>
      <c r="G115" s="1" t="s">
        <v>78</v>
      </c>
      <c r="H115" s="1" t="s">
        <v>91</v>
      </c>
      <c r="I115" s="1" t="s">
        <v>36</v>
      </c>
      <c r="J115" s="1" t="s">
        <v>70</v>
      </c>
      <c r="K115" s="1" t="s">
        <v>38</v>
      </c>
      <c r="L115" s="1" t="s">
        <v>99</v>
      </c>
      <c r="M115" s="2" t="s">
        <v>548</v>
      </c>
      <c r="N115" s="2"/>
      <c r="O115" s="3">
        <v>10</v>
      </c>
      <c r="P115" s="1" t="s">
        <v>93</v>
      </c>
      <c r="Q115" s="1">
        <v>5.5</v>
      </c>
      <c r="R115" s="1">
        <v>55</v>
      </c>
      <c r="S115" s="1" t="s">
        <v>354</v>
      </c>
      <c r="T115" s="1" t="s">
        <v>549</v>
      </c>
      <c r="U115" s="1" t="s">
        <v>355</v>
      </c>
      <c r="V115" s="1" t="s">
        <v>45</v>
      </c>
      <c r="W115" s="1" t="s">
        <v>38</v>
      </c>
      <c r="X115" t="s">
        <v>38</v>
      </c>
      <c r="Y115" t="s">
        <v>38</v>
      </c>
      <c r="Z115" t="s">
        <v>550</v>
      </c>
    </row>
    <row r="116" spans="1:26" x14ac:dyDescent="0.25">
      <c r="A116" s="1" t="s">
        <v>551</v>
      </c>
      <c r="B116" s="1" t="s">
        <v>552</v>
      </c>
      <c r="C116" s="1" t="s">
        <v>58</v>
      </c>
      <c r="D116" s="1" t="s">
        <v>58</v>
      </c>
      <c r="E116" s="1" t="s">
        <v>58</v>
      </c>
      <c r="F116" s="1" t="s">
        <v>485</v>
      </c>
      <c r="G116" s="1" t="s">
        <v>78</v>
      </c>
      <c r="H116" s="1" t="s">
        <v>91</v>
      </c>
      <c r="I116" s="1" t="s">
        <v>36</v>
      </c>
      <c r="J116" s="1" t="s">
        <v>413</v>
      </c>
      <c r="K116" s="1" t="s">
        <v>38</v>
      </c>
      <c r="L116" s="1" t="s">
        <v>553</v>
      </c>
      <c r="M116" s="2" t="s">
        <v>554</v>
      </c>
      <c r="N116" s="2"/>
      <c r="O116" s="3">
        <v>2</v>
      </c>
      <c r="P116" s="1" t="s">
        <v>93</v>
      </c>
      <c r="Q116" s="1">
        <v>580</v>
      </c>
      <c r="R116" s="1">
        <v>1160</v>
      </c>
      <c r="S116" s="1" t="s">
        <v>120</v>
      </c>
      <c r="T116" s="1" t="s">
        <v>129</v>
      </c>
      <c r="U116" s="1" t="s">
        <v>122</v>
      </c>
      <c r="V116" s="1" t="s">
        <v>45</v>
      </c>
      <c r="W116" s="1" t="s">
        <v>38</v>
      </c>
      <c r="X116" t="s">
        <v>38</v>
      </c>
      <c r="Y116" t="s">
        <v>38</v>
      </c>
      <c r="Z116" t="s">
        <v>555</v>
      </c>
    </row>
    <row r="117" spans="1:26" x14ac:dyDescent="0.25">
      <c r="A117" s="1" t="s">
        <v>556</v>
      </c>
      <c r="B117" s="1" t="s">
        <v>557</v>
      </c>
      <c r="C117" s="1" t="s">
        <v>58</v>
      </c>
      <c r="D117" s="1" t="s">
        <v>58</v>
      </c>
      <c r="E117" s="1" t="s">
        <v>310</v>
      </c>
      <c r="F117" s="1" t="s">
        <v>485</v>
      </c>
      <c r="G117" s="1" t="s">
        <v>78</v>
      </c>
      <c r="H117" s="1" t="s">
        <v>91</v>
      </c>
      <c r="I117" s="1" t="s">
        <v>36</v>
      </c>
      <c r="J117" s="1" t="s">
        <v>70</v>
      </c>
      <c r="K117" s="1" t="s">
        <v>38</v>
      </c>
      <c r="L117" s="1" t="s">
        <v>558</v>
      </c>
      <c r="M117" s="2" t="s">
        <v>40</v>
      </c>
      <c r="N117" s="2"/>
      <c r="O117" s="3">
        <v>2</v>
      </c>
      <c r="P117" s="1" t="s">
        <v>93</v>
      </c>
      <c r="Q117" s="1">
        <v>925</v>
      </c>
      <c r="R117" s="1">
        <v>1850</v>
      </c>
      <c r="S117" s="1" t="s">
        <v>128</v>
      </c>
      <c r="T117" s="1" t="s">
        <v>129</v>
      </c>
      <c r="U117" s="1" t="s">
        <v>130</v>
      </c>
      <c r="V117" s="1" t="s">
        <v>45</v>
      </c>
      <c r="W117" s="1" t="s">
        <v>38</v>
      </c>
      <c r="X117" t="s">
        <v>38</v>
      </c>
      <c r="Y117" t="s">
        <v>38</v>
      </c>
      <c r="Z117" t="s">
        <v>559</v>
      </c>
    </row>
    <row r="118" spans="1:26" x14ac:dyDescent="0.25">
      <c r="A118" s="1" t="s">
        <v>560</v>
      </c>
      <c r="B118" s="1" t="s">
        <v>557</v>
      </c>
      <c r="C118" s="1" t="s">
        <v>58</v>
      </c>
      <c r="D118" s="1" t="s">
        <v>58</v>
      </c>
      <c r="E118" s="1" t="s">
        <v>310</v>
      </c>
      <c r="F118" s="1" t="s">
        <v>485</v>
      </c>
      <c r="G118" s="1" t="s">
        <v>78</v>
      </c>
      <c r="H118" s="1" t="s">
        <v>91</v>
      </c>
      <c r="I118" s="1" t="s">
        <v>36</v>
      </c>
      <c r="J118" s="1" t="s">
        <v>413</v>
      </c>
      <c r="K118" s="1" t="s">
        <v>38</v>
      </c>
      <c r="L118" s="1" t="s">
        <v>561</v>
      </c>
      <c r="M118" s="2" t="s">
        <v>40</v>
      </c>
      <c r="N118" s="2"/>
      <c r="O118" s="3">
        <v>1</v>
      </c>
      <c r="P118" s="1" t="s">
        <v>360</v>
      </c>
      <c r="Q118" s="1">
        <v>5000</v>
      </c>
      <c r="R118" s="1">
        <v>5000</v>
      </c>
      <c r="S118" s="1" t="s">
        <v>128</v>
      </c>
      <c r="T118" s="1" t="s">
        <v>129</v>
      </c>
      <c r="U118" s="1" t="s">
        <v>130</v>
      </c>
      <c r="V118" s="1" t="s">
        <v>45</v>
      </c>
      <c r="W118" s="1" t="s">
        <v>38</v>
      </c>
      <c r="X118" t="s">
        <v>38</v>
      </c>
      <c r="Y118" t="s">
        <v>38</v>
      </c>
      <c r="Z118" t="s">
        <v>562</v>
      </c>
    </row>
    <row r="119" spans="1:26" x14ac:dyDescent="0.25">
      <c r="A119" s="1" t="s">
        <v>563</v>
      </c>
      <c r="B119" s="1" t="s">
        <v>564</v>
      </c>
      <c r="C119" s="1" t="s">
        <v>33</v>
      </c>
      <c r="D119" s="1" t="s">
        <v>58</v>
      </c>
      <c r="E119" s="1" t="s">
        <v>58</v>
      </c>
      <c r="F119" s="1" t="s">
        <v>565</v>
      </c>
      <c r="G119" s="1" t="s">
        <v>34</v>
      </c>
      <c r="H119" s="1" t="s">
        <v>566</v>
      </c>
      <c r="I119" s="1" t="s">
        <v>36</v>
      </c>
      <c r="J119" s="1" t="s">
        <v>37</v>
      </c>
      <c r="K119" s="1" t="s">
        <v>38</v>
      </c>
      <c r="L119" s="1" t="s">
        <v>39</v>
      </c>
      <c r="M119" s="2" t="s">
        <v>519</v>
      </c>
      <c r="N119" s="2"/>
      <c r="O119" s="3">
        <v>3</v>
      </c>
      <c r="P119" s="1" t="s">
        <v>41</v>
      </c>
      <c r="Q119" s="1">
        <v>60.05</v>
      </c>
      <c r="R119" s="1">
        <v>180.14999999999998</v>
      </c>
      <c r="S119" s="1" t="s">
        <v>567</v>
      </c>
      <c r="T119" s="1" t="s">
        <v>568</v>
      </c>
      <c r="U119" s="1" t="s">
        <v>569</v>
      </c>
      <c r="V119" s="1" t="s">
        <v>45</v>
      </c>
      <c r="W119" s="1" t="s">
        <v>38</v>
      </c>
      <c r="X119" t="s">
        <v>38</v>
      </c>
      <c r="Y119" t="s">
        <v>38</v>
      </c>
      <c r="Z119" t="s">
        <v>570</v>
      </c>
    </row>
    <row r="120" spans="1:26" x14ac:dyDescent="0.25">
      <c r="A120" s="1" t="s">
        <v>571</v>
      </c>
      <c r="B120" s="1" t="s">
        <v>564</v>
      </c>
      <c r="C120" s="1" t="s">
        <v>33</v>
      </c>
      <c r="D120" s="1" t="s">
        <v>58</v>
      </c>
      <c r="E120" s="1" t="s">
        <v>58</v>
      </c>
      <c r="F120" s="1" t="s">
        <v>565</v>
      </c>
      <c r="G120" s="1" t="s">
        <v>34</v>
      </c>
      <c r="H120" s="1" t="s">
        <v>566</v>
      </c>
      <c r="I120" s="1" t="s">
        <v>36</v>
      </c>
      <c r="J120" s="1" t="s">
        <v>37</v>
      </c>
      <c r="K120" s="1" t="s">
        <v>38</v>
      </c>
      <c r="L120" s="1" t="s">
        <v>39</v>
      </c>
      <c r="M120" s="2" t="s">
        <v>519</v>
      </c>
      <c r="N120" s="2"/>
      <c r="O120" s="3">
        <v>3</v>
      </c>
      <c r="P120" s="1" t="s">
        <v>41</v>
      </c>
      <c r="Q120" s="1">
        <v>60.75</v>
      </c>
      <c r="R120" s="1">
        <v>182.25</v>
      </c>
      <c r="S120" s="1" t="s">
        <v>567</v>
      </c>
      <c r="T120" s="1" t="s">
        <v>568</v>
      </c>
      <c r="U120" s="1" t="s">
        <v>569</v>
      </c>
      <c r="V120" s="1" t="s">
        <v>45</v>
      </c>
      <c r="W120" s="1" t="s">
        <v>38</v>
      </c>
      <c r="X120" t="s">
        <v>38</v>
      </c>
      <c r="Y120" t="s">
        <v>38</v>
      </c>
      <c r="Z120" t="s">
        <v>570</v>
      </c>
    </row>
    <row r="121" spans="1:26" x14ac:dyDescent="0.25">
      <c r="A121" s="1" t="s">
        <v>572</v>
      </c>
      <c r="B121" s="1" t="s">
        <v>564</v>
      </c>
      <c r="C121" s="1" t="s">
        <v>33</v>
      </c>
      <c r="D121" s="1" t="s">
        <v>58</v>
      </c>
      <c r="E121" s="1" t="s">
        <v>58</v>
      </c>
      <c r="F121" s="1" t="s">
        <v>565</v>
      </c>
      <c r="G121" s="1" t="s">
        <v>34</v>
      </c>
      <c r="H121" s="1" t="s">
        <v>566</v>
      </c>
      <c r="I121" s="1" t="s">
        <v>36</v>
      </c>
      <c r="J121" s="1" t="s">
        <v>37</v>
      </c>
      <c r="K121" s="1" t="s">
        <v>38</v>
      </c>
      <c r="L121" s="1" t="s">
        <v>39</v>
      </c>
      <c r="M121" s="2" t="s">
        <v>519</v>
      </c>
      <c r="N121" s="2"/>
      <c r="O121" s="3">
        <v>3</v>
      </c>
      <c r="P121" s="1" t="s">
        <v>41</v>
      </c>
      <c r="Q121" s="1">
        <v>60.75</v>
      </c>
      <c r="R121" s="1">
        <v>182.25</v>
      </c>
      <c r="S121" s="1" t="s">
        <v>567</v>
      </c>
      <c r="T121" s="1" t="s">
        <v>568</v>
      </c>
      <c r="U121" s="1" t="s">
        <v>569</v>
      </c>
      <c r="V121" s="1" t="s">
        <v>45</v>
      </c>
      <c r="W121" s="1" t="s">
        <v>38</v>
      </c>
      <c r="X121" t="s">
        <v>38</v>
      </c>
      <c r="Y121" t="s">
        <v>38</v>
      </c>
      <c r="Z121" t="s">
        <v>570</v>
      </c>
    </row>
    <row r="122" spans="1:26" x14ac:dyDescent="0.25">
      <c r="A122" s="1" t="s">
        <v>573</v>
      </c>
      <c r="B122" s="1" t="s">
        <v>564</v>
      </c>
      <c r="C122" s="1" t="s">
        <v>33</v>
      </c>
      <c r="D122" s="1" t="s">
        <v>58</v>
      </c>
      <c r="E122" s="1" t="s">
        <v>58</v>
      </c>
      <c r="F122" s="1" t="s">
        <v>565</v>
      </c>
      <c r="G122" s="1" t="s">
        <v>34</v>
      </c>
      <c r="H122" s="1" t="s">
        <v>566</v>
      </c>
      <c r="I122" s="1" t="s">
        <v>36</v>
      </c>
      <c r="J122" s="1" t="s">
        <v>37</v>
      </c>
      <c r="K122" s="1" t="s">
        <v>38</v>
      </c>
      <c r="L122" s="1" t="s">
        <v>39</v>
      </c>
      <c r="M122" s="2" t="s">
        <v>519</v>
      </c>
      <c r="N122" s="2"/>
      <c r="O122" s="3">
        <v>2.4</v>
      </c>
      <c r="P122" s="1" t="s">
        <v>41</v>
      </c>
      <c r="Q122" s="1">
        <v>60.75</v>
      </c>
      <c r="R122" s="1">
        <v>145.79999999999998</v>
      </c>
      <c r="S122" s="1" t="s">
        <v>567</v>
      </c>
      <c r="T122" s="1" t="s">
        <v>568</v>
      </c>
      <c r="U122" s="1" t="s">
        <v>569</v>
      </c>
      <c r="V122" s="1" t="s">
        <v>45</v>
      </c>
      <c r="W122" s="1" t="s">
        <v>38</v>
      </c>
      <c r="X122" t="s">
        <v>38</v>
      </c>
      <c r="Y122" t="s">
        <v>38</v>
      </c>
      <c r="Z122" t="s">
        <v>570</v>
      </c>
    </row>
    <row r="123" spans="1:26" x14ac:dyDescent="0.25">
      <c r="A123" s="1" t="s">
        <v>574</v>
      </c>
      <c r="B123" s="1" t="s">
        <v>564</v>
      </c>
      <c r="C123" s="1" t="s">
        <v>33</v>
      </c>
      <c r="D123" s="1" t="s">
        <v>58</v>
      </c>
      <c r="E123" s="1" t="s">
        <v>58</v>
      </c>
      <c r="F123" s="1" t="s">
        <v>565</v>
      </c>
      <c r="G123" s="1" t="s">
        <v>34</v>
      </c>
      <c r="H123" s="1" t="s">
        <v>566</v>
      </c>
      <c r="I123" s="1" t="s">
        <v>36</v>
      </c>
      <c r="J123" s="1" t="s">
        <v>37</v>
      </c>
      <c r="K123" s="1" t="s">
        <v>38</v>
      </c>
      <c r="L123" s="1" t="s">
        <v>39</v>
      </c>
      <c r="M123" s="2" t="s">
        <v>519</v>
      </c>
      <c r="N123" s="2"/>
      <c r="O123" s="3">
        <v>3</v>
      </c>
      <c r="P123" s="1" t="s">
        <v>41</v>
      </c>
      <c r="Q123" s="1">
        <v>60.75</v>
      </c>
      <c r="R123" s="1">
        <v>182.25</v>
      </c>
      <c r="S123" s="1" t="s">
        <v>567</v>
      </c>
      <c r="T123" s="1" t="s">
        <v>568</v>
      </c>
      <c r="U123" s="1" t="s">
        <v>569</v>
      </c>
      <c r="V123" s="1" t="s">
        <v>45</v>
      </c>
      <c r="W123" s="1" t="s">
        <v>38</v>
      </c>
      <c r="X123" t="s">
        <v>38</v>
      </c>
      <c r="Y123" t="s">
        <v>38</v>
      </c>
      <c r="Z123" t="s">
        <v>570</v>
      </c>
    </row>
    <row r="124" spans="1:26" x14ac:dyDescent="0.25">
      <c r="A124" s="1" t="s">
        <v>575</v>
      </c>
      <c r="B124" s="1" t="s">
        <v>576</v>
      </c>
      <c r="C124" s="1" t="s">
        <v>58</v>
      </c>
      <c r="D124" s="1" t="s">
        <v>58</v>
      </c>
      <c r="E124" s="1" t="s">
        <v>310</v>
      </c>
      <c r="F124" s="1" t="s">
        <v>310</v>
      </c>
      <c r="G124" s="1" t="s">
        <v>78</v>
      </c>
      <c r="H124" s="1" t="s">
        <v>91</v>
      </c>
      <c r="I124" s="1" t="s">
        <v>36</v>
      </c>
      <c r="J124" s="1" t="s">
        <v>70</v>
      </c>
      <c r="K124" s="1" t="s">
        <v>38</v>
      </c>
      <c r="L124" s="1" t="s">
        <v>558</v>
      </c>
      <c r="M124" s="2" t="s">
        <v>40</v>
      </c>
      <c r="N124" s="2"/>
      <c r="O124" s="3">
        <v>2</v>
      </c>
      <c r="P124" s="1" t="s">
        <v>93</v>
      </c>
      <c r="Q124" s="1">
        <v>130</v>
      </c>
      <c r="R124" s="1">
        <v>260</v>
      </c>
      <c r="S124" s="1" t="s">
        <v>577</v>
      </c>
      <c r="T124" s="1" t="s">
        <v>129</v>
      </c>
      <c r="U124" s="1" t="s">
        <v>578</v>
      </c>
      <c r="V124" s="1" t="s">
        <v>45</v>
      </c>
      <c r="W124" s="1" t="s">
        <v>38</v>
      </c>
      <c r="X124" t="s">
        <v>38</v>
      </c>
      <c r="Y124" t="s">
        <v>38</v>
      </c>
      <c r="Z124" t="s">
        <v>579</v>
      </c>
    </row>
    <row r="125" spans="1:26" x14ac:dyDescent="0.25">
      <c r="A125" s="1" t="s">
        <v>580</v>
      </c>
      <c r="B125" s="1" t="s">
        <v>576</v>
      </c>
      <c r="C125" s="1" t="s">
        <v>58</v>
      </c>
      <c r="D125" s="1" t="s">
        <v>58</v>
      </c>
      <c r="E125" s="1" t="s">
        <v>310</v>
      </c>
      <c r="F125" s="1" t="s">
        <v>310</v>
      </c>
      <c r="G125" s="1" t="s">
        <v>78</v>
      </c>
      <c r="H125" s="1" t="s">
        <v>91</v>
      </c>
      <c r="I125" s="1" t="s">
        <v>36</v>
      </c>
      <c r="J125" s="1" t="s">
        <v>70</v>
      </c>
      <c r="K125" s="1" t="s">
        <v>38</v>
      </c>
      <c r="L125" s="1" t="s">
        <v>197</v>
      </c>
      <c r="M125" s="2" t="s">
        <v>581</v>
      </c>
      <c r="N125" s="2"/>
      <c r="O125" s="3">
        <v>1</v>
      </c>
      <c r="P125" s="1" t="s">
        <v>360</v>
      </c>
      <c r="Q125" s="1">
        <v>700</v>
      </c>
      <c r="R125" s="1">
        <v>700</v>
      </c>
      <c r="S125" s="1" t="s">
        <v>577</v>
      </c>
      <c r="T125" s="1" t="s">
        <v>129</v>
      </c>
      <c r="U125" s="1" t="s">
        <v>578</v>
      </c>
      <c r="V125" s="1" t="s">
        <v>45</v>
      </c>
      <c r="W125" s="1" t="s">
        <v>38</v>
      </c>
      <c r="X125" t="s">
        <v>38</v>
      </c>
      <c r="Y125" t="s">
        <v>38</v>
      </c>
      <c r="Z125" t="s">
        <v>582</v>
      </c>
    </row>
    <row r="126" spans="1:26" x14ac:dyDescent="0.25">
      <c r="A126" s="1" t="s">
        <v>583</v>
      </c>
      <c r="B126" s="1" t="s">
        <v>584</v>
      </c>
      <c r="C126" s="1" t="s">
        <v>48</v>
      </c>
      <c r="D126" s="1" t="s">
        <v>77</v>
      </c>
      <c r="E126" s="1" t="s">
        <v>310</v>
      </c>
      <c r="F126" s="1" t="s">
        <v>565</v>
      </c>
      <c r="G126" s="1" t="s">
        <v>34</v>
      </c>
      <c r="H126" s="1" t="s">
        <v>403</v>
      </c>
      <c r="I126" s="1" t="s">
        <v>80</v>
      </c>
      <c r="J126" s="1" t="s">
        <v>585</v>
      </c>
      <c r="K126" s="1" t="s">
        <v>38</v>
      </c>
      <c r="L126" s="1" t="s">
        <v>586</v>
      </c>
      <c r="M126" s="2" t="s">
        <v>587</v>
      </c>
      <c r="N126" s="2"/>
      <c r="O126" s="3">
        <v>1</v>
      </c>
      <c r="P126" s="1" t="s">
        <v>93</v>
      </c>
      <c r="Q126" s="1">
        <v>228</v>
      </c>
      <c r="R126" s="1">
        <v>228</v>
      </c>
      <c r="S126" s="1" t="s">
        <v>38</v>
      </c>
      <c r="T126" s="1" t="s">
        <v>407</v>
      </c>
      <c r="U126" s="1" t="s">
        <v>408</v>
      </c>
      <c r="V126" s="1" t="s">
        <v>45</v>
      </c>
      <c r="W126" s="1" t="s">
        <v>38</v>
      </c>
      <c r="X126" t="s">
        <v>38</v>
      </c>
      <c r="Y126" t="s">
        <v>38</v>
      </c>
      <c r="Z126" t="s">
        <v>588</v>
      </c>
    </row>
    <row r="127" spans="1:26" x14ac:dyDescent="0.25">
      <c r="A127" s="1" t="s">
        <v>589</v>
      </c>
      <c r="B127" s="1" t="s">
        <v>590</v>
      </c>
      <c r="C127" s="1" t="s">
        <v>58</v>
      </c>
      <c r="D127" s="1" t="s">
        <v>310</v>
      </c>
      <c r="E127" s="1" t="s">
        <v>310</v>
      </c>
      <c r="F127" s="1" t="s">
        <v>310</v>
      </c>
      <c r="G127" s="1" t="s">
        <v>78</v>
      </c>
      <c r="H127" s="1" t="s">
        <v>91</v>
      </c>
      <c r="I127" s="1" t="s">
        <v>36</v>
      </c>
      <c r="J127" s="1" t="s">
        <v>70</v>
      </c>
      <c r="K127" s="1" t="s">
        <v>38</v>
      </c>
      <c r="L127" s="1" t="s">
        <v>591</v>
      </c>
      <c r="M127" s="2" t="s">
        <v>40</v>
      </c>
      <c r="N127" s="2"/>
      <c r="O127" s="3">
        <v>2</v>
      </c>
      <c r="P127" s="1" t="s">
        <v>93</v>
      </c>
      <c r="Q127" s="1">
        <v>60</v>
      </c>
      <c r="R127" s="1">
        <v>120</v>
      </c>
      <c r="S127" s="1" t="s">
        <v>592</v>
      </c>
      <c r="T127" s="1" t="s">
        <v>129</v>
      </c>
      <c r="U127" s="1" t="s">
        <v>593</v>
      </c>
      <c r="V127" s="1" t="s">
        <v>45</v>
      </c>
      <c r="W127" s="1" t="s">
        <v>38</v>
      </c>
      <c r="X127" t="s">
        <v>38</v>
      </c>
      <c r="Y127" t="s">
        <v>38</v>
      </c>
      <c r="Z127" t="s">
        <v>594</v>
      </c>
    </row>
    <row r="128" spans="1:26" x14ac:dyDescent="0.25">
      <c r="A128" s="1" t="s">
        <v>595</v>
      </c>
      <c r="B128" s="1" t="s">
        <v>590</v>
      </c>
      <c r="C128" s="1" t="s">
        <v>58</v>
      </c>
      <c r="D128" s="1" t="s">
        <v>310</v>
      </c>
      <c r="E128" s="1" t="s">
        <v>310</v>
      </c>
      <c r="F128" s="1" t="s">
        <v>310</v>
      </c>
      <c r="G128" s="1" t="s">
        <v>78</v>
      </c>
      <c r="H128" s="1" t="s">
        <v>91</v>
      </c>
      <c r="I128" s="1" t="s">
        <v>36</v>
      </c>
      <c r="J128" s="1" t="s">
        <v>70</v>
      </c>
      <c r="K128" s="1" t="s">
        <v>38</v>
      </c>
      <c r="L128" s="1" t="s">
        <v>596</v>
      </c>
      <c r="M128" s="2" t="s">
        <v>597</v>
      </c>
      <c r="N128" s="2"/>
      <c r="O128" s="3">
        <v>3</v>
      </c>
      <c r="P128" s="1" t="s">
        <v>381</v>
      </c>
      <c r="Q128" s="1">
        <v>80</v>
      </c>
      <c r="R128" s="1">
        <v>240</v>
      </c>
      <c r="S128" s="1" t="s">
        <v>592</v>
      </c>
      <c r="T128" s="1" t="s">
        <v>129</v>
      </c>
      <c r="U128" s="1" t="s">
        <v>593</v>
      </c>
      <c r="V128" s="1" t="s">
        <v>45</v>
      </c>
      <c r="W128" s="1" t="s">
        <v>38</v>
      </c>
      <c r="X128" t="s">
        <v>38</v>
      </c>
      <c r="Y128" t="s">
        <v>38</v>
      </c>
      <c r="Z128" t="s">
        <v>597</v>
      </c>
    </row>
    <row r="129" spans="1:26" x14ac:dyDescent="0.25">
      <c r="A129" s="1" t="s">
        <v>598</v>
      </c>
      <c r="B129" s="1" t="s">
        <v>590</v>
      </c>
      <c r="C129" s="1" t="s">
        <v>58</v>
      </c>
      <c r="D129" s="1" t="s">
        <v>310</v>
      </c>
      <c r="E129" s="1" t="s">
        <v>310</v>
      </c>
      <c r="F129" s="1" t="s">
        <v>310</v>
      </c>
      <c r="G129" s="1" t="s">
        <v>78</v>
      </c>
      <c r="H129" s="1" t="s">
        <v>91</v>
      </c>
      <c r="I129" s="1" t="s">
        <v>36</v>
      </c>
      <c r="J129" s="1" t="s">
        <v>70</v>
      </c>
      <c r="K129" s="1" t="s">
        <v>38</v>
      </c>
      <c r="L129" s="1" t="s">
        <v>599</v>
      </c>
      <c r="M129" s="2" t="s">
        <v>40</v>
      </c>
      <c r="N129" s="2"/>
      <c r="O129" s="3">
        <v>2</v>
      </c>
      <c r="P129" s="1" t="s">
        <v>93</v>
      </c>
      <c r="Q129" s="1">
        <v>5000</v>
      </c>
      <c r="R129" s="1">
        <v>10000</v>
      </c>
      <c r="S129" s="1" t="s">
        <v>592</v>
      </c>
      <c r="T129" s="1" t="s">
        <v>129</v>
      </c>
      <c r="U129" s="1" t="s">
        <v>593</v>
      </c>
      <c r="V129" s="1" t="s">
        <v>45</v>
      </c>
      <c r="W129" s="1" t="s">
        <v>38</v>
      </c>
      <c r="X129" t="s">
        <v>38</v>
      </c>
      <c r="Y129" t="s">
        <v>38</v>
      </c>
      <c r="Z129" t="s">
        <v>600</v>
      </c>
    </row>
    <row r="130" spans="1:26" x14ac:dyDescent="0.25">
      <c r="A130" s="1" t="s">
        <v>601</v>
      </c>
      <c r="B130" s="1" t="s">
        <v>590</v>
      </c>
      <c r="C130" s="1" t="s">
        <v>58</v>
      </c>
      <c r="D130" s="1" t="s">
        <v>310</v>
      </c>
      <c r="E130" s="1" t="s">
        <v>310</v>
      </c>
      <c r="F130" s="1" t="s">
        <v>310</v>
      </c>
      <c r="G130" s="1" t="s">
        <v>78</v>
      </c>
      <c r="H130" s="1" t="s">
        <v>91</v>
      </c>
      <c r="I130" s="1" t="s">
        <v>36</v>
      </c>
      <c r="J130" s="1" t="s">
        <v>70</v>
      </c>
      <c r="K130" s="1" t="s">
        <v>38</v>
      </c>
      <c r="L130" s="1" t="s">
        <v>591</v>
      </c>
      <c r="M130" s="2" t="s">
        <v>40</v>
      </c>
      <c r="N130" s="2"/>
      <c r="O130" s="3">
        <v>2</v>
      </c>
      <c r="P130" s="1" t="s">
        <v>93</v>
      </c>
      <c r="Q130" s="1">
        <v>15</v>
      </c>
      <c r="R130" s="1">
        <v>30</v>
      </c>
      <c r="S130" s="1" t="s">
        <v>592</v>
      </c>
      <c r="T130" s="1" t="s">
        <v>129</v>
      </c>
      <c r="U130" s="1" t="s">
        <v>593</v>
      </c>
      <c r="V130" s="1" t="s">
        <v>45</v>
      </c>
      <c r="W130" s="1" t="s">
        <v>38</v>
      </c>
      <c r="X130" t="s">
        <v>38</v>
      </c>
      <c r="Y130" t="s">
        <v>38</v>
      </c>
      <c r="Z130" t="s">
        <v>602</v>
      </c>
    </row>
    <row r="131" spans="1:26" x14ac:dyDescent="0.25">
      <c r="A131" s="1" t="s">
        <v>603</v>
      </c>
      <c r="B131" s="1" t="s">
        <v>590</v>
      </c>
      <c r="C131" s="1" t="s">
        <v>58</v>
      </c>
      <c r="D131" s="1" t="s">
        <v>310</v>
      </c>
      <c r="E131" s="1" t="s">
        <v>310</v>
      </c>
      <c r="F131" s="1" t="s">
        <v>310</v>
      </c>
      <c r="G131" s="1" t="s">
        <v>78</v>
      </c>
      <c r="H131" s="1" t="s">
        <v>91</v>
      </c>
      <c r="I131" s="1" t="s">
        <v>36</v>
      </c>
      <c r="J131" s="1" t="s">
        <v>70</v>
      </c>
      <c r="K131" s="1" t="s">
        <v>38</v>
      </c>
      <c r="L131" s="1" t="s">
        <v>604</v>
      </c>
      <c r="M131" s="2" t="s">
        <v>40</v>
      </c>
      <c r="N131" s="2" t="s">
        <v>38</v>
      </c>
      <c r="O131" s="3">
        <v>1</v>
      </c>
      <c r="P131" s="1" t="s">
        <v>93</v>
      </c>
      <c r="Q131" s="1">
        <v>870</v>
      </c>
      <c r="R131" s="1">
        <v>870</v>
      </c>
      <c r="S131" s="1" t="s">
        <v>592</v>
      </c>
      <c r="T131" s="1" t="s">
        <v>129</v>
      </c>
      <c r="U131" s="1" t="s">
        <v>593</v>
      </c>
      <c r="V131" s="1" t="s">
        <v>45</v>
      </c>
      <c r="W131" s="1" t="s">
        <v>38</v>
      </c>
      <c r="X131" t="s">
        <v>38</v>
      </c>
      <c r="Y131" t="s">
        <v>38</v>
      </c>
      <c r="Z131" t="s">
        <v>605</v>
      </c>
    </row>
    <row r="132" spans="1:26" x14ac:dyDescent="0.25">
      <c r="A132" s="1" t="s">
        <v>606</v>
      </c>
      <c r="B132" s="1" t="s">
        <v>607</v>
      </c>
      <c r="C132" s="1" t="s">
        <v>310</v>
      </c>
      <c r="D132" s="1" t="s">
        <v>310</v>
      </c>
      <c r="E132" s="1" t="s">
        <v>310</v>
      </c>
      <c r="F132" s="1" t="s">
        <v>310</v>
      </c>
      <c r="G132" s="1" t="s">
        <v>78</v>
      </c>
      <c r="H132" s="1" t="s">
        <v>91</v>
      </c>
      <c r="I132" s="1" t="s">
        <v>36</v>
      </c>
      <c r="J132" s="1" t="s">
        <v>70</v>
      </c>
      <c r="K132" s="1" t="s">
        <v>38</v>
      </c>
      <c r="L132" s="1" t="s">
        <v>608</v>
      </c>
      <c r="M132" s="2" t="s">
        <v>40</v>
      </c>
      <c r="N132" s="2"/>
      <c r="O132" s="3">
        <v>10</v>
      </c>
      <c r="P132" s="1" t="s">
        <v>93</v>
      </c>
      <c r="Q132" s="1">
        <v>70</v>
      </c>
      <c r="R132" s="1">
        <v>700</v>
      </c>
      <c r="S132" s="1" t="s">
        <v>328</v>
      </c>
      <c r="T132" s="1" t="s">
        <v>129</v>
      </c>
      <c r="U132" s="1" t="s">
        <v>609</v>
      </c>
      <c r="V132" s="1" t="s">
        <v>45</v>
      </c>
      <c r="W132" s="1" t="s">
        <v>38</v>
      </c>
      <c r="X132" t="s">
        <v>38</v>
      </c>
      <c r="Y132" t="s">
        <v>38</v>
      </c>
      <c r="Z132" t="s">
        <v>610</v>
      </c>
    </row>
    <row r="133" spans="1:26" x14ac:dyDescent="0.25">
      <c r="A133" s="1" t="s">
        <v>611</v>
      </c>
      <c r="B133" s="1" t="s">
        <v>607</v>
      </c>
      <c r="C133" s="1" t="s">
        <v>310</v>
      </c>
      <c r="D133" s="1" t="s">
        <v>310</v>
      </c>
      <c r="E133" s="1" t="s">
        <v>310</v>
      </c>
      <c r="F133" s="1" t="s">
        <v>310</v>
      </c>
      <c r="G133" s="1" t="s">
        <v>78</v>
      </c>
      <c r="H133" s="1" t="s">
        <v>91</v>
      </c>
      <c r="I133" s="1" t="s">
        <v>36</v>
      </c>
      <c r="J133" s="1" t="s">
        <v>70</v>
      </c>
      <c r="K133" s="1" t="s">
        <v>38</v>
      </c>
      <c r="L133" s="1" t="s">
        <v>612</v>
      </c>
      <c r="M133" s="2" t="s">
        <v>40</v>
      </c>
      <c r="N133" s="2"/>
      <c r="O133" s="3">
        <v>2</v>
      </c>
      <c r="P133" s="1" t="s">
        <v>93</v>
      </c>
      <c r="Q133" s="1">
        <v>100</v>
      </c>
      <c r="R133" s="1">
        <v>200</v>
      </c>
      <c r="S133" s="1" t="s">
        <v>328</v>
      </c>
      <c r="T133" s="1" t="s">
        <v>129</v>
      </c>
      <c r="U133" s="1" t="s">
        <v>609</v>
      </c>
      <c r="V133" s="1" t="s">
        <v>45</v>
      </c>
      <c r="W133" s="1" t="s">
        <v>38</v>
      </c>
      <c r="X133" t="s">
        <v>38</v>
      </c>
      <c r="Y133" t="s">
        <v>38</v>
      </c>
    </row>
    <row r="134" spans="1:26" x14ac:dyDescent="0.25">
      <c r="A134" s="1" t="s">
        <v>613</v>
      </c>
      <c r="B134" s="1" t="s">
        <v>614</v>
      </c>
      <c r="C134" s="1" t="s">
        <v>58</v>
      </c>
      <c r="D134" s="1" t="s">
        <v>310</v>
      </c>
      <c r="E134" s="1" t="s">
        <v>310</v>
      </c>
      <c r="F134" s="1" t="s">
        <v>310</v>
      </c>
      <c r="G134" s="1" t="s">
        <v>78</v>
      </c>
      <c r="H134" s="1" t="s">
        <v>303</v>
      </c>
      <c r="I134" s="1" t="s">
        <v>319</v>
      </c>
      <c r="J134" s="1" t="s">
        <v>295</v>
      </c>
      <c r="K134" s="1" t="s">
        <v>38</v>
      </c>
      <c r="L134" s="1" t="s">
        <v>320</v>
      </c>
      <c r="M134" s="2" t="s">
        <v>615</v>
      </c>
      <c r="N134" s="2"/>
      <c r="O134" s="3">
        <v>4</v>
      </c>
      <c r="P134" s="1" t="s">
        <v>322</v>
      </c>
      <c r="Q134" s="1">
        <v>199</v>
      </c>
      <c r="R134" s="1">
        <v>796</v>
      </c>
      <c r="S134" s="1" t="s">
        <v>38</v>
      </c>
      <c r="T134" s="1" t="s">
        <v>616</v>
      </c>
      <c r="U134" s="1" t="s">
        <v>332</v>
      </c>
      <c r="V134" s="1" t="s">
        <v>45</v>
      </c>
      <c r="W134" s="1" t="s">
        <v>38</v>
      </c>
      <c r="X134" t="s">
        <v>38</v>
      </c>
      <c r="Y134" t="s">
        <v>38</v>
      </c>
      <c r="Z134" t="s">
        <v>324</v>
      </c>
    </row>
    <row r="135" spans="1:26" x14ac:dyDescent="0.25">
      <c r="A135" s="1" t="s">
        <v>617</v>
      </c>
      <c r="B135" s="1" t="s">
        <v>618</v>
      </c>
      <c r="C135" s="1" t="s">
        <v>310</v>
      </c>
      <c r="D135" s="1" t="s">
        <v>310</v>
      </c>
      <c r="E135" s="1" t="s">
        <v>49</v>
      </c>
      <c r="F135" s="1" t="s">
        <v>619</v>
      </c>
      <c r="G135" s="1" t="s">
        <v>67</v>
      </c>
      <c r="H135" s="1" t="s">
        <v>68</v>
      </c>
      <c r="I135" s="1" t="s">
        <v>69</v>
      </c>
      <c r="J135" s="1" t="s">
        <v>334</v>
      </c>
      <c r="K135" s="1" t="s">
        <v>38</v>
      </c>
      <c r="L135" s="1" t="s">
        <v>620</v>
      </c>
      <c r="M135" s="2" t="s">
        <v>621</v>
      </c>
      <c r="N135" s="2"/>
      <c r="O135" s="3">
        <v>100</v>
      </c>
      <c r="P135" s="1" t="s">
        <v>93</v>
      </c>
      <c r="Q135" s="1">
        <v>71</v>
      </c>
      <c r="R135" s="1">
        <v>7100</v>
      </c>
      <c r="S135" s="1" t="s">
        <v>38</v>
      </c>
      <c r="T135" s="1" t="s">
        <v>622</v>
      </c>
      <c r="U135" s="1" t="s">
        <v>623</v>
      </c>
      <c r="V135" s="1" t="s">
        <v>45</v>
      </c>
      <c r="W135" s="1" t="s">
        <v>38</v>
      </c>
      <c r="X135" t="s">
        <v>38</v>
      </c>
      <c r="Y135" t="s">
        <v>38</v>
      </c>
      <c r="Z135" t="s">
        <v>624</v>
      </c>
    </row>
    <row r="136" spans="1:26" x14ac:dyDescent="0.25">
      <c r="A136" s="1" t="s">
        <v>625</v>
      </c>
      <c r="B136" s="1" t="s">
        <v>626</v>
      </c>
      <c r="C136" s="1" t="s">
        <v>58</v>
      </c>
      <c r="D136" s="1" t="s">
        <v>310</v>
      </c>
      <c r="E136" s="1" t="s">
        <v>310</v>
      </c>
      <c r="F136" s="1" t="s">
        <v>49</v>
      </c>
      <c r="G136" s="1" t="s">
        <v>67</v>
      </c>
      <c r="H136" s="1" t="s">
        <v>68</v>
      </c>
      <c r="I136" s="1" t="s">
        <v>69</v>
      </c>
      <c r="J136" s="1" t="s">
        <v>70</v>
      </c>
      <c r="K136" s="1" t="s">
        <v>38</v>
      </c>
      <c r="L136" s="1" t="s">
        <v>627</v>
      </c>
      <c r="M136" s="2" t="s">
        <v>380</v>
      </c>
      <c r="N136" s="2"/>
      <c r="O136" s="3">
        <v>50</v>
      </c>
      <c r="P136" s="1" t="s">
        <v>93</v>
      </c>
      <c r="Q136" s="1">
        <v>1.5</v>
      </c>
      <c r="R136" s="1">
        <v>75</v>
      </c>
      <c r="S136" s="1" t="s">
        <v>38</v>
      </c>
      <c r="T136" s="1" t="s">
        <v>628</v>
      </c>
      <c r="U136" s="1" t="s">
        <v>629</v>
      </c>
      <c r="V136" s="1" t="s">
        <v>45</v>
      </c>
      <c r="W136" s="1" t="s">
        <v>38</v>
      </c>
      <c r="X136" t="s">
        <v>38</v>
      </c>
      <c r="Y136" t="s">
        <v>38</v>
      </c>
      <c r="Z136" t="s">
        <v>380</v>
      </c>
    </row>
    <row r="137" spans="1:26" x14ac:dyDescent="0.25">
      <c r="A137" s="1" t="s">
        <v>630</v>
      </c>
      <c r="B137" s="1" t="s">
        <v>626</v>
      </c>
      <c r="C137" s="1" t="s">
        <v>58</v>
      </c>
      <c r="D137" s="1" t="s">
        <v>310</v>
      </c>
      <c r="E137" s="1" t="s">
        <v>310</v>
      </c>
      <c r="F137" s="1" t="s">
        <v>49</v>
      </c>
      <c r="G137" s="1" t="s">
        <v>67</v>
      </c>
      <c r="H137" s="1" t="s">
        <v>68</v>
      </c>
      <c r="I137" s="1" t="s">
        <v>69</v>
      </c>
      <c r="J137" s="1" t="s">
        <v>70</v>
      </c>
      <c r="K137" s="1" t="s">
        <v>38</v>
      </c>
      <c r="L137" s="1" t="s">
        <v>195</v>
      </c>
      <c r="M137" s="2" t="s">
        <v>40</v>
      </c>
      <c r="N137" s="2" t="s">
        <v>38</v>
      </c>
      <c r="O137" s="3">
        <v>10</v>
      </c>
      <c r="P137" s="1" t="s">
        <v>93</v>
      </c>
      <c r="Q137" s="1">
        <v>50</v>
      </c>
      <c r="R137" s="1">
        <v>500</v>
      </c>
      <c r="S137" s="1" t="s">
        <v>38</v>
      </c>
      <c r="T137" s="1" t="s">
        <v>628</v>
      </c>
      <c r="U137" s="1" t="s">
        <v>629</v>
      </c>
      <c r="V137" s="1" t="s">
        <v>45</v>
      </c>
      <c r="W137" s="1" t="s">
        <v>38</v>
      </c>
      <c r="X137" t="s">
        <v>38</v>
      </c>
      <c r="Y137" t="s">
        <v>38</v>
      </c>
      <c r="Z137" t="s">
        <v>610</v>
      </c>
    </row>
    <row r="138" spans="1:26" x14ac:dyDescent="0.25">
      <c r="A138" s="1" t="s">
        <v>631</v>
      </c>
      <c r="B138" s="1" t="s">
        <v>632</v>
      </c>
      <c r="C138" s="1" t="s">
        <v>340</v>
      </c>
      <c r="D138" s="1" t="s">
        <v>310</v>
      </c>
      <c r="E138" s="1" t="s">
        <v>310</v>
      </c>
      <c r="F138" s="1" t="s">
        <v>49</v>
      </c>
      <c r="G138" s="1" t="s">
        <v>67</v>
      </c>
      <c r="H138" s="1" t="s">
        <v>68</v>
      </c>
      <c r="I138" s="1" t="s">
        <v>69</v>
      </c>
      <c r="J138" s="1" t="s">
        <v>70</v>
      </c>
      <c r="K138" s="1" t="s">
        <v>38</v>
      </c>
      <c r="L138" s="1" t="s">
        <v>633</v>
      </c>
      <c r="M138" s="2" t="s">
        <v>634</v>
      </c>
      <c r="N138" s="2"/>
      <c r="O138" s="3">
        <v>1</v>
      </c>
      <c r="P138" s="1" t="s">
        <v>635</v>
      </c>
      <c r="Q138" s="1">
        <v>2650</v>
      </c>
      <c r="R138" s="1">
        <v>2650</v>
      </c>
      <c r="S138" s="1" t="s">
        <v>38</v>
      </c>
      <c r="T138" s="1" t="s">
        <v>636</v>
      </c>
      <c r="U138" s="1" t="s">
        <v>221</v>
      </c>
      <c r="V138" s="1" t="s">
        <v>45</v>
      </c>
      <c r="W138" s="1" t="s">
        <v>38</v>
      </c>
      <c r="X138" t="s">
        <v>38</v>
      </c>
      <c r="Y138" t="s">
        <v>38</v>
      </c>
      <c r="Z138" t="s">
        <v>637</v>
      </c>
    </row>
    <row r="139" spans="1:26" x14ac:dyDescent="0.25">
      <c r="A139" s="1" t="s">
        <v>638</v>
      </c>
      <c r="B139" s="1" t="s">
        <v>632</v>
      </c>
      <c r="C139" s="1" t="s">
        <v>340</v>
      </c>
      <c r="D139" s="1" t="s">
        <v>310</v>
      </c>
      <c r="E139" s="1" t="s">
        <v>310</v>
      </c>
      <c r="F139" s="1" t="s">
        <v>49</v>
      </c>
      <c r="G139" s="1" t="s">
        <v>67</v>
      </c>
      <c r="H139" s="1" t="s">
        <v>68</v>
      </c>
      <c r="I139" s="1" t="s">
        <v>69</v>
      </c>
      <c r="J139" s="1" t="s">
        <v>70</v>
      </c>
      <c r="K139" s="1" t="s">
        <v>38</v>
      </c>
      <c r="L139" s="1" t="s">
        <v>639</v>
      </c>
      <c r="M139" s="2" t="s">
        <v>610</v>
      </c>
      <c r="N139" s="2"/>
      <c r="O139" s="3">
        <v>6</v>
      </c>
      <c r="P139" s="1" t="s">
        <v>93</v>
      </c>
      <c r="Q139" s="1">
        <v>270</v>
      </c>
      <c r="R139" s="1">
        <v>1620</v>
      </c>
      <c r="S139" s="1" t="s">
        <v>38</v>
      </c>
      <c r="T139" s="1" t="s">
        <v>636</v>
      </c>
      <c r="U139" s="1" t="s">
        <v>221</v>
      </c>
      <c r="V139" s="1" t="s">
        <v>45</v>
      </c>
      <c r="W139" s="1" t="s">
        <v>38</v>
      </c>
      <c r="X139" t="s">
        <v>38</v>
      </c>
      <c r="Y139" t="s">
        <v>38</v>
      </c>
      <c r="Z139" t="s">
        <v>610</v>
      </c>
    </row>
    <row r="140" spans="1:26" x14ac:dyDescent="0.25">
      <c r="A140" s="1" t="s">
        <v>640</v>
      </c>
      <c r="B140" s="1" t="s">
        <v>641</v>
      </c>
      <c r="C140" s="1" t="s">
        <v>310</v>
      </c>
      <c r="D140" s="1" t="s">
        <v>310</v>
      </c>
      <c r="E140" s="1" t="s">
        <v>49</v>
      </c>
      <c r="F140" s="1" t="s">
        <v>485</v>
      </c>
      <c r="G140" s="1" t="s">
        <v>50</v>
      </c>
      <c r="H140" s="1" t="s">
        <v>642</v>
      </c>
      <c r="I140" s="1" t="s">
        <v>69</v>
      </c>
      <c r="J140" s="1" t="s">
        <v>70</v>
      </c>
      <c r="K140" s="1" t="s">
        <v>38</v>
      </c>
      <c r="L140" s="1" t="s">
        <v>643</v>
      </c>
      <c r="M140" s="2" t="s">
        <v>644</v>
      </c>
      <c r="N140" s="2" t="s">
        <v>645</v>
      </c>
      <c r="O140" s="3">
        <v>4</v>
      </c>
      <c r="P140" s="1" t="s">
        <v>93</v>
      </c>
      <c r="Q140" s="1">
        <v>4725</v>
      </c>
      <c r="R140" s="1">
        <v>18900</v>
      </c>
      <c r="S140" s="1" t="s">
        <v>38</v>
      </c>
      <c r="T140" s="1" t="s">
        <v>646</v>
      </c>
      <c r="U140" s="1" t="s">
        <v>343</v>
      </c>
      <c r="V140" s="1" t="s">
        <v>45</v>
      </c>
      <c r="W140" s="1" t="s">
        <v>38</v>
      </c>
      <c r="X140" t="s">
        <v>38</v>
      </c>
      <c r="Y140" t="s">
        <v>38</v>
      </c>
      <c r="Z140" t="s">
        <v>647</v>
      </c>
    </row>
    <row r="141" spans="1:26" x14ac:dyDescent="0.25">
      <c r="A141" s="1" t="s">
        <v>648</v>
      </c>
      <c r="B141" s="1" t="s">
        <v>649</v>
      </c>
      <c r="C141" s="1" t="s">
        <v>48</v>
      </c>
      <c r="D141" s="1" t="s">
        <v>412</v>
      </c>
      <c r="E141" s="1" t="s">
        <v>49</v>
      </c>
      <c r="F141" s="1" t="s">
        <v>565</v>
      </c>
      <c r="G141" s="1" t="s">
        <v>34</v>
      </c>
      <c r="H141" s="1" t="s">
        <v>403</v>
      </c>
      <c r="I141" s="1" t="s">
        <v>319</v>
      </c>
      <c r="J141" s="1" t="s">
        <v>491</v>
      </c>
      <c r="K141" s="1" t="s">
        <v>38</v>
      </c>
      <c r="L141" s="1" t="s">
        <v>472</v>
      </c>
      <c r="M141" s="2" t="s">
        <v>650</v>
      </c>
      <c r="N141" s="2" t="s">
        <v>474</v>
      </c>
      <c r="O141" s="3">
        <v>1</v>
      </c>
      <c r="P141" s="1" t="s">
        <v>455</v>
      </c>
      <c r="Q141" s="1">
        <v>125</v>
      </c>
      <c r="R141" s="1">
        <v>125</v>
      </c>
      <c r="S141" s="1" t="s">
        <v>38</v>
      </c>
      <c r="T141" s="1" t="s">
        <v>433</v>
      </c>
      <c r="U141" s="1" t="s">
        <v>408</v>
      </c>
      <c r="V141" s="1" t="s">
        <v>45</v>
      </c>
      <c r="W141" s="1" t="s">
        <v>38</v>
      </c>
      <c r="X141" t="s">
        <v>38</v>
      </c>
      <c r="Y141" t="s">
        <v>38</v>
      </c>
      <c r="Z141" t="s">
        <v>651</v>
      </c>
    </row>
    <row r="142" spans="1:26" x14ac:dyDescent="0.25">
      <c r="A142" s="1" t="s">
        <v>652</v>
      </c>
      <c r="B142" s="1" t="s">
        <v>653</v>
      </c>
      <c r="C142" s="1" t="s">
        <v>58</v>
      </c>
      <c r="D142" s="1" t="s">
        <v>310</v>
      </c>
      <c r="E142" s="1" t="s">
        <v>49</v>
      </c>
      <c r="F142" s="1" t="s">
        <v>279</v>
      </c>
      <c r="G142" s="1" t="s">
        <v>78</v>
      </c>
      <c r="H142" s="1" t="s">
        <v>303</v>
      </c>
      <c r="I142" s="1" t="s">
        <v>319</v>
      </c>
      <c r="J142" s="1" t="s">
        <v>654</v>
      </c>
      <c r="K142" s="1" t="s">
        <v>38</v>
      </c>
      <c r="L142" s="1" t="s">
        <v>320</v>
      </c>
      <c r="M142" s="2" t="s">
        <v>615</v>
      </c>
      <c r="N142" s="2" t="s">
        <v>38</v>
      </c>
      <c r="O142" s="3">
        <v>3</v>
      </c>
      <c r="P142" s="1" t="s">
        <v>322</v>
      </c>
      <c r="Q142" s="1">
        <v>170</v>
      </c>
      <c r="R142" s="1">
        <v>510</v>
      </c>
      <c r="S142" s="1" t="s">
        <v>38</v>
      </c>
      <c r="T142" s="1" t="s">
        <v>616</v>
      </c>
      <c r="U142" s="1" t="s">
        <v>332</v>
      </c>
      <c r="V142" s="1" t="s">
        <v>45</v>
      </c>
      <c r="W142" s="1" t="s">
        <v>38</v>
      </c>
      <c r="X142" t="s">
        <v>38</v>
      </c>
      <c r="Y142" t="s">
        <v>38</v>
      </c>
      <c r="Z142" t="s">
        <v>655</v>
      </c>
    </row>
    <row r="143" spans="1:26" x14ac:dyDescent="0.25">
      <c r="A143" s="1" t="s">
        <v>656</v>
      </c>
      <c r="B143" s="1" t="s">
        <v>657</v>
      </c>
      <c r="C143" s="1" t="s">
        <v>310</v>
      </c>
      <c r="D143" s="1" t="s">
        <v>49</v>
      </c>
      <c r="E143" s="1" t="s">
        <v>49</v>
      </c>
      <c r="F143" s="1" t="s">
        <v>485</v>
      </c>
      <c r="G143" s="1" t="s">
        <v>50</v>
      </c>
      <c r="H143" s="1" t="s">
        <v>642</v>
      </c>
      <c r="I143" s="1" t="s">
        <v>69</v>
      </c>
      <c r="J143" s="1" t="s">
        <v>491</v>
      </c>
      <c r="K143" s="1" t="s">
        <v>38</v>
      </c>
      <c r="L143" s="1" t="s">
        <v>658</v>
      </c>
      <c r="M143" s="2" t="s">
        <v>659</v>
      </c>
      <c r="N143" s="2"/>
      <c r="O143" s="3">
        <v>1</v>
      </c>
      <c r="P143" s="1" t="s">
        <v>93</v>
      </c>
      <c r="Q143" s="1">
        <v>650</v>
      </c>
      <c r="R143" s="1">
        <v>650</v>
      </c>
      <c r="S143" s="1" t="s">
        <v>38</v>
      </c>
      <c r="T143" s="1" t="s">
        <v>660</v>
      </c>
      <c r="U143" s="1" t="s">
        <v>332</v>
      </c>
      <c r="V143" s="1" t="s">
        <v>45</v>
      </c>
      <c r="W143" s="1" t="s">
        <v>38</v>
      </c>
      <c r="X143" t="s">
        <v>38</v>
      </c>
      <c r="Y143" t="s">
        <v>38</v>
      </c>
      <c r="Z143" t="s">
        <v>661</v>
      </c>
    </row>
    <row r="144" spans="1:26" x14ac:dyDescent="0.25">
      <c r="A144" s="1" t="s">
        <v>662</v>
      </c>
      <c r="B144" s="1" t="s">
        <v>663</v>
      </c>
      <c r="C144" s="1" t="s">
        <v>49</v>
      </c>
      <c r="D144" s="1" t="s">
        <v>49</v>
      </c>
      <c r="E144" s="1" t="s">
        <v>49</v>
      </c>
      <c r="F144" s="1" t="s">
        <v>485</v>
      </c>
      <c r="G144" s="1" t="s">
        <v>78</v>
      </c>
      <c r="H144" s="1" t="s">
        <v>91</v>
      </c>
      <c r="I144" s="1" t="s">
        <v>36</v>
      </c>
      <c r="J144" s="1" t="s">
        <v>70</v>
      </c>
      <c r="K144" s="1" t="s">
        <v>38</v>
      </c>
      <c r="L144" s="1" t="s">
        <v>142</v>
      </c>
      <c r="M144" s="2" t="s">
        <v>40</v>
      </c>
      <c r="N144" s="2"/>
      <c r="O144" s="3">
        <v>1</v>
      </c>
      <c r="P144" s="1" t="s">
        <v>366</v>
      </c>
      <c r="Q144" s="1">
        <v>3180</v>
      </c>
      <c r="R144" s="1">
        <v>3180</v>
      </c>
      <c r="S144" s="1" t="s">
        <v>94</v>
      </c>
      <c r="T144" s="1" t="s">
        <v>664</v>
      </c>
      <c r="U144" s="1" t="s">
        <v>96</v>
      </c>
      <c r="V144" s="1" t="s">
        <v>45</v>
      </c>
      <c r="W144" s="1" t="s">
        <v>38</v>
      </c>
      <c r="X144" t="s">
        <v>38</v>
      </c>
      <c r="Y144" t="s">
        <v>38</v>
      </c>
      <c r="Z144" t="s">
        <v>665</v>
      </c>
    </row>
    <row r="145" spans="1:26" x14ac:dyDescent="0.25">
      <c r="A145" s="1" t="s">
        <v>666</v>
      </c>
      <c r="B145" s="1" t="s">
        <v>667</v>
      </c>
      <c r="C145" s="1" t="s">
        <v>49</v>
      </c>
      <c r="D145" s="1" t="s">
        <v>49</v>
      </c>
      <c r="E145" s="1" t="s">
        <v>49</v>
      </c>
      <c r="F145" s="1" t="s">
        <v>485</v>
      </c>
      <c r="G145" s="1" t="s">
        <v>78</v>
      </c>
      <c r="H145" s="1" t="s">
        <v>91</v>
      </c>
      <c r="I145" s="1" t="s">
        <v>36</v>
      </c>
      <c r="J145" s="1" t="s">
        <v>70</v>
      </c>
      <c r="K145" s="1" t="s">
        <v>38</v>
      </c>
      <c r="L145" s="1" t="s">
        <v>212</v>
      </c>
      <c r="M145" s="2" t="s">
        <v>40</v>
      </c>
      <c r="N145" s="2"/>
      <c r="O145" s="3">
        <v>1</v>
      </c>
      <c r="P145" s="1" t="s">
        <v>366</v>
      </c>
      <c r="Q145" s="1">
        <v>3240</v>
      </c>
      <c r="R145" s="1">
        <v>3240</v>
      </c>
      <c r="S145" s="1" t="s">
        <v>328</v>
      </c>
      <c r="T145" s="1" t="s">
        <v>129</v>
      </c>
      <c r="U145" s="1" t="s">
        <v>116</v>
      </c>
      <c r="V145" s="1" t="s">
        <v>45</v>
      </c>
      <c r="W145" s="1" t="s">
        <v>38</v>
      </c>
      <c r="X145" t="s">
        <v>38</v>
      </c>
      <c r="Y145" t="s">
        <v>38</v>
      </c>
      <c r="Z145" t="s">
        <v>541</v>
      </c>
    </row>
    <row r="146" spans="1:26" x14ac:dyDescent="0.25">
      <c r="A146" s="1" t="s">
        <v>668</v>
      </c>
      <c r="B146" s="1" t="s">
        <v>667</v>
      </c>
      <c r="C146" s="1" t="s">
        <v>49</v>
      </c>
      <c r="D146" s="1" t="s">
        <v>49</v>
      </c>
      <c r="E146" s="1" t="s">
        <v>49</v>
      </c>
      <c r="F146" s="1" t="s">
        <v>485</v>
      </c>
      <c r="G146" s="1" t="s">
        <v>78</v>
      </c>
      <c r="H146" s="1" t="s">
        <v>91</v>
      </c>
      <c r="I146" s="1" t="s">
        <v>36</v>
      </c>
      <c r="J146" s="1" t="s">
        <v>70</v>
      </c>
      <c r="K146" s="1" t="s">
        <v>38</v>
      </c>
      <c r="L146" s="1" t="s">
        <v>212</v>
      </c>
      <c r="M146" s="2" t="s">
        <v>40</v>
      </c>
      <c r="N146" s="2"/>
      <c r="O146" s="3">
        <v>3</v>
      </c>
      <c r="P146" s="1" t="s">
        <v>143</v>
      </c>
      <c r="Q146" s="1">
        <v>720</v>
      </c>
      <c r="R146" s="1">
        <v>2160</v>
      </c>
      <c r="S146" s="1" t="s">
        <v>328</v>
      </c>
      <c r="T146" s="1" t="s">
        <v>129</v>
      </c>
      <c r="U146" s="1" t="s">
        <v>116</v>
      </c>
      <c r="V146" s="1" t="s">
        <v>45</v>
      </c>
      <c r="W146" s="1" t="s">
        <v>38</v>
      </c>
      <c r="X146" t="s">
        <v>38</v>
      </c>
      <c r="Y146" t="s">
        <v>38</v>
      </c>
      <c r="Z146" t="s">
        <v>669</v>
      </c>
    </row>
    <row r="147" spans="1:26" x14ac:dyDescent="0.25">
      <c r="A147" s="1" t="s">
        <v>670</v>
      </c>
      <c r="B147" s="1" t="s">
        <v>671</v>
      </c>
      <c r="C147" s="1" t="s">
        <v>49</v>
      </c>
      <c r="D147" s="1" t="s">
        <v>49</v>
      </c>
      <c r="E147" s="1" t="s">
        <v>49</v>
      </c>
      <c r="F147" s="1" t="s">
        <v>485</v>
      </c>
      <c r="G147" s="1" t="s">
        <v>78</v>
      </c>
      <c r="H147" s="1" t="s">
        <v>91</v>
      </c>
      <c r="I147" s="1" t="s">
        <v>36</v>
      </c>
      <c r="J147" s="1" t="s">
        <v>70</v>
      </c>
      <c r="K147" s="1" t="s">
        <v>38</v>
      </c>
      <c r="L147" s="1" t="s">
        <v>672</v>
      </c>
      <c r="M147" s="2" t="s">
        <v>380</v>
      </c>
      <c r="N147" s="2"/>
      <c r="O147" s="3">
        <v>13</v>
      </c>
      <c r="P147" s="1" t="s">
        <v>673</v>
      </c>
      <c r="Q147" s="1">
        <v>46</v>
      </c>
      <c r="R147" s="1">
        <v>598</v>
      </c>
      <c r="S147" s="1" t="s">
        <v>94</v>
      </c>
      <c r="T147" s="1" t="s">
        <v>664</v>
      </c>
      <c r="U147" s="1" t="s">
        <v>96</v>
      </c>
      <c r="V147" s="1" t="s">
        <v>45</v>
      </c>
      <c r="W147" s="1" t="s">
        <v>38</v>
      </c>
      <c r="X147" t="s">
        <v>38</v>
      </c>
      <c r="Y147" t="s">
        <v>38</v>
      </c>
      <c r="Z147" t="s">
        <v>380</v>
      </c>
    </row>
    <row r="148" spans="1:26" x14ac:dyDescent="0.25">
      <c r="A148" s="1" t="s">
        <v>674</v>
      </c>
      <c r="B148" s="1" t="s">
        <v>671</v>
      </c>
      <c r="C148" s="1" t="s">
        <v>49</v>
      </c>
      <c r="D148" s="1" t="s">
        <v>49</v>
      </c>
      <c r="E148" s="1" t="s">
        <v>49</v>
      </c>
      <c r="F148" s="1" t="s">
        <v>485</v>
      </c>
      <c r="G148" s="1" t="s">
        <v>78</v>
      </c>
      <c r="H148" s="1" t="s">
        <v>91</v>
      </c>
      <c r="I148" s="1" t="s">
        <v>36</v>
      </c>
      <c r="J148" s="1" t="s">
        <v>70</v>
      </c>
      <c r="K148" s="1" t="s">
        <v>38</v>
      </c>
      <c r="L148" s="1" t="s">
        <v>675</v>
      </c>
      <c r="M148" s="2" t="s">
        <v>380</v>
      </c>
      <c r="N148" s="2"/>
      <c r="O148" s="3">
        <v>2</v>
      </c>
      <c r="P148" s="1" t="s">
        <v>93</v>
      </c>
      <c r="Q148" s="1">
        <v>180</v>
      </c>
      <c r="R148" s="1">
        <v>360</v>
      </c>
      <c r="S148" s="1" t="s">
        <v>94</v>
      </c>
      <c r="T148" s="1" t="s">
        <v>664</v>
      </c>
      <c r="U148" s="1" t="s">
        <v>96</v>
      </c>
      <c r="V148" s="1" t="s">
        <v>45</v>
      </c>
      <c r="W148" s="1" t="s">
        <v>38</v>
      </c>
      <c r="X148" t="s">
        <v>38</v>
      </c>
      <c r="Y148" t="s">
        <v>38</v>
      </c>
      <c r="Z148" t="s">
        <v>380</v>
      </c>
    </row>
    <row r="149" spans="1:26" x14ac:dyDescent="0.25">
      <c r="A149" s="1" t="s">
        <v>676</v>
      </c>
      <c r="B149" s="1" t="s">
        <v>677</v>
      </c>
      <c r="C149" s="1" t="s">
        <v>77</v>
      </c>
      <c r="D149" s="1" t="s">
        <v>310</v>
      </c>
      <c r="E149" s="1" t="s">
        <v>49</v>
      </c>
      <c r="F149" s="1" t="s">
        <v>678</v>
      </c>
      <c r="G149" s="1" t="s">
        <v>78</v>
      </c>
      <c r="H149" s="1" t="s">
        <v>79</v>
      </c>
      <c r="I149" s="1" t="s">
        <v>294</v>
      </c>
      <c r="J149" s="1" t="s">
        <v>679</v>
      </c>
      <c r="K149" s="1" t="s">
        <v>38</v>
      </c>
      <c r="L149" s="1" t="s">
        <v>680</v>
      </c>
      <c r="M149" s="2" t="s">
        <v>680</v>
      </c>
      <c r="N149" s="2"/>
      <c r="O149" s="3">
        <v>2</v>
      </c>
      <c r="P149" s="1" t="s">
        <v>143</v>
      </c>
      <c r="Q149" s="1">
        <v>1181</v>
      </c>
      <c r="R149" s="1">
        <v>2362</v>
      </c>
      <c r="S149" s="1" t="s">
        <v>38</v>
      </c>
      <c r="T149" s="1" t="s">
        <v>681</v>
      </c>
      <c r="U149" s="1" t="s">
        <v>682</v>
      </c>
      <c r="V149" s="1" t="s">
        <v>45</v>
      </c>
      <c r="W149" s="1" t="s">
        <v>38</v>
      </c>
      <c r="X149" t="s">
        <v>38</v>
      </c>
      <c r="Y149" t="s">
        <v>38</v>
      </c>
    </row>
    <row r="150" spans="1:26" x14ac:dyDescent="0.25">
      <c r="A150" s="1" t="s">
        <v>683</v>
      </c>
      <c r="B150" s="1" t="s">
        <v>684</v>
      </c>
      <c r="C150" s="1" t="s">
        <v>49</v>
      </c>
      <c r="D150" s="1" t="s">
        <v>49</v>
      </c>
      <c r="E150" s="1" t="s">
        <v>678</v>
      </c>
      <c r="F150" s="1" t="s">
        <v>279</v>
      </c>
      <c r="G150" s="1" t="s">
        <v>78</v>
      </c>
      <c r="H150" s="1" t="s">
        <v>91</v>
      </c>
      <c r="I150" s="1" t="s">
        <v>36</v>
      </c>
      <c r="J150" s="1" t="s">
        <v>70</v>
      </c>
      <c r="K150" s="1" t="s">
        <v>38</v>
      </c>
      <c r="L150" s="1" t="s">
        <v>99</v>
      </c>
      <c r="M150" s="2" t="s">
        <v>685</v>
      </c>
      <c r="N150" s="2"/>
      <c r="O150" s="3">
        <v>150</v>
      </c>
      <c r="P150" s="1" t="s">
        <v>93</v>
      </c>
      <c r="Q150" s="1">
        <v>8</v>
      </c>
      <c r="R150" s="1">
        <v>1200</v>
      </c>
      <c r="S150" s="1" t="s">
        <v>686</v>
      </c>
      <c r="T150" s="1" t="s">
        <v>687</v>
      </c>
      <c r="U150" s="1" t="s">
        <v>116</v>
      </c>
      <c r="V150" s="1" t="s">
        <v>45</v>
      </c>
      <c r="W150" s="1" t="s">
        <v>38</v>
      </c>
      <c r="X150" t="s">
        <v>38</v>
      </c>
      <c r="Y150" t="s">
        <v>38</v>
      </c>
      <c r="Z150" t="s">
        <v>688</v>
      </c>
    </row>
    <row r="151" spans="1:26" x14ac:dyDescent="0.25">
      <c r="A151" s="1" t="s">
        <v>689</v>
      </c>
      <c r="B151" s="1" t="s">
        <v>684</v>
      </c>
      <c r="C151" s="1" t="s">
        <v>49</v>
      </c>
      <c r="D151" s="1" t="s">
        <v>49</v>
      </c>
      <c r="E151" s="1" t="s">
        <v>678</v>
      </c>
      <c r="F151" s="1" t="s">
        <v>279</v>
      </c>
      <c r="G151" s="1" t="s">
        <v>78</v>
      </c>
      <c r="H151" s="1" t="s">
        <v>91</v>
      </c>
      <c r="I151" s="1" t="s">
        <v>36</v>
      </c>
      <c r="J151" s="1" t="s">
        <v>70</v>
      </c>
      <c r="K151" s="1" t="s">
        <v>38</v>
      </c>
      <c r="L151" s="1" t="s">
        <v>690</v>
      </c>
      <c r="M151" s="2" t="s">
        <v>691</v>
      </c>
      <c r="N151" s="2"/>
      <c r="O151" s="3">
        <v>1</v>
      </c>
      <c r="P151" s="1" t="s">
        <v>93</v>
      </c>
      <c r="Q151" s="1">
        <v>1480</v>
      </c>
      <c r="R151" s="1">
        <v>1480</v>
      </c>
      <c r="S151" s="1" t="s">
        <v>686</v>
      </c>
      <c r="T151" s="1" t="s">
        <v>687</v>
      </c>
      <c r="U151" s="1" t="s">
        <v>116</v>
      </c>
      <c r="V151" s="1" t="s">
        <v>45</v>
      </c>
      <c r="W151" s="1" t="s">
        <v>38</v>
      </c>
      <c r="X151" t="s">
        <v>38</v>
      </c>
      <c r="Y151" t="s">
        <v>38</v>
      </c>
      <c r="Z151" t="s">
        <v>692</v>
      </c>
    </row>
    <row r="152" spans="1:26" x14ac:dyDescent="0.25">
      <c r="A152" s="1" t="s">
        <v>693</v>
      </c>
      <c r="B152" s="1" t="s">
        <v>684</v>
      </c>
      <c r="C152" s="1" t="s">
        <v>49</v>
      </c>
      <c r="D152" s="1" t="s">
        <v>49</v>
      </c>
      <c r="E152" s="1" t="s">
        <v>678</v>
      </c>
      <c r="F152" s="1" t="s">
        <v>279</v>
      </c>
      <c r="G152" s="1" t="s">
        <v>78</v>
      </c>
      <c r="H152" s="1" t="s">
        <v>91</v>
      </c>
      <c r="I152" s="1" t="s">
        <v>36</v>
      </c>
      <c r="J152" s="1" t="s">
        <v>70</v>
      </c>
      <c r="K152" s="1" t="s">
        <v>38</v>
      </c>
      <c r="L152" s="1" t="s">
        <v>694</v>
      </c>
      <c r="M152" s="2" t="s">
        <v>695</v>
      </c>
      <c r="N152" s="2"/>
      <c r="O152" s="3">
        <v>8</v>
      </c>
      <c r="P152" s="1" t="s">
        <v>93</v>
      </c>
      <c r="Q152" s="1">
        <v>633</v>
      </c>
      <c r="R152" s="1">
        <v>5064</v>
      </c>
      <c r="S152" s="1" t="s">
        <v>686</v>
      </c>
      <c r="T152" s="1" t="s">
        <v>687</v>
      </c>
      <c r="U152" s="1" t="s">
        <v>116</v>
      </c>
      <c r="V152" s="1" t="s">
        <v>45</v>
      </c>
      <c r="W152" s="1" t="s">
        <v>38</v>
      </c>
      <c r="X152" t="s">
        <v>38</v>
      </c>
      <c r="Y152" t="s">
        <v>38</v>
      </c>
      <c r="Z152" t="s">
        <v>696</v>
      </c>
    </row>
    <row r="153" spans="1:26" x14ac:dyDescent="0.25">
      <c r="A153" s="1" t="s">
        <v>697</v>
      </c>
      <c r="B153" s="1" t="s">
        <v>684</v>
      </c>
      <c r="C153" s="1" t="s">
        <v>49</v>
      </c>
      <c r="D153" s="1" t="s">
        <v>49</v>
      </c>
      <c r="E153" s="1" t="s">
        <v>678</v>
      </c>
      <c r="F153" s="1" t="s">
        <v>279</v>
      </c>
      <c r="G153" s="1" t="s">
        <v>78</v>
      </c>
      <c r="H153" s="1" t="s">
        <v>91</v>
      </c>
      <c r="I153" s="1" t="s">
        <v>36</v>
      </c>
      <c r="J153" s="1" t="s">
        <v>70</v>
      </c>
      <c r="K153" s="1" t="s">
        <v>38</v>
      </c>
      <c r="L153" s="1" t="s">
        <v>698</v>
      </c>
      <c r="M153" s="2" t="s">
        <v>699</v>
      </c>
      <c r="N153" s="2"/>
      <c r="O153" s="3">
        <v>6</v>
      </c>
      <c r="P153" s="1" t="s">
        <v>93</v>
      </c>
      <c r="Q153" s="1">
        <v>340</v>
      </c>
      <c r="R153" s="1">
        <v>2040</v>
      </c>
      <c r="S153" s="1" t="s">
        <v>686</v>
      </c>
      <c r="T153" s="1" t="s">
        <v>687</v>
      </c>
      <c r="U153" s="1" t="s">
        <v>116</v>
      </c>
      <c r="V153" s="1" t="s">
        <v>45</v>
      </c>
      <c r="W153" s="1" t="s">
        <v>38</v>
      </c>
      <c r="X153" t="s">
        <v>38</v>
      </c>
      <c r="Y153" t="s">
        <v>38</v>
      </c>
      <c r="Z153" t="s">
        <v>700</v>
      </c>
    </row>
    <row r="154" spans="1:26" x14ac:dyDescent="0.25">
      <c r="A154" s="1" t="s">
        <v>701</v>
      </c>
      <c r="B154" s="1" t="s">
        <v>684</v>
      </c>
      <c r="C154" s="1" t="s">
        <v>49</v>
      </c>
      <c r="D154" s="1" t="s">
        <v>49</v>
      </c>
      <c r="E154" s="1" t="s">
        <v>678</v>
      </c>
      <c r="F154" s="1" t="s">
        <v>279</v>
      </c>
      <c r="G154" s="1" t="s">
        <v>78</v>
      </c>
      <c r="H154" s="1" t="s">
        <v>91</v>
      </c>
      <c r="I154" s="1" t="s">
        <v>36</v>
      </c>
      <c r="J154" s="1" t="s">
        <v>70</v>
      </c>
      <c r="K154" s="1" t="s">
        <v>38</v>
      </c>
      <c r="L154" s="1" t="s">
        <v>599</v>
      </c>
      <c r="M154" s="2" t="s">
        <v>702</v>
      </c>
      <c r="N154" s="2"/>
      <c r="O154" s="3">
        <v>6</v>
      </c>
      <c r="P154" s="1" t="s">
        <v>93</v>
      </c>
      <c r="Q154" s="1">
        <v>4900</v>
      </c>
      <c r="R154" s="1">
        <v>29400</v>
      </c>
      <c r="S154" s="1" t="s">
        <v>686</v>
      </c>
      <c r="T154" s="1" t="s">
        <v>687</v>
      </c>
      <c r="U154" s="1" t="s">
        <v>116</v>
      </c>
      <c r="V154" s="1" t="s">
        <v>45</v>
      </c>
      <c r="W154" s="1" t="s">
        <v>38</v>
      </c>
      <c r="X154" t="s">
        <v>38</v>
      </c>
      <c r="Y154" t="s">
        <v>38</v>
      </c>
      <c r="Z154" t="s">
        <v>703</v>
      </c>
    </row>
    <row r="155" spans="1:26" x14ac:dyDescent="0.25">
      <c r="A155" s="1" t="s">
        <v>704</v>
      </c>
      <c r="B155" s="1" t="s">
        <v>684</v>
      </c>
      <c r="C155" s="1" t="s">
        <v>49</v>
      </c>
      <c r="D155" s="1" t="s">
        <v>49</v>
      </c>
      <c r="E155" s="1" t="s">
        <v>678</v>
      </c>
      <c r="F155" s="1" t="s">
        <v>279</v>
      </c>
      <c r="G155" s="1" t="s">
        <v>78</v>
      </c>
      <c r="H155" s="1" t="s">
        <v>91</v>
      </c>
      <c r="I155" s="1" t="s">
        <v>36</v>
      </c>
      <c r="J155" s="1" t="s">
        <v>70</v>
      </c>
      <c r="K155" s="1" t="s">
        <v>38</v>
      </c>
      <c r="L155" s="1" t="s">
        <v>705</v>
      </c>
      <c r="M155" s="2" t="s">
        <v>706</v>
      </c>
      <c r="N155" s="2"/>
      <c r="O155" s="3">
        <v>7</v>
      </c>
      <c r="P155" s="1" t="s">
        <v>93</v>
      </c>
      <c r="Q155" s="1">
        <v>9450</v>
      </c>
      <c r="R155" s="1">
        <v>66150</v>
      </c>
      <c r="S155" s="1" t="s">
        <v>686</v>
      </c>
      <c r="T155" s="1" t="s">
        <v>687</v>
      </c>
      <c r="U155" s="1" t="s">
        <v>116</v>
      </c>
      <c r="V155" s="1" t="s">
        <v>45</v>
      </c>
      <c r="W155" s="1" t="s">
        <v>38</v>
      </c>
      <c r="X155" t="s">
        <v>38</v>
      </c>
      <c r="Y155" t="s">
        <v>38</v>
      </c>
      <c r="Z155" t="s">
        <v>707</v>
      </c>
    </row>
    <row r="156" spans="1:26" x14ac:dyDescent="0.25">
      <c r="A156" s="1" t="s">
        <v>708</v>
      </c>
      <c r="B156" s="1" t="s">
        <v>684</v>
      </c>
      <c r="C156" s="1" t="s">
        <v>49</v>
      </c>
      <c r="D156" s="1" t="s">
        <v>49</v>
      </c>
      <c r="E156" s="1" t="s">
        <v>678</v>
      </c>
      <c r="F156" s="1" t="s">
        <v>279</v>
      </c>
      <c r="G156" s="1" t="s">
        <v>78</v>
      </c>
      <c r="H156" s="1" t="s">
        <v>91</v>
      </c>
      <c r="I156" s="1" t="s">
        <v>36</v>
      </c>
      <c r="J156" s="1" t="s">
        <v>70</v>
      </c>
      <c r="K156" s="1" t="s">
        <v>38</v>
      </c>
      <c r="L156" s="1" t="s">
        <v>690</v>
      </c>
      <c r="M156" s="2" t="s">
        <v>709</v>
      </c>
      <c r="N156" s="2"/>
      <c r="O156" s="3">
        <v>7</v>
      </c>
      <c r="P156" s="1" t="s">
        <v>93</v>
      </c>
      <c r="Q156" s="1">
        <v>5040</v>
      </c>
      <c r="R156" s="1">
        <v>35280</v>
      </c>
      <c r="S156" s="1" t="s">
        <v>686</v>
      </c>
      <c r="T156" s="1" t="s">
        <v>687</v>
      </c>
      <c r="U156" s="1" t="s">
        <v>116</v>
      </c>
      <c r="V156" s="1" t="s">
        <v>45</v>
      </c>
      <c r="W156" s="1" t="s">
        <v>38</v>
      </c>
      <c r="X156" t="s">
        <v>38</v>
      </c>
      <c r="Y156" t="s">
        <v>38</v>
      </c>
      <c r="Z156" t="s">
        <v>710</v>
      </c>
    </row>
    <row r="157" spans="1:26" x14ac:dyDescent="0.25">
      <c r="A157" s="1" t="s">
        <v>711</v>
      </c>
      <c r="B157" s="1" t="s">
        <v>684</v>
      </c>
      <c r="C157" s="1" t="s">
        <v>49</v>
      </c>
      <c r="D157" s="1" t="s">
        <v>49</v>
      </c>
      <c r="E157" s="1" t="s">
        <v>678</v>
      </c>
      <c r="F157" s="1" t="s">
        <v>279</v>
      </c>
      <c r="G157" s="1" t="s">
        <v>78</v>
      </c>
      <c r="H157" s="1" t="s">
        <v>91</v>
      </c>
      <c r="I157" s="1" t="s">
        <v>36</v>
      </c>
      <c r="J157" s="1" t="s">
        <v>70</v>
      </c>
      <c r="K157" s="1" t="s">
        <v>38</v>
      </c>
      <c r="L157" s="1" t="s">
        <v>694</v>
      </c>
      <c r="M157" s="2" t="s">
        <v>712</v>
      </c>
      <c r="N157" s="2"/>
      <c r="O157" s="3">
        <v>3</v>
      </c>
      <c r="P157" s="1" t="s">
        <v>374</v>
      </c>
      <c r="Q157" s="1">
        <v>1715</v>
      </c>
      <c r="R157" s="1">
        <v>5145</v>
      </c>
      <c r="S157" s="1" t="s">
        <v>686</v>
      </c>
      <c r="T157" s="1" t="s">
        <v>687</v>
      </c>
      <c r="U157" s="1" t="s">
        <v>116</v>
      </c>
      <c r="V157" s="1" t="s">
        <v>45</v>
      </c>
      <c r="W157" s="1" t="s">
        <v>38</v>
      </c>
      <c r="X157" t="s">
        <v>38</v>
      </c>
      <c r="Y157" t="s">
        <v>38</v>
      </c>
      <c r="Z157" t="s">
        <v>713</v>
      </c>
    </row>
    <row r="158" spans="1:26" x14ac:dyDescent="0.25">
      <c r="A158" s="1" t="s">
        <v>714</v>
      </c>
      <c r="B158" s="1" t="s">
        <v>684</v>
      </c>
      <c r="C158" s="1" t="s">
        <v>49</v>
      </c>
      <c r="D158" s="1" t="s">
        <v>49</v>
      </c>
      <c r="E158" s="1" t="s">
        <v>678</v>
      </c>
      <c r="F158" s="1" t="s">
        <v>279</v>
      </c>
      <c r="G158" s="1" t="s">
        <v>78</v>
      </c>
      <c r="H158" s="1" t="s">
        <v>91</v>
      </c>
      <c r="I158" s="1" t="s">
        <v>36</v>
      </c>
      <c r="J158" s="1" t="s">
        <v>70</v>
      </c>
      <c r="K158" s="1" t="s">
        <v>38</v>
      </c>
      <c r="L158" s="1" t="s">
        <v>715</v>
      </c>
      <c r="M158" s="2" t="s">
        <v>716</v>
      </c>
      <c r="N158" s="2"/>
      <c r="O158" s="3">
        <v>10</v>
      </c>
      <c r="P158" s="1" t="s">
        <v>374</v>
      </c>
      <c r="Q158" s="1">
        <v>1140</v>
      </c>
      <c r="R158" s="1">
        <v>11400</v>
      </c>
      <c r="S158" s="1" t="s">
        <v>686</v>
      </c>
      <c r="T158" s="1" t="s">
        <v>687</v>
      </c>
      <c r="U158" s="1" t="s">
        <v>116</v>
      </c>
      <c r="V158" s="1" t="s">
        <v>45</v>
      </c>
      <c r="W158" s="1" t="s">
        <v>38</v>
      </c>
      <c r="X158" t="s">
        <v>38</v>
      </c>
      <c r="Y158" t="s">
        <v>38</v>
      </c>
      <c r="Z158" t="s">
        <v>717</v>
      </c>
    </row>
    <row r="159" spans="1:26" x14ac:dyDescent="0.25">
      <c r="A159" s="1" t="s">
        <v>718</v>
      </c>
      <c r="B159" s="1" t="s">
        <v>684</v>
      </c>
      <c r="C159" s="1" t="s">
        <v>49</v>
      </c>
      <c r="D159" s="1" t="s">
        <v>49</v>
      </c>
      <c r="E159" s="1" t="s">
        <v>678</v>
      </c>
      <c r="F159" s="1" t="s">
        <v>279</v>
      </c>
      <c r="G159" s="1" t="s">
        <v>78</v>
      </c>
      <c r="H159" s="1" t="s">
        <v>91</v>
      </c>
      <c r="I159" s="1" t="s">
        <v>36</v>
      </c>
      <c r="J159" s="1" t="s">
        <v>70</v>
      </c>
      <c r="K159" s="1" t="s">
        <v>38</v>
      </c>
      <c r="L159" s="1" t="s">
        <v>715</v>
      </c>
      <c r="M159" s="2" t="s">
        <v>719</v>
      </c>
      <c r="N159" s="2"/>
      <c r="O159" s="3">
        <v>3</v>
      </c>
      <c r="P159" s="1" t="s">
        <v>374</v>
      </c>
      <c r="Q159" s="1">
        <v>3400</v>
      </c>
      <c r="R159" s="1">
        <v>10200</v>
      </c>
      <c r="S159" s="1" t="s">
        <v>686</v>
      </c>
      <c r="T159" s="1" t="s">
        <v>687</v>
      </c>
      <c r="U159" s="1" t="s">
        <v>116</v>
      </c>
      <c r="V159" s="1" t="s">
        <v>45</v>
      </c>
      <c r="W159" s="1" t="s">
        <v>38</v>
      </c>
      <c r="X159" t="s">
        <v>38</v>
      </c>
      <c r="Y159" t="s">
        <v>38</v>
      </c>
      <c r="Z159" t="s">
        <v>720</v>
      </c>
    </row>
    <row r="160" spans="1:26" x14ac:dyDescent="0.25">
      <c r="A160" s="1" t="s">
        <v>721</v>
      </c>
      <c r="B160" s="1" t="s">
        <v>722</v>
      </c>
      <c r="C160" s="1" t="s">
        <v>49</v>
      </c>
      <c r="D160" s="1" t="s">
        <v>49</v>
      </c>
      <c r="E160" s="1" t="s">
        <v>678</v>
      </c>
      <c r="F160" s="1" t="s">
        <v>678</v>
      </c>
      <c r="G160" s="1" t="s">
        <v>78</v>
      </c>
      <c r="H160" s="1" t="s">
        <v>104</v>
      </c>
      <c r="I160" s="1" t="s">
        <v>105</v>
      </c>
      <c r="J160" s="1" t="s">
        <v>70</v>
      </c>
      <c r="K160" s="1" t="s">
        <v>38</v>
      </c>
      <c r="L160" s="1" t="s">
        <v>106</v>
      </c>
      <c r="M160" s="2" t="s">
        <v>40</v>
      </c>
      <c r="N160" s="2"/>
      <c r="O160" s="3">
        <v>1</v>
      </c>
      <c r="P160" s="1" t="s">
        <v>107</v>
      </c>
      <c r="Q160" s="1">
        <v>800</v>
      </c>
      <c r="R160" s="1">
        <v>800</v>
      </c>
      <c r="S160" s="1"/>
      <c r="T160" s="1" t="s">
        <v>723</v>
      </c>
      <c r="U160" s="1" t="s">
        <v>116</v>
      </c>
      <c r="V160" s="1" t="s">
        <v>45</v>
      </c>
      <c r="W160" s="1" t="s">
        <v>38</v>
      </c>
      <c r="X160" t="s">
        <v>38</v>
      </c>
      <c r="Y160" t="s">
        <v>38</v>
      </c>
      <c r="Z160" t="s">
        <v>724</v>
      </c>
    </row>
    <row r="161" spans="1:26" x14ac:dyDescent="0.25">
      <c r="A161" s="1" t="s">
        <v>725</v>
      </c>
      <c r="B161" s="1" t="s">
        <v>726</v>
      </c>
      <c r="C161" s="1" t="s">
        <v>49</v>
      </c>
      <c r="D161" s="1" t="s">
        <v>49</v>
      </c>
      <c r="E161" s="1" t="s">
        <v>49</v>
      </c>
      <c r="F161" s="1" t="s">
        <v>485</v>
      </c>
      <c r="G161" s="1" t="s">
        <v>78</v>
      </c>
      <c r="H161" s="1" t="s">
        <v>91</v>
      </c>
      <c r="I161" s="1" t="s">
        <v>36</v>
      </c>
      <c r="J161" s="1" t="s">
        <v>70</v>
      </c>
      <c r="K161" s="1" t="s">
        <v>38</v>
      </c>
      <c r="L161" s="1" t="s">
        <v>71</v>
      </c>
      <c r="M161" s="2" t="s">
        <v>40</v>
      </c>
      <c r="N161" s="2"/>
      <c r="O161" s="3">
        <v>1</v>
      </c>
      <c r="P161" s="1" t="s">
        <v>207</v>
      </c>
      <c r="Q161" s="1">
        <v>630</v>
      </c>
      <c r="R161" s="1">
        <v>630</v>
      </c>
      <c r="S161" s="1" t="s">
        <v>727</v>
      </c>
      <c r="T161" s="1" t="s">
        <v>129</v>
      </c>
      <c r="U161" s="1" t="s">
        <v>728</v>
      </c>
      <c r="V161" s="1" t="s">
        <v>45</v>
      </c>
      <c r="W161" s="1" t="s">
        <v>38</v>
      </c>
      <c r="X161" t="s">
        <v>38</v>
      </c>
      <c r="Y161" t="s">
        <v>38</v>
      </c>
      <c r="Z161" t="s">
        <v>729</v>
      </c>
    </row>
    <row r="162" spans="1:26" x14ac:dyDescent="0.25">
      <c r="A162" s="1" t="s">
        <v>730</v>
      </c>
      <c r="B162" s="1" t="s">
        <v>731</v>
      </c>
      <c r="C162" s="1" t="s">
        <v>49</v>
      </c>
      <c r="D162" s="1" t="s">
        <v>49</v>
      </c>
      <c r="E162" s="1" t="s">
        <v>49</v>
      </c>
      <c r="F162" s="1" t="s">
        <v>678</v>
      </c>
      <c r="G162" s="1" t="s">
        <v>78</v>
      </c>
      <c r="H162" s="1" t="s">
        <v>91</v>
      </c>
      <c r="I162" s="1" t="s">
        <v>36</v>
      </c>
      <c r="J162" s="1" t="s">
        <v>70</v>
      </c>
      <c r="K162" s="1" t="s">
        <v>38</v>
      </c>
      <c r="L162" s="1" t="s">
        <v>212</v>
      </c>
      <c r="M162" s="2" t="s">
        <v>40</v>
      </c>
      <c r="N162" s="2"/>
      <c r="O162" s="3">
        <v>1</v>
      </c>
      <c r="P162" s="1" t="s">
        <v>366</v>
      </c>
      <c r="Q162" s="1">
        <v>3240</v>
      </c>
      <c r="R162" s="1">
        <v>3240</v>
      </c>
      <c r="S162" s="1" t="s">
        <v>732</v>
      </c>
      <c r="T162" s="1" t="s">
        <v>733</v>
      </c>
      <c r="U162" s="1" t="s">
        <v>734</v>
      </c>
      <c r="V162" s="1" t="s">
        <v>45</v>
      </c>
      <c r="W162" s="1" t="s">
        <v>38</v>
      </c>
      <c r="X162" t="s">
        <v>38</v>
      </c>
      <c r="Y162" t="s">
        <v>38</v>
      </c>
      <c r="Z162" t="s">
        <v>541</v>
      </c>
    </row>
    <row r="163" spans="1:26" x14ac:dyDescent="0.25">
      <c r="A163" s="1" t="s">
        <v>735</v>
      </c>
      <c r="B163" s="1" t="s">
        <v>731</v>
      </c>
      <c r="C163" s="1" t="s">
        <v>49</v>
      </c>
      <c r="D163" s="1" t="s">
        <v>49</v>
      </c>
      <c r="E163" s="1" t="s">
        <v>49</v>
      </c>
      <c r="F163" s="1" t="s">
        <v>678</v>
      </c>
      <c r="G163" s="1" t="s">
        <v>78</v>
      </c>
      <c r="H163" s="1" t="s">
        <v>91</v>
      </c>
      <c r="I163" s="1" t="s">
        <v>36</v>
      </c>
      <c r="J163" s="1" t="s">
        <v>70</v>
      </c>
      <c r="K163" s="1" t="s">
        <v>38</v>
      </c>
      <c r="L163" s="1" t="s">
        <v>736</v>
      </c>
      <c r="M163" s="2" t="s">
        <v>737</v>
      </c>
      <c r="N163" s="2"/>
      <c r="O163" s="3">
        <v>1</v>
      </c>
      <c r="P163" s="1" t="s">
        <v>93</v>
      </c>
      <c r="Q163" s="1">
        <v>400</v>
      </c>
      <c r="R163" s="1">
        <v>400</v>
      </c>
      <c r="S163" s="1" t="s">
        <v>732</v>
      </c>
      <c r="T163" s="1" t="s">
        <v>733</v>
      </c>
      <c r="U163" s="1" t="s">
        <v>734</v>
      </c>
      <c r="V163" s="1" t="s">
        <v>45</v>
      </c>
      <c r="W163" s="1" t="s">
        <v>38</v>
      </c>
      <c r="X163" t="s">
        <v>38</v>
      </c>
      <c r="Y163" t="s">
        <v>38</v>
      </c>
      <c r="Z163" t="s">
        <v>737</v>
      </c>
    </row>
    <row r="164" spans="1:26" x14ac:dyDescent="0.25">
      <c r="A164" s="1" t="s">
        <v>738</v>
      </c>
      <c r="B164" s="1" t="s">
        <v>731</v>
      </c>
      <c r="C164" s="1" t="s">
        <v>49</v>
      </c>
      <c r="D164" s="1" t="s">
        <v>49</v>
      </c>
      <c r="E164" s="1" t="s">
        <v>49</v>
      </c>
      <c r="F164" s="1" t="s">
        <v>678</v>
      </c>
      <c r="G164" s="1" t="s">
        <v>78</v>
      </c>
      <c r="H164" s="1" t="s">
        <v>91</v>
      </c>
      <c r="I164" s="1" t="s">
        <v>36</v>
      </c>
      <c r="J164" s="1" t="s">
        <v>70</v>
      </c>
      <c r="K164" s="1" t="s">
        <v>38</v>
      </c>
      <c r="L164" s="1" t="s">
        <v>71</v>
      </c>
      <c r="M164" s="2" t="s">
        <v>610</v>
      </c>
      <c r="N164" s="2"/>
      <c r="O164" s="3">
        <v>1</v>
      </c>
      <c r="P164" s="1" t="s">
        <v>207</v>
      </c>
      <c r="Q164" s="1">
        <v>630</v>
      </c>
      <c r="R164" s="1">
        <v>630</v>
      </c>
      <c r="S164" s="1" t="s">
        <v>732</v>
      </c>
      <c r="T164" s="1" t="s">
        <v>733</v>
      </c>
      <c r="U164" s="1" t="s">
        <v>734</v>
      </c>
      <c r="V164" s="1" t="s">
        <v>45</v>
      </c>
      <c r="W164" s="1" t="s">
        <v>38</v>
      </c>
      <c r="X164" t="s">
        <v>38</v>
      </c>
      <c r="Y164" t="s">
        <v>38</v>
      </c>
      <c r="Z164" t="s">
        <v>729</v>
      </c>
    </row>
    <row r="165" spans="1:26" x14ac:dyDescent="0.25">
      <c r="A165" s="1" t="s">
        <v>739</v>
      </c>
      <c r="B165" s="1" t="s">
        <v>731</v>
      </c>
      <c r="C165" s="1" t="s">
        <v>49</v>
      </c>
      <c r="D165" s="1" t="s">
        <v>49</v>
      </c>
      <c r="E165" s="1" t="s">
        <v>49</v>
      </c>
      <c r="F165" s="1" t="s">
        <v>678</v>
      </c>
      <c r="G165" s="1" t="s">
        <v>78</v>
      </c>
      <c r="H165" s="1" t="s">
        <v>91</v>
      </c>
      <c r="I165" s="1" t="s">
        <v>36</v>
      </c>
      <c r="J165" s="1" t="s">
        <v>413</v>
      </c>
      <c r="K165" s="1" t="s">
        <v>38</v>
      </c>
      <c r="L165" s="1" t="s">
        <v>740</v>
      </c>
      <c r="M165" s="2" t="s">
        <v>741</v>
      </c>
      <c r="N165" s="2"/>
      <c r="O165" s="3">
        <v>1</v>
      </c>
      <c r="P165" s="1" t="s">
        <v>93</v>
      </c>
      <c r="Q165" s="1">
        <v>1580</v>
      </c>
      <c r="R165" s="1">
        <v>1580</v>
      </c>
      <c r="S165" s="1" t="s">
        <v>732</v>
      </c>
      <c r="T165" s="1" t="s">
        <v>733</v>
      </c>
      <c r="U165" s="1" t="s">
        <v>734</v>
      </c>
      <c r="V165" s="1" t="s">
        <v>45</v>
      </c>
      <c r="W165" s="1" t="s">
        <v>38</v>
      </c>
      <c r="X165" t="s">
        <v>38</v>
      </c>
      <c r="Y165" t="s">
        <v>38</v>
      </c>
      <c r="Z165" t="s">
        <v>742</v>
      </c>
    </row>
    <row r="166" spans="1:26" x14ac:dyDescent="0.25">
      <c r="A166" s="1" t="s">
        <v>743</v>
      </c>
      <c r="B166" s="1" t="s">
        <v>744</v>
      </c>
      <c r="C166" s="1" t="s">
        <v>49</v>
      </c>
      <c r="D166" s="1" t="s">
        <v>49</v>
      </c>
      <c r="E166" s="1" t="s">
        <v>49</v>
      </c>
      <c r="F166" s="1" t="s">
        <v>485</v>
      </c>
      <c r="G166" s="1" t="s">
        <v>78</v>
      </c>
      <c r="H166" s="1" t="s">
        <v>91</v>
      </c>
      <c r="I166" s="1" t="s">
        <v>36</v>
      </c>
      <c r="J166" s="1" t="s">
        <v>70</v>
      </c>
      <c r="K166" s="1" t="s">
        <v>38</v>
      </c>
      <c r="L166" s="1" t="s">
        <v>745</v>
      </c>
      <c r="M166" s="2" t="s">
        <v>40</v>
      </c>
      <c r="N166" s="2"/>
      <c r="O166" s="3">
        <v>2</v>
      </c>
      <c r="P166" s="1" t="s">
        <v>93</v>
      </c>
      <c r="Q166" s="1">
        <v>60</v>
      </c>
      <c r="R166" s="1">
        <v>120</v>
      </c>
      <c r="S166" s="1" t="s">
        <v>94</v>
      </c>
      <c r="T166" s="1" t="s">
        <v>129</v>
      </c>
      <c r="U166" s="1" t="s">
        <v>96</v>
      </c>
      <c r="V166" s="1" t="s">
        <v>45</v>
      </c>
      <c r="W166" s="1" t="s">
        <v>38</v>
      </c>
      <c r="X166" t="s">
        <v>38</v>
      </c>
      <c r="Y166" t="s">
        <v>38</v>
      </c>
      <c r="Z166" t="s">
        <v>40</v>
      </c>
    </row>
    <row r="167" spans="1:26" x14ac:dyDescent="0.25">
      <c r="A167" s="1" t="s">
        <v>746</v>
      </c>
      <c r="B167" s="1" t="s">
        <v>744</v>
      </c>
      <c r="C167" s="1" t="s">
        <v>49</v>
      </c>
      <c r="D167" s="1" t="s">
        <v>49</v>
      </c>
      <c r="E167" s="1" t="s">
        <v>49</v>
      </c>
      <c r="F167" s="1" t="s">
        <v>485</v>
      </c>
      <c r="G167" s="1" t="s">
        <v>78</v>
      </c>
      <c r="H167" s="1" t="s">
        <v>91</v>
      </c>
      <c r="I167" s="1" t="s">
        <v>36</v>
      </c>
      <c r="J167" s="1" t="s">
        <v>70</v>
      </c>
      <c r="K167" s="1" t="s">
        <v>38</v>
      </c>
      <c r="L167" s="1" t="s">
        <v>747</v>
      </c>
      <c r="M167" s="2" t="s">
        <v>40</v>
      </c>
      <c r="N167" s="2"/>
      <c r="O167" s="3">
        <v>2</v>
      </c>
      <c r="P167" s="1" t="s">
        <v>748</v>
      </c>
      <c r="Q167" s="1">
        <v>200</v>
      </c>
      <c r="R167" s="1">
        <v>400</v>
      </c>
      <c r="S167" s="1" t="s">
        <v>94</v>
      </c>
      <c r="T167" s="1" t="s">
        <v>129</v>
      </c>
      <c r="U167" s="1" t="s">
        <v>96</v>
      </c>
      <c r="V167" s="1" t="s">
        <v>45</v>
      </c>
      <c r="W167" s="1" t="s">
        <v>38</v>
      </c>
      <c r="X167" t="s">
        <v>38</v>
      </c>
      <c r="Y167" t="s">
        <v>38</v>
      </c>
      <c r="Z167" t="s">
        <v>40</v>
      </c>
    </row>
    <row r="168" spans="1:26" x14ac:dyDescent="0.25">
      <c r="A168" s="1" t="s">
        <v>749</v>
      </c>
      <c r="B168" s="1" t="s">
        <v>750</v>
      </c>
      <c r="C168" s="1" t="s">
        <v>49</v>
      </c>
      <c r="D168" s="1" t="s">
        <v>49</v>
      </c>
      <c r="E168" s="1" t="s">
        <v>678</v>
      </c>
      <c r="F168" s="1" t="s">
        <v>565</v>
      </c>
      <c r="G168" s="1" t="s">
        <v>78</v>
      </c>
      <c r="H168" s="1" t="s">
        <v>91</v>
      </c>
      <c r="I168" s="1" t="s">
        <v>36</v>
      </c>
      <c r="J168" s="1" t="s">
        <v>70</v>
      </c>
      <c r="K168" s="1" t="s">
        <v>38</v>
      </c>
      <c r="L168" s="1" t="s">
        <v>751</v>
      </c>
      <c r="M168" s="2" t="s">
        <v>699</v>
      </c>
      <c r="N168" s="2"/>
      <c r="O168" s="3">
        <v>24</v>
      </c>
      <c r="P168" s="1" t="s">
        <v>93</v>
      </c>
      <c r="Q168" s="1">
        <v>270</v>
      </c>
      <c r="R168" s="1">
        <v>6480</v>
      </c>
      <c r="S168" s="1" t="s">
        <v>686</v>
      </c>
      <c r="T168" s="1" t="s">
        <v>752</v>
      </c>
      <c r="U168" s="1" t="s">
        <v>116</v>
      </c>
      <c r="V168" s="1" t="s">
        <v>45</v>
      </c>
      <c r="W168" s="1" t="s">
        <v>38</v>
      </c>
      <c r="X168" t="s">
        <v>38</v>
      </c>
      <c r="Y168" t="s">
        <v>38</v>
      </c>
      <c r="Z168" t="s">
        <v>753</v>
      </c>
    </row>
    <row r="169" spans="1:26" x14ac:dyDescent="0.25">
      <c r="A169" s="1" t="s">
        <v>754</v>
      </c>
      <c r="B169" s="1" t="s">
        <v>755</v>
      </c>
      <c r="C169" s="1" t="s">
        <v>77</v>
      </c>
      <c r="D169" s="1" t="s">
        <v>77</v>
      </c>
      <c r="E169" s="1" t="s">
        <v>485</v>
      </c>
      <c r="F169" s="1" t="s">
        <v>678</v>
      </c>
      <c r="G169" s="1" t="s">
        <v>78</v>
      </c>
      <c r="H169" s="1" t="s">
        <v>91</v>
      </c>
      <c r="I169" s="1" t="s">
        <v>36</v>
      </c>
      <c r="J169" s="1" t="s">
        <v>70</v>
      </c>
      <c r="K169" s="1" t="s">
        <v>38</v>
      </c>
      <c r="L169" s="1" t="s">
        <v>756</v>
      </c>
      <c r="M169" s="2" t="s">
        <v>72</v>
      </c>
      <c r="N169" s="2"/>
      <c r="O169" s="3">
        <v>1</v>
      </c>
      <c r="P169" s="1" t="s">
        <v>93</v>
      </c>
      <c r="Q169" s="1">
        <v>9720</v>
      </c>
      <c r="R169" s="1">
        <v>9720</v>
      </c>
      <c r="S169" s="1" t="s">
        <v>757</v>
      </c>
      <c r="T169" s="1" t="s">
        <v>427</v>
      </c>
      <c r="U169" s="1" t="s">
        <v>758</v>
      </c>
      <c r="V169" s="1" t="s">
        <v>45</v>
      </c>
      <c r="W169" s="1" t="s">
        <v>38</v>
      </c>
      <c r="X169" t="s">
        <v>38</v>
      </c>
      <c r="Y169" t="s">
        <v>38</v>
      </c>
      <c r="Z169" t="s">
        <v>759</v>
      </c>
    </row>
    <row r="170" spans="1:26" x14ac:dyDescent="0.25">
      <c r="A170" s="1" t="s">
        <v>760</v>
      </c>
      <c r="B170" s="1" t="s">
        <v>761</v>
      </c>
      <c r="C170" s="1" t="s">
        <v>49</v>
      </c>
      <c r="D170" s="1" t="s">
        <v>49</v>
      </c>
      <c r="E170" s="1" t="s">
        <v>485</v>
      </c>
      <c r="F170" s="1" t="s">
        <v>485</v>
      </c>
      <c r="G170" s="1" t="s">
        <v>34</v>
      </c>
      <c r="H170" s="1" t="s">
        <v>59</v>
      </c>
      <c r="I170" s="1" t="s">
        <v>36</v>
      </c>
      <c r="J170" s="1" t="s">
        <v>37</v>
      </c>
      <c r="K170" s="1" t="s">
        <v>38</v>
      </c>
      <c r="L170" s="1" t="s">
        <v>39</v>
      </c>
      <c r="M170" s="2" t="s">
        <v>519</v>
      </c>
      <c r="N170" s="2" t="s">
        <v>38</v>
      </c>
      <c r="O170" s="3">
        <v>3</v>
      </c>
      <c r="P170" s="1" t="s">
        <v>41</v>
      </c>
      <c r="Q170" s="1">
        <v>60.75</v>
      </c>
      <c r="R170" s="1">
        <v>182.25</v>
      </c>
      <c r="S170" s="1" t="s">
        <v>61</v>
      </c>
      <c r="T170" s="1" t="s">
        <v>762</v>
      </c>
      <c r="U170" s="1" t="s">
        <v>63</v>
      </c>
      <c r="V170" s="1" t="s">
        <v>45</v>
      </c>
      <c r="W170" s="1" t="s">
        <v>38</v>
      </c>
      <c r="X170" t="s">
        <v>38</v>
      </c>
      <c r="Y170" t="s">
        <v>38</v>
      </c>
      <c r="Z170" t="s">
        <v>570</v>
      </c>
    </row>
    <row r="171" spans="1:26" x14ac:dyDescent="0.25">
      <c r="A171" s="1" t="s">
        <v>763</v>
      </c>
      <c r="B171" s="1" t="s">
        <v>764</v>
      </c>
      <c r="C171" s="1" t="s">
        <v>485</v>
      </c>
      <c r="D171" s="1" t="s">
        <v>485</v>
      </c>
      <c r="E171" s="1" t="s">
        <v>485</v>
      </c>
      <c r="F171" s="1" t="s">
        <v>565</v>
      </c>
      <c r="G171" s="1" t="s">
        <v>78</v>
      </c>
      <c r="H171" s="1" t="s">
        <v>91</v>
      </c>
      <c r="I171" s="1" t="s">
        <v>36</v>
      </c>
      <c r="J171" s="1" t="s">
        <v>765</v>
      </c>
      <c r="K171" s="1" t="s">
        <v>38</v>
      </c>
      <c r="L171" s="1" t="s">
        <v>766</v>
      </c>
      <c r="M171" s="2" t="s">
        <v>767</v>
      </c>
      <c r="N171" s="2"/>
      <c r="O171" s="3">
        <v>1</v>
      </c>
      <c r="P171" s="1" t="s">
        <v>93</v>
      </c>
      <c r="Q171" s="1">
        <v>500</v>
      </c>
      <c r="R171" s="1">
        <v>500</v>
      </c>
      <c r="S171" s="1" t="s">
        <v>426</v>
      </c>
      <c r="T171" s="1" t="s">
        <v>427</v>
      </c>
      <c r="U171" s="1" t="s">
        <v>428</v>
      </c>
      <c r="V171" s="1" t="s">
        <v>45</v>
      </c>
      <c r="W171" s="1" t="s">
        <v>38</v>
      </c>
      <c r="X171" t="s">
        <v>38</v>
      </c>
      <c r="Y171" t="s">
        <v>38</v>
      </c>
      <c r="Z171" t="s">
        <v>767</v>
      </c>
    </row>
    <row r="172" spans="1:26" x14ac:dyDescent="0.25">
      <c r="A172" s="1" t="s">
        <v>768</v>
      </c>
      <c r="B172" s="1" t="s">
        <v>769</v>
      </c>
      <c r="C172" s="1" t="s">
        <v>310</v>
      </c>
      <c r="D172" s="1" t="s">
        <v>49</v>
      </c>
      <c r="E172" s="1" t="s">
        <v>485</v>
      </c>
      <c r="F172" s="1" t="s">
        <v>678</v>
      </c>
      <c r="G172" s="1" t="s">
        <v>67</v>
      </c>
      <c r="H172" s="1" t="s">
        <v>68</v>
      </c>
      <c r="I172" s="1" t="s">
        <v>69</v>
      </c>
      <c r="J172" s="1" t="s">
        <v>70</v>
      </c>
      <c r="K172" s="1" t="s">
        <v>38</v>
      </c>
      <c r="L172" s="1" t="s">
        <v>770</v>
      </c>
      <c r="M172" s="2" t="s">
        <v>771</v>
      </c>
      <c r="N172" s="2"/>
      <c r="O172" s="3">
        <v>1</v>
      </c>
      <c r="P172" s="1" t="s">
        <v>374</v>
      </c>
      <c r="Q172" s="1">
        <v>300</v>
      </c>
      <c r="R172" s="1">
        <v>300</v>
      </c>
      <c r="S172" s="1" t="s">
        <v>38</v>
      </c>
      <c r="T172" s="1" t="s">
        <v>772</v>
      </c>
      <c r="U172" s="1" t="s">
        <v>221</v>
      </c>
      <c r="V172" s="1" t="s">
        <v>45</v>
      </c>
      <c r="W172" s="1" t="s">
        <v>38</v>
      </c>
      <c r="X172" t="s">
        <v>38</v>
      </c>
      <c r="Y172" t="s">
        <v>38</v>
      </c>
      <c r="Z172" t="s">
        <v>771</v>
      </c>
    </row>
    <row r="173" spans="1:26" x14ac:dyDescent="0.25">
      <c r="A173" s="1" t="s">
        <v>773</v>
      </c>
      <c r="B173" s="1" t="s">
        <v>774</v>
      </c>
      <c r="C173" s="1" t="s">
        <v>485</v>
      </c>
      <c r="D173" s="1" t="s">
        <v>485</v>
      </c>
      <c r="E173" s="1" t="s">
        <v>485</v>
      </c>
      <c r="F173" s="1" t="s">
        <v>678</v>
      </c>
      <c r="G173" s="1" t="s">
        <v>78</v>
      </c>
      <c r="H173" s="1" t="s">
        <v>91</v>
      </c>
      <c r="I173" s="1" t="s">
        <v>36</v>
      </c>
      <c r="J173" s="1" t="s">
        <v>70</v>
      </c>
      <c r="K173" s="1" t="s">
        <v>38</v>
      </c>
      <c r="L173" s="1" t="s">
        <v>212</v>
      </c>
      <c r="M173" s="2" t="s">
        <v>775</v>
      </c>
      <c r="N173" s="2"/>
      <c r="O173" s="3">
        <v>1</v>
      </c>
      <c r="P173" s="1" t="s">
        <v>143</v>
      </c>
      <c r="Q173" s="1">
        <v>1495</v>
      </c>
      <c r="R173" s="1">
        <v>1495</v>
      </c>
      <c r="S173" s="1" t="s">
        <v>776</v>
      </c>
      <c r="T173" s="1" t="s">
        <v>427</v>
      </c>
      <c r="U173" s="1" t="s">
        <v>777</v>
      </c>
      <c r="V173" s="1" t="s">
        <v>45</v>
      </c>
      <c r="W173" s="1" t="s">
        <v>38</v>
      </c>
      <c r="X173" t="s">
        <v>38</v>
      </c>
      <c r="Y173" t="s">
        <v>38</v>
      </c>
      <c r="Z173" t="s">
        <v>778</v>
      </c>
    </row>
    <row r="174" spans="1:26" x14ac:dyDescent="0.25">
      <c r="A174" s="1" t="s">
        <v>779</v>
      </c>
      <c r="B174" s="1" t="s">
        <v>774</v>
      </c>
      <c r="C174" s="1" t="s">
        <v>485</v>
      </c>
      <c r="D174" s="1" t="s">
        <v>485</v>
      </c>
      <c r="E174" s="1" t="s">
        <v>485</v>
      </c>
      <c r="F174" s="1" t="s">
        <v>678</v>
      </c>
      <c r="G174" s="1" t="s">
        <v>78</v>
      </c>
      <c r="H174" s="1" t="s">
        <v>91</v>
      </c>
      <c r="I174" s="1" t="s">
        <v>36</v>
      </c>
      <c r="J174" s="1" t="s">
        <v>70</v>
      </c>
      <c r="K174" s="1" t="s">
        <v>38</v>
      </c>
      <c r="L174" s="1" t="s">
        <v>780</v>
      </c>
      <c r="M174" s="2" t="s">
        <v>72</v>
      </c>
      <c r="N174" s="2"/>
      <c r="O174" s="3">
        <v>1</v>
      </c>
      <c r="P174" s="1" t="s">
        <v>498</v>
      </c>
      <c r="Q174" s="1">
        <v>270</v>
      </c>
      <c r="R174" s="1">
        <v>270</v>
      </c>
      <c r="S174" s="1" t="s">
        <v>776</v>
      </c>
      <c r="T174" s="1" t="s">
        <v>427</v>
      </c>
      <c r="U174" s="1" t="s">
        <v>777</v>
      </c>
      <c r="V174" s="1" t="s">
        <v>45</v>
      </c>
      <c r="W174" s="1" t="s">
        <v>38</v>
      </c>
      <c r="X174" t="s">
        <v>38</v>
      </c>
      <c r="Y174" t="s">
        <v>38</v>
      </c>
      <c r="Z174" t="s">
        <v>40</v>
      </c>
    </row>
    <row r="175" spans="1:26" x14ac:dyDescent="0.25">
      <c r="A175" s="1" t="s">
        <v>781</v>
      </c>
      <c r="B175" s="1" t="s">
        <v>782</v>
      </c>
      <c r="C175" s="1" t="s">
        <v>485</v>
      </c>
      <c r="D175" s="1" t="s">
        <v>485</v>
      </c>
      <c r="E175" s="1" t="s">
        <v>485</v>
      </c>
      <c r="F175" s="1" t="s">
        <v>678</v>
      </c>
      <c r="G175" s="1" t="s">
        <v>78</v>
      </c>
      <c r="H175" s="1" t="s">
        <v>91</v>
      </c>
      <c r="I175" s="1" t="s">
        <v>36</v>
      </c>
      <c r="J175" s="1" t="s">
        <v>70</v>
      </c>
      <c r="K175" s="1" t="s">
        <v>38</v>
      </c>
      <c r="L175" s="1" t="s">
        <v>783</v>
      </c>
      <c r="M175" s="2" t="s">
        <v>72</v>
      </c>
      <c r="N175" s="2"/>
      <c r="O175" s="3">
        <v>1</v>
      </c>
      <c r="P175" s="1" t="s">
        <v>93</v>
      </c>
      <c r="Q175" s="1">
        <v>1400</v>
      </c>
      <c r="R175" s="1">
        <v>1400</v>
      </c>
      <c r="S175" s="1" t="s">
        <v>757</v>
      </c>
      <c r="T175" s="1" t="s">
        <v>427</v>
      </c>
      <c r="U175" s="1" t="s">
        <v>758</v>
      </c>
      <c r="V175" s="1" t="s">
        <v>45</v>
      </c>
      <c r="W175" s="1" t="s">
        <v>38</v>
      </c>
      <c r="X175" t="s">
        <v>38</v>
      </c>
      <c r="Y175" t="s">
        <v>38</v>
      </c>
      <c r="Z175" t="s">
        <v>784</v>
      </c>
    </row>
    <row r="176" spans="1:26" x14ac:dyDescent="0.25">
      <c r="A176" s="1" t="s">
        <v>785</v>
      </c>
      <c r="B176" s="1" t="s">
        <v>786</v>
      </c>
      <c r="C176" s="1" t="s">
        <v>485</v>
      </c>
      <c r="D176" s="1" t="s">
        <v>485</v>
      </c>
      <c r="E176" s="1" t="s">
        <v>485</v>
      </c>
      <c r="F176" s="1" t="s">
        <v>678</v>
      </c>
      <c r="G176" s="1" t="s">
        <v>78</v>
      </c>
      <c r="H176" s="1" t="s">
        <v>91</v>
      </c>
      <c r="I176" s="1" t="s">
        <v>36</v>
      </c>
      <c r="J176" s="1" t="s">
        <v>70</v>
      </c>
      <c r="K176" s="1" t="s">
        <v>38</v>
      </c>
      <c r="L176" s="1" t="s">
        <v>787</v>
      </c>
      <c r="M176" s="2" t="s">
        <v>788</v>
      </c>
      <c r="N176" s="2"/>
      <c r="O176" s="3">
        <v>15</v>
      </c>
      <c r="P176" s="1" t="s">
        <v>381</v>
      </c>
      <c r="Q176" s="1">
        <v>80</v>
      </c>
      <c r="R176" s="1">
        <v>1200</v>
      </c>
      <c r="S176" s="1" t="s">
        <v>128</v>
      </c>
      <c r="T176" s="1" t="s">
        <v>427</v>
      </c>
      <c r="U176" s="1" t="s">
        <v>130</v>
      </c>
      <c r="V176" s="1" t="s">
        <v>45</v>
      </c>
      <c r="W176" s="1" t="s">
        <v>38</v>
      </c>
      <c r="X176" t="s">
        <v>38</v>
      </c>
      <c r="Y176" t="s">
        <v>38</v>
      </c>
      <c r="Z176" t="s">
        <v>789</v>
      </c>
    </row>
    <row r="177" spans="1:26" x14ac:dyDescent="0.25">
      <c r="A177" s="1" t="s">
        <v>790</v>
      </c>
      <c r="B177" s="1" t="s">
        <v>786</v>
      </c>
      <c r="C177" s="1" t="s">
        <v>485</v>
      </c>
      <c r="D177" s="1" t="s">
        <v>485</v>
      </c>
      <c r="E177" s="1" t="s">
        <v>485</v>
      </c>
      <c r="F177" s="1" t="s">
        <v>678</v>
      </c>
      <c r="G177" s="1" t="s">
        <v>78</v>
      </c>
      <c r="H177" s="1" t="s">
        <v>91</v>
      </c>
      <c r="I177" s="1" t="s">
        <v>36</v>
      </c>
      <c r="J177" s="1" t="s">
        <v>70</v>
      </c>
      <c r="K177" s="1" t="s">
        <v>38</v>
      </c>
      <c r="L177" s="1" t="s">
        <v>791</v>
      </c>
      <c r="M177" s="2" t="s">
        <v>792</v>
      </c>
      <c r="N177" s="2"/>
      <c r="O177" s="3">
        <v>1</v>
      </c>
      <c r="P177" s="1" t="s">
        <v>93</v>
      </c>
      <c r="Q177" s="1">
        <v>400</v>
      </c>
      <c r="R177" s="1">
        <v>400</v>
      </c>
      <c r="S177" s="1" t="s">
        <v>128</v>
      </c>
      <c r="T177" s="1" t="s">
        <v>427</v>
      </c>
      <c r="U177" s="1" t="s">
        <v>130</v>
      </c>
      <c r="V177" s="1" t="s">
        <v>45</v>
      </c>
      <c r="W177" s="1" t="s">
        <v>38</v>
      </c>
      <c r="X177" t="s">
        <v>38</v>
      </c>
      <c r="Y177" t="s">
        <v>38</v>
      </c>
      <c r="Z177" t="s">
        <v>793</v>
      </c>
    </row>
    <row r="178" spans="1:26" x14ac:dyDescent="0.25">
      <c r="A178" s="1" t="s">
        <v>794</v>
      </c>
      <c r="B178" s="1" t="s">
        <v>786</v>
      </c>
      <c r="C178" s="1" t="s">
        <v>485</v>
      </c>
      <c r="D178" s="1" t="s">
        <v>485</v>
      </c>
      <c r="E178" s="1" t="s">
        <v>485</v>
      </c>
      <c r="F178" s="1" t="s">
        <v>678</v>
      </c>
      <c r="G178" s="1" t="s">
        <v>78</v>
      </c>
      <c r="H178" s="1" t="s">
        <v>91</v>
      </c>
      <c r="I178" s="1" t="s">
        <v>36</v>
      </c>
      <c r="J178" s="1" t="s">
        <v>70</v>
      </c>
      <c r="K178" s="1" t="s">
        <v>38</v>
      </c>
      <c r="L178" s="1" t="s">
        <v>795</v>
      </c>
      <c r="M178" s="2" t="s">
        <v>792</v>
      </c>
      <c r="N178" s="2"/>
      <c r="O178" s="3">
        <v>1</v>
      </c>
      <c r="P178" s="1" t="s">
        <v>93</v>
      </c>
      <c r="Q178" s="1">
        <v>80</v>
      </c>
      <c r="R178" s="1">
        <v>80</v>
      </c>
      <c r="S178" s="1" t="s">
        <v>128</v>
      </c>
      <c r="T178" s="1" t="s">
        <v>427</v>
      </c>
      <c r="U178" s="1" t="s">
        <v>130</v>
      </c>
      <c r="V178" s="1" t="s">
        <v>45</v>
      </c>
      <c r="W178" s="1" t="s">
        <v>38</v>
      </c>
      <c r="X178" t="s">
        <v>38</v>
      </c>
      <c r="Y178" t="s">
        <v>38</v>
      </c>
      <c r="Z178" t="s">
        <v>793</v>
      </c>
    </row>
    <row r="179" spans="1:26" x14ac:dyDescent="0.25">
      <c r="A179" s="1" t="s">
        <v>796</v>
      </c>
      <c r="B179" s="1" t="s">
        <v>786</v>
      </c>
      <c r="C179" s="1" t="s">
        <v>485</v>
      </c>
      <c r="D179" s="1" t="s">
        <v>485</v>
      </c>
      <c r="E179" s="1" t="s">
        <v>485</v>
      </c>
      <c r="F179" s="1" t="s">
        <v>678</v>
      </c>
      <c r="G179" s="1" t="s">
        <v>78</v>
      </c>
      <c r="H179" s="1" t="s">
        <v>91</v>
      </c>
      <c r="I179" s="1" t="s">
        <v>36</v>
      </c>
      <c r="J179" s="1" t="s">
        <v>70</v>
      </c>
      <c r="K179" s="1" t="s">
        <v>38</v>
      </c>
      <c r="L179" s="1" t="s">
        <v>497</v>
      </c>
      <c r="M179" s="2" t="s">
        <v>72</v>
      </c>
      <c r="N179" s="2"/>
      <c r="O179" s="3">
        <v>1</v>
      </c>
      <c r="P179" s="1" t="s">
        <v>498</v>
      </c>
      <c r="Q179" s="1">
        <v>240</v>
      </c>
      <c r="R179" s="1">
        <v>240</v>
      </c>
      <c r="S179" s="1" t="s">
        <v>128</v>
      </c>
      <c r="T179" s="1" t="s">
        <v>427</v>
      </c>
      <c r="U179" s="1" t="s">
        <v>130</v>
      </c>
      <c r="V179" s="1" t="s">
        <v>45</v>
      </c>
      <c r="W179" s="1" t="s">
        <v>38</v>
      </c>
      <c r="X179" t="s">
        <v>38</v>
      </c>
      <c r="Y179" t="s">
        <v>38</v>
      </c>
      <c r="Z179" t="s">
        <v>500</v>
      </c>
    </row>
    <row r="180" spans="1:26" x14ac:dyDescent="0.25">
      <c r="A180" s="1" t="s">
        <v>797</v>
      </c>
      <c r="B180" s="1" t="s">
        <v>786</v>
      </c>
      <c r="C180" s="1" t="s">
        <v>485</v>
      </c>
      <c r="D180" s="1" t="s">
        <v>485</v>
      </c>
      <c r="E180" s="1" t="s">
        <v>485</v>
      </c>
      <c r="F180" s="1" t="s">
        <v>678</v>
      </c>
      <c r="G180" s="1" t="s">
        <v>78</v>
      </c>
      <c r="H180" s="1" t="s">
        <v>91</v>
      </c>
      <c r="I180" s="1" t="s">
        <v>36</v>
      </c>
      <c r="J180" s="1" t="s">
        <v>70</v>
      </c>
      <c r="K180" s="1" t="s">
        <v>38</v>
      </c>
      <c r="L180" s="1" t="s">
        <v>212</v>
      </c>
      <c r="M180" s="2" t="s">
        <v>72</v>
      </c>
      <c r="N180" s="2"/>
      <c r="O180" s="3">
        <v>1</v>
      </c>
      <c r="P180" s="1" t="s">
        <v>143</v>
      </c>
      <c r="Q180" s="1">
        <v>720</v>
      </c>
      <c r="R180" s="1">
        <v>720</v>
      </c>
      <c r="S180" s="1" t="s">
        <v>128</v>
      </c>
      <c r="T180" s="1" t="s">
        <v>427</v>
      </c>
      <c r="U180" s="1" t="s">
        <v>130</v>
      </c>
      <c r="V180" s="1" t="s">
        <v>45</v>
      </c>
      <c r="W180" s="1" t="s">
        <v>38</v>
      </c>
      <c r="X180" t="s">
        <v>38</v>
      </c>
      <c r="Y180" t="s">
        <v>38</v>
      </c>
      <c r="Z180" t="s">
        <v>541</v>
      </c>
    </row>
    <row r="181" spans="1:26" x14ac:dyDescent="0.25">
      <c r="A181" s="1" t="s">
        <v>798</v>
      </c>
      <c r="B181" s="1" t="s">
        <v>786</v>
      </c>
      <c r="C181" s="1" t="s">
        <v>485</v>
      </c>
      <c r="D181" s="1" t="s">
        <v>485</v>
      </c>
      <c r="E181" s="1" t="s">
        <v>485</v>
      </c>
      <c r="F181" s="1" t="s">
        <v>678</v>
      </c>
      <c r="G181" s="1" t="s">
        <v>78</v>
      </c>
      <c r="H181" s="1" t="s">
        <v>91</v>
      </c>
      <c r="I181" s="1" t="s">
        <v>36</v>
      </c>
      <c r="J181" s="1" t="s">
        <v>70</v>
      </c>
      <c r="K181" s="1" t="s">
        <v>38</v>
      </c>
      <c r="L181" s="1" t="s">
        <v>71</v>
      </c>
      <c r="M181" s="2" t="s">
        <v>72</v>
      </c>
      <c r="N181" s="2"/>
      <c r="O181" s="3">
        <v>1</v>
      </c>
      <c r="P181" s="1" t="s">
        <v>207</v>
      </c>
      <c r="Q181" s="1">
        <v>630</v>
      </c>
      <c r="R181" s="1">
        <v>630</v>
      </c>
      <c r="S181" s="1" t="s">
        <v>128</v>
      </c>
      <c r="T181" s="1" t="s">
        <v>427</v>
      </c>
      <c r="U181" s="1" t="s">
        <v>130</v>
      </c>
      <c r="V181" s="1" t="s">
        <v>45</v>
      </c>
      <c r="W181" s="1" t="s">
        <v>38</v>
      </c>
      <c r="X181" t="s">
        <v>38</v>
      </c>
      <c r="Y181" t="s">
        <v>38</v>
      </c>
      <c r="Z181" t="s">
        <v>729</v>
      </c>
    </row>
    <row r="182" spans="1:26" x14ac:dyDescent="0.25">
      <c r="A182" s="1" t="s">
        <v>799</v>
      </c>
      <c r="B182" s="1" t="s">
        <v>786</v>
      </c>
      <c r="C182" s="1" t="s">
        <v>485</v>
      </c>
      <c r="D182" s="1" t="s">
        <v>485</v>
      </c>
      <c r="E182" s="1" t="s">
        <v>485</v>
      </c>
      <c r="F182" s="1" t="s">
        <v>678</v>
      </c>
      <c r="G182" s="1" t="s">
        <v>78</v>
      </c>
      <c r="H182" s="1" t="s">
        <v>91</v>
      </c>
      <c r="I182" s="1" t="s">
        <v>36</v>
      </c>
      <c r="J182" s="1" t="s">
        <v>70</v>
      </c>
      <c r="K182" s="1" t="s">
        <v>38</v>
      </c>
      <c r="L182" s="1" t="s">
        <v>780</v>
      </c>
      <c r="M182" s="2" t="s">
        <v>72</v>
      </c>
      <c r="N182" s="2" t="s">
        <v>38</v>
      </c>
      <c r="O182" s="3">
        <v>1</v>
      </c>
      <c r="P182" s="1" t="s">
        <v>498</v>
      </c>
      <c r="Q182" s="1">
        <v>270</v>
      </c>
      <c r="R182" s="1">
        <v>270</v>
      </c>
      <c r="S182" s="1" t="s">
        <v>128</v>
      </c>
      <c r="T182" s="1" t="s">
        <v>427</v>
      </c>
      <c r="U182" s="1" t="s">
        <v>130</v>
      </c>
      <c r="V182" s="1" t="s">
        <v>45</v>
      </c>
      <c r="W182" s="1" t="s">
        <v>38</v>
      </c>
      <c r="X182" t="s">
        <v>38</v>
      </c>
      <c r="Y182" t="s">
        <v>38</v>
      </c>
      <c r="Z182" t="s">
        <v>800</v>
      </c>
    </row>
    <row r="183" spans="1:26" x14ac:dyDescent="0.25">
      <c r="A183" s="1" t="s">
        <v>801</v>
      </c>
      <c r="B183" s="1" t="s">
        <v>786</v>
      </c>
      <c r="C183" s="1" t="s">
        <v>485</v>
      </c>
      <c r="D183" s="1" t="s">
        <v>485</v>
      </c>
      <c r="E183" s="1" t="s">
        <v>485</v>
      </c>
      <c r="F183" s="1" t="s">
        <v>678</v>
      </c>
      <c r="G183" s="1" t="s">
        <v>78</v>
      </c>
      <c r="H183" s="1" t="s">
        <v>91</v>
      </c>
      <c r="I183" s="1" t="s">
        <v>36</v>
      </c>
      <c r="J183" s="1" t="s">
        <v>70</v>
      </c>
      <c r="K183" s="1" t="s">
        <v>38</v>
      </c>
      <c r="L183" s="1" t="s">
        <v>251</v>
      </c>
      <c r="M183" s="2" t="s">
        <v>800</v>
      </c>
      <c r="N183" s="2" t="s">
        <v>38</v>
      </c>
      <c r="O183" s="3">
        <v>5</v>
      </c>
      <c r="P183" s="1" t="s">
        <v>93</v>
      </c>
      <c r="Q183" s="1">
        <v>160</v>
      </c>
      <c r="R183" s="1">
        <v>800</v>
      </c>
      <c r="S183" s="1" t="s">
        <v>128</v>
      </c>
      <c r="T183" s="1" t="s">
        <v>427</v>
      </c>
      <c r="U183" s="1" t="s">
        <v>130</v>
      </c>
      <c r="V183" s="1" t="s">
        <v>45</v>
      </c>
      <c r="W183" s="1" t="s">
        <v>38</v>
      </c>
      <c r="X183" t="s">
        <v>38</v>
      </c>
      <c r="Y183" t="s">
        <v>38</v>
      </c>
      <c r="Z183" t="s">
        <v>800</v>
      </c>
    </row>
    <row r="184" spans="1:26" x14ac:dyDescent="0.25">
      <c r="A184" s="1" t="s">
        <v>802</v>
      </c>
      <c r="B184" s="1" t="s">
        <v>803</v>
      </c>
      <c r="C184" s="1" t="s">
        <v>49</v>
      </c>
      <c r="D184" s="1" t="s">
        <v>485</v>
      </c>
      <c r="E184" s="1" t="s">
        <v>485</v>
      </c>
      <c r="F184" s="1" t="s">
        <v>678</v>
      </c>
      <c r="G184" s="1" t="s">
        <v>78</v>
      </c>
      <c r="H184" s="1" t="s">
        <v>91</v>
      </c>
      <c r="I184" s="1" t="s">
        <v>36</v>
      </c>
      <c r="J184" s="1" t="s">
        <v>70</v>
      </c>
      <c r="K184" s="1" t="s">
        <v>38</v>
      </c>
      <c r="L184" s="1" t="s">
        <v>780</v>
      </c>
      <c r="M184" s="2" t="s">
        <v>72</v>
      </c>
      <c r="N184" s="2"/>
      <c r="O184" s="3">
        <v>1</v>
      </c>
      <c r="P184" s="1" t="s">
        <v>93</v>
      </c>
      <c r="Q184" s="1">
        <v>270</v>
      </c>
      <c r="R184" s="1">
        <v>270</v>
      </c>
      <c r="S184" s="1" t="s">
        <v>94</v>
      </c>
      <c r="T184" s="1" t="s">
        <v>368</v>
      </c>
      <c r="U184" s="1" t="s">
        <v>96</v>
      </c>
      <c r="V184" s="1" t="s">
        <v>45</v>
      </c>
      <c r="W184" s="1" t="s">
        <v>38</v>
      </c>
      <c r="X184" t="s">
        <v>38</v>
      </c>
      <c r="Y184" t="s">
        <v>38</v>
      </c>
      <c r="Z184" t="s">
        <v>800</v>
      </c>
    </row>
    <row r="185" spans="1:26" x14ac:dyDescent="0.25">
      <c r="A185" s="1" t="s">
        <v>804</v>
      </c>
      <c r="B185" s="1" t="s">
        <v>803</v>
      </c>
      <c r="C185" s="1" t="s">
        <v>49</v>
      </c>
      <c r="D185" s="1" t="s">
        <v>485</v>
      </c>
      <c r="E185" s="1" t="s">
        <v>485</v>
      </c>
      <c r="F185" s="1" t="s">
        <v>678</v>
      </c>
      <c r="G185" s="1" t="s">
        <v>78</v>
      </c>
      <c r="H185" s="1" t="s">
        <v>91</v>
      </c>
      <c r="I185" s="1" t="s">
        <v>36</v>
      </c>
      <c r="J185" s="1" t="s">
        <v>70</v>
      </c>
      <c r="K185" s="1" t="s">
        <v>38</v>
      </c>
      <c r="L185" s="1" t="s">
        <v>805</v>
      </c>
      <c r="M185" s="2" t="s">
        <v>72</v>
      </c>
      <c r="N185" s="2"/>
      <c r="O185" s="3">
        <v>1</v>
      </c>
      <c r="P185" s="1" t="s">
        <v>93</v>
      </c>
      <c r="Q185" s="1">
        <v>40</v>
      </c>
      <c r="R185" s="1">
        <v>40</v>
      </c>
      <c r="S185" s="1" t="s">
        <v>94</v>
      </c>
      <c r="T185" s="1" t="s">
        <v>368</v>
      </c>
      <c r="U185" s="1" t="s">
        <v>96</v>
      </c>
      <c r="V185" s="1" t="s">
        <v>45</v>
      </c>
      <c r="W185" s="1" t="s">
        <v>38</v>
      </c>
      <c r="X185" t="s">
        <v>38</v>
      </c>
      <c r="Y185" t="s">
        <v>38</v>
      </c>
      <c r="Z185" t="s">
        <v>806</v>
      </c>
    </row>
    <row r="186" spans="1:26" x14ac:dyDescent="0.25">
      <c r="A186" s="1" t="s">
        <v>807</v>
      </c>
      <c r="B186" s="1" t="s">
        <v>808</v>
      </c>
      <c r="C186" s="1" t="s">
        <v>485</v>
      </c>
      <c r="D186" s="1" t="s">
        <v>485</v>
      </c>
      <c r="E186" s="1" t="s">
        <v>485</v>
      </c>
      <c r="F186" s="1" t="s">
        <v>678</v>
      </c>
      <c r="G186" s="1" t="s">
        <v>78</v>
      </c>
      <c r="H186" s="1" t="s">
        <v>91</v>
      </c>
      <c r="I186" s="1" t="s">
        <v>36</v>
      </c>
      <c r="J186" s="1" t="s">
        <v>70</v>
      </c>
      <c r="K186" s="1" t="s">
        <v>38</v>
      </c>
      <c r="L186" s="1" t="s">
        <v>809</v>
      </c>
      <c r="M186" s="2" t="s">
        <v>810</v>
      </c>
      <c r="N186" s="2"/>
      <c r="O186" s="3">
        <v>1</v>
      </c>
      <c r="P186" s="1" t="s">
        <v>811</v>
      </c>
      <c r="Q186" s="1">
        <v>620</v>
      </c>
      <c r="R186" s="1">
        <v>620</v>
      </c>
      <c r="S186" s="1" t="s">
        <v>812</v>
      </c>
      <c r="T186" s="1" t="s">
        <v>549</v>
      </c>
      <c r="U186" s="1" t="s">
        <v>813</v>
      </c>
      <c r="V186" s="1" t="s">
        <v>45</v>
      </c>
      <c r="W186" s="1" t="s">
        <v>38</v>
      </c>
      <c r="X186" t="s">
        <v>38</v>
      </c>
      <c r="Y186" t="s">
        <v>38</v>
      </c>
      <c r="Z186" t="s">
        <v>810</v>
      </c>
    </row>
    <row r="187" spans="1:26" x14ac:dyDescent="0.25">
      <c r="A187" s="1" t="s">
        <v>814</v>
      </c>
      <c r="B187" s="1" t="s">
        <v>808</v>
      </c>
      <c r="C187" s="1" t="s">
        <v>485</v>
      </c>
      <c r="D187" s="1" t="s">
        <v>485</v>
      </c>
      <c r="E187" s="1" t="s">
        <v>485</v>
      </c>
      <c r="F187" s="1" t="s">
        <v>678</v>
      </c>
      <c r="G187" s="1" t="s">
        <v>78</v>
      </c>
      <c r="H187" s="1" t="s">
        <v>91</v>
      </c>
      <c r="I187" s="1" t="s">
        <v>36</v>
      </c>
      <c r="J187" s="1" t="s">
        <v>70</v>
      </c>
      <c r="K187" s="1" t="s">
        <v>38</v>
      </c>
      <c r="L187" s="1" t="s">
        <v>195</v>
      </c>
      <c r="M187" s="2" t="s">
        <v>815</v>
      </c>
      <c r="N187" s="2"/>
      <c r="O187" s="3">
        <v>1</v>
      </c>
      <c r="P187" s="1" t="s">
        <v>93</v>
      </c>
      <c r="Q187" s="1">
        <v>50</v>
      </c>
      <c r="R187" s="1">
        <v>50</v>
      </c>
      <c r="S187" s="1" t="s">
        <v>812</v>
      </c>
      <c r="T187" s="1" t="s">
        <v>549</v>
      </c>
      <c r="U187" s="1" t="s">
        <v>813</v>
      </c>
      <c r="V187" s="1" t="s">
        <v>45</v>
      </c>
      <c r="W187" s="1" t="s">
        <v>38</v>
      </c>
      <c r="X187" t="s">
        <v>38</v>
      </c>
      <c r="Y187" t="s">
        <v>38</v>
      </c>
      <c r="Z187" t="s">
        <v>815</v>
      </c>
    </row>
    <row r="188" spans="1:26" x14ac:dyDescent="0.25">
      <c r="A188" s="1" t="s">
        <v>816</v>
      </c>
      <c r="B188" s="1" t="s">
        <v>808</v>
      </c>
      <c r="C188" s="1" t="s">
        <v>485</v>
      </c>
      <c r="D188" s="1" t="s">
        <v>485</v>
      </c>
      <c r="E188" s="1" t="s">
        <v>485</v>
      </c>
      <c r="F188" s="1" t="s">
        <v>678</v>
      </c>
      <c r="G188" s="1" t="s">
        <v>78</v>
      </c>
      <c r="H188" s="1" t="s">
        <v>91</v>
      </c>
      <c r="I188" s="1" t="s">
        <v>36</v>
      </c>
      <c r="J188" s="1" t="s">
        <v>70</v>
      </c>
      <c r="K188" s="1" t="s">
        <v>38</v>
      </c>
      <c r="L188" s="1" t="s">
        <v>817</v>
      </c>
      <c r="M188" s="2" t="s">
        <v>72</v>
      </c>
      <c r="N188" s="2"/>
      <c r="O188" s="3">
        <v>1</v>
      </c>
      <c r="P188" s="1" t="s">
        <v>93</v>
      </c>
      <c r="Q188" s="1">
        <v>1750</v>
      </c>
      <c r="R188" s="1">
        <v>1750</v>
      </c>
      <c r="S188" s="1" t="s">
        <v>812</v>
      </c>
      <c r="T188" s="1" t="s">
        <v>549</v>
      </c>
      <c r="U188" s="1" t="s">
        <v>813</v>
      </c>
      <c r="V188" s="1" t="s">
        <v>45</v>
      </c>
      <c r="W188" s="1" t="s">
        <v>38</v>
      </c>
      <c r="X188" t="s">
        <v>38</v>
      </c>
      <c r="Y188" t="s">
        <v>38</v>
      </c>
      <c r="Z188" t="s">
        <v>818</v>
      </c>
    </row>
    <row r="189" spans="1:26" x14ac:dyDescent="0.25">
      <c r="A189" s="1" t="s">
        <v>819</v>
      </c>
      <c r="B189" s="1" t="s">
        <v>808</v>
      </c>
      <c r="C189" s="1" t="s">
        <v>485</v>
      </c>
      <c r="D189" s="1" t="s">
        <v>485</v>
      </c>
      <c r="E189" s="1" t="s">
        <v>485</v>
      </c>
      <c r="F189" s="1" t="s">
        <v>678</v>
      </c>
      <c r="G189" s="1" t="s">
        <v>78</v>
      </c>
      <c r="H189" s="1" t="s">
        <v>91</v>
      </c>
      <c r="I189" s="1" t="s">
        <v>36</v>
      </c>
      <c r="J189" s="1" t="s">
        <v>70</v>
      </c>
      <c r="K189" s="1" t="s">
        <v>38</v>
      </c>
      <c r="L189" s="1" t="s">
        <v>497</v>
      </c>
      <c r="M189" s="2" t="s">
        <v>72</v>
      </c>
      <c r="N189" s="2"/>
      <c r="O189" s="3">
        <v>1</v>
      </c>
      <c r="P189" s="1" t="s">
        <v>498</v>
      </c>
      <c r="Q189" s="1">
        <v>240</v>
      </c>
      <c r="R189" s="1">
        <v>240</v>
      </c>
      <c r="S189" s="1" t="s">
        <v>812</v>
      </c>
      <c r="T189" s="1" t="s">
        <v>549</v>
      </c>
      <c r="U189" s="1" t="s">
        <v>813</v>
      </c>
      <c r="V189" s="1" t="s">
        <v>45</v>
      </c>
      <c r="W189" s="1" t="s">
        <v>38</v>
      </c>
      <c r="X189" t="s">
        <v>38</v>
      </c>
      <c r="Y189" t="s">
        <v>38</v>
      </c>
      <c r="Z189" t="s">
        <v>500</v>
      </c>
    </row>
    <row r="190" spans="1:26" x14ac:dyDescent="0.25">
      <c r="A190" s="1" t="s">
        <v>820</v>
      </c>
      <c r="B190" s="1" t="s">
        <v>808</v>
      </c>
      <c r="C190" s="1" t="s">
        <v>485</v>
      </c>
      <c r="D190" s="1" t="s">
        <v>485</v>
      </c>
      <c r="E190" s="1" t="s">
        <v>485</v>
      </c>
      <c r="F190" s="1" t="s">
        <v>678</v>
      </c>
      <c r="G190" s="1" t="s">
        <v>78</v>
      </c>
      <c r="H190" s="1" t="s">
        <v>91</v>
      </c>
      <c r="I190" s="1" t="s">
        <v>36</v>
      </c>
      <c r="J190" s="1" t="s">
        <v>70</v>
      </c>
      <c r="K190" s="1" t="s">
        <v>38</v>
      </c>
      <c r="L190" s="1" t="s">
        <v>787</v>
      </c>
      <c r="M190" s="2" t="s">
        <v>821</v>
      </c>
      <c r="N190" s="2"/>
      <c r="O190" s="3">
        <v>2</v>
      </c>
      <c r="P190" s="1" t="s">
        <v>381</v>
      </c>
      <c r="Q190" s="1">
        <v>6</v>
      </c>
      <c r="R190" s="1">
        <v>12</v>
      </c>
      <c r="S190" s="1" t="s">
        <v>812</v>
      </c>
      <c r="T190" s="1" t="s">
        <v>549</v>
      </c>
      <c r="U190" s="1" t="s">
        <v>813</v>
      </c>
      <c r="V190" s="1" t="s">
        <v>45</v>
      </c>
      <c r="W190" s="1" t="s">
        <v>38</v>
      </c>
      <c r="X190" t="s">
        <v>38</v>
      </c>
      <c r="Y190" t="s">
        <v>38</v>
      </c>
      <c r="Z190" t="s">
        <v>822</v>
      </c>
    </row>
    <row r="191" spans="1:26" x14ac:dyDescent="0.25">
      <c r="A191" s="1" t="s">
        <v>823</v>
      </c>
      <c r="B191" s="1" t="s">
        <v>824</v>
      </c>
      <c r="C191" s="1" t="s">
        <v>48</v>
      </c>
      <c r="D191" s="1" t="s">
        <v>485</v>
      </c>
      <c r="E191" s="1" t="s">
        <v>565</v>
      </c>
      <c r="F191" s="1" t="s">
        <v>619</v>
      </c>
      <c r="G191" s="1" t="s">
        <v>34</v>
      </c>
      <c r="H191" s="1" t="s">
        <v>59</v>
      </c>
      <c r="I191" s="1" t="s">
        <v>404</v>
      </c>
      <c r="J191" s="1" t="s">
        <v>334</v>
      </c>
      <c r="K191" s="1" t="s">
        <v>38</v>
      </c>
      <c r="L191" s="1" t="s">
        <v>492</v>
      </c>
      <c r="M191" s="2" t="s">
        <v>493</v>
      </c>
      <c r="N191" s="2" t="s">
        <v>72</v>
      </c>
      <c r="O191" s="3">
        <v>1</v>
      </c>
      <c r="P191" s="1" t="s">
        <v>93</v>
      </c>
      <c r="Q191" s="1">
        <v>79.5</v>
      </c>
      <c r="R191" s="1">
        <v>79.5</v>
      </c>
      <c r="S191" s="1" t="s">
        <v>38</v>
      </c>
      <c r="T191" s="1" t="s">
        <v>488</v>
      </c>
      <c r="U191" s="1" t="s">
        <v>467</v>
      </c>
      <c r="V191" s="1" t="s">
        <v>45</v>
      </c>
      <c r="W191" s="1" t="s">
        <v>38</v>
      </c>
      <c r="X191" t="s">
        <v>38</v>
      </c>
      <c r="Y191" t="s">
        <v>38</v>
      </c>
      <c r="Z191" t="s">
        <v>825</v>
      </c>
    </row>
    <row r="192" spans="1:26" x14ac:dyDescent="0.25">
      <c r="A192" s="1" t="s">
        <v>826</v>
      </c>
      <c r="B192" s="1" t="s">
        <v>827</v>
      </c>
      <c r="C192" s="1" t="s">
        <v>485</v>
      </c>
      <c r="D192" s="1" t="s">
        <v>485</v>
      </c>
      <c r="E192" s="1" t="s">
        <v>485</v>
      </c>
      <c r="F192" s="1" t="s">
        <v>524</v>
      </c>
      <c r="G192" s="1" t="s">
        <v>34</v>
      </c>
      <c r="H192" s="1" t="s">
        <v>35</v>
      </c>
      <c r="I192" s="1" t="s">
        <v>36</v>
      </c>
      <c r="J192" s="1" t="s">
        <v>37</v>
      </c>
      <c r="K192" s="1" t="s">
        <v>38</v>
      </c>
      <c r="L192" s="1" t="s">
        <v>39</v>
      </c>
      <c r="M192" s="2" t="s">
        <v>40</v>
      </c>
      <c r="N192" s="2" t="s">
        <v>828</v>
      </c>
      <c r="O192" s="3">
        <v>3</v>
      </c>
      <c r="P192" s="1" t="s">
        <v>41</v>
      </c>
      <c r="Q192" s="1">
        <v>60.75</v>
      </c>
      <c r="R192" s="1">
        <v>182.25</v>
      </c>
      <c r="S192" s="1" t="s">
        <v>42</v>
      </c>
      <c r="T192" s="1" t="s">
        <v>829</v>
      </c>
      <c r="U192" s="1" t="s">
        <v>44</v>
      </c>
      <c r="V192" s="1" t="s">
        <v>45</v>
      </c>
      <c r="W192" s="1" t="s">
        <v>38</v>
      </c>
      <c r="X192" t="s">
        <v>38</v>
      </c>
      <c r="Y192" t="s">
        <v>38</v>
      </c>
      <c r="Z192" t="s">
        <v>519</v>
      </c>
    </row>
    <row r="193" spans="1:26" x14ac:dyDescent="0.25">
      <c r="A193" s="1" t="s">
        <v>830</v>
      </c>
      <c r="B193" s="1" t="s">
        <v>831</v>
      </c>
      <c r="C193" s="1" t="s">
        <v>485</v>
      </c>
      <c r="D193" s="1" t="s">
        <v>485</v>
      </c>
      <c r="E193" s="1" t="s">
        <v>678</v>
      </c>
      <c r="F193" s="1" t="s">
        <v>619</v>
      </c>
      <c r="G193" s="1" t="s">
        <v>78</v>
      </c>
      <c r="H193" s="1" t="s">
        <v>832</v>
      </c>
      <c r="I193" s="1" t="s">
        <v>294</v>
      </c>
      <c r="J193" s="1" t="s">
        <v>833</v>
      </c>
      <c r="K193" s="1" t="s">
        <v>38</v>
      </c>
      <c r="L193" s="1" t="s">
        <v>834</v>
      </c>
      <c r="M193" s="2" t="s">
        <v>835</v>
      </c>
      <c r="N193" s="2"/>
      <c r="O193" s="3">
        <v>3</v>
      </c>
      <c r="P193" s="1" t="s">
        <v>93</v>
      </c>
      <c r="Q193" s="1">
        <v>3000</v>
      </c>
      <c r="R193" s="1">
        <v>9000</v>
      </c>
      <c r="S193" s="1" t="s">
        <v>38</v>
      </c>
      <c r="T193" s="1" t="s">
        <v>836</v>
      </c>
      <c r="U193" s="1" t="s">
        <v>837</v>
      </c>
      <c r="V193" s="1" t="s">
        <v>45</v>
      </c>
      <c r="W193" s="1" t="s">
        <v>38</v>
      </c>
      <c r="X193" t="s">
        <v>38</v>
      </c>
      <c r="Y193" t="s">
        <v>38</v>
      </c>
      <c r="Z193" t="s">
        <v>838</v>
      </c>
    </row>
    <row r="194" spans="1:26" x14ac:dyDescent="0.25">
      <c r="A194" s="1" t="s">
        <v>839</v>
      </c>
      <c r="B194" s="1" t="s">
        <v>831</v>
      </c>
      <c r="C194" s="1" t="s">
        <v>485</v>
      </c>
      <c r="D194" s="1" t="s">
        <v>485</v>
      </c>
      <c r="E194" s="1" t="s">
        <v>678</v>
      </c>
      <c r="F194" s="1" t="s">
        <v>619</v>
      </c>
      <c r="G194" s="1" t="s">
        <v>78</v>
      </c>
      <c r="H194" s="1" t="s">
        <v>832</v>
      </c>
      <c r="I194" s="1" t="s">
        <v>294</v>
      </c>
      <c r="J194" s="1" t="s">
        <v>295</v>
      </c>
      <c r="K194" s="1" t="s">
        <v>38</v>
      </c>
      <c r="L194" s="1" t="s">
        <v>840</v>
      </c>
      <c r="M194" s="2" t="s">
        <v>841</v>
      </c>
      <c r="N194" s="2"/>
      <c r="O194" s="3">
        <v>1</v>
      </c>
      <c r="P194" s="1" t="s">
        <v>93</v>
      </c>
      <c r="Q194" s="1">
        <v>620</v>
      </c>
      <c r="R194" s="1">
        <v>620</v>
      </c>
      <c r="S194" s="1" t="s">
        <v>38</v>
      </c>
      <c r="T194" s="1" t="s">
        <v>836</v>
      </c>
      <c r="U194" s="1" t="s">
        <v>837</v>
      </c>
      <c r="V194" s="1" t="s">
        <v>45</v>
      </c>
      <c r="W194" s="1" t="s">
        <v>38</v>
      </c>
      <c r="X194" t="s">
        <v>38</v>
      </c>
      <c r="Y194" t="s">
        <v>38</v>
      </c>
      <c r="Z194" t="s">
        <v>842</v>
      </c>
    </row>
    <row r="195" spans="1:26" x14ac:dyDescent="0.25">
      <c r="A195" s="1" t="s">
        <v>843</v>
      </c>
      <c r="B195" s="1" t="s">
        <v>844</v>
      </c>
      <c r="C195" s="1" t="s">
        <v>485</v>
      </c>
      <c r="D195" s="1" t="s">
        <v>485</v>
      </c>
      <c r="E195" s="1" t="s">
        <v>678</v>
      </c>
      <c r="F195" s="1" t="s">
        <v>845</v>
      </c>
      <c r="G195" s="1" t="s">
        <v>78</v>
      </c>
      <c r="H195" s="1" t="s">
        <v>68</v>
      </c>
      <c r="I195" s="1" t="s">
        <v>36</v>
      </c>
      <c r="J195" s="1" t="s">
        <v>70</v>
      </c>
      <c r="K195" s="1" t="s">
        <v>38</v>
      </c>
      <c r="L195" s="1" t="s">
        <v>497</v>
      </c>
      <c r="M195" s="2" t="s">
        <v>40</v>
      </c>
      <c r="N195" s="2"/>
      <c r="O195" s="3">
        <v>5</v>
      </c>
      <c r="P195" s="1" t="s">
        <v>41</v>
      </c>
      <c r="Q195" s="1">
        <v>240</v>
      </c>
      <c r="R195" s="1">
        <v>1200</v>
      </c>
      <c r="S195" s="1" t="s">
        <v>385</v>
      </c>
      <c r="T195" s="1" t="s">
        <v>846</v>
      </c>
      <c r="U195" s="1" t="s">
        <v>847</v>
      </c>
      <c r="V195" s="1" t="s">
        <v>45</v>
      </c>
      <c r="W195" s="1" t="s">
        <v>38</v>
      </c>
      <c r="X195" t="s">
        <v>38</v>
      </c>
      <c r="Y195" t="s">
        <v>38</v>
      </c>
      <c r="Z195" t="s">
        <v>500</v>
      </c>
    </row>
    <row r="196" spans="1:26" x14ac:dyDescent="0.25">
      <c r="A196" s="1" t="s">
        <v>848</v>
      </c>
      <c r="B196" s="1" t="s">
        <v>844</v>
      </c>
      <c r="C196" s="1" t="s">
        <v>485</v>
      </c>
      <c r="D196" s="1" t="s">
        <v>485</v>
      </c>
      <c r="E196" s="1" t="s">
        <v>678</v>
      </c>
      <c r="F196" s="1" t="s">
        <v>845</v>
      </c>
      <c r="G196" s="1" t="s">
        <v>78</v>
      </c>
      <c r="H196" s="1" t="s">
        <v>68</v>
      </c>
      <c r="I196" s="1" t="s">
        <v>36</v>
      </c>
      <c r="J196" s="1" t="s">
        <v>70</v>
      </c>
      <c r="K196" s="1" t="s">
        <v>38</v>
      </c>
      <c r="L196" s="1" t="s">
        <v>212</v>
      </c>
      <c r="M196" s="2" t="s">
        <v>40</v>
      </c>
      <c r="N196" s="2"/>
      <c r="O196" s="3">
        <v>5</v>
      </c>
      <c r="P196" s="1" t="s">
        <v>41</v>
      </c>
      <c r="Q196" s="1">
        <v>220</v>
      </c>
      <c r="R196" s="1">
        <v>1100</v>
      </c>
      <c r="S196" s="1" t="s">
        <v>385</v>
      </c>
      <c r="T196" s="1" t="s">
        <v>846</v>
      </c>
      <c r="U196" s="1" t="s">
        <v>847</v>
      </c>
      <c r="V196" s="1" t="s">
        <v>45</v>
      </c>
      <c r="W196" s="1" t="s">
        <v>38</v>
      </c>
      <c r="X196" t="s">
        <v>38</v>
      </c>
      <c r="Y196" t="s">
        <v>38</v>
      </c>
      <c r="Z196" t="s">
        <v>849</v>
      </c>
    </row>
    <row r="197" spans="1:26" x14ac:dyDescent="0.25">
      <c r="A197" s="1" t="s">
        <v>850</v>
      </c>
      <c r="B197" s="1" t="s">
        <v>844</v>
      </c>
      <c r="C197" s="1" t="s">
        <v>485</v>
      </c>
      <c r="D197" s="1" t="s">
        <v>485</v>
      </c>
      <c r="E197" s="1" t="s">
        <v>678</v>
      </c>
      <c r="F197" s="1" t="s">
        <v>845</v>
      </c>
      <c r="G197" s="1" t="s">
        <v>78</v>
      </c>
      <c r="H197" s="1" t="s">
        <v>68</v>
      </c>
      <c r="I197" s="1" t="s">
        <v>36</v>
      </c>
      <c r="J197" s="1" t="s">
        <v>70</v>
      </c>
      <c r="K197" s="1" t="s">
        <v>38</v>
      </c>
      <c r="L197" s="1" t="s">
        <v>604</v>
      </c>
      <c r="M197" s="2" t="s">
        <v>851</v>
      </c>
      <c r="N197" s="2" t="s">
        <v>38</v>
      </c>
      <c r="O197" s="3">
        <v>2</v>
      </c>
      <c r="P197" s="1" t="s">
        <v>93</v>
      </c>
      <c r="Q197" s="1">
        <v>400</v>
      </c>
      <c r="R197" s="1">
        <v>800</v>
      </c>
      <c r="S197" s="1" t="s">
        <v>385</v>
      </c>
      <c r="T197" s="1" t="s">
        <v>846</v>
      </c>
      <c r="U197" s="1" t="s">
        <v>847</v>
      </c>
      <c r="V197" s="1" t="s">
        <v>45</v>
      </c>
      <c r="W197" s="1" t="s">
        <v>38</v>
      </c>
      <c r="X197" t="s">
        <v>38</v>
      </c>
      <c r="Y197" t="s">
        <v>38</v>
      </c>
    </row>
    <row r="198" spans="1:26" x14ac:dyDescent="0.25">
      <c r="A198" s="1" t="s">
        <v>852</v>
      </c>
      <c r="B198" s="1" t="s">
        <v>853</v>
      </c>
      <c r="C198" s="1" t="s">
        <v>485</v>
      </c>
      <c r="D198" s="1" t="s">
        <v>485</v>
      </c>
      <c r="E198" s="1" t="s">
        <v>678</v>
      </c>
      <c r="F198" s="1" t="s">
        <v>845</v>
      </c>
      <c r="G198" s="1" t="s">
        <v>78</v>
      </c>
      <c r="H198" s="1" t="s">
        <v>68</v>
      </c>
      <c r="I198" s="1" t="s">
        <v>36</v>
      </c>
      <c r="J198" s="1" t="s">
        <v>70</v>
      </c>
      <c r="K198" s="1" t="s">
        <v>38</v>
      </c>
      <c r="L198" s="1" t="s">
        <v>740</v>
      </c>
      <c r="M198" s="2" t="s">
        <v>854</v>
      </c>
      <c r="N198" s="2"/>
      <c r="O198" s="3">
        <v>1</v>
      </c>
      <c r="P198" s="1" t="s">
        <v>93</v>
      </c>
      <c r="Q198" s="1">
        <v>260</v>
      </c>
      <c r="R198" s="1">
        <v>260</v>
      </c>
      <c r="S198" s="1" t="s">
        <v>389</v>
      </c>
      <c r="T198" s="1" t="s">
        <v>855</v>
      </c>
      <c r="U198" s="1" t="s">
        <v>856</v>
      </c>
      <c r="V198" s="1" t="s">
        <v>45</v>
      </c>
      <c r="W198" s="1" t="s">
        <v>38</v>
      </c>
      <c r="X198" t="s">
        <v>38</v>
      </c>
      <c r="Y198" t="s">
        <v>38</v>
      </c>
      <c r="Z198" t="s">
        <v>857</v>
      </c>
    </row>
    <row r="199" spans="1:26" x14ac:dyDescent="0.25">
      <c r="A199" s="1" t="s">
        <v>858</v>
      </c>
      <c r="B199" s="1" t="s">
        <v>853</v>
      </c>
      <c r="C199" s="1" t="s">
        <v>485</v>
      </c>
      <c r="D199" s="1" t="s">
        <v>485</v>
      </c>
      <c r="E199" s="1" t="s">
        <v>678</v>
      </c>
      <c r="F199" s="1" t="s">
        <v>845</v>
      </c>
      <c r="G199" s="1" t="s">
        <v>78</v>
      </c>
      <c r="H199" s="1" t="s">
        <v>68</v>
      </c>
      <c r="I199" s="1" t="s">
        <v>36</v>
      </c>
      <c r="J199" s="1" t="s">
        <v>70</v>
      </c>
      <c r="K199" s="1" t="s">
        <v>38</v>
      </c>
      <c r="L199" s="1" t="s">
        <v>736</v>
      </c>
      <c r="M199" s="2" t="s">
        <v>859</v>
      </c>
      <c r="N199" s="2"/>
      <c r="O199" s="3">
        <v>1</v>
      </c>
      <c r="P199" s="1" t="s">
        <v>93</v>
      </c>
      <c r="Q199" s="1">
        <v>820</v>
      </c>
      <c r="R199" s="1">
        <v>820</v>
      </c>
      <c r="S199" s="1" t="s">
        <v>389</v>
      </c>
      <c r="T199" s="1" t="s">
        <v>855</v>
      </c>
      <c r="U199" s="1" t="s">
        <v>856</v>
      </c>
      <c r="V199" s="1" t="s">
        <v>45</v>
      </c>
      <c r="W199" s="1" t="s">
        <v>38</v>
      </c>
      <c r="X199" t="s">
        <v>38</v>
      </c>
      <c r="Y199" t="s">
        <v>38</v>
      </c>
      <c r="Z199" t="s">
        <v>860</v>
      </c>
    </row>
    <row r="200" spans="1:26" x14ac:dyDescent="0.25">
      <c r="A200" s="1" t="s">
        <v>861</v>
      </c>
      <c r="B200" s="1" t="s">
        <v>853</v>
      </c>
      <c r="C200" s="1" t="s">
        <v>485</v>
      </c>
      <c r="D200" s="1" t="s">
        <v>485</v>
      </c>
      <c r="E200" s="1" t="s">
        <v>678</v>
      </c>
      <c r="F200" s="1" t="s">
        <v>845</v>
      </c>
      <c r="G200" s="1" t="s">
        <v>78</v>
      </c>
      <c r="H200" s="1" t="s">
        <v>68</v>
      </c>
      <c r="I200" s="1" t="s">
        <v>36</v>
      </c>
      <c r="J200" s="1" t="s">
        <v>70</v>
      </c>
      <c r="K200" s="1" t="s">
        <v>38</v>
      </c>
      <c r="L200" s="1" t="s">
        <v>212</v>
      </c>
      <c r="M200" s="2" t="s">
        <v>72</v>
      </c>
      <c r="N200" s="2"/>
      <c r="O200" s="3">
        <v>10</v>
      </c>
      <c r="P200" s="1" t="s">
        <v>41</v>
      </c>
      <c r="Q200" s="1">
        <v>220</v>
      </c>
      <c r="R200" s="1">
        <v>2200</v>
      </c>
      <c r="S200" s="1" t="s">
        <v>389</v>
      </c>
      <c r="T200" s="1" t="s">
        <v>855</v>
      </c>
      <c r="U200" s="1" t="s">
        <v>856</v>
      </c>
      <c r="V200" s="1" t="s">
        <v>45</v>
      </c>
      <c r="W200" s="1" t="s">
        <v>38</v>
      </c>
      <c r="X200" t="s">
        <v>38</v>
      </c>
      <c r="Y200" t="s">
        <v>38</v>
      </c>
      <c r="Z200" t="s">
        <v>849</v>
      </c>
    </row>
    <row r="201" spans="1:26" x14ac:dyDescent="0.25">
      <c r="A201" s="1" t="s">
        <v>862</v>
      </c>
      <c r="B201" s="1" t="s">
        <v>853</v>
      </c>
      <c r="C201" s="1" t="s">
        <v>485</v>
      </c>
      <c r="D201" s="1" t="s">
        <v>485</v>
      </c>
      <c r="E201" s="1" t="s">
        <v>678</v>
      </c>
      <c r="F201" s="1" t="s">
        <v>845</v>
      </c>
      <c r="G201" s="1" t="s">
        <v>78</v>
      </c>
      <c r="H201" s="1" t="s">
        <v>68</v>
      </c>
      <c r="I201" s="1" t="s">
        <v>36</v>
      </c>
      <c r="J201" s="1" t="s">
        <v>70</v>
      </c>
      <c r="K201" s="1" t="s">
        <v>38</v>
      </c>
      <c r="L201" s="1" t="s">
        <v>863</v>
      </c>
      <c r="M201" s="2" t="s">
        <v>72</v>
      </c>
      <c r="N201" s="2"/>
      <c r="O201" s="3">
        <v>2</v>
      </c>
      <c r="P201" s="1" t="s">
        <v>93</v>
      </c>
      <c r="Q201" s="1">
        <v>150</v>
      </c>
      <c r="R201" s="1">
        <v>300</v>
      </c>
      <c r="S201" s="1" t="s">
        <v>389</v>
      </c>
      <c r="T201" s="1" t="s">
        <v>855</v>
      </c>
      <c r="U201" s="1" t="s">
        <v>856</v>
      </c>
      <c r="V201" s="1" t="s">
        <v>45</v>
      </c>
      <c r="W201" s="1" t="s">
        <v>38</v>
      </c>
      <c r="X201" t="s">
        <v>38</v>
      </c>
      <c r="Y201" t="s">
        <v>38</v>
      </c>
      <c r="Z201" t="s">
        <v>849</v>
      </c>
    </row>
    <row r="202" spans="1:26" x14ac:dyDescent="0.25">
      <c r="A202" s="1" t="s">
        <v>864</v>
      </c>
      <c r="B202" s="1" t="s">
        <v>865</v>
      </c>
      <c r="C202" s="1" t="s">
        <v>678</v>
      </c>
      <c r="D202" s="1" t="s">
        <v>678</v>
      </c>
      <c r="E202" s="1" t="s">
        <v>678</v>
      </c>
      <c r="F202" s="1" t="s">
        <v>565</v>
      </c>
      <c r="G202" s="1" t="s">
        <v>78</v>
      </c>
      <c r="H202" s="1" t="s">
        <v>91</v>
      </c>
      <c r="I202" s="1" t="s">
        <v>36</v>
      </c>
      <c r="J202" s="1" t="s">
        <v>70</v>
      </c>
      <c r="K202" s="1" t="s">
        <v>38</v>
      </c>
      <c r="L202" s="1" t="s">
        <v>126</v>
      </c>
      <c r="M202" s="2" t="s">
        <v>866</v>
      </c>
      <c r="N202" s="2"/>
      <c r="O202" s="3">
        <v>8</v>
      </c>
      <c r="P202" s="1" t="s">
        <v>93</v>
      </c>
      <c r="Q202" s="1">
        <v>700</v>
      </c>
      <c r="R202" s="1">
        <v>5600</v>
      </c>
      <c r="S202" s="1" t="s">
        <v>592</v>
      </c>
      <c r="T202" s="1" t="s">
        <v>427</v>
      </c>
      <c r="U202" s="1" t="s">
        <v>593</v>
      </c>
      <c r="V202" s="1" t="s">
        <v>45</v>
      </c>
      <c r="W202" s="1" t="s">
        <v>38</v>
      </c>
      <c r="X202" t="s">
        <v>38</v>
      </c>
      <c r="Y202" t="s">
        <v>38</v>
      </c>
      <c r="Z202" t="s">
        <v>867</v>
      </c>
    </row>
    <row r="203" spans="1:26" x14ac:dyDescent="0.25">
      <c r="A203" s="1" t="s">
        <v>868</v>
      </c>
      <c r="B203" s="1" t="s">
        <v>865</v>
      </c>
      <c r="C203" s="1" t="s">
        <v>678</v>
      </c>
      <c r="D203" s="1" t="s">
        <v>678</v>
      </c>
      <c r="E203" s="1" t="s">
        <v>678</v>
      </c>
      <c r="F203" s="1" t="s">
        <v>565</v>
      </c>
      <c r="G203" s="1" t="s">
        <v>78</v>
      </c>
      <c r="H203" s="1" t="s">
        <v>91</v>
      </c>
      <c r="I203" s="1" t="s">
        <v>36</v>
      </c>
      <c r="J203" s="1" t="s">
        <v>70</v>
      </c>
      <c r="K203" s="1" t="s">
        <v>38</v>
      </c>
      <c r="L203" s="1" t="s">
        <v>126</v>
      </c>
      <c r="M203" s="2" t="s">
        <v>869</v>
      </c>
      <c r="N203" s="2"/>
      <c r="O203" s="3">
        <v>16</v>
      </c>
      <c r="P203" s="1" t="s">
        <v>93</v>
      </c>
      <c r="Q203" s="1">
        <v>520</v>
      </c>
      <c r="R203" s="1">
        <v>8320</v>
      </c>
      <c r="S203" s="1" t="s">
        <v>592</v>
      </c>
      <c r="T203" s="1" t="s">
        <v>427</v>
      </c>
      <c r="U203" s="1" t="s">
        <v>593</v>
      </c>
      <c r="V203" s="1" t="s">
        <v>45</v>
      </c>
      <c r="W203" s="1" t="s">
        <v>38</v>
      </c>
      <c r="X203" t="s">
        <v>38</v>
      </c>
      <c r="Y203" t="s">
        <v>38</v>
      </c>
      <c r="Z203" t="s">
        <v>870</v>
      </c>
    </row>
    <row r="204" spans="1:26" x14ac:dyDescent="0.25">
      <c r="A204" s="1" t="s">
        <v>871</v>
      </c>
      <c r="B204" s="1" t="s">
        <v>865</v>
      </c>
      <c r="C204" s="1" t="s">
        <v>678</v>
      </c>
      <c r="D204" s="1" t="s">
        <v>678</v>
      </c>
      <c r="E204" s="1" t="s">
        <v>678</v>
      </c>
      <c r="F204" s="1" t="s">
        <v>565</v>
      </c>
      <c r="G204" s="1" t="s">
        <v>78</v>
      </c>
      <c r="H204" s="1" t="s">
        <v>91</v>
      </c>
      <c r="I204" s="1" t="s">
        <v>36</v>
      </c>
      <c r="J204" s="1" t="s">
        <v>70</v>
      </c>
      <c r="K204" s="1" t="s">
        <v>38</v>
      </c>
      <c r="L204" s="1" t="s">
        <v>133</v>
      </c>
      <c r="M204" s="2" t="s">
        <v>134</v>
      </c>
      <c r="N204" s="2"/>
      <c r="O204" s="3">
        <v>300</v>
      </c>
      <c r="P204" s="1" t="s">
        <v>93</v>
      </c>
      <c r="Q204" s="1">
        <v>2</v>
      </c>
      <c r="R204" s="1">
        <v>600</v>
      </c>
      <c r="S204" s="1" t="s">
        <v>592</v>
      </c>
      <c r="T204" s="1" t="s">
        <v>427</v>
      </c>
      <c r="U204" s="1" t="s">
        <v>593</v>
      </c>
      <c r="V204" s="1" t="s">
        <v>45</v>
      </c>
      <c r="W204" s="1" t="s">
        <v>38</v>
      </c>
      <c r="X204" t="s">
        <v>38</v>
      </c>
      <c r="Y204" t="s">
        <v>38</v>
      </c>
      <c r="Z204" t="s">
        <v>134</v>
      </c>
    </row>
    <row r="205" spans="1:26" x14ac:dyDescent="0.25">
      <c r="A205" s="1" t="s">
        <v>872</v>
      </c>
      <c r="B205" s="1" t="s">
        <v>873</v>
      </c>
      <c r="C205" s="1" t="s">
        <v>678</v>
      </c>
      <c r="D205" s="1" t="s">
        <v>678</v>
      </c>
      <c r="E205" s="1" t="s">
        <v>678</v>
      </c>
      <c r="F205" s="1" t="s">
        <v>565</v>
      </c>
      <c r="G205" s="1" t="s">
        <v>78</v>
      </c>
      <c r="H205" s="1" t="s">
        <v>91</v>
      </c>
      <c r="I205" s="1" t="s">
        <v>36</v>
      </c>
      <c r="J205" s="1" t="s">
        <v>70</v>
      </c>
      <c r="K205" s="1" t="s">
        <v>38</v>
      </c>
      <c r="L205" s="1" t="s">
        <v>257</v>
      </c>
      <c r="M205" s="2" t="s">
        <v>874</v>
      </c>
      <c r="N205" s="2"/>
      <c r="O205" s="3">
        <v>2</v>
      </c>
      <c r="P205" s="1" t="s">
        <v>93</v>
      </c>
      <c r="Q205" s="1">
        <v>645</v>
      </c>
      <c r="R205" s="1">
        <v>1290</v>
      </c>
      <c r="S205" s="1" t="s">
        <v>201</v>
      </c>
      <c r="T205" s="1" t="s">
        <v>427</v>
      </c>
      <c r="U205" s="1" t="s">
        <v>875</v>
      </c>
      <c r="V205" s="1" t="s">
        <v>45</v>
      </c>
      <c r="W205" s="1" t="s">
        <v>38</v>
      </c>
      <c r="X205" t="s">
        <v>38</v>
      </c>
      <c r="Y205" t="s">
        <v>38</v>
      </c>
      <c r="Z205" t="s">
        <v>876</v>
      </c>
    </row>
    <row r="206" spans="1:26" x14ac:dyDescent="0.25">
      <c r="A206" s="1" t="s">
        <v>877</v>
      </c>
      <c r="B206" s="1" t="s">
        <v>878</v>
      </c>
      <c r="C206" s="1" t="s">
        <v>678</v>
      </c>
      <c r="D206" s="1" t="s">
        <v>678</v>
      </c>
      <c r="E206" s="1" t="s">
        <v>678</v>
      </c>
      <c r="F206" s="1" t="s">
        <v>565</v>
      </c>
      <c r="G206" s="1" t="s">
        <v>78</v>
      </c>
      <c r="H206" s="1" t="s">
        <v>91</v>
      </c>
      <c r="I206" s="1" t="s">
        <v>36</v>
      </c>
      <c r="J206" s="1" t="s">
        <v>70</v>
      </c>
      <c r="K206" s="1" t="s">
        <v>38</v>
      </c>
      <c r="L206" s="1" t="s">
        <v>879</v>
      </c>
      <c r="M206" s="2" t="s">
        <v>880</v>
      </c>
      <c r="N206" s="2"/>
      <c r="O206" s="3">
        <v>10</v>
      </c>
      <c r="P206" s="1" t="s">
        <v>41</v>
      </c>
      <c r="Q206" s="1">
        <v>230</v>
      </c>
      <c r="R206" s="1">
        <v>2300</v>
      </c>
      <c r="S206" s="1" t="s">
        <v>275</v>
      </c>
      <c r="T206" s="1" t="s">
        <v>427</v>
      </c>
      <c r="U206" s="1" t="s">
        <v>116</v>
      </c>
      <c r="V206" s="1" t="s">
        <v>45</v>
      </c>
      <c r="W206" s="1" t="s">
        <v>38</v>
      </c>
      <c r="X206" t="s">
        <v>38</v>
      </c>
      <c r="Y206" t="s">
        <v>38</v>
      </c>
      <c r="Z206" t="s">
        <v>880</v>
      </c>
    </row>
    <row r="207" spans="1:26" x14ac:dyDescent="0.25">
      <c r="A207" s="1" t="s">
        <v>881</v>
      </c>
      <c r="B207" s="1" t="s">
        <v>882</v>
      </c>
      <c r="C207" s="1" t="s">
        <v>678</v>
      </c>
      <c r="D207" s="1" t="s">
        <v>678</v>
      </c>
      <c r="E207" s="1" t="s">
        <v>678</v>
      </c>
      <c r="F207" s="1" t="s">
        <v>565</v>
      </c>
      <c r="G207" s="1" t="s">
        <v>78</v>
      </c>
      <c r="H207" s="1" t="s">
        <v>91</v>
      </c>
      <c r="I207" s="1" t="s">
        <v>36</v>
      </c>
      <c r="J207" s="1" t="s">
        <v>70</v>
      </c>
      <c r="K207" s="1" t="s">
        <v>38</v>
      </c>
      <c r="L207" s="1" t="s">
        <v>142</v>
      </c>
      <c r="M207" s="2" t="s">
        <v>72</v>
      </c>
      <c r="N207" s="2"/>
      <c r="O207" s="3">
        <v>2</v>
      </c>
      <c r="P207" s="1" t="s">
        <v>143</v>
      </c>
      <c r="Q207" s="1">
        <v>720</v>
      </c>
      <c r="R207" s="1">
        <v>1440</v>
      </c>
      <c r="S207" s="1" t="s">
        <v>167</v>
      </c>
      <c r="T207" s="1" t="s">
        <v>427</v>
      </c>
      <c r="U207" s="1" t="s">
        <v>883</v>
      </c>
      <c r="V207" s="1" t="s">
        <v>45</v>
      </c>
      <c r="W207" s="1" t="s">
        <v>38</v>
      </c>
      <c r="X207" t="s">
        <v>38</v>
      </c>
      <c r="Y207" t="s">
        <v>38</v>
      </c>
      <c r="Z207" t="s">
        <v>146</v>
      </c>
    </row>
    <row r="208" spans="1:26" x14ac:dyDescent="0.25">
      <c r="A208" s="1" t="s">
        <v>884</v>
      </c>
      <c r="B208" s="1" t="s">
        <v>885</v>
      </c>
      <c r="C208" s="1" t="s">
        <v>678</v>
      </c>
      <c r="D208" s="1" t="s">
        <v>678</v>
      </c>
      <c r="E208" s="1" t="s">
        <v>619</v>
      </c>
      <c r="F208" s="1" t="s">
        <v>524</v>
      </c>
      <c r="G208" s="1" t="s">
        <v>78</v>
      </c>
      <c r="H208" s="1" t="s">
        <v>91</v>
      </c>
      <c r="I208" s="1" t="s">
        <v>36</v>
      </c>
      <c r="J208" s="1" t="s">
        <v>886</v>
      </c>
      <c r="K208" s="1" t="s">
        <v>38</v>
      </c>
      <c r="L208" s="1" t="s">
        <v>887</v>
      </c>
      <c r="M208" s="2" t="s">
        <v>888</v>
      </c>
      <c r="N208" s="2"/>
      <c r="O208" s="3">
        <v>1</v>
      </c>
      <c r="P208" s="1" t="s">
        <v>85</v>
      </c>
      <c r="Q208" s="1">
        <v>35000</v>
      </c>
      <c r="R208" s="1">
        <v>35000</v>
      </c>
      <c r="S208" s="1" t="s">
        <v>889</v>
      </c>
      <c r="T208" s="1" t="s">
        <v>329</v>
      </c>
      <c r="U208" s="1" t="s">
        <v>116</v>
      </c>
      <c r="V208" s="1" t="s">
        <v>45</v>
      </c>
      <c r="W208" s="1" t="s">
        <v>38</v>
      </c>
      <c r="X208" t="s">
        <v>38</v>
      </c>
      <c r="Y208" t="s">
        <v>38</v>
      </c>
      <c r="Z208" t="s">
        <v>888</v>
      </c>
    </row>
    <row r="209" spans="1:26" x14ac:dyDescent="0.25">
      <c r="A209" s="1" t="s">
        <v>890</v>
      </c>
      <c r="B209" s="1" t="s">
        <v>891</v>
      </c>
      <c r="C209" s="1" t="s">
        <v>678</v>
      </c>
      <c r="D209" s="1" t="s">
        <v>678</v>
      </c>
      <c r="E209" s="1" t="s">
        <v>678</v>
      </c>
      <c r="F209" s="1" t="s">
        <v>565</v>
      </c>
      <c r="G209" s="1" t="s">
        <v>78</v>
      </c>
      <c r="H209" s="1" t="s">
        <v>91</v>
      </c>
      <c r="I209" s="1" t="s">
        <v>36</v>
      </c>
      <c r="J209" s="1" t="s">
        <v>70</v>
      </c>
      <c r="K209" s="1" t="s">
        <v>38</v>
      </c>
      <c r="L209" s="1" t="s">
        <v>71</v>
      </c>
      <c r="M209" s="2" t="s">
        <v>72</v>
      </c>
      <c r="N209" s="2"/>
      <c r="O209" s="3">
        <v>1</v>
      </c>
      <c r="P209" s="1" t="s">
        <v>41</v>
      </c>
      <c r="Q209" s="1">
        <v>630</v>
      </c>
      <c r="R209" s="1">
        <v>630</v>
      </c>
      <c r="S209" s="1" t="s">
        <v>577</v>
      </c>
      <c r="T209" s="1" t="s">
        <v>427</v>
      </c>
      <c r="U209" s="1" t="s">
        <v>578</v>
      </c>
      <c r="V209" s="1" t="s">
        <v>45</v>
      </c>
      <c r="W209" s="1" t="s">
        <v>38</v>
      </c>
      <c r="X209" t="s">
        <v>38</v>
      </c>
      <c r="Y209" t="s">
        <v>38</v>
      </c>
      <c r="Z209" t="s">
        <v>729</v>
      </c>
    </row>
    <row r="210" spans="1:26" x14ac:dyDescent="0.25">
      <c r="A210" s="1" t="s">
        <v>892</v>
      </c>
      <c r="B210" s="1" t="s">
        <v>893</v>
      </c>
      <c r="C210" s="1" t="s">
        <v>678</v>
      </c>
      <c r="D210" s="1" t="s">
        <v>678</v>
      </c>
      <c r="E210" s="1" t="s">
        <v>678</v>
      </c>
      <c r="F210" s="1" t="s">
        <v>565</v>
      </c>
      <c r="G210" s="1" t="s">
        <v>78</v>
      </c>
      <c r="H210" s="1" t="s">
        <v>91</v>
      </c>
      <c r="I210" s="1" t="s">
        <v>36</v>
      </c>
      <c r="J210" s="1" t="s">
        <v>70</v>
      </c>
      <c r="K210" s="1" t="s">
        <v>38</v>
      </c>
      <c r="L210" s="1" t="s">
        <v>894</v>
      </c>
      <c r="M210" s="2" t="s">
        <v>792</v>
      </c>
      <c r="N210" s="2"/>
      <c r="O210" s="3">
        <v>1</v>
      </c>
      <c r="P210" s="1" t="s">
        <v>360</v>
      </c>
      <c r="Q210" s="1">
        <v>980</v>
      </c>
      <c r="R210" s="1">
        <v>980</v>
      </c>
      <c r="S210" s="1" t="s">
        <v>577</v>
      </c>
      <c r="T210" s="1" t="s">
        <v>427</v>
      </c>
      <c r="U210" s="1" t="s">
        <v>578</v>
      </c>
      <c r="V210" s="1" t="s">
        <v>45</v>
      </c>
      <c r="W210" s="1" t="s">
        <v>38</v>
      </c>
      <c r="X210" t="s">
        <v>38</v>
      </c>
      <c r="Y210" t="s">
        <v>38</v>
      </c>
      <c r="Z210" t="s">
        <v>792</v>
      </c>
    </row>
    <row r="211" spans="1:26" x14ac:dyDescent="0.25">
      <c r="A211" s="1" t="s">
        <v>895</v>
      </c>
      <c r="B211" s="1" t="s">
        <v>896</v>
      </c>
      <c r="C211" s="1" t="s">
        <v>77</v>
      </c>
      <c r="D211" s="1" t="s">
        <v>678</v>
      </c>
      <c r="E211" s="1" t="s">
        <v>678</v>
      </c>
      <c r="F211" s="1" t="s">
        <v>619</v>
      </c>
      <c r="G211" s="1" t="s">
        <v>78</v>
      </c>
      <c r="H211" s="1" t="s">
        <v>79</v>
      </c>
      <c r="I211" s="1" t="s">
        <v>294</v>
      </c>
      <c r="J211" s="1" t="s">
        <v>679</v>
      </c>
      <c r="K211" s="1" t="s">
        <v>38</v>
      </c>
      <c r="L211" s="1" t="s">
        <v>680</v>
      </c>
      <c r="M211" s="2" t="s">
        <v>680</v>
      </c>
      <c r="N211" s="2" t="s">
        <v>38</v>
      </c>
      <c r="O211" s="3">
        <v>8</v>
      </c>
      <c r="P211" s="1" t="s">
        <v>41</v>
      </c>
      <c r="Q211" s="1">
        <v>433</v>
      </c>
      <c r="R211" s="1">
        <v>3464</v>
      </c>
      <c r="S211" s="1" t="s">
        <v>38</v>
      </c>
      <c r="T211" s="1" t="s">
        <v>681</v>
      </c>
      <c r="U211" s="1" t="s">
        <v>682</v>
      </c>
      <c r="V211" s="1" t="s">
        <v>45</v>
      </c>
      <c r="W211" s="1" t="s">
        <v>38</v>
      </c>
      <c r="X211" t="s">
        <v>38</v>
      </c>
      <c r="Y211" t="s">
        <v>38</v>
      </c>
    </row>
    <row r="212" spans="1:26" x14ac:dyDescent="0.25">
      <c r="A212" s="1" t="s">
        <v>897</v>
      </c>
      <c r="B212" s="1" t="s">
        <v>898</v>
      </c>
      <c r="C212" s="1" t="s">
        <v>48</v>
      </c>
      <c r="D212" s="1" t="s">
        <v>412</v>
      </c>
      <c r="E212" s="1" t="s">
        <v>279</v>
      </c>
      <c r="F212" s="1" t="s">
        <v>524</v>
      </c>
      <c r="G212" s="1" t="s">
        <v>67</v>
      </c>
      <c r="H212" s="1" t="s">
        <v>68</v>
      </c>
      <c r="I212" s="1" t="s">
        <v>69</v>
      </c>
      <c r="J212" s="1" t="s">
        <v>70</v>
      </c>
      <c r="K212" s="1" t="s">
        <v>38</v>
      </c>
      <c r="L212" s="1" t="s">
        <v>899</v>
      </c>
      <c r="M212" s="2" t="s">
        <v>900</v>
      </c>
      <c r="N212" s="2" t="s">
        <v>38</v>
      </c>
      <c r="O212" s="3">
        <v>2</v>
      </c>
      <c r="P212" s="1" t="s">
        <v>93</v>
      </c>
      <c r="Q212" s="1">
        <v>765</v>
      </c>
      <c r="R212" s="1">
        <v>1530</v>
      </c>
      <c r="S212" s="1" t="s">
        <v>38</v>
      </c>
      <c r="T212" s="1" t="s">
        <v>220</v>
      </c>
      <c r="U212" s="1" t="s">
        <v>221</v>
      </c>
      <c r="V212" s="1" t="s">
        <v>45</v>
      </c>
      <c r="W212" s="1" t="s">
        <v>38</v>
      </c>
      <c r="X212" t="s">
        <v>38</v>
      </c>
      <c r="Y212" t="s">
        <v>38</v>
      </c>
      <c r="Z212" t="s">
        <v>901</v>
      </c>
    </row>
    <row r="213" spans="1:26" x14ac:dyDescent="0.25">
      <c r="A213" s="1" t="s">
        <v>902</v>
      </c>
      <c r="B213" s="1" t="s">
        <v>903</v>
      </c>
      <c r="C213" s="1" t="s">
        <v>678</v>
      </c>
      <c r="D213" s="1" t="s">
        <v>678</v>
      </c>
      <c r="E213" s="1" t="s">
        <v>565</v>
      </c>
      <c r="F213" s="1" t="s">
        <v>565</v>
      </c>
      <c r="G213" s="1" t="s">
        <v>78</v>
      </c>
      <c r="H213" s="1" t="s">
        <v>68</v>
      </c>
      <c r="I213" s="1" t="s">
        <v>36</v>
      </c>
      <c r="J213" s="1" t="s">
        <v>70</v>
      </c>
      <c r="K213" s="1" t="s">
        <v>38</v>
      </c>
      <c r="L213" s="1" t="s">
        <v>904</v>
      </c>
      <c r="M213" s="2" t="s">
        <v>905</v>
      </c>
      <c r="N213" s="2"/>
      <c r="O213" s="3">
        <v>3</v>
      </c>
      <c r="P213" s="1" t="s">
        <v>93</v>
      </c>
      <c r="Q213" s="1">
        <v>70</v>
      </c>
      <c r="R213" s="1">
        <v>210</v>
      </c>
      <c r="S213" s="1" t="s">
        <v>906</v>
      </c>
      <c r="T213" s="1" t="s">
        <v>907</v>
      </c>
      <c r="U213" s="1" t="s">
        <v>369</v>
      </c>
      <c r="V213" s="1" t="s">
        <v>45</v>
      </c>
      <c r="W213" s="1" t="s">
        <v>38</v>
      </c>
      <c r="X213" t="s">
        <v>38</v>
      </c>
      <c r="Y213" t="s">
        <v>38</v>
      </c>
      <c r="Z213" t="s">
        <v>908</v>
      </c>
    </row>
    <row r="214" spans="1:26" x14ac:dyDescent="0.25">
      <c r="A214" s="1" t="s">
        <v>909</v>
      </c>
      <c r="B214" s="1" t="s">
        <v>903</v>
      </c>
      <c r="C214" s="1" t="s">
        <v>678</v>
      </c>
      <c r="D214" s="1" t="s">
        <v>678</v>
      </c>
      <c r="E214" s="1" t="s">
        <v>565</v>
      </c>
      <c r="F214" s="1" t="s">
        <v>565</v>
      </c>
      <c r="G214" s="1" t="s">
        <v>78</v>
      </c>
      <c r="H214" s="1" t="s">
        <v>68</v>
      </c>
      <c r="I214" s="1" t="s">
        <v>36</v>
      </c>
      <c r="J214" s="1" t="s">
        <v>70</v>
      </c>
      <c r="K214" s="1" t="s">
        <v>38</v>
      </c>
      <c r="L214" s="1" t="s">
        <v>904</v>
      </c>
      <c r="M214" s="2" t="s">
        <v>910</v>
      </c>
      <c r="N214" s="2"/>
      <c r="O214" s="3">
        <v>4</v>
      </c>
      <c r="P214" s="1" t="s">
        <v>93</v>
      </c>
      <c r="Q214" s="1">
        <v>60</v>
      </c>
      <c r="R214" s="1">
        <v>240</v>
      </c>
      <c r="S214" s="1" t="s">
        <v>906</v>
      </c>
      <c r="T214" s="1" t="s">
        <v>907</v>
      </c>
      <c r="U214" s="1" t="s">
        <v>369</v>
      </c>
      <c r="V214" s="1" t="s">
        <v>45</v>
      </c>
      <c r="W214" s="1" t="s">
        <v>38</v>
      </c>
      <c r="X214" t="s">
        <v>38</v>
      </c>
      <c r="Y214" t="s">
        <v>38</v>
      </c>
      <c r="Z214" t="s">
        <v>911</v>
      </c>
    </row>
    <row r="215" spans="1:26" x14ac:dyDescent="0.25">
      <c r="A215" s="1" t="s">
        <v>912</v>
      </c>
      <c r="B215" s="1" t="s">
        <v>903</v>
      </c>
      <c r="C215" s="1" t="s">
        <v>678</v>
      </c>
      <c r="D215" s="1" t="s">
        <v>678</v>
      </c>
      <c r="E215" s="1" t="s">
        <v>565</v>
      </c>
      <c r="F215" s="1" t="s">
        <v>565</v>
      </c>
      <c r="G215" s="1" t="s">
        <v>78</v>
      </c>
      <c r="H215" s="1" t="s">
        <v>68</v>
      </c>
      <c r="I215" s="1" t="s">
        <v>36</v>
      </c>
      <c r="J215" s="1" t="s">
        <v>70</v>
      </c>
      <c r="K215" s="1" t="s">
        <v>38</v>
      </c>
      <c r="L215" s="1" t="s">
        <v>913</v>
      </c>
      <c r="M215" s="2" t="s">
        <v>914</v>
      </c>
      <c r="N215" s="2"/>
      <c r="O215" s="3">
        <v>8</v>
      </c>
      <c r="P215" s="1" t="s">
        <v>93</v>
      </c>
      <c r="Q215" s="1">
        <v>50</v>
      </c>
      <c r="R215" s="1">
        <v>400</v>
      </c>
      <c r="S215" s="1" t="s">
        <v>906</v>
      </c>
      <c r="T215" s="1" t="s">
        <v>907</v>
      </c>
      <c r="U215" s="1" t="s">
        <v>369</v>
      </c>
      <c r="V215" s="1" t="s">
        <v>45</v>
      </c>
      <c r="W215" s="1" t="s">
        <v>38</v>
      </c>
      <c r="X215" t="s">
        <v>38</v>
      </c>
      <c r="Y215" t="s">
        <v>38</v>
      </c>
      <c r="Z215" t="s">
        <v>915</v>
      </c>
    </row>
    <row r="216" spans="1:26" x14ac:dyDescent="0.25">
      <c r="A216" s="1" t="s">
        <v>916</v>
      </c>
      <c r="B216" s="1" t="s">
        <v>903</v>
      </c>
      <c r="C216" s="1" t="s">
        <v>678</v>
      </c>
      <c r="D216" s="1" t="s">
        <v>678</v>
      </c>
      <c r="E216" s="1" t="s">
        <v>565</v>
      </c>
      <c r="F216" s="1" t="s">
        <v>565</v>
      </c>
      <c r="G216" s="1" t="s">
        <v>78</v>
      </c>
      <c r="H216" s="1" t="s">
        <v>68</v>
      </c>
      <c r="I216" s="1" t="s">
        <v>36</v>
      </c>
      <c r="J216" s="1" t="s">
        <v>70</v>
      </c>
      <c r="K216" s="1" t="s">
        <v>38</v>
      </c>
      <c r="L216" s="1" t="s">
        <v>497</v>
      </c>
      <c r="M216" s="2" t="s">
        <v>72</v>
      </c>
      <c r="N216" s="2"/>
      <c r="O216" s="3">
        <v>2</v>
      </c>
      <c r="P216" s="1" t="s">
        <v>41</v>
      </c>
      <c r="Q216" s="1">
        <v>240</v>
      </c>
      <c r="R216" s="1">
        <v>480</v>
      </c>
      <c r="S216" s="1" t="s">
        <v>906</v>
      </c>
      <c r="T216" s="1" t="s">
        <v>907</v>
      </c>
      <c r="U216" s="1" t="s">
        <v>369</v>
      </c>
      <c r="V216" s="1" t="s">
        <v>45</v>
      </c>
      <c r="W216" s="1" t="s">
        <v>38</v>
      </c>
      <c r="X216" t="s">
        <v>38</v>
      </c>
      <c r="Y216" t="s">
        <v>38</v>
      </c>
    </row>
    <row r="217" spans="1:26" x14ac:dyDescent="0.25">
      <c r="A217" s="1" t="s">
        <v>917</v>
      </c>
      <c r="B217" s="1" t="s">
        <v>903</v>
      </c>
      <c r="C217" s="1" t="s">
        <v>678</v>
      </c>
      <c r="D217" s="1" t="s">
        <v>678</v>
      </c>
      <c r="E217" s="1" t="s">
        <v>565</v>
      </c>
      <c r="F217" s="1" t="s">
        <v>565</v>
      </c>
      <c r="G217" s="1" t="s">
        <v>78</v>
      </c>
      <c r="H217" s="1" t="s">
        <v>68</v>
      </c>
      <c r="I217" s="1" t="s">
        <v>36</v>
      </c>
      <c r="J217" s="1" t="s">
        <v>70</v>
      </c>
      <c r="K217" s="1" t="s">
        <v>38</v>
      </c>
      <c r="L217" s="1" t="s">
        <v>918</v>
      </c>
      <c r="M217" s="2" t="s">
        <v>919</v>
      </c>
      <c r="N217" s="2"/>
      <c r="O217" s="3">
        <v>2</v>
      </c>
      <c r="P217" s="1" t="s">
        <v>93</v>
      </c>
      <c r="Q217" s="1">
        <v>20</v>
      </c>
      <c r="R217" s="1">
        <v>40</v>
      </c>
      <c r="S217" s="1" t="s">
        <v>906</v>
      </c>
      <c r="T217" s="1" t="s">
        <v>907</v>
      </c>
      <c r="U217" s="1" t="s">
        <v>369</v>
      </c>
      <c r="V217" s="1" t="s">
        <v>45</v>
      </c>
      <c r="W217" s="1" t="s">
        <v>38</v>
      </c>
      <c r="X217" t="s">
        <v>38</v>
      </c>
      <c r="Y217" t="s">
        <v>38</v>
      </c>
      <c r="Z217" t="s">
        <v>920</v>
      </c>
    </row>
    <row r="218" spans="1:26" x14ac:dyDescent="0.25">
      <c r="A218" s="1" t="s">
        <v>921</v>
      </c>
      <c r="B218" s="1" t="s">
        <v>903</v>
      </c>
      <c r="C218" s="1" t="s">
        <v>678</v>
      </c>
      <c r="D218" s="1" t="s">
        <v>678</v>
      </c>
      <c r="E218" s="1" t="s">
        <v>565</v>
      </c>
      <c r="F218" s="1" t="s">
        <v>565</v>
      </c>
      <c r="G218" s="1" t="s">
        <v>78</v>
      </c>
      <c r="H218" s="1" t="s">
        <v>68</v>
      </c>
      <c r="I218" s="1" t="s">
        <v>36</v>
      </c>
      <c r="J218" s="1" t="s">
        <v>70</v>
      </c>
      <c r="K218" s="1" t="s">
        <v>38</v>
      </c>
      <c r="L218" s="1" t="s">
        <v>99</v>
      </c>
      <c r="M218" s="2" t="s">
        <v>922</v>
      </c>
      <c r="N218" s="2"/>
      <c r="O218" s="3">
        <v>6</v>
      </c>
      <c r="P218" s="1" t="s">
        <v>93</v>
      </c>
      <c r="Q218" s="1">
        <v>40</v>
      </c>
      <c r="R218" s="1">
        <v>240</v>
      </c>
      <c r="S218" s="1" t="s">
        <v>906</v>
      </c>
      <c r="T218" s="1" t="s">
        <v>907</v>
      </c>
      <c r="U218" s="1" t="s">
        <v>369</v>
      </c>
      <c r="V218" s="1" t="s">
        <v>45</v>
      </c>
      <c r="W218" s="1" t="s">
        <v>38</v>
      </c>
      <c r="X218" t="s">
        <v>38</v>
      </c>
      <c r="Y218" t="s">
        <v>38</v>
      </c>
      <c r="Z218" t="s">
        <v>923</v>
      </c>
    </row>
    <row r="219" spans="1:26" x14ac:dyDescent="0.25">
      <c r="A219" s="1" t="s">
        <v>924</v>
      </c>
      <c r="B219" s="1" t="s">
        <v>903</v>
      </c>
      <c r="C219" s="1" t="s">
        <v>678</v>
      </c>
      <c r="D219" s="1" t="s">
        <v>678</v>
      </c>
      <c r="E219" s="1" t="s">
        <v>565</v>
      </c>
      <c r="F219" s="1" t="s">
        <v>565</v>
      </c>
      <c r="G219" s="1" t="s">
        <v>78</v>
      </c>
      <c r="H219" s="1" t="s">
        <v>68</v>
      </c>
      <c r="I219" s="1" t="s">
        <v>36</v>
      </c>
      <c r="J219" s="1" t="s">
        <v>70</v>
      </c>
      <c r="K219" s="1" t="s">
        <v>38</v>
      </c>
      <c r="L219" s="1" t="s">
        <v>904</v>
      </c>
      <c r="M219" s="2" t="s">
        <v>925</v>
      </c>
      <c r="N219" s="2"/>
      <c r="O219" s="3">
        <v>0</v>
      </c>
      <c r="P219" s="1" t="s">
        <v>93</v>
      </c>
      <c r="Q219" s="1">
        <v>80</v>
      </c>
      <c r="R219" s="1">
        <v>0</v>
      </c>
      <c r="S219" s="1" t="s">
        <v>906</v>
      </c>
      <c r="T219" s="1" t="s">
        <v>907</v>
      </c>
      <c r="U219" s="1" t="s">
        <v>369</v>
      </c>
      <c r="V219" s="1" t="s">
        <v>45</v>
      </c>
      <c r="W219" s="1" t="s">
        <v>38</v>
      </c>
      <c r="X219" t="s">
        <v>38</v>
      </c>
      <c r="Y219" t="s">
        <v>38</v>
      </c>
      <c r="Z219" t="s">
        <v>926</v>
      </c>
    </row>
    <row r="220" spans="1:26" x14ac:dyDescent="0.25">
      <c r="A220" s="1" t="s">
        <v>927</v>
      </c>
      <c r="B220" s="1" t="s">
        <v>903</v>
      </c>
      <c r="C220" s="1" t="s">
        <v>678</v>
      </c>
      <c r="D220" s="1" t="s">
        <v>678</v>
      </c>
      <c r="E220" s="1" t="s">
        <v>565</v>
      </c>
      <c r="F220" s="1" t="s">
        <v>565</v>
      </c>
      <c r="G220" s="1" t="s">
        <v>78</v>
      </c>
      <c r="H220" s="1" t="s">
        <v>68</v>
      </c>
      <c r="I220" s="1" t="s">
        <v>36</v>
      </c>
      <c r="J220" s="1" t="s">
        <v>70</v>
      </c>
      <c r="K220" s="1" t="s">
        <v>38</v>
      </c>
      <c r="L220" s="1" t="s">
        <v>928</v>
      </c>
      <c r="M220" s="2" t="s">
        <v>929</v>
      </c>
      <c r="N220" s="2" t="s">
        <v>38</v>
      </c>
      <c r="O220" s="3">
        <v>4</v>
      </c>
      <c r="P220" s="1" t="s">
        <v>93</v>
      </c>
      <c r="Q220" s="1">
        <v>210</v>
      </c>
      <c r="R220" s="1">
        <v>840</v>
      </c>
      <c r="S220" s="1" t="s">
        <v>906</v>
      </c>
      <c r="T220" s="1" t="s">
        <v>907</v>
      </c>
      <c r="U220" s="1" t="s">
        <v>369</v>
      </c>
      <c r="V220" s="1" t="s">
        <v>45</v>
      </c>
      <c r="W220" s="1" t="s">
        <v>38</v>
      </c>
      <c r="X220" t="s">
        <v>38</v>
      </c>
      <c r="Y220" t="s">
        <v>38</v>
      </c>
      <c r="Z220" t="s">
        <v>930</v>
      </c>
    </row>
    <row r="221" spans="1:26" x14ac:dyDescent="0.25">
      <c r="A221" s="1" t="s">
        <v>931</v>
      </c>
      <c r="B221" s="1" t="s">
        <v>932</v>
      </c>
      <c r="C221" s="1" t="s">
        <v>485</v>
      </c>
      <c r="D221" s="1" t="s">
        <v>678</v>
      </c>
      <c r="E221" s="1" t="s">
        <v>565</v>
      </c>
      <c r="F221" s="1" t="s">
        <v>619</v>
      </c>
      <c r="G221" s="1" t="s">
        <v>78</v>
      </c>
      <c r="H221" s="1" t="s">
        <v>68</v>
      </c>
      <c r="I221" s="1" t="s">
        <v>36</v>
      </c>
      <c r="J221" s="1" t="s">
        <v>413</v>
      </c>
      <c r="K221" s="1" t="s">
        <v>38</v>
      </c>
      <c r="L221" s="1" t="s">
        <v>904</v>
      </c>
      <c r="M221" s="2" t="s">
        <v>925</v>
      </c>
      <c r="N221" s="2"/>
      <c r="O221" s="3">
        <v>1</v>
      </c>
      <c r="P221" s="1" t="s">
        <v>93</v>
      </c>
      <c r="Q221" s="1">
        <v>80</v>
      </c>
      <c r="R221" s="1">
        <v>80</v>
      </c>
      <c r="S221" s="1" t="s">
        <v>906</v>
      </c>
      <c r="T221" s="1" t="s">
        <v>933</v>
      </c>
      <c r="U221" s="1" t="s">
        <v>369</v>
      </c>
      <c r="V221" s="1" t="s">
        <v>45</v>
      </c>
      <c r="W221" s="1" t="s">
        <v>38</v>
      </c>
      <c r="X221" t="s">
        <v>38</v>
      </c>
      <c r="Y221" t="s">
        <v>38</v>
      </c>
    </row>
    <row r="222" spans="1:26" x14ac:dyDescent="0.25">
      <c r="A222" s="1" t="s">
        <v>934</v>
      </c>
      <c r="B222" s="1" t="s">
        <v>935</v>
      </c>
      <c r="C222" s="1" t="s">
        <v>565</v>
      </c>
      <c r="D222" s="1" t="s">
        <v>565</v>
      </c>
      <c r="E222" s="1" t="s">
        <v>565</v>
      </c>
      <c r="F222" s="1" t="s">
        <v>565</v>
      </c>
      <c r="G222" s="1" t="s">
        <v>78</v>
      </c>
      <c r="H222" s="1" t="s">
        <v>91</v>
      </c>
      <c r="I222" s="1" t="s">
        <v>36</v>
      </c>
      <c r="J222" s="1" t="s">
        <v>70</v>
      </c>
      <c r="K222" s="1" t="s">
        <v>38</v>
      </c>
      <c r="L222" s="1" t="s">
        <v>212</v>
      </c>
      <c r="M222" s="2" t="s">
        <v>40</v>
      </c>
      <c r="N222" s="2"/>
      <c r="O222" s="3">
        <v>1</v>
      </c>
      <c r="P222" s="1" t="s">
        <v>143</v>
      </c>
      <c r="Q222" s="1">
        <v>720</v>
      </c>
      <c r="R222" s="1">
        <v>720</v>
      </c>
      <c r="S222" s="1" t="s">
        <v>936</v>
      </c>
      <c r="T222" s="1" t="s">
        <v>937</v>
      </c>
      <c r="U222" s="1" t="s">
        <v>938</v>
      </c>
      <c r="V222" s="1" t="s">
        <v>45</v>
      </c>
      <c r="W222" s="1" t="s">
        <v>38</v>
      </c>
      <c r="X222" t="s">
        <v>38</v>
      </c>
      <c r="Y222" t="s">
        <v>38</v>
      </c>
      <c r="Z222" t="s">
        <v>541</v>
      </c>
    </row>
    <row r="223" spans="1:26" x14ac:dyDescent="0.25">
      <c r="A223" s="1" t="s">
        <v>939</v>
      </c>
      <c r="B223" s="1" t="s">
        <v>935</v>
      </c>
      <c r="C223" s="1" t="s">
        <v>565</v>
      </c>
      <c r="D223" s="1" t="s">
        <v>565</v>
      </c>
      <c r="E223" s="1" t="s">
        <v>565</v>
      </c>
      <c r="F223" s="1" t="s">
        <v>565</v>
      </c>
      <c r="G223" s="1" t="s">
        <v>78</v>
      </c>
      <c r="H223" s="1" t="s">
        <v>91</v>
      </c>
      <c r="I223" s="1" t="s">
        <v>36</v>
      </c>
      <c r="J223" s="1" t="s">
        <v>70</v>
      </c>
      <c r="K223" s="1" t="s">
        <v>38</v>
      </c>
      <c r="L223" s="1" t="s">
        <v>497</v>
      </c>
      <c r="M223" s="2" t="s">
        <v>40</v>
      </c>
      <c r="N223" s="2"/>
      <c r="O223" s="3">
        <v>1</v>
      </c>
      <c r="P223" s="1" t="s">
        <v>498</v>
      </c>
      <c r="Q223" s="1">
        <v>240</v>
      </c>
      <c r="R223" s="1">
        <v>240</v>
      </c>
      <c r="S223" s="1" t="s">
        <v>936</v>
      </c>
      <c r="T223" s="1" t="s">
        <v>937</v>
      </c>
      <c r="U223" s="1" t="s">
        <v>938</v>
      </c>
      <c r="V223" s="1" t="s">
        <v>45</v>
      </c>
      <c r="W223" s="1" t="s">
        <v>38</v>
      </c>
      <c r="X223" t="s">
        <v>38</v>
      </c>
      <c r="Y223" t="s">
        <v>38</v>
      </c>
      <c r="Z223" t="s">
        <v>500</v>
      </c>
    </row>
    <row r="224" spans="1:26" x14ac:dyDescent="0.25">
      <c r="A224" s="1" t="s">
        <v>940</v>
      </c>
      <c r="B224" s="1" t="s">
        <v>935</v>
      </c>
      <c r="C224" s="1" t="s">
        <v>565</v>
      </c>
      <c r="D224" s="1" t="s">
        <v>565</v>
      </c>
      <c r="E224" s="1" t="s">
        <v>565</v>
      </c>
      <c r="F224" s="1" t="s">
        <v>565</v>
      </c>
      <c r="G224" s="1" t="s">
        <v>78</v>
      </c>
      <c r="H224" s="1" t="s">
        <v>91</v>
      </c>
      <c r="I224" s="1" t="s">
        <v>36</v>
      </c>
      <c r="J224" s="1" t="s">
        <v>70</v>
      </c>
      <c r="K224" s="1" t="s">
        <v>38</v>
      </c>
      <c r="L224" s="1" t="s">
        <v>553</v>
      </c>
      <c r="M224" s="2" t="s">
        <v>941</v>
      </c>
      <c r="N224" s="2"/>
      <c r="O224" s="3">
        <v>6</v>
      </c>
      <c r="P224" s="1" t="s">
        <v>93</v>
      </c>
      <c r="Q224" s="1">
        <v>60</v>
      </c>
      <c r="R224" s="1">
        <v>360</v>
      </c>
      <c r="S224" s="1" t="s">
        <v>936</v>
      </c>
      <c r="T224" s="1" t="s">
        <v>937</v>
      </c>
      <c r="U224" s="1" t="s">
        <v>938</v>
      </c>
      <c r="V224" s="1" t="s">
        <v>45</v>
      </c>
      <c r="W224" s="1" t="s">
        <v>38</v>
      </c>
      <c r="X224" t="s">
        <v>38</v>
      </c>
      <c r="Y224" t="s">
        <v>38</v>
      </c>
      <c r="Z224" t="s">
        <v>942</v>
      </c>
    </row>
    <row r="225" spans="1:26" x14ac:dyDescent="0.25">
      <c r="A225" s="1" t="s">
        <v>943</v>
      </c>
      <c r="B225" s="1" t="s">
        <v>935</v>
      </c>
      <c r="C225" s="1" t="s">
        <v>565</v>
      </c>
      <c r="D225" s="1" t="s">
        <v>565</v>
      </c>
      <c r="E225" s="1" t="s">
        <v>565</v>
      </c>
      <c r="F225" s="1" t="s">
        <v>565</v>
      </c>
      <c r="G225" s="1" t="s">
        <v>78</v>
      </c>
      <c r="H225" s="1" t="s">
        <v>91</v>
      </c>
      <c r="I225" s="1" t="s">
        <v>36</v>
      </c>
      <c r="J225" s="1" t="s">
        <v>70</v>
      </c>
      <c r="K225" s="1" t="s">
        <v>38</v>
      </c>
      <c r="L225" s="1" t="s">
        <v>553</v>
      </c>
      <c r="M225" s="2" t="s">
        <v>944</v>
      </c>
      <c r="N225" s="2"/>
      <c r="O225" s="3">
        <v>6</v>
      </c>
      <c r="P225" s="1" t="s">
        <v>93</v>
      </c>
      <c r="Q225" s="1">
        <v>60</v>
      </c>
      <c r="R225" s="1">
        <v>360</v>
      </c>
      <c r="S225" s="1" t="s">
        <v>936</v>
      </c>
      <c r="T225" s="1" t="s">
        <v>937</v>
      </c>
      <c r="U225" s="1" t="s">
        <v>938</v>
      </c>
      <c r="V225" s="1" t="s">
        <v>45</v>
      </c>
      <c r="W225" s="1" t="s">
        <v>38</v>
      </c>
      <c r="X225" t="s">
        <v>38</v>
      </c>
      <c r="Y225" t="s">
        <v>38</v>
      </c>
      <c r="Z225" t="s">
        <v>944</v>
      </c>
    </row>
    <row r="226" spans="1:26" x14ac:dyDescent="0.25">
      <c r="A226" s="1" t="s">
        <v>945</v>
      </c>
      <c r="B226" s="1" t="s">
        <v>946</v>
      </c>
      <c r="C226" s="1" t="s">
        <v>565</v>
      </c>
      <c r="D226" s="1" t="s">
        <v>565</v>
      </c>
      <c r="E226" s="1" t="s">
        <v>565</v>
      </c>
      <c r="F226" s="1" t="s">
        <v>565</v>
      </c>
      <c r="G226" s="1" t="s">
        <v>78</v>
      </c>
      <c r="H226" s="1" t="s">
        <v>91</v>
      </c>
      <c r="I226" s="1" t="s">
        <v>36</v>
      </c>
      <c r="J226" s="1" t="s">
        <v>70</v>
      </c>
      <c r="K226" s="1" t="s">
        <v>38</v>
      </c>
      <c r="L226" s="1" t="s">
        <v>212</v>
      </c>
      <c r="M226" s="2" t="s">
        <v>72</v>
      </c>
      <c r="N226" s="2"/>
      <c r="O226" s="3">
        <v>1</v>
      </c>
      <c r="P226" s="1" t="s">
        <v>143</v>
      </c>
      <c r="Q226" s="1">
        <v>720</v>
      </c>
      <c r="R226" s="1">
        <v>720</v>
      </c>
      <c r="S226" s="1" t="s">
        <v>144</v>
      </c>
      <c r="T226" s="1" t="s">
        <v>427</v>
      </c>
      <c r="U226" s="1" t="s">
        <v>145</v>
      </c>
      <c r="V226" s="1" t="s">
        <v>45</v>
      </c>
      <c r="W226" s="1" t="s">
        <v>38</v>
      </c>
      <c r="X226" t="s">
        <v>38</v>
      </c>
      <c r="Y226" t="s">
        <v>38</v>
      </c>
      <c r="Z226" t="s">
        <v>541</v>
      </c>
    </row>
    <row r="227" spans="1:26" x14ac:dyDescent="0.25">
      <c r="A227" s="1" t="s">
        <v>947</v>
      </c>
      <c r="B227" s="1" t="s">
        <v>946</v>
      </c>
      <c r="C227" s="1" t="s">
        <v>565</v>
      </c>
      <c r="D227" s="1" t="s">
        <v>565</v>
      </c>
      <c r="E227" s="1" t="s">
        <v>565</v>
      </c>
      <c r="F227" s="1" t="s">
        <v>565</v>
      </c>
      <c r="G227" s="1" t="s">
        <v>78</v>
      </c>
      <c r="H227" s="1" t="s">
        <v>91</v>
      </c>
      <c r="I227" s="1" t="s">
        <v>36</v>
      </c>
      <c r="J227" s="1" t="s">
        <v>70</v>
      </c>
      <c r="K227" s="1" t="s">
        <v>38</v>
      </c>
      <c r="L227" s="1" t="s">
        <v>948</v>
      </c>
      <c r="M227" s="2" t="s">
        <v>949</v>
      </c>
      <c r="N227" s="2"/>
      <c r="O227" s="3">
        <v>2</v>
      </c>
      <c r="P227" s="1" t="s">
        <v>93</v>
      </c>
      <c r="Q227" s="1">
        <v>250</v>
      </c>
      <c r="R227" s="1">
        <v>500</v>
      </c>
      <c r="S227" s="1" t="s">
        <v>144</v>
      </c>
      <c r="T227" s="1" t="s">
        <v>427</v>
      </c>
      <c r="U227" s="1" t="s">
        <v>145</v>
      </c>
      <c r="V227" s="1" t="s">
        <v>45</v>
      </c>
      <c r="W227" s="1" t="s">
        <v>38</v>
      </c>
      <c r="X227" t="s">
        <v>38</v>
      </c>
      <c r="Y227" t="s">
        <v>38</v>
      </c>
      <c r="Z227" t="s">
        <v>950</v>
      </c>
    </row>
    <row r="228" spans="1:26" x14ac:dyDescent="0.25">
      <c r="A228" s="1" t="s">
        <v>951</v>
      </c>
      <c r="B228" s="1" t="s">
        <v>946</v>
      </c>
      <c r="C228" s="1" t="s">
        <v>565</v>
      </c>
      <c r="D228" s="1" t="s">
        <v>565</v>
      </c>
      <c r="E228" s="1" t="s">
        <v>565</v>
      </c>
      <c r="F228" s="1" t="s">
        <v>565</v>
      </c>
      <c r="G228" s="1" t="s">
        <v>78</v>
      </c>
      <c r="H228" s="1" t="s">
        <v>91</v>
      </c>
      <c r="I228" s="1" t="s">
        <v>36</v>
      </c>
      <c r="J228" s="1" t="s">
        <v>70</v>
      </c>
      <c r="K228" s="1" t="s">
        <v>38</v>
      </c>
      <c r="L228" s="1" t="s">
        <v>195</v>
      </c>
      <c r="M228" s="2" t="s">
        <v>815</v>
      </c>
      <c r="N228" s="2"/>
      <c r="O228" s="3">
        <v>1</v>
      </c>
      <c r="P228" s="1" t="s">
        <v>93</v>
      </c>
      <c r="Q228" s="1">
        <v>50</v>
      </c>
      <c r="R228" s="1">
        <v>50</v>
      </c>
      <c r="S228" s="1" t="s">
        <v>144</v>
      </c>
      <c r="T228" s="1" t="s">
        <v>427</v>
      </c>
      <c r="U228" s="1" t="s">
        <v>145</v>
      </c>
      <c r="V228" s="1" t="s">
        <v>45</v>
      </c>
      <c r="W228" s="1" t="s">
        <v>38</v>
      </c>
      <c r="X228" t="s">
        <v>38</v>
      </c>
      <c r="Y228" t="s">
        <v>38</v>
      </c>
      <c r="Z228" t="s">
        <v>952</v>
      </c>
    </row>
    <row r="229" spans="1:26" x14ac:dyDescent="0.25">
      <c r="A229" s="1" t="s">
        <v>953</v>
      </c>
      <c r="B229" s="1" t="s">
        <v>954</v>
      </c>
      <c r="C229" s="1" t="s">
        <v>565</v>
      </c>
      <c r="D229" s="1" t="s">
        <v>565</v>
      </c>
      <c r="E229" s="1" t="s">
        <v>565</v>
      </c>
      <c r="F229" s="1" t="s">
        <v>565</v>
      </c>
      <c r="G229" s="1" t="s">
        <v>78</v>
      </c>
      <c r="H229" s="1" t="s">
        <v>91</v>
      </c>
      <c r="I229" s="1" t="s">
        <v>36</v>
      </c>
      <c r="J229" s="1" t="s">
        <v>70</v>
      </c>
      <c r="K229" s="1" t="s">
        <v>38</v>
      </c>
      <c r="L229" s="1" t="s">
        <v>955</v>
      </c>
      <c r="M229" s="2" t="s">
        <v>72</v>
      </c>
      <c r="N229" s="2"/>
      <c r="O229" s="3">
        <v>1</v>
      </c>
      <c r="P229" s="1" t="s">
        <v>93</v>
      </c>
      <c r="Q229" s="1">
        <v>1500</v>
      </c>
      <c r="R229" s="1">
        <v>1500</v>
      </c>
      <c r="S229" s="1" t="s">
        <v>120</v>
      </c>
      <c r="T229" s="1" t="s">
        <v>427</v>
      </c>
      <c r="U229" s="1" t="s">
        <v>122</v>
      </c>
      <c r="V229" s="1" t="s">
        <v>45</v>
      </c>
      <c r="W229" s="1" t="s">
        <v>38</v>
      </c>
      <c r="X229" t="s">
        <v>38</v>
      </c>
      <c r="Y229" t="s">
        <v>38</v>
      </c>
      <c r="Z229" t="s">
        <v>956</v>
      </c>
    </row>
    <row r="230" spans="1:26" x14ac:dyDescent="0.25">
      <c r="A230" s="1" t="s">
        <v>957</v>
      </c>
      <c r="B230" s="1" t="s">
        <v>954</v>
      </c>
      <c r="C230" s="1" t="s">
        <v>565</v>
      </c>
      <c r="D230" s="1" t="s">
        <v>565</v>
      </c>
      <c r="E230" s="1" t="s">
        <v>565</v>
      </c>
      <c r="F230" s="1" t="s">
        <v>565</v>
      </c>
      <c r="G230" s="1" t="s">
        <v>78</v>
      </c>
      <c r="H230" s="1" t="s">
        <v>91</v>
      </c>
      <c r="I230" s="1" t="s">
        <v>36</v>
      </c>
      <c r="J230" s="1" t="s">
        <v>70</v>
      </c>
      <c r="K230" s="1" t="s">
        <v>38</v>
      </c>
      <c r="L230" s="1" t="s">
        <v>958</v>
      </c>
      <c r="M230" s="2" t="s">
        <v>72</v>
      </c>
      <c r="N230" s="2"/>
      <c r="O230" s="3">
        <v>1</v>
      </c>
      <c r="P230" s="1" t="s">
        <v>93</v>
      </c>
      <c r="Q230" s="1">
        <v>150</v>
      </c>
      <c r="R230" s="1">
        <v>150</v>
      </c>
      <c r="S230" s="1" t="s">
        <v>120</v>
      </c>
      <c r="T230" s="1" t="s">
        <v>427</v>
      </c>
      <c r="U230" s="1" t="s">
        <v>122</v>
      </c>
      <c r="V230" s="1" t="s">
        <v>45</v>
      </c>
      <c r="W230" s="1" t="s">
        <v>38</v>
      </c>
      <c r="X230" t="s">
        <v>38</v>
      </c>
      <c r="Y230" t="s">
        <v>38</v>
      </c>
      <c r="Z230" t="s">
        <v>959</v>
      </c>
    </row>
    <row r="231" spans="1:26" x14ac:dyDescent="0.25">
      <c r="A231" s="1" t="s">
        <v>960</v>
      </c>
      <c r="B231" s="1" t="s">
        <v>961</v>
      </c>
      <c r="C231" s="1" t="s">
        <v>962</v>
      </c>
      <c r="D231" s="1" t="s">
        <v>565</v>
      </c>
      <c r="E231" s="1" t="s">
        <v>565</v>
      </c>
      <c r="F231" s="1" t="s">
        <v>619</v>
      </c>
      <c r="G231" s="1" t="s">
        <v>78</v>
      </c>
      <c r="H231" s="1" t="s">
        <v>91</v>
      </c>
      <c r="I231" s="1" t="s">
        <v>36</v>
      </c>
      <c r="J231" s="1" t="s">
        <v>963</v>
      </c>
      <c r="K231" s="1" t="s">
        <v>38</v>
      </c>
      <c r="L231" s="1" t="s">
        <v>99</v>
      </c>
      <c r="M231" s="2" t="s">
        <v>964</v>
      </c>
      <c r="N231" s="2"/>
      <c r="O231" s="3">
        <v>3</v>
      </c>
      <c r="P231" s="1" t="s">
        <v>93</v>
      </c>
      <c r="Q231" s="1">
        <v>47</v>
      </c>
      <c r="R231" s="1">
        <v>141</v>
      </c>
      <c r="S231" s="1" t="s">
        <v>577</v>
      </c>
      <c r="T231" s="1" t="s">
        <v>965</v>
      </c>
      <c r="U231" s="1" t="s">
        <v>578</v>
      </c>
      <c r="V231" s="1" t="s">
        <v>45</v>
      </c>
      <c r="W231" s="1" t="s">
        <v>38</v>
      </c>
      <c r="X231" t="s">
        <v>38</v>
      </c>
      <c r="Y231" t="s">
        <v>38</v>
      </c>
      <c r="Z231" t="s">
        <v>966</v>
      </c>
    </row>
    <row r="232" spans="1:26" x14ac:dyDescent="0.25">
      <c r="A232" s="1" t="s">
        <v>967</v>
      </c>
      <c r="B232" s="1" t="s">
        <v>968</v>
      </c>
      <c r="C232" s="1" t="s">
        <v>565</v>
      </c>
      <c r="D232" s="1" t="s">
        <v>565</v>
      </c>
      <c r="E232" s="1" t="s">
        <v>279</v>
      </c>
      <c r="F232" s="1" t="s">
        <v>619</v>
      </c>
      <c r="G232" s="1" t="s">
        <v>78</v>
      </c>
      <c r="H232" s="1" t="s">
        <v>68</v>
      </c>
      <c r="I232" s="1" t="s">
        <v>36</v>
      </c>
      <c r="J232" s="1" t="s">
        <v>969</v>
      </c>
      <c r="K232" s="1" t="s">
        <v>38</v>
      </c>
      <c r="L232" s="1" t="s">
        <v>970</v>
      </c>
      <c r="M232" s="2" t="s">
        <v>72</v>
      </c>
      <c r="N232" s="2"/>
      <c r="O232" s="3">
        <v>2</v>
      </c>
      <c r="P232" s="1" t="s">
        <v>93</v>
      </c>
      <c r="Q232" s="1">
        <v>300</v>
      </c>
      <c r="R232" s="1">
        <v>600</v>
      </c>
      <c r="S232" s="1" t="s">
        <v>971</v>
      </c>
      <c r="T232" s="1" t="s">
        <v>368</v>
      </c>
      <c r="U232" s="1" t="s">
        <v>972</v>
      </c>
      <c r="V232" s="1" t="s">
        <v>45</v>
      </c>
      <c r="W232" s="1" t="s">
        <v>38</v>
      </c>
      <c r="X232" t="s">
        <v>38</v>
      </c>
      <c r="Y232" t="s">
        <v>38</v>
      </c>
    </row>
    <row r="233" spans="1:26" x14ac:dyDescent="0.25">
      <c r="A233" s="1" t="s">
        <v>973</v>
      </c>
      <c r="B233" s="1" t="s">
        <v>974</v>
      </c>
      <c r="C233" s="1" t="s">
        <v>565</v>
      </c>
      <c r="D233" s="1" t="s">
        <v>565</v>
      </c>
      <c r="E233" s="1" t="s">
        <v>279</v>
      </c>
      <c r="F233" s="1" t="s">
        <v>619</v>
      </c>
      <c r="G233" s="1" t="s">
        <v>78</v>
      </c>
      <c r="H233" s="1" t="s">
        <v>68</v>
      </c>
      <c r="I233" s="1" t="s">
        <v>36</v>
      </c>
      <c r="J233" s="1" t="s">
        <v>413</v>
      </c>
      <c r="K233" s="1" t="s">
        <v>38</v>
      </c>
      <c r="L233" s="1" t="s">
        <v>904</v>
      </c>
      <c r="M233" s="2" t="s">
        <v>975</v>
      </c>
      <c r="N233" s="2"/>
      <c r="O233" s="3">
        <v>5</v>
      </c>
      <c r="P233" s="1" t="s">
        <v>93</v>
      </c>
      <c r="Q233" s="1">
        <v>70</v>
      </c>
      <c r="R233" s="1">
        <v>350</v>
      </c>
      <c r="S233" s="1" t="s">
        <v>906</v>
      </c>
      <c r="T233" s="1" t="s">
        <v>390</v>
      </c>
      <c r="U233" s="1" t="s">
        <v>972</v>
      </c>
      <c r="V233" s="1" t="s">
        <v>45</v>
      </c>
      <c r="W233" s="1" t="s">
        <v>38</v>
      </c>
      <c r="X233" t="s">
        <v>38</v>
      </c>
      <c r="Y233" t="s">
        <v>38</v>
      </c>
      <c r="Z233" t="s">
        <v>976</v>
      </c>
    </row>
    <row r="234" spans="1:26" x14ac:dyDescent="0.25">
      <c r="A234" s="1" t="s">
        <v>977</v>
      </c>
      <c r="B234" s="1" t="s">
        <v>978</v>
      </c>
      <c r="C234" s="1" t="s">
        <v>279</v>
      </c>
      <c r="D234" s="1" t="s">
        <v>279</v>
      </c>
      <c r="E234" s="1" t="s">
        <v>279</v>
      </c>
      <c r="F234" s="1" t="s">
        <v>619</v>
      </c>
      <c r="G234" s="1" t="s">
        <v>67</v>
      </c>
      <c r="H234" s="1" t="s">
        <v>68</v>
      </c>
      <c r="I234" s="1" t="s">
        <v>36</v>
      </c>
      <c r="J234" s="1" t="s">
        <v>37</v>
      </c>
      <c r="K234" s="1" t="s">
        <v>38</v>
      </c>
      <c r="L234" s="1" t="s">
        <v>39</v>
      </c>
      <c r="M234" s="2" t="s">
        <v>979</v>
      </c>
      <c r="N234" s="2"/>
      <c r="O234" s="3">
        <v>3</v>
      </c>
      <c r="P234" s="1" t="s">
        <v>41</v>
      </c>
      <c r="Q234" s="1">
        <v>60.65</v>
      </c>
      <c r="R234" s="1">
        <v>181.95</v>
      </c>
      <c r="S234" s="1" t="s">
        <v>980</v>
      </c>
      <c r="T234" s="1" t="s">
        <v>981</v>
      </c>
      <c r="U234" s="1" t="s">
        <v>972</v>
      </c>
      <c r="V234" s="1" t="s">
        <v>45</v>
      </c>
      <c r="W234" s="1" t="s">
        <v>38</v>
      </c>
      <c r="X234" t="s">
        <v>38</v>
      </c>
      <c r="Y234" t="s">
        <v>38</v>
      </c>
    </row>
    <row r="235" spans="1:26" x14ac:dyDescent="0.25">
      <c r="A235" s="1" t="s">
        <v>982</v>
      </c>
      <c r="B235" s="1" t="s">
        <v>983</v>
      </c>
      <c r="C235" s="1" t="s">
        <v>565</v>
      </c>
      <c r="D235" s="1" t="s">
        <v>279</v>
      </c>
      <c r="E235" s="1" t="s">
        <v>279</v>
      </c>
      <c r="F235" s="1" t="s">
        <v>524</v>
      </c>
      <c r="G235" s="1" t="s">
        <v>78</v>
      </c>
      <c r="H235" s="1" t="s">
        <v>91</v>
      </c>
      <c r="I235" s="1" t="s">
        <v>36</v>
      </c>
      <c r="J235" s="1" t="s">
        <v>70</v>
      </c>
      <c r="K235" s="1" t="s">
        <v>38</v>
      </c>
      <c r="L235" s="1" t="s">
        <v>887</v>
      </c>
      <c r="M235" s="2" t="s">
        <v>40</v>
      </c>
      <c r="N235" s="2"/>
      <c r="O235" s="3">
        <v>2</v>
      </c>
      <c r="P235" s="1" t="s">
        <v>93</v>
      </c>
      <c r="Q235" s="1">
        <v>1100</v>
      </c>
      <c r="R235" s="1">
        <v>2200</v>
      </c>
      <c r="S235" s="1" t="s">
        <v>577</v>
      </c>
      <c r="T235" s="1" t="s">
        <v>129</v>
      </c>
      <c r="U235" s="1" t="s">
        <v>984</v>
      </c>
      <c r="V235" s="1" t="s">
        <v>45</v>
      </c>
      <c r="W235" s="1" t="s">
        <v>38</v>
      </c>
      <c r="X235" t="s">
        <v>38</v>
      </c>
      <c r="Y235" t="s">
        <v>38</v>
      </c>
      <c r="Z235" t="s">
        <v>985</v>
      </c>
    </row>
    <row r="236" spans="1:26" x14ac:dyDescent="0.25">
      <c r="A236" s="1" t="s">
        <v>986</v>
      </c>
      <c r="B236" s="1" t="s">
        <v>983</v>
      </c>
      <c r="C236" s="1" t="s">
        <v>565</v>
      </c>
      <c r="D236" s="1" t="s">
        <v>279</v>
      </c>
      <c r="E236" s="1" t="s">
        <v>279</v>
      </c>
      <c r="F236" s="1" t="s">
        <v>524</v>
      </c>
      <c r="G236" s="1" t="s">
        <v>78</v>
      </c>
      <c r="H236" s="1" t="s">
        <v>91</v>
      </c>
      <c r="I236" s="1" t="s">
        <v>36</v>
      </c>
      <c r="J236" s="1" t="s">
        <v>70</v>
      </c>
      <c r="K236" s="1" t="s">
        <v>38</v>
      </c>
      <c r="L236" s="1" t="s">
        <v>133</v>
      </c>
      <c r="M236" s="2" t="s">
        <v>134</v>
      </c>
      <c r="N236" s="2"/>
      <c r="O236" s="3">
        <v>50</v>
      </c>
      <c r="P236" s="1" t="s">
        <v>93</v>
      </c>
      <c r="Q236" s="1">
        <v>2</v>
      </c>
      <c r="R236" s="1">
        <v>100</v>
      </c>
      <c r="S236" s="1" t="s">
        <v>577</v>
      </c>
      <c r="T236" s="1" t="s">
        <v>129</v>
      </c>
      <c r="U236" s="1" t="s">
        <v>984</v>
      </c>
      <c r="V236" s="1" t="s">
        <v>45</v>
      </c>
      <c r="W236" s="1" t="s">
        <v>38</v>
      </c>
      <c r="X236" t="s">
        <v>38</v>
      </c>
      <c r="Y236" t="s">
        <v>38</v>
      </c>
      <c r="Z236" t="s">
        <v>987</v>
      </c>
    </row>
    <row r="237" spans="1:26" x14ac:dyDescent="0.25">
      <c r="A237" s="1" t="s">
        <v>988</v>
      </c>
      <c r="B237" s="1" t="s">
        <v>983</v>
      </c>
      <c r="C237" s="1" t="s">
        <v>565</v>
      </c>
      <c r="D237" s="1" t="s">
        <v>279</v>
      </c>
      <c r="E237" s="1" t="s">
        <v>279</v>
      </c>
      <c r="F237" s="1" t="s">
        <v>524</v>
      </c>
      <c r="G237" s="1" t="s">
        <v>78</v>
      </c>
      <c r="H237" s="1" t="s">
        <v>91</v>
      </c>
      <c r="I237" s="1" t="s">
        <v>36</v>
      </c>
      <c r="J237" s="1" t="s">
        <v>70</v>
      </c>
      <c r="K237" s="1" t="s">
        <v>38</v>
      </c>
      <c r="L237" s="1" t="s">
        <v>596</v>
      </c>
      <c r="M237" s="2" t="s">
        <v>989</v>
      </c>
      <c r="N237" s="2" t="s">
        <v>38</v>
      </c>
      <c r="O237" s="3">
        <v>5</v>
      </c>
      <c r="P237" s="1" t="s">
        <v>381</v>
      </c>
      <c r="Q237" s="1">
        <v>34</v>
      </c>
      <c r="R237" s="1">
        <v>170</v>
      </c>
      <c r="S237" s="1" t="s">
        <v>577</v>
      </c>
      <c r="T237" s="1" t="s">
        <v>129</v>
      </c>
      <c r="U237" s="1" t="s">
        <v>984</v>
      </c>
      <c r="V237" s="1" t="s">
        <v>45</v>
      </c>
      <c r="W237" s="1" t="s">
        <v>38</v>
      </c>
      <c r="X237" t="s">
        <v>38</v>
      </c>
      <c r="Y237" t="s">
        <v>38</v>
      </c>
      <c r="Z237" t="s">
        <v>989</v>
      </c>
    </row>
    <row r="238" spans="1:26" x14ac:dyDescent="0.25">
      <c r="A238" s="1" t="s">
        <v>990</v>
      </c>
      <c r="B238" s="1" t="s">
        <v>983</v>
      </c>
      <c r="C238" s="1" t="s">
        <v>565</v>
      </c>
      <c r="D238" s="1" t="s">
        <v>279</v>
      </c>
      <c r="E238" s="1" t="s">
        <v>279</v>
      </c>
      <c r="F238" s="1" t="s">
        <v>524</v>
      </c>
      <c r="G238" s="1" t="s">
        <v>78</v>
      </c>
      <c r="H238" s="1" t="s">
        <v>91</v>
      </c>
      <c r="I238" s="1" t="s">
        <v>36</v>
      </c>
      <c r="J238" s="1" t="s">
        <v>70</v>
      </c>
      <c r="K238" s="1" t="s">
        <v>38</v>
      </c>
      <c r="L238" s="1" t="s">
        <v>596</v>
      </c>
      <c r="M238" s="2" t="s">
        <v>989</v>
      </c>
      <c r="N238" s="2" t="s">
        <v>38</v>
      </c>
      <c r="O238" s="3">
        <v>0</v>
      </c>
      <c r="P238" s="1" t="s">
        <v>381</v>
      </c>
      <c r="Q238" s="1">
        <v>0</v>
      </c>
      <c r="R238" s="1">
        <v>0</v>
      </c>
      <c r="S238" s="1" t="s">
        <v>577</v>
      </c>
      <c r="T238" s="1" t="s">
        <v>129</v>
      </c>
      <c r="U238" s="1" t="s">
        <v>984</v>
      </c>
      <c r="V238" s="1" t="s">
        <v>45</v>
      </c>
      <c r="W238" s="1" t="s">
        <v>38</v>
      </c>
      <c r="X238" t="s">
        <v>38</v>
      </c>
      <c r="Y238" t="s">
        <v>38</v>
      </c>
      <c r="Z238" t="s">
        <v>991</v>
      </c>
    </row>
    <row r="239" spans="1:26" x14ac:dyDescent="0.25">
      <c r="A239" s="1" t="s">
        <v>992</v>
      </c>
      <c r="B239" s="1" t="s">
        <v>983</v>
      </c>
      <c r="C239" s="1" t="s">
        <v>565</v>
      </c>
      <c r="D239" s="1" t="s">
        <v>279</v>
      </c>
      <c r="E239" s="1" t="s">
        <v>279</v>
      </c>
      <c r="F239" s="1" t="s">
        <v>524</v>
      </c>
      <c r="G239" s="1" t="s">
        <v>78</v>
      </c>
      <c r="H239" s="1" t="s">
        <v>91</v>
      </c>
      <c r="I239" s="1" t="s">
        <v>36</v>
      </c>
      <c r="J239" s="1" t="s">
        <v>993</v>
      </c>
      <c r="K239" s="1" t="s">
        <v>38</v>
      </c>
      <c r="L239" s="1" t="s">
        <v>126</v>
      </c>
      <c r="M239" s="2" t="s">
        <v>994</v>
      </c>
      <c r="N239" s="2"/>
      <c r="O239" s="3">
        <v>2</v>
      </c>
      <c r="P239" s="1" t="s">
        <v>360</v>
      </c>
      <c r="Q239" s="1">
        <v>1300</v>
      </c>
      <c r="R239" s="1">
        <v>2600</v>
      </c>
      <c r="S239" s="1" t="s">
        <v>577</v>
      </c>
      <c r="T239" s="1" t="s">
        <v>129</v>
      </c>
      <c r="U239" s="1" t="s">
        <v>984</v>
      </c>
      <c r="V239" s="1" t="s">
        <v>45</v>
      </c>
      <c r="W239" s="1" t="s">
        <v>38</v>
      </c>
      <c r="X239" t="s">
        <v>38</v>
      </c>
      <c r="Y239" t="s">
        <v>38</v>
      </c>
      <c r="Z239" t="s">
        <v>994</v>
      </c>
    </row>
    <row r="240" spans="1:26" x14ac:dyDescent="0.25">
      <c r="A240" s="1" t="s">
        <v>995</v>
      </c>
      <c r="B240" s="1" t="s">
        <v>996</v>
      </c>
      <c r="C240" s="1" t="s">
        <v>565</v>
      </c>
      <c r="D240" s="1" t="s">
        <v>279</v>
      </c>
      <c r="E240" s="1" t="s">
        <v>279</v>
      </c>
      <c r="F240" s="1" t="s">
        <v>619</v>
      </c>
      <c r="G240" s="1" t="s">
        <v>78</v>
      </c>
      <c r="H240" s="1" t="s">
        <v>91</v>
      </c>
      <c r="I240" s="1" t="s">
        <v>105</v>
      </c>
      <c r="J240" s="1" t="s">
        <v>70</v>
      </c>
      <c r="K240" s="1" t="s">
        <v>38</v>
      </c>
      <c r="L240" s="1" t="s">
        <v>997</v>
      </c>
      <c r="M240" s="2" t="s">
        <v>40</v>
      </c>
      <c r="N240" s="2"/>
      <c r="O240" s="3">
        <v>4</v>
      </c>
      <c r="P240" s="1" t="s">
        <v>93</v>
      </c>
      <c r="Q240" s="1">
        <v>140</v>
      </c>
      <c r="R240" s="1">
        <v>560</v>
      </c>
      <c r="S240" s="1" t="s">
        <v>38</v>
      </c>
      <c r="T240" s="1" t="s">
        <v>723</v>
      </c>
      <c r="U240" s="1" t="s">
        <v>109</v>
      </c>
      <c r="V240" s="1" t="s">
        <v>45</v>
      </c>
      <c r="W240" s="1" t="s">
        <v>38</v>
      </c>
      <c r="X240" t="s">
        <v>38</v>
      </c>
      <c r="Y240" t="s">
        <v>38</v>
      </c>
      <c r="Z240" t="s">
        <v>40</v>
      </c>
    </row>
    <row r="241" spans="1:26" x14ac:dyDescent="0.25">
      <c r="A241" s="1" t="s">
        <v>998</v>
      </c>
      <c r="B241" s="1" t="s">
        <v>999</v>
      </c>
      <c r="C241" s="1" t="s">
        <v>678</v>
      </c>
      <c r="D241" s="1" t="s">
        <v>678</v>
      </c>
      <c r="E241" s="1" t="s">
        <v>279</v>
      </c>
      <c r="F241" s="1" t="s">
        <v>619</v>
      </c>
      <c r="G241" s="1" t="s">
        <v>67</v>
      </c>
      <c r="H241" s="1" t="s">
        <v>68</v>
      </c>
      <c r="I241" s="1" t="s">
        <v>69</v>
      </c>
      <c r="J241" s="1" t="s">
        <v>491</v>
      </c>
      <c r="K241" s="1" t="s">
        <v>38</v>
      </c>
      <c r="L241" s="1" t="s">
        <v>1000</v>
      </c>
      <c r="M241" s="2" t="s">
        <v>1001</v>
      </c>
      <c r="N241" s="2" t="s">
        <v>38</v>
      </c>
      <c r="O241" s="3">
        <v>6</v>
      </c>
      <c r="P241" s="1" t="s">
        <v>93</v>
      </c>
      <c r="Q241" s="1">
        <v>135</v>
      </c>
      <c r="R241" s="1">
        <v>810</v>
      </c>
      <c r="S241" s="1" t="s">
        <v>38</v>
      </c>
      <c r="T241" s="1" t="s">
        <v>1002</v>
      </c>
      <c r="U241" s="1" t="s">
        <v>629</v>
      </c>
      <c r="V241" s="1" t="s">
        <v>45</v>
      </c>
      <c r="W241" s="1" t="s">
        <v>38</v>
      </c>
      <c r="X241" t="s">
        <v>38</v>
      </c>
      <c r="Y241" t="s">
        <v>38</v>
      </c>
      <c r="Z241" t="s">
        <v>1003</v>
      </c>
    </row>
    <row r="242" spans="1:26" x14ac:dyDescent="0.25">
      <c r="A242" s="1" t="s">
        <v>1004</v>
      </c>
      <c r="B242" s="1" t="s">
        <v>999</v>
      </c>
      <c r="C242" s="1" t="s">
        <v>678</v>
      </c>
      <c r="D242" s="1" t="s">
        <v>678</v>
      </c>
      <c r="E242" s="1" t="s">
        <v>279</v>
      </c>
      <c r="F242" s="1" t="s">
        <v>619</v>
      </c>
      <c r="G242" s="1" t="s">
        <v>67</v>
      </c>
      <c r="H242" s="1" t="s">
        <v>68</v>
      </c>
      <c r="I242" s="1" t="s">
        <v>69</v>
      </c>
      <c r="J242" s="1" t="s">
        <v>491</v>
      </c>
      <c r="K242" s="1" t="s">
        <v>38</v>
      </c>
      <c r="L242" s="1" t="s">
        <v>1000</v>
      </c>
      <c r="M242" s="2" t="s">
        <v>1005</v>
      </c>
      <c r="N242" s="2" t="s">
        <v>38</v>
      </c>
      <c r="O242" s="3">
        <v>0</v>
      </c>
      <c r="P242" s="1" t="s">
        <v>93</v>
      </c>
      <c r="Q242" s="1">
        <v>0</v>
      </c>
      <c r="R242" s="1">
        <v>0</v>
      </c>
      <c r="S242" s="1" t="s">
        <v>38</v>
      </c>
      <c r="T242" s="1" t="s">
        <v>1002</v>
      </c>
      <c r="U242" s="1" t="s">
        <v>629</v>
      </c>
      <c r="V242" s="1" t="s">
        <v>45</v>
      </c>
      <c r="W242" s="1" t="s">
        <v>38</v>
      </c>
      <c r="X242" t="s">
        <v>38</v>
      </c>
      <c r="Y242" t="s">
        <v>38</v>
      </c>
    </row>
    <row r="243" spans="1:26" x14ac:dyDescent="0.25">
      <c r="A243" s="1" t="s">
        <v>1006</v>
      </c>
      <c r="B243" s="1" t="s">
        <v>999</v>
      </c>
      <c r="C243" s="1" t="s">
        <v>678</v>
      </c>
      <c r="D243" s="1" t="s">
        <v>678</v>
      </c>
      <c r="E243" s="1" t="s">
        <v>279</v>
      </c>
      <c r="F243" s="1" t="s">
        <v>619</v>
      </c>
      <c r="G243" s="1" t="s">
        <v>67</v>
      </c>
      <c r="H243" s="1" t="s">
        <v>68</v>
      </c>
      <c r="I243" s="1" t="s">
        <v>69</v>
      </c>
      <c r="J243" s="1" t="s">
        <v>511</v>
      </c>
      <c r="K243" s="1" t="s">
        <v>38</v>
      </c>
      <c r="L243" s="1" t="s">
        <v>1007</v>
      </c>
      <c r="M243" s="2" t="s">
        <v>1008</v>
      </c>
      <c r="N243" s="2"/>
      <c r="O243" s="3">
        <v>5</v>
      </c>
      <c r="P243" s="1" t="s">
        <v>1009</v>
      </c>
      <c r="Q243" s="1">
        <v>90</v>
      </c>
      <c r="R243" s="1">
        <v>450</v>
      </c>
      <c r="S243" s="1" t="s">
        <v>38</v>
      </c>
      <c r="T243" s="1" t="s">
        <v>1002</v>
      </c>
      <c r="U243" s="1" t="s">
        <v>629</v>
      </c>
      <c r="V243" s="1" t="s">
        <v>45</v>
      </c>
      <c r="W243" s="1" t="s">
        <v>38</v>
      </c>
      <c r="X243" t="s">
        <v>38</v>
      </c>
      <c r="Y243" t="s">
        <v>38</v>
      </c>
      <c r="Z243" t="s">
        <v>1010</v>
      </c>
    </row>
    <row r="244" spans="1:26" x14ac:dyDescent="0.25">
      <c r="A244" s="1" t="s">
        <v>1011</v>
      </c>
      <c r="B244" s="1" t="s">
        <v>999</v>
      </c>
      <c r="C244" s="1" t="s">
        <v>678</v>
      </c>
      <c r="D244" s="1" t="s">
        <v>678</v>
      </c>
      <c r="E244" s="1" t="s">
        <v>279</v>
      </c>
      <c r="F244" s="1" t="s">
        <v>619</v>
      </c>
      <c r="G244" s="1" t="s">
        <v>67</v>
      </c>
      <c r="H244" s="1" t="s">
        <v>68</v>
      </c>
      <c r="I244" s="1" t="s">
        <v>69</v>
      </c>
      <c r="J244" s="1" t="s">
        <v>511</v>
      </c>
      <c r="K244" s="1" t="s">
        <v>38</v>
      </c>
      <c r="L244" s="1" t="s">
        <v>1007</v>
      </c>
      <c r="M244" s="2" t="s">
        <v>470</v>
      </c>
      <c r="N244" s="2"/>
      <c r="O244" s="3">
        <v>5</v>
      </c>
      <c r="P244" s="1" t="s">
        <v>1009</v>
      </c>
      <c r="Q244" s="1">
        <v>200</v>
      </c>
      <c r="R244" s="1">
        <v>1000</v>
      </c>
      <c r="S244" s="1" t="s">
        <v>38</v>
      </c>
      <c r="T244" s="1" t="s">
        <v>1002</v>
      </c>
      <c r="U244" s="1" t="s">
        <v>629</v>
      </c>
      <c r="V244" s="1" t="s">
        <v>45</v>
      </c>
      <c r="W244" s="1" t="s">
        <v>38</v>
      </c>
      <c r="X244" t="s">
        <v>38</v>
      </c>
      <c r="Y244" t="s">
        <v>38</v>
      </c>
      <c r="Z244" t="s">
        <v>470</v>
      </c>
    </row>
    <row r="245" spans="1:26" x14ac:dyDescent="0.25">
      <c r="A245" s="1" t="s">
        <v>1012</v>
      </c>
      <c r="B245" s="1" t="s">
        <v>1013</v>
      </c>
      <c r="C245" s="1" t="s">
        <v>565</v>
      </c>
      <c r="D245" s="1" t="s">
        <v>279</v>
      </c>
      <c r="E245" s="1" t="s">
        <v>279</v>
      </c>
      <c r="F245" s="1" t="s">
        <v>619</v>
      </c>
      <c r="G245" s="1" t="s">
        <v>78</v>
      </c>
      <c r="H245" s="1" t="s">
        <v>68</v>
      </c>
      <c r="I245" s="1" t="s">
        <v>36</v>
      </c>
      <c r="J245" s="1" t="s">
        <v>70</v>
      </c>
      <c r="K245" s="1" t="s">
        <v>38</v>
      </c>
      <c r="L245" s="1" t="s">
        <v>904</v>
      </c>
      <c r="M245" s="2" t="s">
        <v>1014</v>
      </c>
      <c r="N245" s="2"/>
      <c r="O245" s="3">
        <v>4</v>
      </c>
      <c r="P245" s="1" t="s">
        <v>93</v>
      </c>
      <c r="Q245" s="1">
        <v>65</v>
      </c>
      <c r="R245" s="1">
        <v>260</v>
      </c>
      <c r="S245" s="1" t="s">
        <v>971</v>
      </c>
      <c r="T245" s="1" t="s">
        <v>1015</v>
      </c>
      <c r="U245" s="1" t="s">
        <v>972</v>
      </c>
      <c r="V245" s="1" t="s">
        <v>45</v>
      </c>
      <c r="W245" s="1" t="s">
        <v>38</v>
      </c>
      <c r="X245" t="s">
        <v>38</v>
      </c>
      <c r="Y245" t="s">
        <v>38</v>
      </c>
      <c r="Z245" t="s">
        <v>1016</v>
      </c>
    </row>
    <row r="246" spans="1:26" x14ac:dyDescent="0.25">
      <c r="A246" s="1" t="s">
        <v>1017</v>
      </c>
      <c r="B246" s="1" t="s">
        <v>1013</v>
      </c>
      <c r="C246" s="1" t="s">
        <v>565</v>
      </c>
      <c r="D246" s="1" t="s">
        <v>279</v>
      </c>
      <c r="E246" s="1" t="s">
        <v>279</v>
      </c>
      <c r="F246" s="1" t="s">
        <v>619</v>
      </c>
      <c r="G246" s="1" t="s">
        <v>78</v>
      </c>
      <c r="H246" s="1" t="s">
        <v>68</v>
      </c>
      <c r="I246" s="1" t="s">
        <v>36</v>
      </c>
      <c r="J246" s="1" t="s">
        <v>70</v>
      </c>
      <c r="K246" s="1" t="s">
        <v>38</v>
      </c>
      <c r="L246" s="1" t="s">
        <v>1018</v>
      </c>
      <c r="M246" s="2" t="s">
        <v>40</v>
      </c>
      <c r="N246" s="2"/>
      <c r="O246" s="3">
        <v>1</v>
      </c>
      <c r="P246" s="1" t="s">
        <v>93</v>
      </c>
      <c r="Q246" s="1">
        <v>330</v>
      </c>
      <c r="R246" s="1">
        <v>330</v>
      </c>
      <c r="S246" s="1" t="s">
        <v>971</v>
      </c>
      <c r="T246" s="1" t="s">
        <v>1015</v>
      </c>
      <c r="U246" s="1" t="s">
        <v>972</v>
      </c>
      <c r="V246" s="1" t="s">
        <v>45</v>
      </c>
      <c r="W246" s="1" t="s">
        <v>38</v>
      </c>
      <c r="X246" t="s">
        <v>38</v>
      </c>
      <c r="Y246" t="s">
        <v>38</v>
      </c>
    </row>
    <row r="247" spans="1:26" x14ac:dyDescent="0.25">
      <c r="A247" s="1" t="s">
        <v>1019</v>
      </c>
      <c r="B247" s="1" t="s">
        <v>1013</v>
      </c>
      <c r="C247" s="1" t="s">
        <v>565</v>
      </c>
      <c r="D247" s="1" t="s">
        <v>279</v>
      </c>
      <c r="E247" s="1" t="s">
        <v>279</v>
      </c>
      <c r="F247" s="1" t="s">
        <v>619</v>
      </c>
      <c r="G247" s="1" t="s">
        <v>78</v>
      </c>
      <c r="H247" s="1" t="s">
        <v>68</v>
      </c>
      <c r="I247" s="1" t="s">
        <v>36</v>
      </c>
      <c r="J247" s="1" t="s">
        <v>70</v>
      </c>
      <c r="K247" s="1" t="s">
        <v>38</v>
      </c>
      <c r="L247" s="1" t="s">
        <v>918</v>
      </c>
      <c r="M247" s="2" t="s">
        <v>919</v>
      </c>
      <c r="N247" s="2"/>
      <c r="O247" s="3">
        <v>1</v>
      </c>
      <c r="P247" s="1" t="s">
        <v>93</v>
      </c>
      <c r="Q247" s="1">
        <v>20</v>
      </c>
      <c r="R247" s="1">
        <v>20</v>
      </c>
      <c r="S247" s="1" t="s">
        <v>971</v>
      </c>
      <c r="T247" s="1" t="s">
        <v>1015</v>
      </c>
      <c r="U247" s="1" t="s">
        <v>972</v>
      </c>
      <c r="V247" s="1" t="s">
        <v>45</v>
      </c>
      <c r="W247" s="1" t="s">
        <v>38</v>
      </c>
      <c r="X247" t="s">
        <v>38</v>
      </c>
      <c r="Y247" t="s">
        <v>38</v>
      </c>
    </row>
    <row r="248" spans="1:26" x14ac:dyDescent="0.25">
      <c r="A248" s="1" t="s">
        <v>1020</v>
      </c>
      <c r="B248" s="1" t="s">
        <v>1013</v>
      </c>
      <c r="C248" s="1" t="s">
        <v>565</v>
      </c>
      <c r="D248" s="1" t="s">
        <v>279</v>
      </c>
      <c r="E248" s="1" t="s">
        <v>279</v>
      </c>
      <c r="F248" s="1" t="s">
        <v>619</v>
      </c>
      <c r="G248" s="1" t="s">
        <v>78</v>
      </c>
      <c r="H248" s="1" t="s">
        <v>68</v>
      </c>
      <c r="I248" s="1" t="s">
        <v>36</v>
      </c>
      <c r="J248" s="1" t="s">
        <v>70</v>
      </c>
      <c r="K248" s="1" t="s">
        <v>38</v>
      </c>
      <c r="L248" s="1" t="s">
        <v>497</v>
      </c>
      <c r="M248" s="2" t="s">
        <v>40</v>
      </c>
      <c r="N248" s="2"/>
      <c r="O248" s="3">
        <v>2</v>
      </c>
      <c r="P248" s="1" t="s">
        <v>41</v>
      </c>
      <c r="Q248" s="1">
        <v>240</v>
      </c>
      <c r="R248" s="1">
        <v>480</v>
      </c>
      <c r="S248" s="1" t="s">
        <v>971</v>
      </c>
      <c r="T248" s="1" t="s">
        <v>1015</v>
      </c>
      <c r="U248" s="1" t="s">
        <v>972</v>
      </c>
      <c r="V248" s="1" t="s">
        <v>45</v>
      </c>
      <c r="W248" s="1" t="s">
        <v>38</v>
      </c>
      <c r="X248" t="s">
        <v>38</v>
      </c>
      <c r="Y248" t="s">
        <v>38</v>
      </c>
    </row>
    <row r="249" spans="1:26" x14ac:dyDescent="0.25">
      <c r="A249" s="1" t="s">
        <v>1021</v>
      </c>
      <c r="B249" s="1" t="s">
        <v>1022</v>
      </c>
      <c r="C249" s="1" t="s">
        <v>565</v>
      </c>
      <c r="D249" s="1" t="s">
        <v>565</v>
      </c>
      <c r="E249" s="1" t="s">
        <v>279</v>
      </c>
      <c r="F249" s="1" t="s">
        <v>845</v>
      </c>
      <c r="G249" s="1" t="s">
        <v>78</v>
      </c>
      <c r="H249" s="1" t="s">
        <v>832</v>
      </c>
      <c r="I249" s="1" t="s">
        <v>69</v>
      </c>
      <c r="J249" s="1" t="s">
        <v>1023</v>
      </c>
      <c r="K249" s="1" t="s">
        <v>38</v>
      </c>
      <c r="L249" s="1" t="s">
        <v>1024</v>
      </c>
      <c r="M249" s="2" t="s">
        <v>1025</v>
      </c>
      <c r="N249" s="2"/>
      <c r="O249" s="3">
        <v>1</v>
      </c>
      <c r="P249" s="1" t="s">
        <v>93</v>
      </c>
      <c r="Q249" s="1">
        <v>65</v>
      </c>
      <c r="R249" s="1">
        <v>65</v>
      </c>
      <c r="S249" s="1" t="s">
        <v>38</v>
      </c>
      <c r="T249" s="1" t="s">
        <v>1026</v>
      </c>
      <c r="U249" s="1" t="s">
        <v>1027</v>
      </c>
      <c r="V249" s="1" t="s">
        <v>45</v>
      </c>
      <c r="W249" s="1" t="s">
        <v>38</v>
      </c>
      <c r="X249" t="s">
        <v>38</v>
      </c>
      <c r="Y249" t="s">
        <v>38</v>
      </c>
    </row>
    <row r="250" spans="1:26" x14ac:dyDescent="0.25">
      <c r="A250" s="1" t="s">
        <v>1028</v>
      </c>
      <c r="B250" s="1" t="s">
        <v>1029</v>
      </c>
      <c r="C250" s="1" t="s">
        <v>678</v>
      </c>
      <c r="D250" s="1" t="s">
        <v>678</v>
      </c>
      <c r="E250" s="1" t="s">
        <v>279</v>
      </c>
      <c r="F250" s="1" t="s">
        <v>619</v>
      </c>
      <c r="G250" s="1" t="s">
        <v>78</v>
      </c>
      <c r="H250" s="1" t="s">
        <v>832</v>
      </c>
      <c r="I250" s="1" t="s">
        <v>294</v>
      </c>
      <c r="J250" s="1" t="s">
        <v>1030</v>
      </c>
      <c r="K250" s="1" t="s">
        <v>38</v>
      </c>
      <c r="L250" s="1" t="s">
        <v>335</v>
      </c>
      <c r="M250" s="2" t="s">
        <v>1031</v>
      </c>
      <c r="N250" s="2"/>
      <c r="O250" s="3">
        <v>1</v>
      </c>
      <c r="P250" s="1" t="s">
        <v>85</v>
      </c>
      <c r="Q250" s="1">
        <v>410</v>
      </c>
      <c r="R250" s="1">
        <v>410</v>
      </c>
      <c r="S250" s="1" t="s">
        <v>38</v>
      </c>
      <c r="T250" s="1" t="s">
        <v>1032</v>
      </c>
      <c r="U250" s="1" t="s">
        <v>1027</v>
      </c>
      <c r="V250" s="1" t="s">
        <v>45</v>
      </c>
      <c r="W250" s="1" t="s">
        <v>38</v>
      </c>
      <c r="X250" t="s">
        <v>38</v>
      </c>
      <c r="Y250" t="s">
        <v>38</v>
      </c>
      <c r="Z250" t="s">
        <v>1033</v>
      </c>
    </row>
    <row r="251" spans="1:26" x14ac:dyDescent="0.25">
      <c r="A251" s="1" t="s">
        <v>1034</v>
      </c>
      <c r="B251" s="1" t="s">
        <v>1035</v>
      </c>
      <c r="C251" s="1" t="s">
        <v>279</v>
      </c>
      <c r="D251" s="1" t="s">
        <v>279</v>
      </c>
      <c r="E251" s="1" t="s">
        <v>619</v>
      </c>
      <c r="F251" s="1" t="s">
        <v>619</v>
      </c>
      <c r="G251" s="1" t="s">
        <v>78</v>
      </c>
      <c r="H251" s="1" t="s">
        <v>91</v>
      </c>
      <c r="I251" s="1" t="s">
        <v>36</v>
      </c>
      <c r="J251" s="1" t="s">
        <v>70</v>
      </c>
      <c r="K251" s="1" t="s">
        <v>38</v>
      </c>
      <c r="L251" s="1" t="s">
        <v>71</v>
      </c>
      <c r="M251" s="2" t="s">
        <v>72</v>
      </c>
      <c r="N251" s="2"/>
      <c r="O251" s="3">
        <v>2</v>
      </c>
      <c r="P251" s="1" t="s">
        <v>207</v>
      </c>
      <c r="Q251" s="1">
        <v>630</v>
      </c>
      <c r="R251" s="1">
        <v>1260</v>
      </c>
      <c r="S251" s="1" t="s">
        <v>1036</v>
      </c>
      <c r="T251" s="1" t="s">
        <v>427</v>
      </c>
      <c r="U251" s="1" t="s">
        <v>1037</v>
      </c>
      <c r="V251" s="1" t="s">
        <v>45</v>
      </c>
      <c r="W251" s="1" t="s">
        <v>38</v>
      </c>
      <c r="X251" t="s">
        <v>38</v>
      </c>
      <c r="Y251" t="s">
        <v>38</v>
      </c>
      <c r="Z251" t="s">
        <v>1038</v>
      </c>
    </row>
    <row r="252" spans="1:26" x14ac:dyDescent="0.25">
      <c r="A252" s="1" t="s">
        <v>1039</v>
      </c>
      <c r="B252" s="1" t="s">
        <v>1040</v>
      </c>
      <c r="C252" s="1" t="s">
        <v>279</v>
      </c>
      <c r="D252" s="1" t="s">
        <v>279</v>
      </c>
      <c r="E252" s="1" t="s">
        <v>619</v>
      </c>
      <c r="F252" s="1" t="s">
        <v>619</v>
      </c>
      <c r="G252" s="1" t="s">
        <v>78</v>
      </c>
      <c r="H252" s="1" t="s">
        <v>91</v>
      </c>
      <c r="I252" s="1" t="s">
        <v>36</v>
      </c>
      <c r="J252" s="1" t="s">
        <v>70</v>
      </c>
      <c r="K252" s="1" t="s">
        <v>38</v>
      </c>
      <c r="L252" s="1" t="s">
        <v>948</v>
      </c>
      <c r="M252" s="2" t="s">
        <v>1041</v>
      </c>
      <c r="N252" s="2"/>
      <c r="O252" s="3">
        <v>2</v>
      </c>
      <c r="P252" s="1" t="s">
        <v>93</v>
      </c>
      <c r="Q252" s="1">
        <v>210</v>
      </c>
      <c r="R252" s="1">
        <v>420</v>
      </c>
      <c r="S252" s="1" t="s">
        <v>213</v>
      </c>
      <c r="T252" s="1" t="s">
        <v>427</v>
      </c>
      <c r="U252" s="1" t="s">
        <v>215</v>
      </c>
      <c r="V252" s="1" t="s">
        <v>45</v>
      </c>
      <c r="W252" s="1" t="s">
        <v>38</v>
      </c>
      <c r="X252" t="s">
        <v>38</v>
      </c>
      <c r="Y252" t="s">
        <v>38</v>
      </c>
      <c r="Z252" t="s">
        <v>1042</v>
      </c>
    </row>
    <row r="253" spans="1:26" x14ac:dyDescent="0.25">
      <c r="A253" s="1" t="s">
        <v>1043</v>
      </c>
      <c r="B253" s="1" t="s">
        <v>1040</v>
      </c>
      <c r="C253" s="1" t="s">
        <v>279</v>
      </c>
      <c r="D253" s="1" t="s">
        <v>279</v>
      </c>
      <c r="E253" s="1" t="s">
        <v>619</v>
      </c>
      <c r="F253" s="1" t="s">
        <v>619</v>
      </c>
      <c r="G253" s="1" t="s">
        <v>78</v>
      </c>
      <c r="H253" s="1" t="s">
        <v>91</v>
      </c>
      <c r="I253" s="1" t="s">
        <v>36</v>
      </c>
      <c r="J253" s="1" t="s">
        <v>70</v>
      </c>
      <c r="K253" s="1" t="s">
        <v>38</v>
      </c>
      <c r="L253" s="1" t="s">
        <v>497</v>
      </c>
      <c r="M253" s="2" t="s">
        <v>72</v>
      </c>
      <c r="N253" s="2"/>
      <c r="O253" s="3">
        <v>1</v>
      </c>
      <c r="P253" s="1" t="s">
        <v>93</v>
      </c>
      <c r="Q253" s="1">
        <v>240</v>
      </c>
      <c r="R253" s="1">
        <v>240</v>
      </c>
      <c r="S253" s="1" t="s">
        <v>213</v>
      </c>
      <c r="T253" s="1" t="s">
        <v>427</v>
      </c>
      <c r="U253" s="1" t="s">
        <v>215</v>
      </c>
      <c r="V253" s="1" t="s">
        <v>45</v>
      </c>
      <c r="W253" s="1" t="s">
        <v>38</v>
      </c>
      <c r="X253" t="s">
        <v>38</v>
      </c>
      <c r="Y253" t="s">
        <v>38</v>
      </c>
      <c r="Z253" t="s">
        <v>500</v>
      </c>
    </row>
    <row r="254" spans="1:26" x14ac:dyDescent="0.25">
      <c r="A254" s="1" t="s">
        <v>1044</v>
      </c>
      <c r="B254" s="1" t="s">
        <v>1045</v>
      </c>
      <c r="C254" s="1" t="s">
        <v>678</v>
      </c>
      <c r="D254" s="1" t="s">
        <v>678</v>
      </c>
      <c r="E254" s="1" t="s">
        <v>619</v>
      </c>
      <c r="F254" s="1" t="s">
        <v>619</v>
      </c>
      <c r="G254" s="1" t="s">
        <v>78</v>
      </c>
      <c r="H254" s="1" t="s">
        <v>91</v>
      </c>
      <c r="I254" s="1" t="s">
        <v>36</v>
      </c>
      <c r="J254" s="1" t="s">
        <v>70</v>
      </c>
      <c r="K254" s="1" t="s">
        <v>38</v>
      </c>
      <c r="L254" s="1" t="s">
        <v>255</v>
      </c>
      <c r="M254" s="2" t="s">
        <v>1046</v>
      </c>
      <c r="N254" s="2"/>
      <c r="O254" s="3">
        <v>5</v>
      </c>
      <c r="P254" s="1" t="s">
        <v>93</v>
      </c>
      <c r="Q254" s="1">
        <v>112</v>
      </c>
      <c r="R254" s="1">
        <v>560</v>
      </c>
      <c r="S254" s="1" t="s">
        <v>128</v>
      </c>
      <c r="T254" s="1" t="s">
        <v>427</v>
      </c>
      <c r="U254" s="1" t="s">
        <v>130</v>
      </c>
      <c r="V254" s="1" t="s">
        <v>45</v>
      </c>
      <c r="W254" s="1" t="s">
        <v>38</v>
      </c>
      <c r="X254" t="s">
        <v>38</v>
      </c>
      <c r="Y254" t="s">
        <v>38</v>
      </c>
      <c r="Z254" t="s">
        <v>1046</v>
      </c>
    </row>
    <row r="255" spans="1:26" x14ac:dyDescent="0.25">
      <c r="A255" s="1" t="s">
        <v>1047</v>
      </c>
      <c r="B255" s="1" t="s">
        <v>1048</v>
      </c>
      <c r="C255" s="1" t="s">
        <v>279</v>
      </c>
      <c r="D255" s="1" t="s">
        <v>279</v>
      </c>
      <c r="E255" s="1" t="s">
        <v>619</v>
      </c>
      <c r="F255" s="1" t="s">
        <v>619</v>
      </c>
      <c r="G255" s="1" t="s">
        <v>78</v>
      </c>
      <c r="H255" s="1" t="s">
        <v>104</v>
      </c>
      <c r="I255" s="1" t="s">
        <v>105</v>
      </c>
      <c r="J255" s="1" t="s">
        <v>70</v>
      </c>
      <c r="K255" s="1" t="s">
        <v>38</v>
      </c>
      <c r="L255" s="1" t="s">
        <v>1049</v>
      </c>
      <c r="M255" s="2" t="s">
        <v>40</v>
      </c>
      <c r="N255" s="2"/>
      <c r="O255" s="3">
        <v>1</v>
      </c>
      <c r="P255" s="1" t="s">
        <v>107</v>
      </c>
      <c r="Q255" s="1">
        <v>2350</v>
      </c>
      <c r="R255" s="1">
        <v>2350</v>
      </c>
      <c r="S255" s="1" t="s">
        <v>38</v>
      </c>
      <c r="T255" s="1" t="s">
        <v>129</v>
      </c>
      <c r="U255" s="1" t="s">
        <v>109</v>
      </c>
      <c r="V255" s="1" t="s">
        <v>45</v>
      </c>
      <c r="W255" s="1" t="s">
        <v>38</v>
      </c>
      <c r="X255" t="s">
        <v>38</v>
      </c>
      <c r="Y255" t="s">
        <v>38</v>
      </c>
      <c r="Z255" t="s">
        <v>40</v>
      </c>
    </row>
    <row r="256" spans="1:26" x14ac:dyDescent="0.25">
      <c r="A256" s="1" t="s">
        <v>1050</v>
      </c>
      <c r="B256" s="1" t="s">
        <v>1051</v>
      </c>
      <c r="C256" s="1" t="s">
        <v>279</v>
      </c>
      <c r="D256" s="1" t="s">
        <v>279</v>
      </c>
      <c r="E256" s="1" t="s">
        <v>619</v>
      </c>
      <c r="F256" s="1" t="s">
        <v>524</v>
      </c>
      <c r="G256" s="1" t="s">
        <v>78</v>
      </c>
      <c r="H256" s="1" t="s">
        <v>91</v>
      </c>
      <c r="I256" s="1" t="s">
        <v>36</v>
      </c>
      <c r="J256" s="1" t="s">
        <v>70</v>
      </c>
      <c r="K256" s="1" t="s">
        <v>38</v>
      </c>
      <c r="L256" s="1" t="s">
        <v>599</v>
      </c>
      <c r="M256" s="2" t="s">
        <v>1052</v>
      </c>
      <c r="N256" s="2"/>
      <c r="O256" s="3">
        <v>1</v>
      </c>
      <c r="P256" s="1" t="s">
        <v>93</v>
      </c>
      <c r="Q256" s="1">
        <v>5000</v>
      </c>
      <c r="R256" s="1">
        <v>5000</v>
      </c>
      <c r="S256" s="1" t="s">
        <v>776</v>
      </c>
      <c r="T256" s="1" t="s">
        <v>427</v>
      </c>
      <c r="U256" s="1" t="s">
        <v>777</v>
      </c>
      <c r="V256" s="1" t="s">
        <v>45</v>
      </c>
      <c r="W256" s="1" t="s">
        <v>38</v>
      </c>
      <c r="X256" t="s">
        <v>38</v>
      </c>
      <c r="Y256" t="s">
        <v>38</v>
      </c>
      <c r="Z256" t="s">
        <v>1053</v>
      </c>
    </row>
    <row r="257" spans="1:26" x14ac:dyDescent="0.25">
      <c r="A257" s="1" t="s">
        <v>1054</v>
      </c>
      <c r="B257" s="1" t="s">
        <v>1055</v>
      </c>
      <c r="C257" s="1" t="s">
        <v>279</v>
      </c>
      <c r="D257" s="1" t="s">
        <v>279</v>
      </c>
      <c r="E257" s="1" t="s">
        <v>619</v>
      </c>
      <c r="F257" s="1" t="s">
        <v>619</v>
      </c>
      <c r="G257" s="1" t="s">
        <v>78</v>
      </c>
      <c r="H257" s="1" t="s">
        <v>91</v>
      </c>
      <c r="I257" s="1" t="s">
        <v>36</v>
      </c>
      <c r="J257" s="1" t="s">
        <v>413</v>
      </c>
      <c r="K257" s="1" t="s">
        <v>38</v>
      </c>
      <c r="L257" s="1" t="s">
        <v>1056</v>
      </c>
      <c r="M257" s="2" t="s">
        <v>72</v>
      </c>
      <c r="N257" s="2"/>
      <c r="O257" s="3">
        <v>4</v>
      </c>
      <c r="P257" s="1" t="s">
        <v>93</v>
      </c>
      <c r="Q257" s="1">
        <v>250</v>
      </c>
      <c r="R257" s="1">
        <v>1000</v>
      </c>
      <c r="S257" s="1" t="s">
        <v>167</v>
      </c>
      <c r="T257" s="1" t="s">
        <v>427</v>
      </c>
      <c r="U257" s="1" t="s">
        <v>883</v>
      </c>
      <c r="V257" s="1" t="s">
        <v>45</v>
      </c>
      <c r="W257" s="1" t="s">
        <v>38</v>
      </c>
      <c r="X257" t="s">
        <v>38</v>
      </c>
      <c r="Y257" t="s">
        <v>38</v>
      </c>
      <c r="Z257" t="s">
        <v>1057</v>
      </c>
    </row>
    <row r="258" spans="1:26" x14ac:dyDescent="0.25">
      <c r="A258" s="1" t="s">
        <v>1058</v>
      </c>
      <c r="B258" s="1" t="s">
        <v>1059</v>
      </c>
      <c r="C258" s="1" t="s">
        <v>279</v>
      </c>
      <c r="D258" s="1" t="s">
        <v>279</v>
      </c>
      <c r="E258" s="1" t="s">
        <v>619</v>
      </c>
      <c r="F258" s="1" t="s">
        <v>524</v>
      </c>
      <c r="G258" s="1" t="s">
        <v>78</v>
      </c>
      <c r="H258" s="1" t="s">
        <v>91</v>
      </c>
      <c r="I258" s="1" t="s">
        <v>36</v>
      </c>
      <c r="J258" s="1" t="s">
        <v>70</v>
      </c>
      <c r="K258" s="1" t="s">
        <v>38</v>
      </c>
      <c r="L258" s="1" t="s">
        <v>599</v>
      </c>
      <c r="M258" s="2" t="s">
        <v>702</v>
      </c>
      <c r="N258" s="2"/>
      <c r="O258" s="3">
        <v>1</v>
      </c>
      <c r="P258" s="1" t="s">
        <v>93</v>
      </c>
      <c r="Q258" s="1">
        <v>4900</v>
      </c>
      <c r="R258" s="1">
        <v>4900</v>
      </c>
      <c r="S258" s="1" t="s">
        <v>686</v>
      </c>
      <c r="T258" s="1" t="s">
        <v>427</v>
      </c>
      <c r="U258" s="1" t="s">
        <v>116</v>
      </c>
      <c r="V258" s="1" t="s">
        <v>45</v>
      </c>
      <c r="W258" s="1" t="s">
        <v>38</v>
      </c>
      <c r="X258" t="s">
        <v>38</v>
      </c>
      <c r="Y258" t="s">
        <v>38</v>
      </c>
      <c r="Z258" t="s">
        <v>1060</v>
      </c>
    </row>
    <row r="259" spans="1:26" x14ac:dyDescent="0.25">
      <c r="A259" s="1" t="s">
        <v>1061</v>
      </c>
      <c r="B259" s="1" t="s">
        <v>1062</v>
      </c>
      <c r="C259" s="1" t="s">
        <v>279</v>
      </c>
      <c r="D259" s="1" t="s">
        <v>279</v>
      </c>
      <c r="E259" s="1" t="s">
        <v>619</v>
      </c>
      <c r="F259" s="1" t="s">
        <v>524</v>
      </c>
      <c r="G259" s="1" t="s">
        <v>34</v>
      </c>
      <c r="H259" s="1" t="s">
        <v>642</v>
      </c>
      <c r="I259" s="1" t="s">
        <v>69</v>
      </c>
      <c r="J259" s="1" t="s">
        <v>295</v>
      </c>
      <c r="K259" s="1" t="s">
        <v>38</v>
      </c>
      <c r="L259" s="1" t="s">
        <v>1063</v>
      </c>
      <c r="M259" s="2" t="s">
        <v>1064</v>
      </c>
      <c r="N259" s="2"/>
      <c r="O259" s="3">
        <v>1</v>
      </c>
      <c r="P259" s="1" t="s">
        <v>93</v>
      </c>
      <c r="Q259" s="1">
        <v>105</v>
      </c>
      <c r="R259" s="1">
        <v>105</v>
      </c>
      <c r="S259" s="1" t="s">
        <v>38</v>
      </c>
      <c r="T259" s="1" t="s">
        <v>1065</v>
      </c>
      <c r="U259" s="1" t="s">
        <v>74</v>
      </c>
      <c r="V259" s="1" t="s">
        <v>45</v>
      </c>
      <c r="W259" s="1" t="s">
        <v>38</v>
      </c>
      <c r="X259" t="s">
        <v>38</v>
      </c>
      <c r="Y259" t="s">
        <v>38</v>
      </c>
    </row>
    <row r="260" spans="1:26" x14ac:dyDescent="0.25">
      <c r="A260" s="1" t="s">
        <v>1066</v>
      </c>
      <c r="B260" s="1" t="s">
        <v>1067</v>
      </c>
      <c r="C260" s="1" t="s">
        <v>58</v>
      </c>
      <c r="D260" s="1" t="s">
        <v>619</v>
      </c>
      <c r="E260" s="1" t="s">
        <v>619</v>
      </c>
      <c r="F260" s="1" t="s">
        <v>619</v>
      </c>
      <c r="G260" s="1" t="s">
        <v>34</v>
      </c>
      <c r="H260" s="1" t="s">
        <v>566</v>
      </c>
      <c r="I260" s="1" t="s">
        <v>36</v>
      </c>
      <c r="J260" s="1" t="s">
        <v>37</v>
      </c>
      <c r="K260" s="1" t="s">
        <v>38</v>
      </c>
      <c r="L260" s="1" t="s">
        <v>39</v>
      </c>
      <c r="M260" s="2" t="s">
        <v>519</v>
      </c>
      <c r="N260" s="2"/>
      <c r="O260" s="3">
        <v>3</v>
      </c>
      <c r="P260" s="1" t="s">
        <v>41</v>
      </c>
      <c r="Q260" s="1">
        <v>60.75</v>
      </c>
      <c r="R260" s="1">
        <v>182.25</v>
      </c>
      <c r="S260" s="1" t="s">
        <v>567</v>
      </c>
      <c r="T260" s="1" t="s">
        <v>1068</v>
      </c>
      <c r="U260" s="1" t="s">
        <v>569</v>
      </c>
      <c r="V260" s="1" t="s">
        <v>45</v>
      </c>
      <c r="W260" s="1" t="s">
        <v>38</v>
      </c>
      <c r="X260" t="s">
        <v>38</v>
      </c>
      <c r="Y260" t="s">
        <v>38</v>
      </c>
      <c r="Z260" t="s">
        <v>1069</v>
      </c>
    </row>
    <row r="261" spans="1:26" x14ac:dyDescent="0.25">
      <c r="A261" s="1" t="s">
        <v>1070</v>
      </c>
      <c r="B261" s="1" t="s">
        <v>1067</v>
      </c>
      <c r="C261" s="1" t="s">
        <v>58</v>
      </c>
      <c r="D261" s="1" t="s">
        <v>619</v>
      </c>
      <c r="E261" s="1" t="s">
        <v>619</v>
      </c>
      <c r="F261" s="1" t="s">
        <v>619</v>
      </c>
      <c r="G261" s="1" t="s">
        <v>34</v>
      </c>
      <c r="H261" s="1" t="s">
        <v>566</v>
      </c>
      <c r="I261" s="1" t="s">
        <v>36</v>
      </c>
      <c r="J261" s="1" t="s">
        <v>37</v>
      </c>
      <c r="K261" s="1" t="s">
        <v>38</v>
      </c>
      <c r="L261" s="1" t="s">
        <v>39</v>
      </c>
      <c r="M261" s="2" t="s">
        <v>519</v>
      </c>
      <c r="N261" s="2"/>
      <c r="O261" s="3">
        <v>2.75</v>
      </c>
      <c r="P261" s="1" t="s">
        <v>41</v>
      </c>
      <c r="Q261" s="1">
        <v>60.65</v>
      </c>
      <c r="R261" s="1">
        <v>166.7875</v>
      </c>
      <c r="S261" s="1" t="s">
        <v>567</v>
      </c>
      <c r="T261" s="1" t="s">
        <v>1068</v>
      </c>
      <c r="U261" s="1" t="s">
        <v>569</v>
      </c>
      <c r="V261" s="1" t="s">
        <v>45</v>
      </c>
      <c r="W261" s="1" t="s">
        <v>38</v>
      </c>
      <c r="X261" t="s">
        <v>38</v>
      </c>
      <c r="Y261" t="s">
        <v>38</v>
      </c>
      <c r="Z261" t="s">
        <v>1071</v>
      </c>
    </row>
    <row r="262" spans="1:26" x14ac:dyDescent="0.25">
      <c r="A262" s="1" t="s">
        <v>1072</v>
      </c>
      <c r="B262" s="1" t="s">
        <v>1067</v>
      </c>
      <c r="C262" s="1" t="s">
        <v>58</v>
      </c>
      <c r="D262" s="1" t="s">
        <v>619</v>
      </c>
      <c r="E262" s="1" t="s">
        <v>619</v>
      </c>
      <c r="F262" s="1" t="s">
        <v>619</v>
      </c>
      <c r="G262" s="1" t="s">
        <v>34</v>
      </c>
      <c r="H262" s="1" t="s">
        <v>566</v>
      </c>
      <c r="I262" s="1" t="s">
        <v>36</v>
      </c>
      <c r="J262" s="1" t="s">
        <v>37</v>
      </c>
      <c r="K262" s="1" t="s">
        <v>38</v>
      </c>
      <c r="L262" s="1" t="s">
        <v>39</v>
      </c>
      <c r="M262" s="2" t="s">
        <v>519</v>
      </c>
      <c r="N262" s="2"/>
      <c r="O262" s="3">
        <v>3</v>
      </c>
      <c r="P262" s="1" t="s">
        <v>41</v>
      </c>
      <c r="Q262" s="1">
        <v>60.65</v>
      </c>
      <c r="R262" s="1">
        <v>181.95</v>
      </c>
      <c r="S262" s="1" t="s">
        <v>567</v>
      </c>
      <c r="T262" s="1" t="s">
        <v>1068</v>
      </c>
      <c r="U262" s="1" t="s">
        <v>569</v>
      </c>
      <c r="V262" s="1" t="s">
        <v>45</v>
      </c>
      <c r="W262" s="1" t="s">
        <v>38</v>
      </c>
      <c r="X262" t="s">
        <v>38</v>
      </c>
      <c r="Y262" t="s">
        <v>38</v>
      </c>
      <c r="Z262" t="s">
        <v>1073</v>
      </c>
    </row>
    <row r="263" spans="1:26" x14ac:dyDescent="0.25">
      <c r="A263" s="1" t="s">
        <v>1074</v>
      </c>
      <c r="B263" s="1" t="s">
        <v>1067</v>
      </c>
      <c r="C263" s="1" t="s">
        <v>58</v>
      </c>
      <c r="D263" s="1" t="s">
        <v>619</v>
      </c>
      <c r="E263" s="1" t="s">
        <v>619</v>
      </c>
      <c r="F263" s="1" t="s">
        <v>619</v>
      </c>
      <c r="G263" s="1" t="s">
        <v>34</v>
      </c>
      <c r="H263" s="1" t="s">
        <v>566</v>
      </c>
      <c r="I263" s="1" t="s">
        <v>36</v>
      </c>
      <c r="J263" s="1" t="s">
        <v>37</v>
      </c>
      <c r="K263" s="1" t="s">
        <v>38</v>
      </c>
      <c r="L263" s="1" t="s">
        <v>39</v>
      </c>
      <c r="M263" s="2" t="s">
        <v>519</v>
      </c>
      <c r="N263" s="2"/>
      <c r="O263" s="3">
        <v>2</v>
      </c>
      <c r="P263" s="1" t="s">
        <v>41</v>
      </c>
      <c r="Q263" s="1">
        <v>60.65</v>
      </c>
      <c r="R263" s="1">
        <v>121.3</v>
      </c>
      <c r="S263" s="1" t="s">
        <v>567</v>
      </c>
      <c r="T263" s="1" t="s">
        <v>1068</v>
      </c>
      <c r="U263" s="1" t="s">
        <v>569</v>
      </c>
      <c r="V263" s="1" t="s">
        <v>45</v>
      </c>
      <c r="W263" s="1" t="s">
        <v>38</v>
      </c>
      <c r="X263" t="s">
        <v>38</v>
      </c>
      <c r="Y263" t="s">
        <v>38</v>
      </c>
      <c r="Z263" t="s">
        <v>1075</v>
      </c>
    </row>
    <row r="264" spans="1:26" x14ac:dyDescent="0.25">
      <c r="A264" s="1" t="s">
        <v>1076</v>
      </c>
      <c r="B264" s="1" t="s">
        <v>1067</v>
      </c>
      <c r="C264" s="1" t="s">
        <v>58</v>
      </c>
      <c r="D264" s="1" t="s">
        <v>619</v>
      </c>
      <c r="E264" s="1" t="s">
        <v>619</v>
      </c>
      <c r="F264" s="1" t="s">
        <v>619</v>
      </c>
      <c r="G264" s="1" t="s">
        <v>34</v>
      </c>
      <c r="H264" s="1" t="s">
        <v>566</v>
      </c>
      <c r="I264" s="1" t="s">
        <v>36</v>
      </c>
      <c r="J264" s="1" t="s">
        <v>37</v>
      </c>
      <c r="K264" s="1" t="s">
        <v>38</v>
      </c>
      <c r="L264" s="1" t="s">
        <v>39</v>
      </c>
      <c r="M264" s="2" t="s">
        <v>519</v>
      </c>
      <c r="N264" s="2"/>
      <c r="O264" s="3">
        <v>3</v>
      </c>
      <c r="P264" s="1" t="s">
        <v>41</v>
      </c>
      <c r="Q264" s="1">
        <v>60.65</v>
      </c>
      <c r="R264" s="1">
        <v>181.95</v>
      </c>
      <c r="S264" s="1" t="s">
        <v>567</v>
      </c>
      <c r="T264" s="1" t="s">
        <v>1068</v>
      </c>
      <c r="U264" s="1" t="s">
        <v>569</v>
      </c>
      <c r="V264" s="1" t="s">
        <v>45</v>
      </c>
      <c r="W264" s="1" t="s">
        <v>38</v>
      </c>
      <c r="X264" t="s">
        <v>38</v>
      </c>
      <c r="Y264" t="s">
        <v>38</v>
      </c>
      <c r="Z264" t="s">
        <v>1077</v>
      </c>
    </row>
    <row r="265" spans="1:26" x14ac:dyDescent="0.25">
      <c r="A265" s="1" t="s">
        <v>1078</v>
      </c>
      <c r="B265" s="1" t="s">
        <v>1079</v>
      </c>
      <c r="C265" s="1" t="s">
        <v>565</v>
      </c>
      <c r="D265" s="1" t="s">
        <v>279</v>
      </c>
      <c r="E265" s="1" t="s">
        <v>619</v>
      </c>
      <c r="F265" s="1" t="s">
        <v>845</v>
      </c>
      <c r="G265" s="1" t="s">
        <v>78</v>
      </c>
      <c r="H265" s="1" t="s">
        <v>832</v>
      </c>
      <c r="I265" s="1" t="s">
        <v>69</v>
      </c>
      <c r="J265" s="1" t="s">
        <v>1023</v>
      </c>
      <c r="K265" s="1" t="s">
        <v>38</v>
      </c>
      <c r="L265" s="1" t="s">
        <v>1080</v>
      </c>
      <c r="M265" s="2" t="s">
        <v>1081</v>
      </c>
      <c r="N265" s="2"/>
      <c r="O265" s="3">
        <v>1</v>
      </c>
      <c r="P265" s="1" t="s">
        <v>93</v>
      </c>
      <c r="Q265" s="1">
        <v>60</v>
      </c>
      <c r="R265" s="1">
        <v>60</v>
      </c>
      <c r="S265" s="1" t="s">
        <v>38</v>
      </c>
      <c r="T265" s="1" t="s">
        <v>1026</v>
      </c>
      <c r="U265" s="1" t="s">
        <v>1027</v>
      </c>
      <c r="V265" s="1" t="s">
        <v>45</v>
      </c>
      <c r="W265" s="1" t="s">
        <v>38</v>
      </c>
      <c r="X265" t="s">
        <v>38</v>
      </c>
      <c r="Y265" t="s">
        <v>38</v>
      </c>
      <c r="Z265" t="s">
        <v>1082</v>
      </c>
    </row>
    <row r="266" spans="1:26" x14ac:dyDescent="0.25">
      <c r="A266" s="1" t="s">
        <v>1083</v>
      </c>
      <c r="B266" s="1" t="s">
        <v>1084</v>
      </c>
      <c r="C266" s="1" t="s">
        <v>279</v>
      </c>
      <c r="D266" s="1" t="s">
        <v>619</v>
      </c>
      <c r="E266" s="1" t="s">
        <v>619</v>
      </c>
      <c r="F266" s="1" t="s">
        <v>524</v>
      </c>
      <c r="G266" s="1" t="s">
        <v>67</v>
      </c>
      <c r="H266" s="1" t="s">
        <v>68</v>
      </c>
      <c r="I266" s="1" t="s">
        <v>69</v>
      </c>
      <c r="J266" s="1" t="s">
        <v>70</v>
      </c>
      <c r="K266" s="1" t="s">
        <v>38</v>
      </c>
      <c r="L266" s="1" t="s">
        <v>633</v>
      </c>
      <c r="M266" s="2" t="s">
        <v>1085</v>
      </c>
      <c r="N266" s="2"/>
      <c r="O266" s="3">
        <v>20</v>
      </c>
      <c r="P266" s="1" t="s">
        <v>93</v>
      </c>
      <c r="Q266" s="1">
        <v>210</v>
      </c>
      <c r="R266" s="1">
        <v>4200</v>
      </c>
      <c r="S266" s="1" t="s">
        <v>38</v>
      </c>
      <c r="T266" s="1" t="s">
        <v>1086</v>
      </c>
      <c r="U266" s="1" t="s">
        <v>221</v>
      </c>
      <c r="V266" s="1" t="s">
        <v>45</v>
      </c>
      <c r="W266" s="1" t="s">
        <v>38</v>
      </c>
      <c r="X266" t="s">
        <v>38</v>
      </c>
      <c r="Y266" t="s">
        <v>38</v>
      </c>
      <c r="Z266" t="s">
        <v>1085</v>
      </c>
    </row>
    <row r="267" spans="1:26" x14ac:dyDescent="0.25">
      <c r="A267" s="1" t="s">
        <v>1087</v>
      </c>
      <c r="B267" s="1" t="s">
        <v>1088</v>
      </c>
      <c r="C267" s="1" t="s">
        <v>279</v>
      </c>
      <c r="D267" s="1" t="s">
        <v>619</v>
      </c>
      <c r="E267" s="1" t="s">
        <v>619</v>
      </c>
      <c r="F267" s="1" t="s">
        <v>524</v>
      </c>
      <c r="G267" s="1" t="s">
        <v>67</v>
      </c>
      <c r="H267" s="1" t="s">
        <v>68</v>
      </c>
      <c r="I267" s="1" t="s">
        <v>105</v>
      </c>
      <c r="J267" s="1" t="s">
        <v>70</v>
      </c>
      <c r="K267" s="1" t="s">
        <v>38</v>
      </c>
      <c r="L267" s="1" t="s">
        <v>257</v>
      </c>
      <c r="M267" s="2" t="s">
        <v>1089</v>
      </c>
      <c r="N267" s="2"/>
      <c r="O267" s="3">
        <v>2</v>
      </c>
      <c r="P267" s="1" t="s">
        <v>93</v>
      </c>
      <c r="Q267" s="1">
        <v>162</v>
      </c>
      <c r="R267" s="1">
        <v>324</v>
      </c>
      <c r="S267" s="1" t="s">
        <v>38</v>
      </c>
      <c r="T267" s="1" t="s">
        <v>1090</v>
      </c>
      <c r="U267" s="1" t="s">
        <v>221</v>
      </c>
      <c r="V267" s="1" t="s">
        <v>45</v>
      </c>
      <c r="W267" s="1" t="s">
        <v>38</v>
      </c>
      <c r="X267" t="s">
        <v>38</v>
      </c>
      <c r="Y267" t="s">
        <v>38</v>
      </c>
      <c r="Z267" t="s">
        <v>1091</v>
      </c>
    </row>
    <row r="268" spans="1:26" x14ac:dyDescent="0.25">
      <c r="A268" s="1" t="s">
        <v>1092</v>
      </c>
      <c r="B268" s="1" t="s">
        <v>1093</v>
      </c>
      <c r="C268" s="1" t="s">
        <v>279</v>
      </c>
      <c r="D268" s="1" t="s">
        <v>619</v>
      </c>
      <c r="E268" s="1" t="s">
        <v>619</v>
      </c>
      <c r="F268" s="1" t="s">
        <v>845</v>
      </c>
      <c r="G268" s="1" t="s">
        <v>78</v>
      </c>
      <c r="H268" s="1" t="s">
        <v>68</v>
      </c>
      <c r="I268" s="1" t="s">
        <v>36</v>
      </c>
      <c r="J268" s="1" t="s">
        <v>70</v>
      </c>
      <c r="K268" s="1" t="s">
        <v>38</v>
      </c>
      <c r="L268" s="1" t="s">
        <v>561</v>
      </c>
      <c r="M268" s="2" t="s">
        <v>40</v>
      </c>
      <c r="N268" s="2"/>
      <c r="O268" s="3">
        <v>1</v>
      </c>
      <c r="P268" s="1" t="s">
        <v>360</v>
      </c>
      <c r="Q268" s="1">
        <v>2780</v>
      </c>
      <c r="R268" s="1">
        <v>2780</v>
      </c>
      <c r="S268" s="1" t="s">
        <v>906</v>
      </c>
      <c r="T268" s="1" t="s">
        <v>390</v>
      </c>
      <c r="U268" s="1" t="s">
        <v>1094</v>
      </c>
      <c r="V268" s="1" t="s">
        <v>45</v>
      </c>
      <c r="W268" s="1" t="s">
        <v>38</v>
      </c>
      <c r="X268" t="s">
        <v>38</v>
      </c>
      <c r="Y268" t="s">
        <v>38</v>
      </c>
    </row>
    <row r="269" spans="1:26" x14ac:dyDescent="0.25">
      <c r="A269" s="1" t="s">
        <v>1095</v>
      </c>
      <c r="B269" s="1" t="s">
        <v>1093</v>
      </c>
      <c r="C269" s="1" t="s">
        <v>279</v>
      </c>
      <c r="D269" s="1" t="s">
        <v>619</v>
      </c>
      <c r="E269" s="1" t="s">
        <v>619</v>
      </c>
      <c r="F269" s="1" t="s">
        <v>845</v>
      </c>
      <c r="G269" s="1" t="s">
        <v>78</v>
      </c>
      <c r="H269" s="1" t="s">
        <v>68</v>
      </c>
      <c r="I269" s="1" t="s">
        <v>36</v>
      </c>
      <c r="J269" s="1" t="s">
        <v>70</v>
      </c>
      <c r="K269" s="1" t="s">
        <v>38</v>
      </c>
      <c r="L269" s="1" t="s">
        <v>1096</v>
      </c>
      <c r="M269" s="2" t="s">
        <v>1097</v>
      </c>
      <c r="N269" s="2" t="s">
        <v>38</v>
      </c>
      <c r="O269" s="3">
        <v>1</v>
      </c>
      <c r="P269" s="1" t="s">
        <v>93</v>
      </c>
      <c r="Q269" s="1">
        <v>6300</v>
      </c>
      <c r="R269" s="1">
        <v>6300</v>
      </c>
      <c r="S269" s="1" t="s">
        <v>906</v>
      </c>
      <c r="T269" s="1" t="s">
        <v>390</v>
      </c>
      <c r="U269" s="1" t="s">
        <v>1094</v>
      </c>
      <c r="V269" s="1" t="s">
        <v>45</v>
      </c>
      <c r="W269" s="1" t="s">
        <v>38</v>
      </c>
      <c r="X269" t="s">
        <v>38</v>
      </c>
      <c r="Y269" t="s">
        <v>38</v>
      </c>
      <c r="Z269" t="s">
        <v>1098</v>
      </c>
    </row>
    <row r="270" spans="1:26" x14ac:dyDescent="0.25">
      <c r="A270" s="1" t="s">
        <v>1099</v>
      </c>
      <c r="B270" s="1" t="s">
        <v>1100</v>
      </c>
      <c r="C270" s="1" t="s">
        <v>485</v>
      </c>
      <c r="D270" s="1" t="s">
        <v>619</v>
      </c>
      <c r="E270" s="1" t="s">
        <v>619</v>
      </c>
      <c r="F270" s="1" t="s">
        <v>619</v>
      </c>
      <c r="G270" s="1" t="s">
        <v>34</v>
      </c>
      <c r="H270" s="1" t="s">
        <v>566</v>
      </c>
      <c r="I270" s="1" t="s">
        <v>36</v>
      </c>
      <c r="J270" s="1" t="s">
        <v>1101</v>
      </c>
      <c r="K270" s="1" t="s">
        <v>38</v>
      </c>
      <c r="L270" s="1" t="s">
        <v>39</v>
      </c>
      <c r="M270" s="2" t="s">
        <v>519</v>
      </c>
      <c r="N270" s="2"/>
      <c r="O270" s="3">
        <v>1.55</v>
      </c>
      <c r="P270" s="1" t="s">
        <v>41</v>
      </c>
      <c r="Q270" s="1">
        <v>64.4</v>
      </c>
      <c r="R270" s="1">
        <v>99.82000000000001</v>
      </c>
      <c r="S270" s="1" t="s">
        <v>567</v>
      </c>
      <c r="T270" s="1" t="s">
        <v>1102</v>
      </c>
      <c r="U270" s="1" t="s">
        <v>569</v>
      </c>
      <c r="V270" s="1" t="s">
        <v>45</v>
      </c>
      <c r="W270" s="1" t="s">
        <v>38</v>
      </c>
      <c r="X270" t="s">
        <v>38</v>
      </c>
      <c r="Y270" t="s">
        <v>38</v>
      </c>
      <c r="Z270" t="s">
        <v>570</v>
      </c>
    </row>
    <row r="271" spans="1:26" x14ac:dyDescent="0.25">
      <c r="A271" s="1" t="s">
        <v>1103</v>
      </c>
      <c r="B271" s="1" t="s">
        <v>1104</v>
      </c>
      <c r="C271" s="1" t="s">
        <v>524</v>
      </c>
      <c r="D271" s="1" t="s">
        <v>524</v>
      </c>
      <c r="E271" s="1" t="s">
        <v>524</v>
      </c>
      <c r="F271" s="1" t="s">
        <v>1105</v>
      </c>
      <c r="G271" s="1" t="s">
        <v>78</v>
      </c>
      <c r="H271" s="1" t="s">
        <v>91</v>
      </c>
      <c r="I271" s="1" t="s">
        <v>36</v>
      </c>
      <c r="J271" s="1" t="s">
        <v>70</v>
      </c>
      <c r="K271" s="1" t="s">
        <v>38</v>
      </c>
      <c r="L271" s="1" t="s">
        <v>553</v>
      </c>
      <c r="M271" s="2" t="s">
        <v>1106</v>
      </c>
      <c r="N271" s="2"/>
      <c r="O271" s="3">
        <v>1</v>
      </c>
      <c r="P271" s="1" t="s">
        <v>93</v>
      </c>
      <c r="Q271" s="1">
        <v>250</v>
      </c>
      <c r="R271" s="1">
        <v>250</v>
      </c>
      <c r="S271" s="1" t="s">
        <v>275</v>
      </c>
      <c r="T271" s="1" t="s">
        <v>1107</v>
      </c>
      <c r="U271" s="1" t="s">
        <v>116</v>
      </c>
      <c r="V271" s="1" t="s">
        <v>45</v>
      </c>
      <c r="W271" s="1" t="s">
        <v>38</v>
      </c>
      <c r="X271" t="s">
        <v>38</v>
      </c>
      <c r="Y271" t="s">
        <v>38</v>
      </c>
      <c r="Z271" t="s">
        <v>1108</v>
      </c>
    </row>
    <row r="272" spans="1:26" x14ac:dyDescent="0.25">
      <c r="A272" s="1" t="s">
        <v>1109</v>
      </c>
      <c r="B272" s="1" t="s">
        <v>1104</v>
      </c>
      <c r="C272" s="1" t="s">
        <v>524</v>
      </c>
      <c r="D272" s="1" t="s">
        <v>524</v>
      </c>
      <c r="E272" s="1" t="s">
        <v>524</v>
      </c>
      <c r="F272" s="1" t="s">
        <v>1105</v>
      </c>
      <c r="G272" s="1" t="s">
        <v>78</v>
      </c>
      <c r="H272" s="1" t="s">
        <v>91</v>
      </c>
      <c r="I272" s="1" t="s">
        <v>36</v>
      </c>
      <c r="J272" s="1" t="s">
        <v>70</v>
      </c>
      <c r="K272" s="1" t="s">
        <v>38</v>
      </c>
      <c r="L272" s="1" t="s">
        <v>553</v>
      </c>
      <c r="M272" s="2" t="s">
        <v>1110</v>
      </c>
      <c r="N272" s="2"/>
      <c r="O272" s="3">
        <v>1</v>
      </c>
      <c r="P272" s="1" t="s">
        <v>93</v>
      </c>
      <c r="Q272" s="1">
        <v>30</v>
      </c>
      <c r="R272" s="1">
        <v>30</v>
      </c>
      <c r="S272" s="1" t="s">
        <v>275</v>
      </c>
      <c r="T272" s="1" t="s">
        <v>1107</v>
      </c>
      <c r="U272" s="1" t="s">
        <v>116</v>
      </c>
      <c r="V272" s="1" t="s">
        <v>45</v>
      </c>
      <c r="W272" s="1" t="s">
        <v>38</v>
      </c>
      <c r="X272" t="s">
        <v>38</v>
      </c>
      <c r="Y272" t="s">
        <v>38</v>
      </c>
      <c r="Z272" t="s">
        <v>1111</v>
      </c>
    </row>
    <row r="273" spans="1:26" x14ac:dyDescent="0.25">
      <c r="A273" s="1" t="s">
        <v>1112</v>
      </c>
      <c r="B273" s="1" t="s">
        <v>1113</v>
      </c>
      <c r="C273" s="1" t="s">
        <v>524</v>
      </c>
      <c r="D273" s="1" t="s">
        <v>524</v>
      </c>
      <c r="E273" s="1" t="s">
        <v>524</v>
      </c>
      <c r="F273" s="1" t="s">
        <v>1105</v>
      </c>
      <c r="G273" s="1" t="s">
        <v>78</v>
      </c>
      <c r="H273" s="1" t="s">
        <v>104</v>
      </c>
      <c r="I273" s="1" t="s">
        <v>105</v>
      </c>
      <c r="J273" s="1" t="s">
        <v>70</v>
      </c>
      <c r="K273" s="1" t="s">
        <v>38</v>
      </c>
      <c r="L273" s="1" t="s">
        <v>1114</v>
      </c>
      <c r="M273" s="2" t="s">
        <v>72</v>
      </c>
      <c r="N273" s="2"/>
      <c r="O273" s="3">
        <v>1</v>
      </c>
      <c r="P273" s="1" t="s">
        <v>455</v>
      </c>
      <c r="Q273" s="1">
        <v>1100</v>
      </c>
      <c r="R273" s="1">
        <v>1100</v>
      </c>
      <c r="S273" s="1" t="s">
        <v>38</v>
      </c>
      <c r="T273" s="1" t="s">
        <v>427</v>
      </c>
      <c r="U273" s="1" t="s">
        <v>109</v>
      </c>
      <c r="V273" s="1" t="s">
        <v>45</v>
      </c>
      <c r="W273" s="1" t="s">
        <v>38</v>
      </c>
      <c r="X273" t="s">
        <v>38</v>
      </c>
      <c r="Y273" t="s">
        <v>38</v>
      </c>
      <c r="Z273" t="s">
        <v>1115</v>
      </c>
    </row>
    <row r="274" spans="1:26" x14ac:dyDescent="0.25">
      <c r="A274" s="1" t="s">
        <v>1116</v>
      </c>
      <c r="B274" s="1" t="s">
        <v>1113</v>
      </c>
      <c r="C274" s="1" t="s">
        <v>524</v>
      </c>
      <c r="D274" s="1" t="s">
        <v>524</v>
      </c>
      <c r="E274" s="1" t="s">
        <v>524</v>
      </c>
      <c r="F274" s="1" t="s">
        <v>1105</v>
      </c>
      <c r="G274" s="1" t="s">
        <v>78</v>
      </c>
      <c r="H274" s="1" t="s">
        <v>104</v>
      </c>
      <c r="I274" s="1" t="s">
        <v>105</v>
      </c>
      <c r="J274" s="1" t="s">
        <v>70</v>
      </c>
      <c r="K274" s="1" t="s">
        <v>38</v>
      </c>
      <c r="L274" s="1" t="s">
        <v>1117</v>
      </c>
      <c r="M274" s="2" t="s">
        <v>72</v>
      </c>
      <c r="N274" s="2"/>
      <c r="O274" s="3">
        <v>1</v>
      </c>
      <c r="P274" s="1" t="s">
        <v>455</v>
      </c>
      <c r="Q274" s="1">
        <v>2625</v>
      </c>
      <c r="R274" s="1">
        <v>2625</v>
      </c>
      <c r="S274" s="1" t="s">
        <v>38</v>
      </c>
      <c r="T274" s="1" t="s">
        <v>427</v>
      </c>
      <c r="U274" s="1" t="s">
        <v>109</v>
      </c>
      <c r="V274" s="1" t="s">
        <v>45</v>
      </c>
      <c r="W274" s="1" t="s">
        <v>38</v>
      </c>
      <c r="X274" t="s">
        <v>38</v>
      </c>
      <c r="Y274" t="s">
        <v>38</v>
      </c>
      <c r="Z274" t="s">
        <v>1115</v>
      </c>
    </row>
    <row r="275" spans="1:26" x14ac:dyDescent="0.25">
      <c r="A275" s="1" t="s">
        <v>1118</v>
      </c>
      <c r="B275" s="1" t="s">
        <v>1119</v>
      </c>
      <c r="C275" s="1" t="s">
        <v>619</v>
      </c>
      <c r="D275" s="1" t="s">
        <v>524</v>
      </c>
      <c r="E275" s="1" t="s">
        <v>524</v>
      </c>
      <c r="F275" s="1" t="s">
        <v>1105</v>
      </c>
      <c r="G275" s="1" t="s">
        <v>78</v>
      </c>
      <c r="H275" s="1" t="s">
        <v>91</v>
      </c>
      <c r="I275" s="1" t="s">
        <v>36</v>
      </c>
      <c r="J275" s="1" t="s">
        <v>70</v>
      </c>
      <c r="K275" s="1" t="s">
        <v>38</v>
      </c>
      <c r="L275" s="1" t="s">
        <v>1120</v>
      </c>
      <c r="M275" s="2" t="s">
        <v>699</v>
      </c>
      <c r="N275" s="2"/>
      <c r="O275" s="3">
        <v>2</v>
      </c>
      <c r="P275" s="1" t="s">
        <v>93</v>
      </c>
      <c r="Q275" s="1">
        <v>70</v>
      </c>
      <c r="R275" s="1">
        <v>140</v>
      </c>
      <c r="S275" s="1" t="s">
        <v>201</v>
      </c>
      <c r="T275" s="1" t="s">
        <v>427</v>
      </c>
      <c r="U275" s="1" t="s">
        <v>875</v>
      </c>
      <c r="V275" s="1" t="s">
        <v>45</v>
      </c>
      <c r="W275" s="1" t="s">
        <v>38</v>
      </c>
      <c r="X275" t="s">
        <v>38</v>
      </c>
      <c r="Y275" t="s">
        <v>38</v>
      </c>
      <c r="Z275" t="s">
        <v>700</v>
      </c>
    </row>
    <row r="276" spans="1:26" x14ac:dyDescent="0.25">
      <c r="A276" s="1" t="s">
        <v>1121</v>
      </c>
      <c r="B276" s="1" t="s">
        <v>1122</v>
      </c>
      <c r="C276" s="1" t="s">
        <v>524</v>
      </c>
      <c r="D276" s="1" t="s">
        <v>524</v>
      </c>
      <c r="E276" s="1" t="s">
        <v>524</v>
      </c>
      <c r="F276" s="1" t="s">
        <v>1105</v>
      </c>
      <c r="G276" s="1" t="s">
        <v>50</v>
      </c>
      <c r="H276" s="1" t="s">
        <v>642</v>
      </c>
      <c r="I276" s="1" t="s">
        <v>69</v>
      </c>
      <c r="J276" s="1" t="s">
        <v>511</v>
      </c>
      <c r="K276" s="1" t="s">
        <v>38</v>
      </c>
      <c r="L276" s="1" t="s">
        <v>1123</v>
      </c>
      <c r="M276" s="2" t="s">
        <v>1124</v>
      </c>
      <c r="N276" s="2"/>
      <c r="O276" s="3">
        <v>8</v>
      </c>
      <c r="P276" s="1" t="s">
        <v>381</v>
      </c>
      <c r="Q276" s="1">
        <v>30</v>
      </c>
      <c r="R276" s="1">
        <v>240</v>
      </c>
      <c r="S276" s="1" t="s">
        <v>38</v>
      </c>
      <c r="T276" s="1" t="s">
        <v>1125</v>
      </c>
      <c r="U276" s="1" t="s">
        <v>74</v>
      </c>
      <c r="V276" s="1" t="s">
        <v>45</v>
      </c>
      <c r="W276" s="1" t="s">
        <v>38</v>
      </c>
      <c r="X276" t="s">
        <v>38</v>
      </c>
      <c r="Y276" t="s">
        <v>38</v>
      </c>
      <c r="Z276" t="s">
        <v>1126</v>
      </c>
    </row>
    <row r="277" spans="1:26" x14ac:dyDescent="0.25">
      <c r="A277" s="1" t="s">
        <v>1127</v>
      </c>
      <c r="B277" s="1" t="s">
        <v>1128</v>
      </c>
      <c r="C277" s="1" t="s">
        <v>678</v>
      </c>
      <c r="D277" s="1" t="s">
        <v>524</v>
      </c>
      <c r="E277" s="1" t="s">
        <v>524</v>
      </c>
      <c r="F277" s="1" t="s">
        <v>1129</v>
      </c>
      <c r="G277" s="1" t="s">
        <v>67</v>
      </c>
      <c r="H277" s="1" t="s">
        <v>68</v>
      </c>
      <c r="I277" s="1" t="s">
        <v>69</v>
      </c>
      <c r="J277" s="1" t="s">
        <v>81</v>
      </c>
      <c r="K277" s="1" t="s">
        <v>38</v>
      </c>
      <c r="L277" s="1" t="s">
        <v>1000</v>
      </c>
      <c r="M277" s="2" t="s">
        <v>1005</v>
      </c>
      <c r="N277" s="2" t="s">
        <v>38</v>
      </c>
      <c r="O277" s="3">
        <v>2</v>
      </c>
      <c r="P277" s="1" t="s">
        <v>93</v>
      </c>
      <c r="Q277" s="1">
        <v>650</v>
      </c>
      <c r="R277" s="1">
        <v>1300</v>
      </c>
      <c r="S277" s="1" t="s">
        <v>38</v>
      </c>
      <c r="T277" s="1" t="s">
        <v>1002</v>
      </c>
      <c r="U277" s="1" t="s">
        <v>629</v>
      </c>
      <c r="V277" s="1" t="s">
        <v>45</v>
      </c>
      <c r="W277" s="1" t="s">
        <v>38</v>
      </c>
      <c r="X277" t="s">
        <v>38</v>
      </c>
      <c r="Y277" t="s">
        <v>38</v>
      </c>
      <c r="Z277" t="s">
        <v>1130</v>
      </c>
    </row>
    <row r="278" spans="1:26" x14ac:dyDescent="0.25">
      <c r="A278" s="1" t="s">
        <v>1131</v>
      </c>
      <c r="B278" s="1" t="s">
        <v>1132</v>
      </c>
      <c r="C278" s="1" t="s">
        <v>524</v>
      </c>
      <c r="D278" s="1" t="s">
        <v>524</v>
      </c>
      <c r="E278" s="1" t="s">
        <v>524</v>
      </c>
      <c r="F278" s="1" t="s">
        <v>1133</v>
      </c>
      <c r="G278" s="1" t="s">
        <v>34</v>
      </c>
      <c r="H278" s="1" t="s">
        <v>280</v>
      </c>
      <c r="I278" s="1" t="s">
        <v>319</v>
      </c>
      <c r="J278" s="1" t="s">
        <v>1134</v>
      </c>
      <c r="K278" s="1" t="s">
        <v>38</v>
      </c>
      <c r="L278" s="1" t="s">
        <v>1135</v>
      </c>
      <c r="M278" s="2" t="s">
        <v>1136</v>
      </c>
      <c r="N278" s="2"/>
      <c r="O278" s="3">
        <v>2</v>
      </c>
      <c r="P278" s="1" t="s">
        <v>93</v>
      </c>
      <c r="Q278" s="1">
        <v>55</v>
      </c>
      <c r="R278" s="1">
        <v>110</v>
      </c>
      <c r="S278" s="1" t="s">
        <v>38</v>
      </c>
      <c r="T278" s="1" t="s">
        <v>1137</v>
      </c>
      <c r="U278" s="1" t="s">
        <v>283</v>
      </c>
      <c r="V278" s="1" t="s">
        <v>45</v>
      </c>
      <c r="W278" s="1" t="s">
        <v>38</v>
      </c>
      <c r="X278" t="s">
        <v>38</v>
      </c>
      <c r="Y278" t="s">
        <v>38</v>
      </c>
      <c r="Z278" t="s">
        <v>1138</v>
      </c>
    </row>
    <row r="279" spans="1:26" x14ac:dyDescent="0.25">
      <c r="A279" s="1" t="s">
        <v>1139</v>
      </c>
      <c r="B279" s="1" t="s">
        <v>1140</v>
      </c>
      <c r="C279" s="1" t="s">
        <v>524</v>
      </c>
      <c r="D279" s="1" t="s">
        <v>524</v>
      </c>
      <c r="E279" s="1" t="s">
        <v>845</v>
      </c>
      <c r="F279" s="1" t="s">
        <v>1105</v>
      </c>
      <c r="G279" s="1" t="s">
        <v>78</v>
      </c>
      <c r="H279" s="1" t="s">
        <v>91</v>
      </c>
      <c r="I279" s="1" t="s">
        <v>36</v>
      </c>
      <c r="J279" s="1" t="s">
        <v>1141</v>
      </c>
      <c r="K279" s="1" t="s">
        <v>38</v>
      </c>
      <c r="L279" s="1" t="s">
        <v>1142</v>
      </c>
      <c r="M279" s="2" t="s">
        <v>72</v>
      </c>
      <c r="N279" s="2"/>
      <c r="O279" s="3">
        <v>50</v>
      </c>
      <c r="P279" s="1" t="s">
        <v>381</v>
      </c>
      <c r="Q279" s="1">
        <v>35</v>
      </c>
      <c r="R279" s="1">
        <v>1750</v>
      </c>
      <c r="S279" s="1" t="s">
        <v>1143</v>
      </c>
      <c r="T279" s="1" t="s">
        <v>1144</v>
      </c>
      <c r="U279" s="1" t="s">
        <v>1145</v>
      </c>
      <c r="V279" s="1" t="s">
        <v>45</v>
      </c>
      <c r="W279" s="1" t="s">
        <v>38</v>
      </c>
      <c r="X279" t="s">
        <v>38</v>
      </c>
      <c r="Y279" t="s">
        <v>38</v>
      </c>
      <c r="Z279" t="s">
        <v>1146</v>
      </c>
    </row>
    <row r="280" spans="1:26" x14ac:dyDescent="0.25">
      <c r="A280" s="1" t="s">
        <v>1147</v>
      </c>
      <c r="B280" s="1" t="s">
        <v>1148</v>
      </c>
      <c r="C280" s="1" t="s">
        <v>524</v>
      </c>
      <c r="D280" s="1" t="s">
        <v>524</v>
      </c>
      <c r="E280" s="1" t="s">
        <v>524</v>
      </c>
      <c r="F280" s="1" t="s">
        <v>845</v>
      </c>
      <c r="G280" s="1" t="s">
        <v>67</v>
      </c>
      <c r="H280" s="1" t="s">
        <v>68</v>
      </c>
      <c r="I280" s="1" t="s">
        <v>69</v>
      </c>
      <c r="J280" s="1" t="s">
        <v>70</v>
      </c>
      <c r="K280" s="1" t="s">
        <v>38</v>
      </c>
      <c r="L280" s="1" t="s">
        <v>1149</v>
      </c>
      <c r="M280" s="2" t="s">
        <v>1150</v>
      </c>
      <c r="N280" s="2"/>
      <c r="O280" s="3">
        <v>30</v>
      </c>
      <c r="P280" s="1" t="s">
        <v>93</v>
      </c>
      <c r="Q280" s="1">
        <v>10</v>
      </c>
      <c r="R280" s="1">
        <v>300</v>
      </c>
      <c r="S280" s="1" t="s">
        <v>38</v>
      </c>
      <c r="T280" s="1" t="s">
        <v>1151</v>
      </c>
      <c r="U280" s="1" t="s">
        <v>629</v>
      </c>
      <c r="V280" s="1" t="s">
        <v>45</v>
      </c>
      <c r="W280" s="1" t="s">
        <v>38</v>
      </c>
      <c r="X280" t="s">
        <v>38</v>
      </c>
      <c r="Y280" t="s">
        <v>38</v>
      </c>
      <c r="Z280" t="s">
        <v>1150</v>
      </c>
    </row>
    <row r="281" spans="1:26" x14ac:dyDescent="0.25">
      <c r="A281" s="1" t="s">
        <v>1152</v>
      </c>
      <c r="B281" s="1" t="s">
        <v>1148</v>
      </c>
      <c r="C281" s="1" t="s">
        <v>524</v>
      </c>
      <c r="D281" s="1" t="s">
        <v>524</v>
      </c>
      <c r="E281" s="1" t="s">
        <v>524</v>
      </c>
      <c r="F281" s="1" t="s">
        <v>845</v>
      </c>
      <c r="G281" s="1" t="s">
        <v>67</v>
      </c>
      <c r="H281" s="1" t="s">
        <v>68</v>
      </c>
      <c r="I281" s="1" t="s">
        <v>69</v>
      </c>
      <c r="J281" s="1" t="s">
        <v>70</v>
      </c>
      <c r="K281" s="1" t="s">
        <v>38</v>
      </c>
      <c r="L281" s="1" t="s">
        <v>1149</v>
      </c>
      <c r="M281" s="2" t="s">
        <v>1153</v>
      </c>
      <c r="N281" s="2"/>
      <c r="O281" s="3">
        <v>30</v>
      </c>
      <c r="P281" s="1" t="s">
        <v>93</v>
      </c>
      <c r="Q281" s="1">
        <v>15</v>
      </c>
      <c r="R281" s="1">
        <v>450</v>
      </c>
      <c r="S281" s="1" t="s">
        <v>38</v>
      </c>
      <c r="T281" s="1" t="s">
        <v>1151</v>
      </c>
      <c r="U281" s="1" t="s">
        <v>629</v>
      </c>
      <c r="V281" s="1" t="s">
        <v>45</v>
      </c>
      <c r="W281" s="1" t="s">
        <v>38</v>
      </c>
      <c r="X281" t="s">
        <v>38</v>
      </c>
      <c r="Y281" t="s">
        <v>38</v>
      </c>
      <c r="Z281" t="s">
        <v>1153</v>
      </c>
    </row>
    <row r="282" spans="1:26" x14ac:dyDescent="0.25">
      <c r="A282" s="1" t="s">
        <v>1154</v>
      </c>
      <c r="B282" s="1" t="s">
        <v>1148</v>
      </c>
      <c r="C282" s="1" t="s">
        <v>524</v>
      </c>
      <c r="D282" s="1" t="s">
        <v>524</v>
      </c>
      <c r="E282" s="1" t="s">
        <v>524</v>
      </c>
      <c r="F282" s="1" t="s">
        <v>845</v>
      </c>
      <c r="G282" s="1" t="s">
        <v>67</v>
      </c>
      <c r="H282" s="1" t="s">
        <v>68</v>
      </c>
      <c r="I282" s="1" t="s">
        <v>69</v>
      </c>
      <c r="J282" s="1" t="s">
        <v>70</v>
      </c>
      <c r="K282" s="1" t="s">
        <v>38</v>
      </c>
      <c r="L282" s="1" t="s">
        <v>1149</v>
      </c>
      <c r="M282" s="2" t="s">
        <v>1155</v>
      </c>
      <c r="N282" s="2"/>
      <c r="O282" s="3">
        <v>30</v>
      </c>
      <c r="P282" s="1" t="s">
        <v>93</v>
      </c>
      <c r="Q282" s="1">
        <v>25</v>
      </c>
      <c r="R282" s="1">
        <v>750</v>
      </c>
      <c r="S282" s="1" t="s">
        <v>38</v>
      </c>
      <c r="T282" s="1" t="s">
        <v>1151</v>
      </c>
      <c r="U282" s="1" t="s">
        <v>629</v>
      </c>
      <c r="V282" s="1" t="s">
        <v>45</v>
      </c>
      <c r="W282" s="1" t="s">
        <v>38</v>
      </c>
      <c r="X282" t="s">
        <v>38</v>
      </c>
      <c r="Y282" t="s">
        <v>38</v>
      </c>
      <c r="Z282" t="s">
        <v>1156</v>
      </c>
    </row>
    <row r="283" spans="1:26" x14ac:dyDescent="0.25">
      <c r="A283" s="1" t="s">
        <v>1157</v>
      </c>
      <c r="B283" s="1" t="s">
        <v>1158</v>
      </c>
      <c r="C283" s="1" t="s">
        <v>619</v>
      </c>
      <c r="D283" s="1" t="s">
        <v>524</v>
      </c>
      <c r="E283" s="1" t="s">
        <v>524</v>
      </c>
      <c r="F283" s="1" t="s">
        <v>845</v>
      </c>
      <c r="G283" s="1" t="s">
        <v>78</v>
      </c>
      <c r="H283" s="1" t="s">
        <v>68</v>
      </c>
      <c r="I283" s="1" t="s">
        <v>36</v>
      </c>
      <c r="J283" s="1" t="s">
        <v>70</v>
      </c>
      <c r="K283" s="1" t="s">
        <v>38</v>
      </c>
      <c r="L283" s="1" t="s">
        <v>1159</v>
      </c>
      <c r="M283" s="2" t="s">
        <v>72</v>
      </c>
      <c r="N283" s="2"/>
      <c r="O283" s="3">
        <v>1</v>
      </c>
      <c r="P283" s="1" t="s">
        <v>360</v>
      </c>
      <c r="Q283" s="1">
        <v>250</v>
      </c>
      <c r="R283" s="1">
        <v>250</v>
      </c>
      <c r="S283" s="1" t="s">
        <v>385</v>
      </c>
      <c r="T283" s="1" t="s">
        <v>1160</v>
      </c>
      <c r="U283" s="1" t="s">
        <v>1161</v>
      </c>
      <c r="V283" s="1" t="s">
        <v>45</v>
      </c>
      <c r="W283" s="1" t="s">
        <v>38</v>
      </c>
      <c r="X283" t="s">
        <v>38</v>
      </c>
      <c r="Y283" t="s">
        <v>38</v>
      </c>
    </row>
    <row r="284" spans="1:26" x14ac:dyDescent="0.25">
      <c r="A284" s="1" t="s">
        <v>1162</v>
      </c>
      <c r="B284" s="1" t="s">
        <v>1163</v>
      </c>
      <c r="C284" s="1" t="s">
        <v>619</v>
      </c>
      <c r="D284" s="1" t="s">
        <v>524</v>
      </c>
      <c r="E284" s="1" t="s">
        <v>524</v>
      </c>
      <c r="F284" s="1" t="s">
        <v>845</v>
      </c>
      <c r="G284" s="1" t="s">
        <v>78</v>
      </c>
      <c r="H284" s="1" t="s">
        <v>68</v>
      </c>
      <c r="I284" s="1" t="s">
        <v>36</v>
      </c>
      <c r="J284" s="1" t="s">
        <v>70</v>
      </c>
      <c r="K284" s="1" t="s">
        <v>38</v>
      </c>
      <c r="L284" s="1" t="s">
        <v>1164</v>
      </c>
      <c r="M284" s="2" t="s">
        <v>1165</v>
      </c>
      <c r="N284" s="2"/>
      <c r="O284" s="3">
        <v>1</v>
      </c>
      <c r="P284" s="1" t="s">
        <v>93</v>
      </c>
      <c r="Q284" s="1">
        <v>1900</v>
      </c>
      <c r="R284" s="1">
        <v>1900</v>
      </c>
      <c r="S284" s="1" t="s">
        <v>906</v>
      </c>
      <c r="T284" s="1" t="s">
        <v>1015</v>
      </c>
      <c r="U284" s="1" t="s">
        <v>1094</v>
      </c>
      <c r="V284" s="1" t="s">
        <v>45</v>
      </c>
      <c r="W284" s="1" t="s">
        <v>38</v>
      </c>
      <c r="X284" t="s">
        <v>38</v>
      </c>
      <c r="Y284" t="s">
        <v>38</v>
      </c>
      <c r="Z284" t="s">
        <v>1166</v>
      </c>
    </row>
    <row r="285" spans="1:26" x14ac:dyDescent="0.25">
      <c r="A285" s="1" t="s">
        <v>1167</v>
      </c>
      <c r="B285" s="1" t="s">
        <v>1168</v>
      </c>
      <c r="C285" s="1" t="s">
        <v>524</v>
      </c>
      <c r="D285" s="1" t="s">
        <v>524</v>
      </c>
      <c r="E285" s="1" t="s">
        <v>524</v>
      </c>
      <c r="F285" s="1" t="s">
        <v>524</v>
      </c>
      <c r="G285" s="1" t="s">
        <v>78</v>
      </c>
      <c r="H285" s="1" t="s">
        <v>91</v>
      </c>
      <c r="I285" s="1" t="s">
        <v>36</v>
      </c>
      <c r="J285" s="1" t="s">
        <v>37</v>
      </c>
      <c r="K285" s="1" t="s">
        <v>38</v>
      </c>
      <c r="L285" s="1" t="s">
        <v>39</v>
      </c>
      <c r="M285" s="2" t="s">
        <v>1169</v>
      </c>
      <c r="N285" s="2"/>
      <c r="O285" s="3">
        <v>1</v>
      </c>
      <c r="P285" s="1" t="s">
        <v>1170</v>
      </c>
      <c r="Q285" s="1">
        <v>2000</v>
      </c>
      <c r="R285" s="1">
        <v>2000</v>
      </c>
      <c r="S285" s="1" t="s">
        <v>275</v>
      </c>
      <c r="T285" s="1" t="s">
        <v>1171</v>
      </c>
      <c r="U285" s="1" t="s">
        <v>116</v>
      </c>
      <c r="V285" s="1" t="s">
        <v>45</v>
      </c>
      <c r="W285" s="1" t="s">
        <v>38</v>
      </c>
      <c r="X285" t="s">
        <v>38</v>
      </c>
      <c r="Y285" t="s">
        <v>38</v>
      </c>
      <c r="Z285" t="s">
        <v>1172</v>
      </c>
    </row>
    <row r="286" spans="1:26" x14ac:dyDescent="0.25">
      <c r="A286" s="1" t="s">
        <v>1173</v>
      </c>
      <c r="B286" s="1" t="s">
        <v>1174</v>
      </c>
      <c r="C286" s="1" t="s">
        <v>524</v>
      </c>
      <c r="D286" s="1" t="s">
        <v>524</v>
      </c>
      <c r="E286" s="1" t="s">
        <v>524</v>
      </c>
      <c r="F286" s="1" t="s">
        <v>1105</v>
      </c>
      <c r="G286" s="1" t="s">
        <v>78</v>
      </c>
      <c r="H286" s="1" t="s">
        <v>91</v>
      </c>
      <c r="I286" s="1" t="s">
        <v>36</v>
      </c>
      <c r="J286" s="1" t="s">
        <v>70</v>
      </c>
      <c r="K286" s="1" t="s">
        <v>38</v>
      </c>
      <c r="L286" s="1" t="s">
        <v>257</v>
      </c>
      <c r="M286" s="2" t="s">
        <v>72</v>
      </c>
      <c r="N286" s="2"/>
      <c r="O286" s="3">
        <v>2</v>
      </c>
      <c r="P286" s="1" t="s">
        <v>93</v>
      </c>
      <c r="Q286" s="1">
        <v>620</v>
      </c>
      <c r="R286" s="1">
        <v>1240</v>
      </c>
      <c r="S286" s="1" t="s">
        <v>159</v>
      </c>
      <c r="T286" s="1" t="s">
        <v>427</v>
      </c>
      <c r="U286" s="1" t="s">
        <v>499</v>
      </c>
      <c r="V286" s="1" t="s">
        <v>45</v>
      </c>
      <c r="W286" s="1" t="s">
        <v>38</v>
      </c>
      <c r="X286" t="s">
        <v>38</v>
      </c>
      <c r="Y286" t="s">
        <v>38</v>
      </c>
    </row>
    <row r="287" spans="1:26" x14ac:dyDescent="0.25">
      <c r="A287" s="1" t="s">
        <v>1175</v>
      </c>
      <c r="B287" s="1" t="s">
        <v>1176</v>
      </c>
      <c r="C287" s="1" t="s">
        <v>524</v>
      </c>
      <c r="D287" s="1" t="s">
        <v>845</v>
      </c>
      <c r="E287" s="1" t="s">
        <v>845</v>
      </c>
      <c r="F287" s="1" t="s">
        <v>845</v>
      </c>
      <c r="G287" s="1" t="s">
        <v>34</v>
      </c>
      <c r="H287" s="1" t="s">
        <v>35</v>
      </c>
      <c r="I287" s="1" t="s">
        <v>1177</v>
      </c>
      <c r="J287" s="1" t="s">
        <v>295</v>
      </c>
      <c r="K287" s="1" t="s">
        <v>38</v>
      </c>
      <c r="L287" s="1" t="s">
        <v>1178</v>
      </c>
      <c r="M287" s="2" t="s">
        <v>1179</v>
      </c>
      <c r="N287" s="2"/>
      <c r="O287" s="3">
        <v>4</v>
      </c>
      <c r="P287" s="1" t="s">
        <v>93</v>
      </c>
      <c r="Q287" s="1">
        <v>113.95</v>
      </c>
      <c r="R287" s="1">
        <v>455.8</v>
      </c>
      <c r="S287" s="1" t="s">
        <v>38</v>
      </c>
      <c r="T287" s="1" t="s">
        <v>1180</v>
      </c>
      <c r="U287" s="1" t="s">
        <v>1181</v>
      </c>
      <c r="V287" s="1" t="s">
        <v>45</v>
      </c>
      <c r="W287" s="1" t="s">
        <v>38</v>
      </c>
      <c r="X287" t="s">
        <v>38</v>
      </c>
      <c r="Y287" t="s">
        <v>38</v>
      </c>
      <c r="Z287" t="s">
        <v>1182</v>
      </c>
    </row>
    <row r="288" spans="1:26" x14ac:dyDescent="0.25">
      <c r="A288" s="1" t="s">
        <v>1183</v>
      </c>
      <c r="B288" s="1" t="s">
        <v>1184</v>
      </c>
      <c r="C288" s="1" t="s">
        <v>524</v>
      </c>
      <c r="D288" s="1" t="s">
        <v>524</v>
      </c>
      <c r="E288" s="1" t="s">
        <v>845</v>
      </c>
      <c r="F288" s="1" t="s">
        <v>1133</v>
      </c>
      <c r="G288" s="1" t="s">
        <v>34</v>
      </c>
      <c r="H288" s="1" t="s">
        <v>35</v>
      </c>
      <c r="I288" s="1" t="s">
        <v>404</v>
      </c>
      <c r="J288" s="1" t="s">
        <v>1185</v>
      </c>
      <c r="K288" s="1" t="s">
        <v>38</v>
      </c>
      <c r="L288" s="1" t="s">
        <v>1186</v>
      </c>
      <c r="M288" s="2" t="s">
        <v>1187</v>
      </c>
      <c r="N288" s="2" t="s">
        <v>38</v>
      </c>
      <c r="O288" s="3">
        <v>1</v>
      </c>
      <c r="P288" s="1" t="s">
        <v>93</v>
      </c>
      <c r="Q288" s="1">
        <v>100</v>
      </c>
      <c r="R288" s="1">
        <v>100</v>
      </c>
      <c r="S288" s="1" t="s">
        <v>38</v>
      </c>
      <c r="T288" s="1" t="s">
        <v>1188</v>
      </c>
      <c r="U288" s="1" t="s">
        <v>1181</v>
      </c>
      <c r="V288" s="1" t="s">
        <v>45</v>
      </c>
      <c r="W288" s="1" t="s">
        <v>38</v>
      </c>
      <c r="X288" t="s">
        <v>38</v>
      </c>
      <c r="Y288" t="s">
        <v>38</v>
      </c>
      <c r="Z288" t="s">
        <v>38</v>
      </c>
    </row>
    <row r="289" spans="1:26" x14ac:dyDescent="0.25">
      <c r="A289" s="1" t="s">
        <v>1189</v>
      </c>
      <c r="B289" s="1" t="s">
        <v>1190</v>
      </c>
      <c r="C289" s="1" t="s">
        <v>524</v>
      </c>
      <c r="D289" s="1" t="s">
        <v>845</v>
      </c>
      <c r="E289" s="1" t="s">
        <v>1133</v>
      </c>
      <c r="F289" s="1" t="s">
        <v>1105</v>
      </c>
      <c r="G289" s="1" t="s">
        <v>78</v>
      </c>
      <c r="H289" s="1" t="s">
        <v>91</v>
      </c>
      <c r="I289" s="1" t="s">
        <v>36</v>
      </c>
      <c r="J289" s="1" t="s">
        <v>70</v>
      </c>
      <c r="K289" s="1" t="s">
        <v>38</v>
      </c>
      <c r="L289" s="1" t="s">
        <v>756</v>
      </c>
      <c r="M289" s="2" t="s">
        <v>72</v>
      </c>
      <c r="N289" s="2"/>
      <c r="O289" s="3">
        <v>1</v>
      </c>
      <c r="P289" s="1" t="s">
        <v>93</v>
      </c>
      <c r="Q289" s="1">
        <v>10000</v>
      </c>
      <c r="R289" s="1">
        <v>10000</v>
      </c>
      <c r="S289" s="1" t="s">
        <v>812</v>
      </c>
      <c r="T289" s="1" t="s">
        <v>427</v>
      </c>
      <c r="U289" s="1" t="s">
        <v>813</v>
      </c>
      <c r="V289" s="1" t="s">
        <v>45</v>
      </c>
      <c r="W289" s="1" t="s">
        <v>38</v>
      </c>
      <c r="X289" t="s">
        <v>38</v>
      </c>
      <c r="Y289" t="s">
        <v>38</v>
      </c>
      <c r="Z289" t="s">
        <v>1191</v>
      </c>
    </row>
    <row r="290" spans="1:26" x14ac:dyDescent="0.25">
      <c r="A290" s="1" t="s">
        <v>1192</v>
      </c>
      <c r="B290" s="1" t="s">
        <v>1190</v>
      </c>
      <c r="C290" s="1" t="s">
        <v>524</v>
      </c>
      <c r="D290" s="1" t="s">
        <v>845</v>
      </c>
      <c r="E290" s="1" t="s">
        <v>1133</v>
      </c>
      <c r="F290" s="1" t="s">
        <v>1105</v>
      </c>
      <c r="G290" s="1" t="s">
        <v>78</v>
      </c>
      <c r="H290" s="1" t="s">
        <v>91</v>
      </c>
      <c r="I290" s="1" t="s">
        <v>36</v>
      </c>
      <c r="J290" s="1" t="s">
        <v>70</v>
      </c>
      <c r="K290" s="1" t="s">
        <v>38</v>
      </c>
      <c r="L290" s="1" t="s">
        <v>503</v>
      </c>
      <c r="M290" s="2" t="s">
        <v>1193</v>
      </c>
      <c r="N290" s="2"/>
      <c r="O290" s="3">
        <v>2</v>
      </c>
      <c r="P290" s="1" t="s">
        <v>93</v>
      </c>
      <c r="Q290" s="1">
        <v>250</v>
      </c>
      <c r="R290" s="1">
        <v>500</v>
      </c>
      <c r="S290" s="1" t="s">
        <v>812</v>
      </c>
      <c r="T290" s="1" t="s">
        <v>427</v>
      </c>
      <c r="U290" s="1" t="s">
        <v>813</v>
      </c>
      <c r="V290" s="1" t="s">
        <v>45</v>
      </c>
      <c r="W290" s="1" t="s">
        <v>38</v>
      </c>
      <c r="X290" t="s">
        <v>38</v>
      </c>
      <c r="Y290" t="s">
        <v>38</v>
      </c>
      <c r="Z290" t="s">
        <v>1193</v>
      </c>
    </row>
    <row r="291" spans="1:26" x14ac:dyDescent="0.25">
      <c r="A291" s="1" t="s">
        <v>1194</v>
      </c>
      <c r="B291" s="1" t="s">
        <v>1190</v>
      </c>
      <c r="C291" s="1" t="s">
        <v>524</v>
      </c>
      <c r="D291" s="1" t="s">
        <v>845</v>
      </c>
      <c r="E291" s="1" t="s">
        <v>1133</v>
      </c>
      <c r="F291" s="1" t="s">
        <v>1105</v>
      </c>
      <c r="G291" s="1" t="s">
        <v>78</v>
      </c>
      <c r="H291" s="1" t="s">
        <v>91</v>
      </c>
      <c r="I291" s="1" t="s">
        <v>36</v>
      </c>
      <c r="J291" s="1" t="s">
        <v>413</v>
      </c>
      <c r="K291" s="1" t="s">
        <v>38</v>
      </c>
      <c r="L291" s="1" t="s">
        <v>783</v>
      </c>
      <c r="M291" s="2" t="s">
        <v>72</v>
      </c>
      <c r="N291" s="2"/>
      <c r="O291" s="3">
        <v>1</v>
      </c>
      <c r="P291" s="1" t="s">
        <v>93</v>
      </c>
      <c r="Q291" s="1">
        <v>4500</v>
      </c>
      <c r="R291" s="1">
        <v>4500</v>
      </c>
      <c r="S291" s="1" t="s">
        <v>812</v>
      </c>
      <c r="T291" s="1" t="s">
        <v>427</v>
      </c>
      <c r="U291" s="1" t="s">
        <v>813</v>
      </c>
      <c r="V291" s="1" t="s">
        <v>45</v>
      </c>
      <c r="W291" s="1" t="s">
        <v>38</v>
      </c>
      <c r="X291" t="s">
        <v>38</v>
      </c>
      <c r="Y291" t="s">
        <v>38</v>
      </c>
      <c r="Z291" t="s">
        <v>1195</v>
      </c>
    </row>
    <row r="292" spans="1:26" x14ac:dyDescent="0.25">
      <c r="A292" s="1" t="s">
        <v>1196</v>
      </c>
      <c r="B292" s="1" t="s">
        <v>1197</v>
      </c>
      <c r="C292" s="1" t="s">
        <v>845</v>
      </c>
      <c r="D292" s="1" t="s">
        <v>845</v>
      </c>
      <c r="E292" s="1" t="s">
        <v>845</v>
      </c>
      <c r="F292" s="1" t="s">
        <v>1133</v>
      </c>
      <c r="G292" s="1" t="s">
        <v>50</v>
      </c>
      <c r="H292" s="1" t="s">
        <v>35</v>
      </c>
      <c r="I292" s="1" t="s">
        <v>69</v>
      </c>
      <c r="J292" s="1" t="s">
        <v>1198</v>
      </c>
      <c r="K292" s="1" t="s">
        <v>38</v>
      </c>
      <c r="L292" s="1" t="s">
        <v>1199</v>
      </c>
      <c r="M292" s="2" t="s">
        <v>40</v>
      </c>
      <c r="N292" s="2"/>
      <c r="O292" s="3">
        <v>2</v>
      </c>
      <c r="P292" s="1" t="s">
        <v>93</v>
      </c>
      <c r="Q292" s="1">
        <v>500</v>
      </c>
      <c r="R292" s="1">
        <v>1000</v>
      </c>
      <c r="S292" s="1" t="s">
        <v>38</v>
      </c>
      <c r="T292" s="1" t="s">
        <v>1200</v>
      </c>
      <c r="U292" s="1" t="s">
        <v>1201</v>
      </c>
      <c r="V292" s="1" t="s">
        <v>45</v>
      </c>
      <c r="W292" s="1" t="s">
        <v>38</v>
      </c>
      <c r="X292" t="s">
        <v>38</v>
      </c>
      <c r="Y292" t="s">
        <v>38</v>
      </c>
      <c r="Z292" t="s">
        <v>1202</v>
      </c>
    </row>
    <row r="293" spans="1:26" x14ac:dyDescent="0.25">
      <c r="A293" s="1" t="s">
        <v>1203</v>
      </c>
      <c r="B293" s="1" t="s">
        <v>1197</v>
      </c>
      <c r="C293" s="1" t="s">
        <v>845</v>
      </c>
      <c r="D293" s="1" t="s">
        <v>845</v>
      </c>
      <c r="E293" s="1" t="s">
        <v>845</v>
      </c>
      <c r="F293" s="1" t="s">
        <v>1133</v>
      </c>
      <c r="G293" s="1" t="s">
        <v>50</v>
      </c>
      <c r="H293" s="1" t="s">
        <v>35</v>
      </c>
      <c r="I293" s="1" t="s">
        <v>69</v>
      </c>
      <c r="J293" s="1" t="s">
        <v>1198</v>
      </c>
      <c r="K293" s="1" t="s">
        <v>38</v>
      </c>
      <c r="L293" s="1" t="s">
        <v>1000</v>
      </c>
      <c r="M293" s="2" t="s">
        <v>1204</v>
      </c>
      <c r="N293" s="2"/>
      <c r="O293" s="3">
        <v>4</v>
      </c>
      <c r="P293" s="1" t="s">
        <v>93</v>
      </c>
      <c r="Q293" s="1">
        <v>15</v>
      </c>
      <c r="R293" s="1">
        <v>60</v>
      </c>
      <c r="S293" s="1" t="s">
        <v>38</v>
      </c>
      <c r="T293" s="1" t="s">
        <v>1200</v>
      </c>
      <c r="U293" s="1" t="s">
        <v>1201</v>
      </c>
      <c r="V293" s="1" t="s">
        <v>45</v>
      </c>
      <c r="W293" s="1" t="s">
        <v>38</v>
      </c>
      <c r="X293" t="s">
        <v>38</v>
      </c>
      <c r="Y293" t="s">
        <v>38</v>
      </c>
      <c r="Z293" t="s">
        <v>1205</v>
      </c>
    </row>
    <row r="294" spans="1:26" x14ac:dyDescent="0.25">
      <c r="A294" s="1" t="s">
        <v>1206</v>
      </c>
      <c r="B294" s="1" t="s">
        <v>1207</v>
      </c>
      <c r="C294" s="1" t="s">
        <v>524</v>
      </c>
      <c r="D294" s="1" t="s">
        <v>845</v>
      </c>
      <c r="E294" s="1" t="s">
        <v>845</v>
      </c>
      <c r="F294" s="1" t="s">
        <v>1133</v>
      </c>
      <c r="G294" s="1" t="s">
        <v>34</v>
      </c>
      <c r="H294" s="1" t="s">
        <v>280</v>
      </c>
      <c r="I294" s="1" t="s">
        <v>36</v>
      </c>
      <c r="J294" s="1" t="s">
        <v>37</v>
      </c>
      <c r="K294" s="1" t="s">
        <v>38</v>
      </c>
      <c r="L294" s="1" t="s">
        <v>39</v>
      </c>
      <c r="M294" s="2" t="s">
        <v>60</v>
      </c>
      <c r="N294" s="2"/>
      <c r="O294" s="3">
        <v>5</v>
      </c>
      <c r="P294" s="1" t="s">
        <v>41</v>
      </c>
      <c r="Q294" s="1">
        <v>59.55</v>
      </c>
      <c r="R294" s="1">
        <v>297.75</v>
      </c>
      <c r="S294" s="1" t="s">
        <v>281</v>
      </c>
      <c r="T294" s="1" t="s">
        <v>1208</v>
      </c>
      <c r="U294" s="1" t="s">
        <v>283</v>
      </c>
      <c r="V294" s="1" t="s">
        <v>45</v>
      </c>
      <c r="W294" s="1" t="s">
        <v>38</v>
      </c>
      <c r="X294" t="s">
        <v>38</v>
      </c>
      <c r="Y294" t="s">
        <v>38</v>
      </c>
      <c r="Z294" t="s">
        <v>284</v>
      </c>
    </row>
    <row r="295" spans="1:26" x14ac:dyDescent="0.25">
      <c r="A295" s="1" t="s">
        <v>1209</v>
      </c>
      <c r="B295" s="1" t="s">
        <v>1210</v>
      </c>
      <c r="C295" s="1" t="s">
        <v>845</v>
      </c>
      <c r="D295" s="1" t="s">
        <v>845</v>
      </c>
      <c r="E295" s="1" t="s">
        <v>1133</v>
      </c>
      <c r="F295" s="1" t="s">
        <v>1105</v>
      </c>
      <c r="G295" s="1" t="s">
        <v>78</v>
      </c>
      <c r="H295" s="1" t="s">
        <v>68</v>
      </c>
      <c r="I295" s="1" t="s">
        <v>36</v>
      </c>
      <c r="J295" s="1" t="s">
        <v>70</v>
      </c>
      <c r="K295" s="1" t="s">
        <v>38</v>
      </c>
      <c r="L295" s="1" t="s">
        <v>1211</v>
      </c>
      <c r="M295" s="2" t="s">
        <v>40</v>
      </c>
      <c r="N295" s="2"/>
      <c r="O295" s="3">
        <v>1</v>
      </c>
      <c r="P295" s="1" t="s">
        <v>93</v>
      </c>
      <c r="Q295" s="1">
        <v>550</v>
      </c>
      <c r="R295" s="1">
        <v>550</v>
      </c>
      <c r="S295" s="1" t="s">
        <v>94</v>
      </c>
      <c r="T295" s="1" t="s">
        <v>855</v>
      </c>
      <c r="U295" s="1" t="s">
        <v>1161</v>
      </c>
      <c r="V295" s="1" t="s">
        <v>45</v>
      </c>
      <c r="W295" s="1" t="s">
        <v>38</v>
      </c>
      <c r="X295" t="s">
        <v>38</v>
      </c>
      <c r="Y295" t="s">
        <v>38</v>
      </c>
    </row>
    <row r="296" spans="1:26" x14ac:dyDescent="0.25">
      <c r="A296" s="1" t="s">
        <v>1212</v>
      </c>
      <c r="B296" s="1" t="s">
        <v>1210</v>
      </c>
      <c r="C296" s="1" t="s">
        <v>845</v>
      </c>
      <c r="D296" s="1" t="s">
        <v>845</v>
      </c>
      <c r="E296" s="1" t="s">
        <v>1133</v>
      </c>
      <c r="F296" s="1" t="s">
        <v>1105</v>
      </c>
      <c r="G296" s="1" t="s">
        <v>78</v>
      </c>
      <c r="H296" s="1" t="s">
        <v>68</v>
      </c>
      <c r="I296" s="1" t="s">
        <v>36</v>
      </c>
      <c r="J296" s="1" t="s">
        <v>70</v>
      </c>
      <c r="K296" s="1" t="s">
        <v>38</v>
      </c>
      <c r="L296" s="1" t="s">
        <v>1213</v>
      </c>
      <c r="M296" s="2" t="s">
        <v>1214</v>
      </c>
      <c r="N296" s="2"/>
      <c r="O296" s="3">
        <v>1</v>
      </c>
      <c r="P296" s="1" t="s">
        <v>93</v>
      </c>
      <c r="Q296" s="1">
        <v>370</v>
      </c>
      <c r="R296" s="1">
        <v>370</v>
      </c>
      <c r="S296" s="1" t="s">
        <v>94</v>
      </c>
      <c r="T296" s="1" t="s">
        <v>855</v>
      </c>
      <c r="U296" s="1" t="s">
        <v>1161</v>
      </c>
      <c r="V296" s="1" t="s">
        <v>45</v>
      </c>
      <c r="W296" s="1" t="s">
        <v>38</v>
      </c>
      <c r="X296" t="s">
        <v>38</v>
      </c>
      <c r="Y296" t="s">
        <v>38</v>
      </c>
      <c r="Z296" t="s">
        <v>1214</v>
      </c>
    </row>
    <row r="297" spans="1:26" x14ac:dyDescent="0.25">
      <c r="A297" s="1" t="s">
        <v>1215</v>
      </c>
      <c r="B297" s="1" t="s">
        <v>1216</v>
      </c>
      <c r="C297" s="1" t="s">
        <v>845</v>
      </c>
      <c r="D297" s="1" t="s">
        <v>845</v>
      </c>
      <c r="E297" s="1" t="s">
        <v>1133</v>
      </c>
      <c r="F297" s="1" t="s">
        <v>1105</v>
      </c>
      <c r="G297" s="1" t="s">
        <v>67</v>
      </c>
      <c r="H297" s="1" t="s">
        <v>68</v>
      </c>
      <c r="I297" s="1" t="s">
        <v>69</v>
      </c>
      <c r="J297" s="1" t="s">
        <v>70</v>
      </c>
      <c r="K297" s="1" t="s">
        <v>38</v>
      </c>
      <c r="L297" s="1" t="s">
        <v>71</v>
      </c>
      <c r="M297" s="2" t="s">
        <v>1217</v>
      </c>
      <c r="N297" s="2"/>
      <c r="O297" s="3">
        <v>12</v>
      </c>
      <c r="P297" s="1" t="s">
        <v>93</v>
      </c>
      <c r="Q297" s="1">
        <v>185</v>
      </c>
      <c r="R297" s="1">
        <v>2220</v>
      </c>
      <c r="S297" s="1" t="s">
        <v>38</v>
      </c>
      <c r="T297" s="1" t="s">
        <v>1218</v>
      </c>
      <c r="U297" s="1" t="s">
        <v>221</v>
      </c>
      <c r="V297" s="1" t="s">
        <v>45</v>
      </c>
      <c r="W297" s="1" t="s">
        <v>38</v>
      </c>
      <c r="X297" t="s">
        <v>38</v>
      </c>
      <c r="Y297" t="s">
        <v>38</v>
      </c>
      <c r="Z297" t="s">
        <v>1219</v>
      </c>
    </row>
    <row r="298" spans="1:26" x14ac:dyDescent="0.25">
      <c r="A298" s="1" t="s">
        <v>1220</v>
      </c>
      <c r="B298" s="1" t="s">
        <v>1216</v>
      </c>
      <c r="C298" s="1" t="s">
        <v>845</v>
      </c>
      <c r="D298" s="1" t="s">
        <v>845</v>
      </c>
      <c r="E298" s="1" t="s">
        <v>1133</v>
      </c>
      <c r="F298" s="1" t="s">
        <v>1105</v>
      </c>
      <c r="G298" s="1" t="s">
        <v>67</v>
      </c>
      <c r="H298" s="1" t="s">
        <v>68</v>
      </c>
      <c r="I298" s="1" t="s">
        <v>69</v>
      </c>
      <c r="J298" s="1" t="s">
        <v>70</v>
      </c>
      <c r="K298" s="1" t="s">
        <v>38</v>
      </c>
      <c r="L298" s="1" t="s">
        <v>1221</v>
      </c>
      <c r="M298" s="2" t="s">
        <v>610</v>
      </c>
      <c r="N298" s="2"/>
      <c r="O298" s="3">
        <v>12</v>
      </c>
      <c r="P298" s="1" t="s">
        <v>93</v>
      </c>
      <c r="Q298" s="1">
        <v>170</v>
      </c>
      <c r="R298" s="1">
        <v>2040</v>
      </c>
      <c r="S298" s="1" t="s">
        <v>38</v>
      </c>
      <c r="T298" s="1" t="s">
        <v>1218</v>
      </c>
      <c r="U298" s="1" t="s">
        <v>221</v>
      </c>
      <c r="V298" s="1" t="s">
        <v>45</v>
      </c>
      <c r="W298" s="1" t="s">
        <v>38</v>
      </c>
      <c r="X298" t="s">
        <v>38</v>
      </c>
      <c r="Y298" t="s">
        <v>38</v>
      </c>
      <c r="Z298" t="s">
        <v>1222</v>
      </c>
    </row>
    <row r="299" spans="1:26" x14ac:dyDescent="0.25">
      <c r="A299" s="1" t="s">
        <v>1223</v>
      </c>
      <c r="B299" s="1" t="s">
        <v>1224</v>
      </c>
      <c r="C299" s="1" t="s">
        <v>1133</v>
      </c>
      <c r="D299" s="1" t="s">
        <v>1133</v>
      </c>
      <c r="E299" s="1" t="s">
        <v>1133</v>
      </c>
      <c r="F299" s="1" t="s">
        <v>1105</v>
      </c>
      <c r="G299" s="1" t="s">
        <v>50</v>
      </c>
      <c r="H299" s="1" t="s">
        <v>642</v>
      </c>
      <c r="I299" s="1" t="s">
        <v>69</v>
      </c>
      <c r="J299" s="1" t="s">
        <v>70</v>
      </c>
      <c r="K299" s="1" t="s">
        <v>38</v>
      </c>
      <c r="L299" s="1" t="s">
        <v>1225</v>
      </c>
      <c r="M299" s="2" t="s">
        <v>1226</v>
      </c>
      <c r="N299" s="2"/>
      <c r="O299" s="3">
        <v>15</v>
      </c>
      <c r="P299" s="1" t="s">
        <v>374</v>
      </c>
      <c r="Q299" s="1">
        <v>47</v>
      </c>
      <c r="R299" s="1">
        <v>705</v>
      </c>
      <c r="S299" s="1" t="s">
        <v>38</v>
      </c>
      <c r="T299" s="1" t="s">
        <v>1227</v>
      </c>
      <c r="U299" s="1" t="s">
        <v>343</v>
      </c>
      <c r="V299" s="1" t="s">
        <v>45</v>
      </c>
      <c r="W299" s="1" t="s">
        <v>38</v>
      </c>
      <c r="X299" t="s">
        <v>38</v>
      </c>
      <c r="Y299" t="s">
        <v>38</v>
      </c>
      <c r="Z299" t="s">
        <v>1228</v>
      </c>
    </row>
    <row r="300" spans="1:26" x14ac:dyDescent="0.25">
      <c r="A300" s="1" t="s">
        <v>1229</v>
      </c>
      <c r="B300" s="1" t="s">
        <v>1224</v>
      </c>
      <c r="C300" s="1" t="s">
        <v>1133</v>
      </c>
      <c r="D300" s="1" t="s">
        <v>1133</v>
      </c>
      <c r="E300" s="1" t="s">
        <v>1133</v>
      </c>
      <c r="F300" s="1" t="s">
        <v>1105</v>
      </c>
      <c r="G300" s="1" t="s">
        <v>50</v>
      </c>
      <c r="H300" s="1" t="s">
        <v>642</v>
      </c>
      <c r="I300" s="1" t="s">
        <v>69</v>
      </c>
      <c r="J300" s="1" t="s">
        <v>70</v>
      </c>
      <c r="K300" s="1" t="s">
        <v>38</v>
      </c>
      <c r="L300" s="1" t="s">
        <v>1230</v>
      </c>
      <c r="M300" s="2" t="s">
        <v>1231</v>
      </c>
      <c r="N300" s="2"/>
      <c r="O300" s="3">
        <v>12</v>
      </c>
      <c r="P300" s="1" t="s">
        <v>93</v>
      </c>
      <c r="Q300" s="1">
        <v>6</v>
      </c>
      <c r="R300" s="1">
        <v>72</v>
      </c>
      <c r="S300" s="1" t="s">
        <v>38</v>
      </c>
      <c r="T300" s="1" t="s">
        <v>1227</v>
      </c>
      <c r="U300" s="1" t="s">
        <v>343</v>
      </c>
      <c r="V300" s="1" t="s">
        <v>45</v>
      </c>
      <c r="W300" s="1" t="s">
        <v>38</v>
      </c>
      <c r="X300" t="s">
        <v>38</v>
      </c>
      <c r="Y300" t="s">
        <v>38</v>
      </c>
      <c r="Z300" t="s">
        <v>1232</v>
      </c>
    </row>
    <row r="301" spans="1:26" x14ac:dyDescent="0.25">
      <c r="A301" s="1" t="s">
        <v>1233</v>
      </c>
      <c r="B301" s="1" t="s">
        <v>1224</v>
      </c>
      <c r="C301" s="1" t="s">
        <v>1133</v>
      </c>
      <c r="D301" s="1" t="s">
        <v>1133</v>
      </c>
      <c r="E301" s="1" t="s">
        <v>1133</v>
      </c>
      <c r="F301" s="1" t="s">
        <v>1105</v>
      </c>
      <c r="G301" s="1" t="s">
        <v>50</v>
      </c>
      <c r="H301" s="1" t="s">
        <v>642</v>
      </c>
      <c r="I301" s="1" t="s">
        <v>69</v>
      </c>
      <c r="J301" s="1" t="s">
        <v>70</v>
      </c>
      <c r="K301" s="1" t="s">
        <v>38</v>
      </c>
      <c r="L301" s="1" t="s">
        <v>1234</v>
      </c>
      <c r="M301" s="2" t="s">
        <v>610</v>
      </c>
      <c r="N301" s="2"/>
      <c r="O301" s="3">
        <v>2</v>
      </c>
      <c r="P301" s="1" t="s">
        <v>207</v>
      </c>
      <c r="Q301" s="1">
        <v>72</v>
      </c>
      <c r="R301" s="1">
        <v>144</v>
      </c>
      <c r="S301" s="1" t="s">
        <v>38</v>
      </c>
      <c r="T301" s="1" t="s">
        <v>1227</v>
      </c>
      <c r="U301" s="1" t="s">
        <v>343</v>
      </c>
      <c r="V301" s="1" t="s">
        <v>45</v>
      </c>
      <c r="W301" s="1" t="s">
        <v>38</v>
      </c>
      <c r="X301" t="s">
        <v>38</v>
      </c>
      <c r="Y301" t="s">
        <v>38</v>
      </c>
      <c r="Z301" t="s">
        <v>800</v>
      </c>
    </row>
    <row r="302" spans="1:26" x14ac:dyDescent="0.25">
      <c r="A302" s="1" t="s">
        <v>1235</v>
      </c>
      <c r="B302" s="1" t="s">
        <v>1224</v>
      </c>
      <c r="C302" s="1" t="s">
        <v>1133</v>
      </c>
      <c r="D302" s="1" t="s">
        <v>1133</v>
      </c>
      <c r="E302" s="1" t="s">
        <v>1133</v>
      </c>
      <c r="F302" s="1" t="s">
        <v>1105</v>
      </c>
      <c r="G302" s="1" t="s">
        <v>50</v>
      </c>
      <c r="H302" s="1" t="s">
        <v>642</v>
      </c>
      <c r="I302" s="1" t="s">
        <v>69</v>
      </c>
      <c r="J302" s="1" t="s">
        <v>70</v>
      </c>
      <c r="K302" s="1" t="s">
        <v>38</v>
      </c>
      <c r="L302" s="1" t="s">
        <v>1236</v>
      </c>
      <c r="M302" s="2" t="s">
        <v>1237</v>
      </c>
      <c r="N302" s="2"/>
      <c r="O302" s="3">
        <v>2</v>
      </c>
      <c r="P302" s="1" t="s">
        <v>93</v>
      </c>
      <c r="Q302" s="1">
        <v>7</v>
      </c>
      <c r="R302" s="1">
        <v>14</v>
      </c>
      <c r="S302" s="1" t="s">
        <v>38</v>
      </c>
      <c r="T302" s="1" t="s">
        <v>1227</v>
      </c>
      <c r="U302" s="1" t="s">
        <v>343</v>
      </c>
      <c r="V302" s="1" t="s">
        <v>45</v>
      </c>
      <c r="W302" s="1" t="s">
        <v>38</v>
      </c>
      <c r="X302" t="s">
        <v>38</v>
      </c>
      <c r="Y302" t="s">
        <v>38</v>
      </c>
      <c r="Z302" t="s">
        <v>1238</v>
      </c>
    </row>
    <row r="303" spans="1:26" x14ac:dyDescent="0.25">
      <c r="A303" s="1" t="s">
        <v>1239</v>
      </c>
      <c r="B303" s="1" t="s">
        <v>1224</v>
      </c>
      <c r="C303" s="1" t="s">
        <v>1133</v>
      </c>
      <c r="D303" s="1" t="s">
        <v>1133</v>
      </c>
      <c r="E303" s="1" t="s">
        <v>1133</v>
      </c>
      <c r="F303" s="1" t="s">
        <v>1105</v>
      </c>
      <c r="G303" s="1" t="s">
        <v>50</v>
      </c>
      <c r="H303" s="1" t="s">
        <v>642</v>
      </c>
      <c r="I303" s="1" t="s">
        <v>69</v>
      </c>
      <c r="J303" s="1" t="s">
        <v>70</v>
      </c>
      <c r="K303" s="1" t="s">
        <v>38</v>
      </c>
      <c r="L303" s="1" t="s">
        <v>805</v>
      </c>
      <c r="M303" s="2" t="s">
        <v>610</v>
      </c>
      <c r="N303" s="2"/>
      <c r="O303" s="3">
        <v>1</v>
      </c>
      <c r="P303" s="1" t="s">
        <v>93</v>
      </c>
      <c r="Q303" s="1">
        <v>40</v>
      </c>
      <c r="R303" s="1">
        <v>40</v>
      </c>
      <c r="S303" s="1" t="s">
        <v>38</v>
      </c>
      <c r="T303" s="1" t="s">
        <v>1227</v>
      </c>
      <c r="U303" s="1" t="s">
        <v>343</v>
      </c>
      <c r="V303" s="1" t="s">
        <v>45</v>
      </c>
      <c r="W303" s="1" t="s">
        <v>38</v>
      </c>
      <c r="X303" t="s">
        <v>38</v>
      </c>
      <c r="Y303" t="s">
        <v>38</v>
      </c>
      <c r="Z303" t="s">
        <v>800</v>
      </c>
    </row>
    <row r="304" spans="1:26" x14ac:dyDescent="0.25">
      <c r="A304" s="1" t="s">
        <v>1240</v>
      </c>
      <c r="B304" s="1" t="s">
        <v>1224</v>
      </c>
      <c r="C304" s="1" t="s">
        <v>1133</v>
      </c>
      <c r="D304" s="1" t="s">
        <v>1133</v>
      </c>
      <c r="E304" s="1" t="s">
        <v>1133</v>
      </c>
      <c r="F304" s="1" t="s">
        <v>1105</v>
      </c>
      <c r="G304" s="1" t="s">
        <v>50</v>
      </c>
      <c r="H304" s="1" t="s">
        <v>642</v>
      </c>
      <c r="I304" s="1" t="s">
        <v>69</v>
      </c>
      <c r="J304" s="1" t="s">
        <v>70</v>
      </c>
      <c r="K304" s="1" t="s">
        <v>38</v>
      </c>
      <c r="L304" s="1" t="s">
        <v>627</v>
      </c>
      <c r="M304" s="2" t="s">
        <v>380</v>
      </c>
      <c r="N304" s="2"/>
      <c r="O304" s="3">
        <v>15</v>
      </c>
      <c r="P304" s="1" t="s">
        <v>93</v>
      </c>
      <c r="Q304" s="1">
        <v>1.5</v>
      </c>
      <c r="R304" s="1">
        <v>22.5</v>
      </c>
      <c r="S304" s="1" t="s">
        <v>38</v>
      </c>
      <c r="T304" s="1" t="s">
        <v>1227</v>
      </c>
      <c r="U304" s="1" t="s">
        <v>343</v>
      </c>
      <c r="V304" s="1" t="s">
        <v>45</v>
      </c>
      <c r="W304" s="1" t="s">
        <v>38</v>
      </c>
      <c r="X304" t="s">
        <v>38</v>
      </c>
      <c r="Y304" t="s">
        <v>38</v>
      </c>
      <c r="Z304" t="s">
        <v>380</v>
      </c>
    </row>
    <row r="305" spans="1:26" x14ac:dyDescent="0.25">
      <c r="A305" s="1" t="s">
        <v>1241</v>
      </c>
      <c r="B305" s="1" t="s">
        <v>1224</v>
      </c>
      <c r="C305" s="1" t="s">
        <v>1133</v>
      </c>
      <c r="D305" s="1" t="s">
        <v>1133</v>
      </c>
      <c r="E305" s="1" t="s">
        <v>1133</v>
      </c>
      <c r="F305" s="1" t="s">
        <v>1105</v>
      </c>
      <c r="G305" s="1" t="s">
        <v>50</v>
      </c>
      <c r="H305" s="1" t="s">
        <v>642</v>
      </c>
      <c r="I305" s="1" t="s">
        <v>69</v>
      </c>
      <c r="J305" s="1" t="s">
        <v>70</v>
      </c>
      <c r="K305" s="1" t="s">
        <v>38</v>
      </c>
      <c r="L305" s="1" t="s">
        <v>627</v>
      </c>
      <c r="M305" s="2" t="s">
        <v>597</v>
      </c>
      <c r="N305" s="2"/>
      <c r="O305" s="3">
        <v>5</v>
      </c>
      <c r="P305" s="1" t="s">
        <v>93</v>
      </c>
      <c r="Q305" s="1">
        <v>2</v>
      </c>
      <c r="R305" s="1">
        <v>10</v>
      </c>
      <c r="S305" s="1" t="s">
        <v>38</v>
      </c>
      <c r="T305" s="1" t="s">
        <v>1227</v>
      </c>
      <c r="U305" s="1" t="s">
        <v>343</v>
      </c>
      <c r="V305" s="1" t="s">
        <v>45</v>
      </c>
      <c r="W305" s="1" t="s">
        <v>38</v>
      </c>
      <c r="X305" t="s">
        <v>38</v>
      </c>
      <c r="Y305" t="s">
        <v>38</v>
      </c>
      <c r="Z305" t="s">
        <v>597</v>
      </c>
    </row>
    <row r="306" spans="1:26" x14ac:dyDescent="0.25">
      <c r="A306" s="1" t="s">
        <v>1242</v>
      </c>
      <c r="B306" s="1" t="s">
        <v>1243</v>
      </c>
      <c r="C306" s="1" t="s">
        <v>1133</v>
      </c>
      <c r="D306" s="1" t="s">
        <v>1133</v>
      </c>
      <c r="E306" s="1" t="s">
        <v>1133</v>
      </c>
      <c r="F306" s="1" t="s">
        <v>1105</v>
      </c>
      <c r="G306" s="1" t="s">
        <v>50</v>
      </c>
      <c r="H306" s="1" t="s">
        <v>642</v>
      </c>
      <c r="I306" s="1" t="s">
        <v>69</v>
      </c>
      <c r="J306" s="1" t="s">
        <v>70</v>
      </c>
      <c r="K306" s="1" t="s">
        <v>38</v>
      </c>
      <c r="L306" s="1" t="s">
        <v>1244</v>
      </c>
      <c r="M306" s="2" t="s">
        <v>1245</v>
      </c>
      <c r="N306" s="2"/>
      <c r="O306" s="3">
        <v>1</v>
      </c>
      <c r="P306" s="1" t="s">
        <v>93</v>
      </c>
      <c r="Q306" s="1">
        <v>49</v>
      </c>
      <c r="R306" s="1">
        <v>49</v>
      </c>
      <c r="S306" s="1" t="s">
        <v>38</v>
      </c>
      <c r="T306" s="1" t="s">
        <v>1246</v>
      </c>
      <c r="U306" s="1" t="s">
        <v>343</v>
      </c>
      <c r="V306" s="1" t="s">
        <v>45</v>
      </c>
      <c r="W306" s="1" t="s">
        <v>38</v>
      </c>
      <c r="X306" t="s">
        <v>38</v>
      </c>
      <c r="Y306" t="s">
        <v>38</v>
      </c>
      <c r="Z306" t="s">
        <v>1245</v>
      </c>
    </row>
    <row r="307" spans="1:26" x14ac:dyDescent="0.25">
      <c r="A307" s="1" t="s">
        <v>1247</v>
      </c>
      <c r="B307" s="1" t="s">
        <v>1243</v>
      </c>
      <c r="C307" s="1" t="s">
        <v>1133</v>
      </c>
      <c r="D307" s="1" t="s">
        <v>1133</v>
      </c>
      <c r="E307" s="1" t="s">
        <v>1133</v>
      </c>
      <c r="F307" s="1" t="s">
        <v>1105</v>
      </c>
      <c r="G307" s="1" t="s">
        <v>50</v>
      </c>
      <c r="H307" s="1" t="s">
        <v>642</v>
      </c>
      <c r="I307" s="1" t="s">
        <v>69</v>
      </c>
      <c r="J307" s="1" t="s">
        <v>70</v>
      </c>
      <c r="K307" s="1" t="s">
        <v>38</v>
      </c>
      <c r="L307" s="1" t="s">
        <v>1248</v>
      </c>
      <c r="M307" s="2" t="s">
        <v>1249</v>
      </c>
      <c r="N307" s="2"/>
      <c r="O307" s="3">
        <v>1</v>
      </c>
      <c r="P307" s="1" t="s">
        <v>93</v>
      </c>
      <c r="Q307" s="1">
        <v>27</v>
      </c>
      <c r="R307" s="1">
        <v>27</v>
      </c>
      <c r="S307" s="1" t="s">
        <v>38</v>
      </c>
      <c r="T307" s="1" t="s">
        <v>1246</v>
      </c>
      <c r="U307" s="1" t="s">
        <v>343</v>
      </c>
      <c r="V307" s="1" t="s">
        <v>45</v>
      </c>
      <c r="W307" s="1" t="s">
        <v>38</v>
      </c>
      <c r="X307" t="s">
        <v>38</v>
      </c>
      <c r="Y307" t="s">
        <v>38</v>
      </c>
      <c r="Z307" t="s">
        <v>1249</v>
      </c>
    </row>
    <row r="308" spans="1:26" x14ac:dyDescent="0.25">
      <c r="A308" s="1" t="s">
        <v>1250</v>
      </c>
      <c r="B308" s="1" t="s">
        <v>1243</v>
      </c>
      <c r="C308" s="1" t="s">
        <v>1133</v>
      </c>
      <c r="D308" s="1" t="s">
        <v>1133</v>
      </c>
      <c r="E308" s="1" t="s">
        <v>1133</v>
      </c>
      <c r="F308" s="1" t="s">
        <v>1105</v>
      </c>
      <c r="G308" s="1" t="s">
        <v>50</v>
      </c>
      <c r="H308" s="1" t="s">
        <v>642</v>
      </c>
      <c r="I308" s="1" t="s">
        <v>69</v>
      </c>
      <c r="J308" s="1" t="s">
        <v>70</v>
      </c>
      <c r="K308" s="1" t="s">
        <v>38</v>
      </c>
      <c r="L308" s="1" t="s">
        <v>1251</v>
      </c>
      <c r="M308" s="2" t="s">
        <v>1252</v>
      </c>
      <c r="N308" s="2"/>
      <c r="O308" s="3">
        <v>1</v>
      </c>
      <c r="P308" s="1" t="s">
        <v>93</v>
      </c>
      <c r="Q308" s="1">
        <v>22</v>
      </c>
      <c r="R308" s="1">
        <v>22</v>
      </c>
      <c r="S308" s="1" t="s">
        <v>38</v>
      </c>
      <c r="T308" s="1" t="s">
        <v>1246</v>
      </c>
      <c r="U308" s="1" t="s">
        <v>343</v>
      </c>
      <c r="V308" s="1" t="s">
        <v>45</v>
      </c>
      <c r="W308" s="1" t="s">
        <v>38</v>
      </c>
      <c r="X308" t="s">
        <v>38</v>
      </c>
      <c r="Y308" t="s">
        <v>38</v>
      </c>
      <c r="Z308" t="s">
        <v>1252</v>
      </c>
    </row>
    <row r="309" spans="1:26" x14ac:dyDescent="0.25">
      <c r="A309" s="1" t="s">
        <v>1253</v>
      </c>
      <c r="B309" s="1" t="s">
        <v>1243</v>
      </c>
      <c r="C309" s="1" t="s">
        <v>1133</v>
      </c>
      <c r="D309" s="1" t="s">
        <v>1133</v>
      </c>
      <c r="E309" s="1" t="s">
        <v>1133</v>
      </c>
      <c r="F309" s="1" t="s">
        <v>1105</v>
      </c>
      <c r="G309" s="1" t="s">
        <v>50</v>
      </c>
      <c r="H309" s="1" t="s">
        <v>642</v>
      </c>
      <c r="I309" s="1" t="s">
        <v>69</v>
      </c>
      <c r="J309" s="1" t="s">
        <v>70</v>
      </c>
      <c r="K309" s="1" t="s">
        <v>38</v>
      </c>
      <c r="L309" s="1" t="s">
        <v>1248</v>
      </c>
      <c r="M309" s="2" t="s">
        <v>1254</v>
      </c>
      <c r="N309" s="2"/>
      <c r="O309" s="3">
        <v>1</v>
      </c>
      <c r="P309" s="1" t="s">
        <v>93</v>
      </c>
      <c r="Q309" s="1">
        <v>27</v>
      </c>
      <c r="R309" s="1">
        <v>27</v>
      </c>
      <c r="S309" s="1" t="s">
        <v>38</v>
      </c>
      <c r="T309" s="1" t="s">
        <v>1246</v>
      </c>
      <c r="U309" s="1" t="s">
        <v>343</v>
      </c>
      <c r="V309" s="1" t="s">
        <v>45</v>
      </c>
      <c r="W309" s="1" t="s">
        <v>38</v>
      </c>
      <c r="X309" t="s">
        <v>38</v>
      </c>
      <c r="Y309" t="s">
        <v>38</v>
      </c>
      <c r="Z309" t="s">
        <v>1254</v>
      </c>
    </row>
    <row r="310" spans="1:26" x14ac:dyDescent="0.25">
      <c r="A310" s="1" t="s">
        <v>1255</v>
      </c>
      <c r="B310" s="1" t="s">
        <v>1243</v>
      </c>
      <c r="C310" s="1" t="s">
        <v>1133</v>
      </c>
      <c r="D310" s="1" t="s">
        <v>1133</v>
      </c>
      <c r="E310" s="1" t="s">
        <v>1133</v>
      </c>
      <c r="F310" s="1" t="s">
        <v>1105</v>
      </c>
      <c r="G310" s="1" t="s">
        <v>50</v>
      </c>
      <c r="H310" s="1" t="s">
        <v>642</v>
      </c>
      <c r="I310" s="1" t="s">
        <v>69</v>
      </c>
      <c r="J310" s="1" t="s">
        <v>70</v>
      </c>
      <c r="K310" s="1" t="s">
        <v>38</v>
      </c>
      <c r="L310" s="1" t="s">
        <v>1256</v>
      </c>
      <c r="M310" s="2" t="s">
        <v>380</v>
      </c>
      <c r="N310" s="2"/>
      <c r="O310" s="3">
        <v>1</v>
      </c>
      <c r="P310" s="1" t="s">
        <v>93</v>
      </c>
      <c r="Q310" s="1">
        <v>300</v>
      </c>
      <c r="R310" s="1">
        <v>300</v>
      </c>
      <c r="S310" s="1" t="s">
        <v>38</v>
      </c>
      <c r="T310" s="1" t="s">
        <v>1246</v>
      </c>
      <c r="U310" s="1" t="s">
        <v>343</v>
      </c>
      <c r="V310" s="1" t="s">
        <v>45</v>
      </c>
      <c r="W310" s="1" t="s">
        <v>38</v>
      </c>
      <c r="X310" t="s">
        <v>38</v>
      </c>
      <c r="Y310" t="s">
        <v>38</v>
      </c>
      <c r="Z310" t="s">
        <v>380</v>
      </c>
    </row>
    <row r="311" spans="1:26" x14ac:dyDescent="0.25">
      <c r="A311" s="1" t="s">
        <v>1257</v>
      </c>
      <c r="B311" s="1" t="s">
        <v>1243</v>
      </c>
      <c r="C311" s="1" t="s">
        <v>1133</v>
      </c>
      <c r="D311" s="1" t="s">
        <v>1133</v>
      </c>
      <c r="E311" s="1" t="s">
        <v>1133</v>
      </c>
      <c r="F311" s="1" t="s">
        <v>1105</v>
      </c>
      <c r="G311" s="1" t="s">
        <v>50</v>
      </c>
      <c r="H311" s="1" t="s">
        <v>642</v>
      </c>
      <c r="I311" s="1" t="s">
        <v>69</v>
      </c>
      <c r="J311" s="1" t="s">
        <v>70</v>
      </c>
      <c r="K311" s="1" t="s">
        <v>38</v>
      </c>
      <c r="L311" s="1" t="s">
        <v>1248</v>
      </c>
      <c r="M311" s="2" t="s">
        <v>1258</v>
      </c>
      <c r="N311" s="2"/>
      <c r="O311" s="3">
        <v>1</v>
      </c>
      <c r="P311" s="1" t="s">
        <v>93</v>
      </c>
      <c r="Q311" s="1">
        <v>49</v>
      </c>
      <c r="R311" s="1">
        <v>49</v>
      </c>
      <c r="S311" s="1" t="s">
        <v>38</v>
      </c>
      <c r="T311" s="1" t="s">
        <v>1246</v>
      </c>
      <c r="U311" s="1" t="s">
        <v>343</v>
      </c>
      <c r="V311" s="1" t="s">
        <v>45</v>
      </c>
      <c r="W311" s="1" t="s">
        <v>38</v>
      </c>
      <c r="X311" t="s">
        <v>38</v>
      </c>
      <c r="Y311" t="s">
        <v>38</v>
      </c>
      <c r="Z311" t="s">
        <v>1258</v>
      </c>
    </row>
    <row r="312" spans="1:26" x14ac:dyDescent="0.25">
      <c r="A312" s="1" t="s">
        <v>1259</v>
      </c>
      <c r="B312" s="1" t="s">
        <v>1243</v>
      </c>
      <c r="C312" s="1" t="s">
        <v>1133</v>
      </c>
      <c r="D312" s="1" t="s">
        <v>1133</v>
      </c>
      <c r="E312" s="1" t="s">
        <v>1133</v>
      </c>
      <c r="F312" s="1" t="s">
        <v>1105</v>
      </c>
      <c r="G312" s="1" t="s">
        <v>50</v>
      </c>
      <c r="H312" s="1" t="s">
        <v>642</v>
      </c>
      <c r="I312" s="1" t="s">
        <v>69</v>
      </c>
      <c r="J312" s="1" t="s">
        <v>70</v>
      </c>
      <c r="K312" s="1" t="s">
        <v>38</v>
      </c>
      <c r="L312" s="1" t="s">
        <v>1260</v>
      </c>
      <c r="M312" s="2" t="s">
        <v>380</v>
      </c>
      <c r="N312" s="2"/>
      <c r="O312" s="3">
        <v>1</v>
      </c>
      <c r="P312" s="1" t="s">
        <v>93</v>
      </c>
      <c r="Q312" s="1">
        <v>60</v>
      </c>
      <c r="R312" s="1">
        <v>60</v>
      </c>
      <c r="S312" s="1" t="s">
        <v>38</v>
      </c>
      <c r="T312" s="1" t="s">
        <v>1246</v>
      </c>
      <c r="U312" s="1" t="s">
        <v>343</v>
      </c>
      <c r="V312" s="1" t="s">
        <v>45</v>
      </c>
      <c r="W312" s="1" t="s">
        <v>38</v>
      </c>
      <c r="X312" t="s">
        <v>38</v>
      </c>
      <c r="Y312" t="s">
        <v>38</v>
      </c>
      <c r="Z312" t="s">
        <v>380</v>
      </c>
    </row>
    <row r="313" spans="1:26" x14ac:dyDescent="0.25">
      <c r="A313" s="1" t="s">
        <v>1261</v>
      </c>
      <c r="B313" s="1" t="s">
        <v>1243</v>
      </c>
      <c r="C313" s="1" t="s">
        <v>1133</v>
      </c>
      <c r="D313" s="1" t="s">
        <v>1133</v>
      </c>
      <c r="E313" s="1" t="s">
        <v>1133</v>
      </c>
      <c r="F313" s="1" t="s">
        <v>1105</v>
      </c>
      <c r="G313" s="1" t="s">
        <v>50</v>
      </c>
      <c r="H313" s="1" t="s">
        <v>642</v>
      </c>
      <c r="I313" s="1" t="s">
        <v>69</v>
      </c>
      <c r="J313" s="1" t="s">
        <v>70</v>
      </c>
      <c r="K313" s="1" t="s">
        <v>38</v>
      </c>
      <c r="L313" s="1" t="s">
        <v>1262</v>
      </c>
      <c r="M313" s="2" t="s">
        <v>1263</v>
      </c>
      <c r="N313" s="2"/>
      <c r="O313" s="3">
        <v>1</v>
      </c>
      <c r="P313" s="1" t="s">
        <v>93</v>
      </c>
      <c r="Q313" s="1">
        <v>40</v>
      </c>
      <c r="R313" s="1">
        <v>40</v>
      </c>
      <c r="S313" s="1" t="s">
        <v>38</v>
      </c>
      <c r="T313" s="1" t="s">
        <v>1246</v>
      </c>
      <c r="U313" s="1" t="s">
        <v>343</v>
      </c>
      <c r="V313" s="1" t="s">
        <v>45</v>
      </c>
      <c r="W313" s="1" t="s">
        <v>38</v>
      </c>
      <c r="X313" t="s">
        <v>38</v>
      </c>
      <c r="Y313" t="s">
        <v>38</v>
      </c>
      <c r="Z313" t="s">
        <v>1263</v>
      </c>
    </row>
    <row r="314" spans="1:26" x14ac:dyDescent="0.25">
      <c r="A314" s="1" t="s">
        <v>1264</v>
      </c>
      <c r="B314" s="1" t="s">
        <v>1265</v>
      </c>
      <c r="C314" s="1" t="s">
        <v>845</v>
      </c>
      <c r="D314" s="1" t="s">
        <v>1133</v>
      </c>
      <c r="E314" s="1" t="s">
        <v>1133</v>
      </c>
      <c r="F314" s="1" t="s">
        <v>1105</v>
      </c>
      <c r="G314" s="1" t="s">
        <v>67</v>
      </c>
      <c r="H314" s="1" t="s">
        <v>68</v>
      </c>
      <c r="I314" s="1" t="s">
        <v>69</v>
      </c>
      <c r="J314" s="1" t="s">
        <v>70</v>
      </c>
      <c r="K314" s="1" t="s">
        <v>38</v>
      </c>
      <c r="L314" s="1" t="s">
        <v>414</v>
      </c>
      <c r="M314" s="2" t="s">
        <v>40</v>
      </c>
      <c r="N314" s="2"/>
      <c r="O314" s="3">
        <v>2</v>
      </c>
      <c r="P314" s="1" t="s">
        <v>93</v>
      </c>
      <c r="Q314" s="1">
        <v>65</v>
      </c>
      <c r="R314" s="1">
        <v>130</v>
      </c>
      <c r="S314" s="1" t="s">
        <v>38</v>
      </c>
      <c r="T314" s="1" t="s">
        <v>1266</v>
      </c>
      <c r="U314" s="1" t="s">
        <v>221</v>
      </c>
      <c r="V314" s="1" t="s">
        <v>45</v>
      </c>
      <c r="W314" s="1" t="s">
        <v>38</v>
      </c>
      <c r="X314" t="s">
        <v>38</v>
      </c>
      <c r="Y314" t="s">
        <v>38</v>
      </c>
    </row>
    <row r="315" spans="1:26" x14ac:dyDescent="0.25">
      <c r="A315" s="1" t="s">
        <v>1267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2"/>
      <c r="O315" s="3"/>
      <c r="P315" s="1"/>
      <c r="Q315" s="1"/>
      <c r="R315" s="1">
        <f>SUBTOTAL(109,MyTable[Total Amount])</f>
      </c>
      <c r="S315" s="1"/>
      <c r="T315" s="1"/>
      <c r="U315" s="1"/>
      <c r="V315" s="1"/>
      <c r="W315" s="1"/>
    </row>
    <row r="317" spans="2:2" x14ac:dyDescent="0.25">
      <c r="B317" s="6" t="s">
        <v>1268</v>
      </c>
    </row>
    <row r="319" spans="2:2" x14ac:dyDescent="0.25">
      <c r="B319" s="7" t="s">
        <v>1269</v>
      </c>
    </row>
  </sheetData>
  <pageMargins left="0.7" right="0.7" top="0.75" bottom="0.75" header="0.3" footer="0.3"/>
  <pageSetup paperSize="5" orientation="landscape" horizontalDpi="4294967295" verticalDpi="4294967295" scale="100" fitToWidth="1" fitToHeight="1"/>
  <headerFooter>
    <firstHeader>Hello Exceljs</firstHeader>
    <firstFooter>Hello World</first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1176"/>
  <sheetFormatPr defaultRowHeight="15" outlineLevelRow="0" outlineLevelCol="0" x14ac:dyDescent="55"/>
  <sheetData>
    <row r="1" spans="1:1" s="8" customFormat="1" x14ac:dyDescent="0.25">
      <c r="A1" s="8" t="s">
        <v>1270</v>
      </c>
    </row>
    <row r="2" spans="1:2" x14ac:dyDescent="0.25">
      <c r="A2" t="s">
        <v>38</v>
      </c>
      <c r="B2" t="s">
        <v>32</v>
      </c>
    </row>
    <row r="3" spans="2:5" x14ac:dyDescent="0.25">
      <c r="B3" t="s">
        <v>5</v>
      </c>
      <c r="C3" t="s">
        <v>1271</v>
      </c>
      <c r="D3" t="s">
        <v>1272</v>
      </c>
      <c r="E3" t="s">
        <v>1273</v>
      </c>
    </row>
    <row r="4" spans="2:5" x14ac:dyDescent="0.25">
      <c r="B4" t="s">
        <v>31</v>
      </c>
      <c r="C4" t="s">
        <v>39</v>
      </c>
      <c r="D4">
        <v>3</v>
      </c>
      <c r="E4">
        <v>60.05</v>
      </c>
    </row>
    <row r="5" spans="2:5" x14ac:dyDescent="0.25">
      <c r="B5" t="s">
        <v>1267</v>
      </c>
      <c r="E5">
        <f>SUBTOTAL(109,discountedTable2[Price])</f>
      </c>
    </row>
    <row r="6" spans="1:4" s="8" customFormat="1" x14ac:dyDescent="0.25">
      <c r="A6" s="8" t="s">
        <v>38</v>
      </c>
      <c r="B6" s="8" t="s">
        <v>1274</v>
      </c>
      <c r="C6" s="8" t="s">
        <v>38</v>
      </c>
      <c r="D6" s="8" t="s">
        <v>38</v>
      </c>
    </row>
    <row r="8" spans="1:2" x14ac:dyDescent="0.25">
      <c r="A8" t="s">
        <v>38</v>
      </c>
      <c r="B8" t="s">
        <v>47</v>
      </c>
    </row>
    <row r="9" spans="2:5" x14ac:dyDescent="0.25">
      <c r="B9" t="s">
        <v>5</v>
      </c>
      <c r="C9" t="s">
        <v>1271</v>
      </c>
      <c r="D9" t="s">
        <v>1272</v>
      </c>
      <c r="E9" t="s">
        <v>1273</v>
      </c>
    </row>
    <row r="10" spans="2:5" x14ac:dyDescent="0.25">
      <c r="B10" t="s">
        <v>31</v>
      </c>
      <c r="C10" t="s">
        <v>39</v>
      </c>
      <c r="D10">
        <v>2</v>
      </c>
      <c r="E10">
        <v>60.75</v>
      </c>
    </row>
    <row r="11" spans="2:5" x14ac:dyDescent="0.25">
      <c r="B11" t="s">
        <v>1267</v>
      </c>
      <c r="E11">
        <f>SUBTOTAL(109,discountedTable8[Price])</f>
      </c>
    </row>
    <row r="12" spans="1:4" s="8" customFormat="1" x14ac:dyDescent="0.25">
      <c r="A12" s="8" t="s">
        <v>38</v>
      </c>
      <c r="B12" s="8" t="s">
        <v>1274</v>
      </c>
      <c r="C12" s="8" t="s">
        <v>38</v>
      </c>
      <c r="D12" s="8" t="s">
        <v>38</v>
      </c>
    </row>
    <row r="14" spans="1:2" x14ac:dyDescent="0.25">
      <c r="A14" t="s">
        <v>38</v>
      </c>
      <c r="B14" t="s">
        <v>57</v>
      </c>
    </row>
    <row r="15" spans="2:5" x14ac:dyDescent="0.25">
      <c r="B15" t="s">
        <v>5</v>
      </c>
      <c r="C15" t="s">
        <v>1271</v>
      </c>
      <c r="D15" t="s">
        <v>1272</v>
      </c>
      <c r="E15" t="s">
        <v>1273</v>
      </c>
    </row>
    <row r="16" spans="2:5" x14ac:dyDescent="0.25">
      <c r="B16" t="s">
        <v>31</v>
      </c>
      <c r="C16" t="s">
        <v>39</v>
      </c>
      <c r="D16">
        <v>3</v>
      </c>
      <c r="E16">
        <v>60.75</v>
      </c>
    </row>
    <row r="17" spans="2:5" x14ac:dyDescent="0.25">
      <c r="B17" t="s">
        <v>1267</v>
      </c>
      <c r="E17">
        <f>SUBTOTAL(109,discountedTable14[Price])</f>
      </c>
    </row>
    <row r="18" spans="1:4" s="8" customFormat="1" x14ac:dyDescent="0.25">
      <c r="A18" s="8" t="s">
        <v>38</v>
      </c>
      <c r="B18" s="8" t="s">
        <v>1274</v>
      </c>
      <c r="C18" s="8" t="s">
        <v>38</v>
      </c>
      <c r="D18" s="8" t="s">
        <v>38</v>
      </c>
    </row>
    <row r="20" spans="1:2" x14ac:dyDescent="0.25">
      <c r="A20" t="s">
        <v>38</v>
      </c>
      <c r="B20" t="s">
        <v>278</v>
      </c>
    </row>
    <row r="21" spans="2:5" x14ac:dyDescent="0.25">
      <c r="B21" t="s">
        <v>5</v>
      </c>
      <c r="C21" t="s">
        <v>1271</v>
      </c>
      <c r="D21" t="s">
        <v>1272</v>
      </c>
      <c r="E21" t="s">
        <v>1273</v>
      </c>
    </row>
    <row r="22" spans="2:5" x14ac:dyDescent="0.25">
      <c r="B22" t="s">
        <v>31</v>
      </c>
      <c r="C22" t="s">
        <v>39</v>
      </c>
      <c r="D22">
        <v>5</v>
      </c>
      <c r="E22">
        <v>60.75</v>
      </c>
    </row>
    <row r="23" spans="2:5" x14ac:dyDescent="0.25">
      <c r="B23" t="s">
        <v>1267</v>
      </c>
      <c r="E23">
        <f>SUBTOTAL(109,discountedTable20[Price])</f>
      </c>
    </row>
    <row r="24" spans="1:4" s="8" customFormat="1" x14ac:dyDescent="0.25">
      <c r="A24" s="8" t="s">
        <v>38</v>
      </c>
      <c r="B24" s="8" t="s">
        <v>1274</v>
      </c>
      <c r="C24" s="8" t="s">
        <v>38</v>
      </c>
      <c r="D24" s="8" t="s">
        <v>38</v>
      </c>
    </row>
    <row r="26" spans="1:2" x14ac:dyDescent="0.25">
      <c r="A26" t="s">
        <v>38</v>
      </c>
      <c r="B26" t="s">
        <v>339</v>
      </c>
    </row>
    <row r="27" spans="2:5" x14ac:dyDescent="0.25">
      <c r="B27" t="s">
        <v>5</v>
      </c>
      <c r="C27" t="s">
        <v>1271</v>
      </c>
      <c r="D27" t="s">
        <v>1272</v>
      </c>
      <c r="E27" t="s">
        <v>1273</v>
      </c>
    </row>
    <row r="28" spans="2:5" x14ac:dyDescent="0.25">
      <c r="B28" t="s">
        <v>31</v>
      </c>
      <c r="C28" t="s">
        <v>39</v>
      </c>
      <c r="D28">
        <v>5</v>
      </c>
      <c r="E28">
        <v>60.75</v>
      </c>
    </row>
    <row r="29" spans="2:5" x14ac:dyDescent="0.25">
      <c r="B29" t="s">
        <v>1267</v>
      </c>
      <c r="E29">
        <f>SUBTOTAL(109,discountedTable26[Price])</f>
      </c>
    </row>
    <row r="30" spans="1:4" s="8" customFormat="1" x14ac:dyDescent="0.25">
      <c r="A30" s="8" t="s">
        <v>38</v>
      </c>
      <c r="B30" s="8" t="s">
        <v>1274</v>
      </c>
      <c r="C30" s="8" t="s">
        <v>38</v>
      </c>
      <c r="D30" s="8" t="s">
        <v>38</v>
      </c>
    </row>
    <row r="32" spans="1:2" x14ac:dyDescent="0.25">
      <c r="A32" t="s">
        <v>38</v>
      </c>
      <c r="B32" t="s">
        <v>346</v>
      </c>
    </row>
    <row r="33" spans="2:5" x14ac:dyDescent="0.25">
      <c r="B33" t="s">
        <v>5</v>
      </c>
      <c r="C33" t="s">
        <v>1271</v>
      </c>
      <c r="D33" t="s">
        <v>1272</v>
      </c>
      <c r="E33" t="s">
        <v>1273</v>
      </c>
    </row>
    <row r="34" spans="2:5" x14ac:dyDescent="0.25">
      <c r="B34" t="s">
        <v>31</v>
      </c>
      <c r="C34" t="s">
        <v>39</v>
      </c>
      <c r="D34">
        <v>2</v>
      </c>
      <c r="E34">
        <v>60.75</v>
      </c>
    </row>
    <row r="35" spans="2:5" x14ac:dyDescent="0.25">
      <c r="B35" t="s">
        <v>1267</v>
      </c>
      <c r="E35">
        <f>SUBTOTAL(109,discountedTable32[Price])</f>
      </c>
    </row>
    <row r="36" spans="1:4" s="8" customFormat="1" x14ac:dyDescent="0.25">
      <c r="A36" s="8" t="s">
        <v>38</v>
      </c>
      <c r="B36" s="8" t="s">
        <v>1274</v>
      </c>
      <c r="C36" s="8" t="s">
        <v>38</v>
      </c>
      <c r="D36" s="8" t="s">
        <v>38</v>
      </c>
    </row>
    <row r="38" spans="1:2" x14ac:dyDescent="0.25">
      <c r="A38" t="s">
        <v>38</v>
      </c>
      <c r="B38" t="s">
        <v>507</v>
      </c>
    </row>
    <row r="39" spans="2:5" x14ac:dyDescent="0.25">
      <c r="B39" t="s">
        <v>5</v>
      </c>
      <c r="C39" t="s">
        <v>1271</v>
      </c>
      <c r="D39" t="s">
        <v>1272</v>
      </c>
      <c r="E39" t="s">
        <v>1273</v>
      </c>
    </row>
    <row r="40" spans="2:5" x14ac:dyDescent="0.25">
      <c r="B40" t="s">
        <v>31</v>
      </c>
      <c r="C40" t="s">
        <v>39</v>
      </c>
      <c r="D40">
        <v>3</v>
      </c>
      <c r="E40">
        <v>60.75</v>
      </c>
    </row>
    <row r="41" spans="2:5" x14ac:dyDescent="0.25">
      <c r="B41" t="s">
        <v>1267</v>
      </c>
      <c r="E41">
        <f>SUBTOTAL(109,discountedTable38[Price])</f>
      </c>
    </row>
    <row r="42" spans="1:4" s="8" customFormat="1" x14ac:dyDescent="0.25">
      <c r="A42" s="8" t="s">
        <v>38</v>
      </c>
      <c r="B42" s="8" t="s">
        <v>1274</v>
      </c>
      <c r="C42" s="8" t="s">
        <v>38</v>
      </c>
      <c r="D42" s="8" t="s">
        <v>38</v>
      </c>
    </row>
    <row r="44" spans="1:2" x14ac:dyDescent="0.25">
      <c r="A44" t="s">
        <v>38</v>
      </c>
      <c r="B44" t="s">
        <v>516</v>
      </c>
    </row>
    <row r="45" spans="2:5" x14ac:dyDescent="0.25">
      <c r="B45" t="s">
        <v>5</v>
      </c>
      <c r="C45" t="s">
        <v>1271</v>
      </c>
      <c r="D45" t="s">
        <v>1272</v>
      </c>
      <c r="E45" t="s">
        <v>1273</v>
      </c>
    </row>
    <row r="46" spans="2:5" x14ac:dyDescent="0.25">
      <c r="B46" t="s">
        <v>31</v>
      </c>
      <c r="C46" t="s">
        <v>39</v>
      </c>
      <c r="D46">
        <v>3</v>
      </c>
      <c r="E46">
        <v>60.75</v>
      </c>
    </row>
    <row r="47" spans="2:5" x14ac:dyDescent="0.25">
      <c r="B47" t="s">
        <v>1267</v>
      </c>
      <c r="E47">
        <f>SUBTOTAL(109,discountedTable44[Price])</f>
      </c>
    </row>
    <row r="48" spans="1:4" s="8" customFormat="1" x14ac:dyDescent="0.25">
      <c r="A48" s="8" t="s">
        <v>38</v>
      </c>
      <c r="B48" s="8" t="s">
        <v>1274</v>
      </c>
      <c r="C48" s="8" t="s">
        <v>38</v>
      </c>
      <c r="D48" s="8" t="s">
        <v>38</v>
      </c>
    </row>
    <row r="50" spans="1:2" x14ac:dyDescent="0.25">
      <c r="A50" t="s">
        <v>38</v>
      </c>
      <c r="B50" t="s">
        <v>564</v>
      </c>
    </row>
    <row r="51" spans="2:5" x14ac:dyDescent="0.25">
      <c r="B51" t="s">
        <v>5</v>
      </c>
      <c r="C51" t="s">
        <v>1271</v>
      </c>
      <c r="D51" t="s">
        <v>1272</v>
      </c>
      <c r="E51" t="s">
        <v>1273</v>
      </c>
    </row>
    <row r="52" spans="2:5" x14ac:dyDescent="0.25">
      <c r="B52" t="s">
        <v>31</v>
      </c>
      <c r="C52" t="s">
        <v>39</v>
      </c>
      <c r="D52">
        <v>3</v>
      </c>
      <c r="E52">
        <v>60.05</v>
      </c>
    </row>
    <row r="53" spans="2:5" x14ac:dyDescent="0.25">
      <c r="B53" t="s">
        <v>46</v>
      </c>
      <c r="C53" t="s">
        <v>39</v>
      </c>
      <c r="D53">
        <v>3</v>
      </c>
      <c r="E53">
        <v>60.75</v>
      </c>
    </row>
    <row r="54" spans="2:5" x14ac:dyDescent="0.25">
      <c r="B54" t="s">
        <v>56</v>
      </c>
      <c r="C54" t="s">
        <v>39</v>
      </c>
      <c r="D54">
        <v>3</v>
      </c>
      <c r="E54">
        <v>60.75</v>
      </c>
    </row>
    <row r="55" spans="2:5" x14ac:dyDescent="0.25">
      <c r="B55" t="s">
        <v>64</v>
      </c>
      <c r="C55" t="s">
        <v>39</v>
      </c>
      <c r="D55">
        <v>2.4</v>
      </c>
      <c r="E55">
        <v>60.75</v>
      </c>
    </row>
    <row r="56" spans="2:5" x14ac:dyDescent="0.25">
      <c r="B56" t="s">
        <v>75</v>
      </c>
      <c r="C56" t="s">
        <v>39</v>
      </c>
      <c r="D56">
        <v>3</v>
      </c>
      <c r="E56">
        <v>60.75</v>
      </c>
    </row>
    <row r="57" spans="2:5" x14ac:dyDescent="0.25">
      <c r="B57" t="s">
        <v>1267</v>
      </c>
      <c r="E57">
        <f>SUBTOTAL(109,discountedTable50[Price])</f>
      </c>
    </row>
    <row r="58" spans="1:4" s="8" customFormat="1" x14ac:dyDescent="0.25">
      <c r="A58" s="8" t="s">
        <v>38</v>
      </c>
      <c r="B58" s="8" t="s">
        <v>1274</v>
      </c>
      <c r="C58" s="8" t="s">
        <v>38</v>
      </c>
      <c r="D58" s="8" t="s">
        <v>38</v>
      </c>
    </row>
    <row r="60" spans="1:2" x14ac:dyDescent="0.25">
      <c r="A60" t="s">
        <v>38</v>
      </c>
      <c r="B60" t="s">
        <v>761</v>
      </c>
    </row>
    <row r="61" spans="2:5" x14ac:dyDescent="0.25">
      <c r="B61" t="s">
        <v>5</v>
      </c>
      <c r="C61" t="s">
        <v>1271</v>
      </c>
      <c r="D61" t="s">
        <v>1272</v>
      </c>
      <c r="E61" t="s">
        <v>1273</v>
      </c>
    </row>
    <row r="62" spans="2:5" x14ac:dyDescent="0.25">
      <c r="B62" t="s">
        <v>31</v>
      </c>
      <c r="C62" t="s">
        <v>39</v>
      </c>
      <c r="D62">
        <v>3</v>
      </c>
      <c r="E62">
        <v>60.75</v>
      </c>
    </row>
    <row r="63" spans="2:5" x14ac:dyDescent="0.25">
      <c r="B63" t="s">
        <v>1267</v>
      </c>
      <c r="E63">
        <f>SUBTOTAL(109,discountedTable60[Price])</f>
      </c>
    </row>
    <row r="64" spans="1:4" s="8" customFormat="1" x14ac:dyDescent="0.25">
      <c r="A64" s="8" t="s">
        <v>38</v>
      </c>
      <c r="B64" s="8" t="s">
        <v>1274</v>
      </c>
      <c r="C64" s="8" t="s">
        <v>38</v>
      </c>
      <c r="D64" s="8" t="s">
        <v>38</v>
      </c>
    </row>
    <row r="66" spans="1:2" x14ac:dyDescent="0.25">
      <c r="A66" t="s">
        <v>38</v>
      </c>
      <c r="B66" t="s">
        <v>827</v>
      </c>
    </row>
    <row r="67" spans="2:5" x14ac:dyDescent="0.25">
      <c r="B67" t="s">
        <v>5</v>
      </c>
      <c r="C67" t="s">
        <v>1271</v>
      </c>
      <c r="D67" t="s">
        <v>1272</v>
      </c>
      <c r="E67" t="s">
        <v>1273</v>
      </c>
    </row>
    <row r="68" spans="2:5" x14ac:dyDescent="0.25">
      <c r="B68" t="s">
        <v>31</v>
      </c>
      <c r="C68" t="s">
        <v>39</v>
      </c>
      <c r="D68">
        <v>3</v>
      </c>
      <c r="E68">
        <v>60.75</v>
      </c>
    </row>
    <row r="69" spans="2:5" x14ac:dyDescent="0.25">
      <c r="B69" t="s">
        <v>1267</v>
      </c>
      <c r="E69">
        <f>SUBTOTAL(109,discountedTable66[Price])</f>
      </c>
    </row>
    <row r="70" spans="1:4" s="8" customFormat="1" x14ac:dyDescent="0.25">
      <c r="A70" s="8" t="s">
        <v>38</v>
      </c>
      <c r="B70" s="8" t="s">
        <v>1274</v>
      </c>
      <c r="C70" s="8" t="s">
        <v>38</v>
      </c>
      <c r="D70" s="8" t="s">
        <v>38</v>
      </c>
    </row>
    <row r="72" spans="1:2" x14ac:dyDescent="0.25">
      <c r="A72" t="s">
        <v>38</v>
      </c>
      <c r="B72" t="s">
        <v>978</v>
      </c>
    </row>
    <row r="73" spans="2:5" x14ac:dyDescent="0.25">
      <c r="B73" t="s">
        <v>5</v>
      </c>
      <c r="C73" t="s">
        <v>1271</v>
      </c>
      <c r="D73" t="s">
        <v>1272</v>
      </c>
      <c r="E73" t="s">
        <v>1273</v>
      </c>
    </row>
    <row r="74" spans="2:5" x14ac:dyDescent="0.25">
      <c r="B74" t="s">
        <v>31</v>
      </c>
      <c r="C74" t="s">
        <v>39</v>
      </c>
      <c r="D74">
        <v>3</v>
      </c>
      <c r="E74">
        <v>60.65</v>
      </c>
    </row>
    <row r="75" spans="2:5" x14ac:dyDescent="0.25">
      <c r="B75" t="s">
        <v>1267</v>
      </c>
      <c r="E75">
        <f>SUBTOTAL(109,discountedTable72[Price])</f>
      </c>
    </row>
    <row r="76" spans="1:4" s="8" customFormat="1" x14ac:dyDescent="0.25">
      <c r="A76" s="8" t="s">
        <v>38</v>
      </c>
      <c r="B76" s="8" t="s">
        <v>1274</v>
      </c>
      <c r="C76" s="8" t="s">
        <v>38</v>
      </c>
      <c r="D76" s="8" t="s">
        <v>38</v>
      </c>
    </row>
    <row r="78" spans="1:2" x14ac:dyDescent="0.25">
      <c r="A78" t="s">
        <v>38</v>
      </c>
      <c r="B78" t="s">
        <v>1067</v>
      </c>
    </row>
    <row r="79" spans="2:5" x14ac:dyDescent="0.25">
      <c r="B79" t="s">
        <v>5</v>
      </c>
      <c r="C79" t="s">
        <v>1271</v>
      </c>
      <c r="D79" t="s">
        <v>1272</v>
      </c>
      <c r="E79" t="s">
        <v>1273</v>
      </c>
    </row>
    <row r="80" spans="2:5" x14ac:dyDescent="0.25">
      <c r="B80" t="s">
        <v>31</v>
      </c>
      <c r="C80" t="s">
        <v>39</v>
      </c>
      <c r="D80">
        <v>3</v>
      </c>
      <c r="E80">
        <v>60.75</v>
      </c>
    </row>
    <row r="81" spans="2:5" x14ac:dyDescent="0.25">
      <c r="B81" t="s">
        <v>46</v>
      </c>
      <c r="C81" t="s">
        <v>39</v>
      </c>
      <c r="D81">
        <v>2.75</v>
      </c>
      <c r="E81">
        <v>60.65</v>
      </c>
    </row>
    <row r="82" spans="2:5" x14ac:dyDescent="0.25">
      <c r="B82" t="s">
        <v>56</v>
      </c>
      <c r="C82" t="s">
        <v>39</v>
      </c>
      <c r="D82">
        <v>3</v>
      </c>
      <c r="E82">
        <v>60.65</v>
      </c>
    </row>
    <row r="83" spans="2:5" x14ac:dyDescent="0.25">
      <c r="B83" t="s">
        <v>64</v>
      </c>
      <c r="C83" t="s">
        <v>39</v>
      </c>
      <c r="D83">
        <v>2</v>
      </c>
      <c r="E83">
        <v>60.65</v>
      </c>
    </row>
    <row r="84" spans="2:5" x14ac:dyDescent="0.25">
      <c r="B84" t="s">
        <v>75</v>
      </c>
      <c r="C84" t="s">
        <v>39</v>
      </c>
      <c r="D84">
        <v>3</v>
      </c>
      <c r="E84">
        <v>60.65</v>
      </c>
    </row>
    <row r="85" spans="2:5" x14ac:dyDescent="0.25">
      <c r="B85" t="s">
        <v>1267</v>
      </c>
      <c r="E85">
        <f>SUBTOTAL(109,discountedTable78[Price])</f>
      </c>
    </row>
    <row r="86" spans="1:4" s="8" customFormat="1" x14ac:dyDescent="0.25">
      <c r="A86" s="8" t="s">
        <v>38</v>
      </c>
      <c r="B86" s="8" t="s">
        <v>1274</v>
      </c>
      <c r="C86" s="8" t="s">
        <v>38</v>
      </c>
      <c r="D86" s="8" t="s">
        <v>38</v>
      </c>
    </row>
    <row r="88" spans="1:2" x14ac:dyDescent="0.25">
      <c r="A88" t="s">
        <v>38</v>
      </c>
      <c r="B88" t="s">
        <v>1168</v>
      </c>
    </row>
    <row r="89" spans="2:5" x14ac:dyDescent="0.25">
      <c r="B89" t="s">
        <v>5</v>
      </c>
      <c r="C89" t="s">
        <v>1271</v>
      </c>
      <c r="D89" t="s">
        <v>1272</v>
      </c>
      <c r="E89" t="s">
        <v>1273</v>
      </c>
    </row>
    <row r="90" spans="2:5" x14ac:dyDescent="0.25">
      <c r="B90" t="s">
        <v>31</v>
      </c>
      <c r="C90" t="s">
        <v>39</v>
      </c>
      <c r="D90">
        <v>1</v>
      </c>
      <c r="E90">
        <v>2000</v>
      </c>
    </row>
    <row r="91" spans="2:5" x14ac:dyDescent="0.25">
      <c r="B91" t="s">
        <v>1267</v>
      </c>
      <c r="E91">
        <f>SUBTOTAL(109,discountedTable88[Price])</f>
      </c>
    </row>
    <row r="92" spans="1:4" s="8" customFormat="1" x14ac:dyDescent="0.25">
      <c r="A92" s="8" t="s">
        <v>38</v>
      </c>
      <c r="B92" s="8" t="s">
        <v>1274</v>
      </c>
      <c r="C92" s="8" t="s">
        <v>38</v>
      </c>
      <c r="D92" s="8" t="s">
        <v>38</v>
      </c>
    </row>
    <row r="94" spans="1:2" x14ac:dyDescent="0.25">
      <c r="A94" t="s">
        <v>38</v>
      </c>
      <c r="B94" t="s">
        <v>1207</v>
      </c>
    </row>
    <row r="95" spans="2:5" x14ac:dyDescent="0.25">
      <c r="B95" t="s">
        <v>5</v>
      </c>
      <c r="C95" t="s">
        <v>1271</v>
      </c>
      <c r="D95" t="s">
        <v>1272</v>
      </c>
      <c r="E95" t="s">
        <v>1273</v>
      </c>
    </row>
    <row r="96" spans="2:5" x14ac:dyDescent="0.25">
      <c r="B96" t="s">
        <v>31</v>
      </c>
      <c r="C96" t="s">
        <v>39</v>
      </c>
      <c r="D96">
        <v>5</v>
      </c>
      <c r="E96">
        <v>59.55</v>
      </c>
    </row>
    <row r="97" spans="2:5" x14ac:dyDescent="0.25">
      <c r="B97" t="s">
        <v>1267</v>
      </c>
      <c r="E97">
        <f>SUBTOTAL(109,discountedTable94[Price])</f>
      </c>
    </row>
    <row r="98" spans="1:4" s="8" customFormat="1" x14ac:dyDescent="0.25">
      <c r="A98" s="8" t="s">
        <v>38</v>
      </c>
      <c r="B98" s="8" t="s">
        <v>1274</v>
      </c>
      <c r="C98" s="8" t="s">
        <v>38</v>
      </c>
      <c r="D98" s="8" t="s">
        <v>38</v>
      </c>
    </row>
    <row r="100" spans="1:1" s="8" customFormat="1" x14ac:dyDescent="0.25">
      <c r="A100" s="8" t="s">
        <v>1275</v>
      </c>
    </row>
    <row r="101" spans="1:2" x14ac:dyDescent="0.25">
      <c r="A101" t="s">
        <v>38</v>
      </c>
      <c r="B101" t="s">
        <v>65</v>
      </c>
    </row>
    <row r="102" spans="2:5" x14ac:dyDescent="0.25">
      <c r="B102" t="s">
        <v>5</v>
      </c>
      <c r="C102" t="s">
        <v>1271</v>
      </c>
      <c r="D102" t="s">
        <v>1272</v>
      </c>
      <c r="E102" t="s">
        <v>1273</v>
      </c>
    </row>
    <row r="103" spans="2:5" x14ac:dyDescent="0.25">
      <c r="B103" t="s">
        <v>31</v>
      </c>
      <c r="C103" t="s">
        <v>71</v>
      </c>
      <c r="D103">
        <v>10</v>
      </c>
      <c r="E103">
        <v>630</v>
      </c>
    </row>
    <row r="104" spans="2:5" x14ac:dyDescent="0.25">
      <c r="B104" t="s">
        <v>1267</v>
      </c>
      <c r="E104">
        <f>SUBTOTAL(109,discountedTable101[Price])</f>
      </c>
    </row>
    <row r="105" spans="1:4" s="8" customFormat="1" x14ac:dyDescent="0.25">
      <c r="A105" s="8" t="s">
        <v>38</v>
      </c>
      <c r="B105" s="8" t="s">
        <v>1274</v>
      </c>
      <c r="C105" s="8" t="s">
        <v>38</v>
      </c>
      <c r="D105" s="8" t="s">
        <v>38</v>
      </c>
    </row>
    <row r="107" spans="1:2" x14ac:dyDescent="0.25">
      <c r="A107" t="s">
        <v>38</v>
      </c>
      <c r="B107" t="s">
        <v>90</v>
      </c>
    </row>
    <row r="108" spans="2:5" x14ac:dyDescent="0.25">
      <c r="B108" t="s">
        <v>5</v>
      </c>
      <c r="C108" t="s">
        <v>1271</v>
      </c>
      <c r="D108" t="s">
        <v>1272</v>
      </c>
      <c r="E108" t="s">
        <v>1273</v>
      </c>
    </row>
    <row r="109" spans="2:5" x14ac:dyDescent="0.25">
      <c r="B109" t="s">
        <v>31</v>
      </c>
      <c r="C109" t="s">
        <v>92</v>
      </c>
      <c r="D109">
        <v>1</v>
      </c>
      <c r="E109">
        <v>5750</v>
      </c>
    </row>
    <row r="110" spans="2:5" x14ac:dyDescent="0.25">
      <c r="B110" t="s">
        <v>46</v>
      </c>
      <c r="C110" t="s">
        <v>99</v>
      </c>
      <c r="D110">
        <v>1</v>
      </c>
      <c r="E110">
        <v>12</v>
      </c>
    </row>
    <row r="111" spans="2:5" x14ac:dyDescent="0.25">
      <c r="B111" t="s">
        <v>1267</v>
      </c>
      <c r="E111">
        <f>SUBTOTAL(109,discountedTable107[Price])</f>
      </c>
    </row>
    <row r="112" spans="1:4" s="8" customFormat="1" x14ac:dyDescent="0.25">
      <c r="A112" s="8" t="s">
        <v>38</v>
      </c>
      <c r="B112" s="8" t="s">
        <v>1274</v>
      </c>
      <c r="C112" s="8" t="s">
        <v>38</v>
      </c>
      <c r="D112" s="8" t="s">
        <v>38</v>
      </c>
    </row>
    <row r="114" spans="1:2" x14ac:dyDescent="0.25">
      <c r="A114" t="s">
        <v>38</v>
      </c>
      <c r="B114" t="s">
        <v>103</v>
      </c>
    </row>
    <row r="115" spans="2:5" x14ac:dyDescent="0.25">
      <c r="B115" t="s">
        <v>5</v>
      </c>
      <c r="C115" t="s">
        <v>1271</v>
      </c>
      <c r="D115" t="s">
        <v>1272</v>
      </c>
      <c r="E115" t="s">
        <v>1273</v>
      </c>
    </row>
    <row r="116" spans="2:5" x14ac:dyDescent="0.25">
      <c r="B116" t="s">
        <v>31</v>
      </c>
      <c r="C116" t="s">
        <v>106</v>
      </c>
      <c r="D116">
        <v>1</v>
      </c>
      <c r="E116">
        <v>800</v>
      </c>
    </row>
    <row r="117" spans="2:5" x14ac:dyDescent="0.25">
      <c r="B117" t="s">
        <v>1267</v>
      </c>
      <c r="E117">
        <f>SUBTOTAL(109,discountedTable114[Price])</f>
      </c>
    </row>
    <row r="118" spans="1:4" s="8" customFormat="1" x14ac:dyDescent="0.25">
      <c r="A118" s="8" t="s">
        <v>38</v>
      </c>
      <c r="B118" s="8" t="s">
        <v>1274</v>
      </c>
      <c r="C118" s="8" t="s">
        <v>38</v>
      </c>
      <c r="D118" s="8" t="s">
        <v>38</v>
      </c>
    </row>
    <row r="120" spans="1:2" x14ac:dyDescent="0.25">
      <c r="A120" t="s">
        <v>38</v>
      </c>
      <c r="B120" t="s">
        <v>112</v>
      </c>
    </row>
    <row r="121" spans="2:5" x14ac:dyDescent="0.25">
      <c r="B121" t="s">
        <v>5</v>
      </c>
      <c r="C121" t="s">
        <v>1271</v>
      </c>
      <c r="D121" t="s">
        <v>1272</v>
      </c>
      <c r="E121" t="s">
        <v>1273</v>
      </c>
    </row>
    <row r="122" spans="2:5" x14ac:dyDescent="0.25">
      <c r="B122" t="s">
        <v>31</v>
      </c>
      <c r="C122" t="s">
        <v>113</v>
      </c>
      <c r="D122">
        <v>20</v>
      </c>
      <c r="E122">
        <v>180</v>
      </c>
    </row>
    <row r="123" spans="2:5" x14ac:dyDescent="0.25">
      <c r="B123" t="s">
        <v>1267</v>
      </c>
      <c r="E123">
        <f>SUBTOTAL(109,discountedTable120[Price])</f>
      </c>
    </row>
    <row r="124" spans="1:4" s="8" customFormat="1" x14ac:dyDescent="0.25">
      <c r="A124" s="8" t="s">
        <v>38</v>
      </c>
      <c r="B124" s="8" t="s">
        <v>1274</v>
      </c>
      <c r="C124" s="8" t="s">
        <v>38</v>
      </c>
      <c r="D124" s="8" t="s">
        <v>38</v>
      </c>
    </row>
    <row r="126" spans="1:2" x14ac:dyDescent="0.25">
      <c r="A126" t="s">
        <v>38</v>
      </c>
      <c r="B126" t="s">
        <v>118</v>
      </c>
    </row>
    <row r="127" spans="2:5" x14ac:dyDescent="0.25">
      <c r="B127" t="s">
        <v>5</v>
      </c>
      <c r="C127" t="s">
        <v>1271</v>
      </c>
      <c r="D127" t="s">
        <v>1272</v>
      </c>
      <c r="E127" t="s">
        <v>1273</v>
      </c>
    </row>
    <row r="128" spans="2:5" x14ac:dyDescent="0.25">
      <c r="B128" t="s">
        <v>31</v>
      </c>
      <c r="C128" t="s">
        <v>119</v>
      </c>
      <c r="D128">
        <v>4</v>
      </c>
      <c r="E128">
        <v>210</v>
      </c>
    </row>
    <row r="129" spans="2:5" x14ac:dyDescent="0.25">
      <c r="B129" t="s">
        <v>1267</v>
      </c>
      <c r="E129">
        <f>SUBTOTAL(109,discountedTable126[Price])</f>
      </c>
    </row>
    <row r="130" spans="1:4" s="8" customFormat="1" x14ac:dyDescent="0.25">
      <c r="A130" s="8" t="s">
        <v>38</v>
      </c>
      <c r="B130" s="8" t="s">
        <v>1274</v>
      </c>
      <c r="C130" s="8" t="s">
        <v>38</v>
      </c>
      <c r="D130" s="8" t="s">
        <v>38</v>
      </c>
    </row>
    <row r="132" spans="1:2" x14ac:dyDescent="0.25">
      <c r="A132" t="s">
        <v>38</v>
      </c>
      <c r="B132" t="s">
        <v>125</v>
      </c>
    </row>
    <row r="133" spans="2:5" x14ac:dyDescent="0.25">
      <c r="B133" t="s">
        <v>5</v>
      </c>
      <c r="C133" t="s">
        <v>1271</v>
      </c>
      <c r="D133" t="s">
        <v>1272</v>
      </c>
      <c r="E133" t="s">
        <v>1273</v>
      </c>
    </row>
    <row r="134" spans="2:5" x14ac:dyDescent="0.25">
      <c r="B134" t="s">
        <v>31</v>
      </c>
      <c r="C134" t="s">
        <v>126</v>
      </c>
      <c r="D134">
        <v>8</v>
      </c>
      <c r="E134">
        <v>620</v>
      </c>
    </row>
    <row r="135" spans="2:5" x14ac:dyDescent="0.25">
      <c r="B135" t="s">
        <v>46</v>
      </c>
      <c r="C135" t="s">
        <v>133</v>
      </c>
      <c r="D135">
        <v>300</v>
      </c>
      <c r="E135">
        <v>2</v>
      </c>
    </row>
    <row r="136" spans="2:5" x14ac:dyDescent="0.25">
      <c r="B136" t="s">
        <v>56</v>
      </c>
      <c r="C136" t="s">
        <v>126</v>
      </c>
      <c r="D136">
        <v>8</v>
      </c>
      <c r="E136">
        <v>700</v>
      </c>
    </row>
    <row r="137" spans="2:5" x14ac:dyDescent="0.25">
      <c r="B137" t="s">
        <v>64</v>
      </c>
      <c r="C137" t="s">
        <v>99</v>
      </c>
      <c r="D137">
        <v>40</v>
      </c>
      <c r="E137">
        <v>3</v>
      </c>
    </row>
    <row r="138" spans="2:5" x14ac:dyDescent="0.25">
      <c r="B138" t="s">
        <v>1267</v>
      </c>
      <c r="E138">
        <f>SUBTOTAL(109,discountedTable132[Price])</f>
      </c>
    </row>
    <row r="139" spans="1:4" s="8" customFormat="1" x14ac:dyDescent="0.25">
      <c r="A139" s="8" t="s">
        <v>38</v>
      </c>
      <c r="B139" s="8" t="s">
        <v>1274</v>
      </c>
      <c r="C139" s="8" t="s">
        <v>38</v>
      </c>
      <c r="D139" s="8" t="s">
        <v>38</v>
      </c>
    </row>
    <row r="141" spans="1:2" x14ac:dyDescent="0.25">
      <c r="A141" t="s">
        <v>38</v>
      </c>
      <c r="B141" t="s">
        <v>141</v>
      </c>
    </row>
    <row r="142" spans="2:5" x14ac:dyDescent="0.25">
      <c r="B142" t="s">
        <v>5</v>
      </c>
      <c r="C142" t="s">
        <v>1271</v>
      </c>
      <c r="D142" t="s">
        <v>1272</v>
      </c>
      <c r="E142" t="s">
        <v>1273</v>
      </c>
    </row>
    <row r="143" spans="2:5" x14ac:dyDescent="0.25">
      <c r="B143" t="s">
        <v>31</v>
      </c>
      <c r="C143" t="s">
        <v>142</v>
      </c>
      <c r="D143">
        <v>1</v>
      </c>
      <c r="E143">
        <v>720</v>
      </c>
    </row>
    <row r="144" spans="2:5" x14ac:dyDescent="0.25">
      <c r="B144" t="s">
        <v>46</v>
      </c>
      <c r="C144" t="s">
        <v>113</v>
      </c>
      <c r="D144">
        <v>2</v>
      </c>
      <c r="E144">
        <v>180</v>
      </c>
    </row>
    <row r="145" spans="2:5" x14ac:dyDescent="0.25">
      <c r="B145" t="s">
        <v>56</v>
      </c>
      <c r="C145" t="s">
        <v>119</v>
      </c>
      <c r="D145">
        <v>4</v>
      </c>
      <c r="E145">
        <v>210</v>
      </c>
    </row>
    <row r="146" spans="2:5" x14ac:dyDescent="0.25">
      <c r="B146" t="s">
        <v>64</v>
      </c>
      <c r="C146" t="s">
        <v>152</v>
      </c>
      <c r="D146">
        <v>1</v>
      </c>
      <c r="E146">
        <v>8250</v>
      </c>
    </row>
    <row r="147" spans="2:5" x14ac:dyDescent="0.25">
      <c r="B147" t="s">
        <v>1267</v>
      </c>
      <c r="E147">
        <f>SUBTOTAL(109,discountedTable141[Price])</f>
      </c>
    </row>
    <row r="148" spans="1:4" s="8" customFormat="1" x14ac:dyDescent="0.25">
      <c r="A148" s="8" t="s">
        <v>38</v>
      </c>
      <c r="B148" s="8" t="s">
        <v>1274</v>
      </c>
      <c r="C148" s="8" t="s">
        <v>38</v>
      </c>
      <c r="D148" s="8" t="s">
        <v>38</v>
      </c>
    </row>
    <row r="150" spans="1:2" x14ac:dyDescent="0.25">
      <c r="A150" t="s">
        <v>38</v>
      </c>
      <c r="B150" t="s">
        <v>191</v>
      </c>
    </row>
    <row r="151" spans="2:5" x14ac:dyDescent="0.25">
      <c r="B151" t="s">
        <v>5</v>
      </c>
      <c r="C151" t="s">
        <v>1271</v>
      </c>
      <c r="D151" t="s">
        <v>1272</v>
      </c>
      <c r="E151" t="s">
        <v>1273</v>
      </c>
    </row>
    <row r="152" spans="2:5" x14ac:dyDescent="0.25">
      <c r="B152" t="s">
        <v>31</v>
      </c>
      <c r="C152" t="s">
        <v>119</v>
      </c>
      <c r="D152">
        <v>2</v>
      </c>
      <c r="E152">
        <v>210</v>
      </c>
    </row>
    <row r="153" spans="2:5" x14ac:dyDescent="0.25">
      <c r="B153" t="s">
        <v>46</v>
      </c>
      <c r="C153" t="s">
        <v>195</v>
      </c>
      <c r="D153">
        <v>1</v>
      </c>
      <c r="E153">
        <v>50</v>
      </c>
    </row>
    <row r="154" spans="2:5" x14ac:dyDescent="0.25">
      <c r="B154" t="s">
        <v>56</v>
      </c>
      <c r="C154" t="s">
        <v>197</v>
      </c>
      <c r="D154">
        <v>2</v>
      </c>
      <c r="E154">
        <v>250</v>
      </c>
    </row>
    <row r="155" spans="2:5" x14ac:dyDescent="0.25">
      <c r="B155" t="s">
        <v>1267</v>
      </c>
      <c r="E155">
        <f>SUBTOTAL(109,discountedTable150[Price])</f>
      </c>
    </row>
    <row r="156" spans="1:4" s="8" customFormat="1" x14ac:dyDescent="0.25">
      <c r="A156" s="8" t="s">
        <v>38</v>
      </c>
      <c r="B156" s="8" t="s">
        <v>1274</v>
      </c>
      <c r="C156" s="8" t="s">
        <v>38</v>
      </c>
      <c r="D156" s="8" t="s">
        <v>38</v>
      </c>
    </row>
    <row r="158" spans="1:2" x14ac:dyDescent="0.25">
      <c r="A158" t="s">
        <v>38</v>
      </c>
      <c r="B158" t="s">
        <v>199</v>
      </c>
    </row>
    <row r="159" spans="2:5" x14ac:dyDescent="0.25">
      <c r="B159" t="s">
        <v>5</v>
      </c>
      <c r="C159" t="s">
        <v>1271</v>
      </c>
      <c r="D159" t="s">
        <v>1272</v>
      </c>
      <c r="E159" t="s">
        <v>1273</v>
      </c>
    </row>
    <row r="160" spans="2:5" x14ac:dyDescent="0.25">
      <c r="B160" t="s">
        <v>31</v>
      </c>
      <c r="C160" t="s">
        <v>200</v>
      </c>
      <c r="D160">
        <v>2</v>
      </c>
      <c r="E160">
        <v>320</v>
      </c>
    </row>
    <row r="161" spans="2:5" x14ac:dyDescent="0.25">
      <c r="B161" t="s">
        <v>1267</v>
      </c>
      <c r="E161">
        <f>SUBTOTAL(109,discountedTable158[Price])</f>
      </c>
    </row>
    <row r="162" spans="1:4" s="8" customFormat="1" x14ac:dyDescent="0.25">
      <c r="A162" s="8" t="s">
        <v>38</v>
      </c>
      <c r="B162" s="8" t="s">
        <v>1274</v>
      </c>
      <c r="C162" s="8" t="s">
        <v>38</v>
      </c>
      <c r="D162" s="8" t="s">
        <v>38</v>
      </c>
    </row>
    <row r="164" spans="1:2" x14ac:dyDescent="0.25">
      <c r="A164" t="s">
        <v>38</v>
      </c>
      <c r="B164" t="s">
        <v>206</v>
      </c>
    </row>
    <row r="165" spans="2:5" x14ac:dyDescent="0.25">
      <c r="B165" t="s">
        <v>5</v>
      </c>
      <c r="C165" t="s">
        <v>1271</v>
      </c>
      <c r="D165" t="s">
        <v>1272</v>
      </c>
      <c r="E165" t="s">
        <v>1273</v>
      </c>
    </row>
    <row r="166" spans="2:5" x14ac:dyDescent="0.25">
      <c r="B166" t="s">
        <v>31</v>
      </c>
      <c r="C166" t="s">
        <v>71</v>
      </c>
      <c r="D166">
        <v>1</v>
      </c>
      <c r="E166">
        <v>630</v>
      </c>
    </row>
    <row r="167" spans="2:5" x14ac:dyDescent="0.25">
      <c r="B167" t="s">
        <v>1267</v>
      </c>
      <c r="E167">
        <f>SUBTOTAL(109,discountedTable164[Price])</f>
      </c>
    </row>
    <row r="168" spans="1:4" s="8" customFormat="1" x14ac:dyDescent="0.25">
      <c r="A168" s="8" t="s">
        <v>38</v>
      </c>
      <c r="B168" s="8" t="s">
        <v>1274</v>
      </c>
      <c r="C168" s="8" t="s">
        <v>38</v>
      </c>
      <c r="D168" s="8" t="s">
        <v>38</v>
      </c>
    </row>
    <row r="170" spans="1:2" x14ac:dyDescent="0.25">
      <c r="A170" t="s">
        <v>38</v>
      </c>
      <c r="B170" t="s">
        <v>211</v>
      </c>
    </row>
    <row r="171" spans="2:5" x14ac:dyDescent="0.25">
      <c r="B171" t="s">
        <v>5</v>
      </c>
      <c r="C171" t="s">
        <v>1271</v>
      </c>
      <c r="D171" t="s">
        <v>1272</v>
      </c>
      <c r="E171" t="s">
        <v>1273</v>
      </c>
    </row>
    <row r="172" spans="2:5" x14ac:dyDescent="0.25">
      <c r="B172" t="s">
        <v>31</v>
      </c>
      <c r="C172" t="s">
        <v>212</v>
      </c>
      <c r="D172">
        <v>2</v>
      </c>
      <c r="E172">
        <v>720</v>
      </c>
    </row>
    <row r="173" spans="2:5" x14ac:dyDescent="0.25">
      <c r="B173" t="s">
        <v>1267</v>
      </c>
      <c r="E173">
        <f>SUBTOTAL(109,discountedTable170[Price])</f>
      </c>
    </row>
    <row r="174" spans="1:4" s="8" customFormat="1" x14ac:dyDescent="0.25">
      <c r="A174" s="8" t="s">
        <v>38</v>
      </c>
      <c r="B174" s="8" t="s">
        <v>1274</v>
      </c>
      <c r="C174" s="8" t="s">
        <v>38</v>
      </c>
      <c r="D174" s="8" t="s">
        <v>38</v>
      </c>
    </row>
    <row r="176" spans="1:2" x14ac:dyDescent="0.25">
      <c r="A176" t="s">
        <v>38</v>
      </c>
      <c r="B176" t="s">
        <v>217</v>
      </c>
    </row>
    <row r="177" spans="2:5" x14ac:dyDescent="0.25">
      <c r="B177" t="s">
        <v>5</v>
      </c>
      <c r="C177" t="s">
        <v>1271</v>
      </c>
      <c r="D177" t="s">
        <v>1272</v>
      </c>
      <c r="E177" t="s">
        <v>1273</v>
      </c>
    </row>
    <row r="178" spans="2:5" x14ac:dyDescent="0.25">
      <c r="B178" t="s">
        <v>31</v>
      </c>
      <c r="C178" t="s">
        <v>218</v>
      </c>
      <c r="D178">
        <v>6</v>
      </c>
      <c r="E178">
        <v>950</v>
      </c>
    </row>
    <row r="179" spans="2:5" x14ac:dyDescent="0.25">
      <c r="B179" t="s">
        <v>46</v>
      </c>
      <c r="C179" t="s">
        <v>218</v>
      </c>
      <c r="D179">
        <v>4</v>
      </c>
      <c r="E179">
        <v>1150</v>
      </c>
    </row>
    <row r="180" spans="2:5" x14ac:dyDescent="0.25">
      <c r="B180" t="s">
        <v>56</v>
      </c>
      <c r="C180" t="s">
        <v>218</v>
      </c>
      <c r="D180">
        <v>4</v>
      </c>
      <c r="E180">
        <v>1890</v>
      </c>
    </row>
    <row r="181" spans="2:5" x14ac:dyDescent="0.25">
      <c r="B181" t="s">
        <v>1267</v>
      </c>
      <c r="E181">
        <f>SUBTOTAL(109,discountedTable176[Price])</f>
      </c>
    </row>
    <row r="182" spans="1:4" s="8" customFormat="1" x14ac:dyDescent="0.25">
      <c r="A182" s="8" t="s">
        <v>38</v>
      </c>
      <c r="B182" s="8" t="s">
        <v>1274</v>
      </c>
      <c r="C182" s="8" t="s">
        <v>38</v>
      </c>
      <c r="D182" s="8" t="s">
        <v>38</v>
      </c>
    </row>
    <row r="184" spans="1:2" x14ac:dyDescent="0.25">
      <c r="A184" t="s">
        <v>38</v>
      </c>
      <c r="B184" t="s">
        <v>243</v>
      </c>
    </row>
    <row r="185" spans="2:5" x14ac:dyDescent="0.25">
      <c r="B185" t="s">
        <v>5</v>
      </c>
      <c r="C185" t="s">
        <v>1271</v>
      </c>
      <c r="D185" t="s">
        <v>1272</v>
      </c>
      <c r="E185" t="s">
        <v>1273</v>
      </c>
    </row>
    <row r="186" spans="2:5" x14ac:dyDescent="0.25">
      <c r="B186" t="s">
        <v>31</v>
      </c>
      <c r="C186" t="s">
        <v>244</v>
      </c>
      <c r="D186">
        <v>2</v>
      </c>
      <c r="E186">
        <v>215</v>
      </c>
    </row>
    <row r="187" spans="2:5" x14ac:dyDescent="0.25">
      <c r="B187" t="s">
        <v>46</v>
      </c>
      <c r="C187" t="s">
        <v>248</v>
      </c>
      <c r="D187">
        <v>1</v>
      </c>
      <c r="E187">
        <v>1020</v>
      </c>
    </row>
    <row r="188" spans="2:5" x14ac:dyDescent="0.25">
      <c r="B188" t="s">
        <v>1267</v>
      </c>
      <c r="E188">
        <f>SUBTOTAL(109,discountedTable184[Price])</f>
      </c>
    </row>
    <row r="189" spans="1:4" s="8" customFormat="1" x14ac:dyDescent="0.25">
      <c r="A189" s="8" t="s">
        <v>38</v>
      </c>
      <c r="B189" s="8" t="s">
        <v>1274</v>
      </c>
      <c r="C189" s="8" t="s">
        <v>38</v>
      </c>
      <c r="D189" s="8" t="s">
        <v>38</v>
      </c>
    </row>
    <row r="191" spans="1:2" x14ac:dyDescent="0.25">
      <c r="A191" t="s">
        <v>38</v>
      </c>
      <c r="B191" t="s">
        <v>250</v>
      </c>
    </row>
    <row r="192" spans="2:5" x14ac:dyDescent="0.25">
      <c r="B192" t="s">
        <v>5</v>
      </c>
      <c r="C192" t="s">
        <v>1271</v>
      </c>
      <c r="D192" t="s">
        <v>1272</v>
      </c>
      <c r="E192" t="s">
        <v>1273</v>
      </c>
    </row>
    <row r="193" spans="2:5" x14ac:dyDescent="0.25">
      <c r="B193" t="s">
        <v>31</v>
      </c>
      <c r="C193" t="s">
        <v>251</v>
      </c>
      <c r="D193">
        <v>10</v>
      </c>
      <c r="E193">
        <v>160</v>
      </c>
    </row>
    <row r="194" spans="2:5" x14ac:dyDescent="0.25">
      <c r="B194" t="s">
        <v>46</v>
      </c>
      <c r="C194" t="s">
        <v>255</v>
      </c>
      <c r="D194">
        <v>10</v>
      </c>
      <c r="E194">
        <v>112</v>
      </c>
    </row>
    <row r="195" spans="2:5" x14ac:dyDescent="0.25">
      <c r="B195" t="s">
        <v>56</v>
      </c>
      <c r="C195" t="s">
        <v>257</v>
      </c>
      <c r="D195">
        <v>2</v>
      </c>
      <c r="E195">
        <v>110</v>
      </c>
    </row>
    <row r="196" spans="2:5" x14ac:dyDescent="0.25">
      <c r="B196" t="s">
        <v>64</v>
      </c>
      <c r="C196" t="s">
        <v>260</v>
      </c>
      <c r="D196">
        <v>20</v>
      </c>
      <c r="E196">
        <v>90</v>
      </c>
    </row>
    <row r="197" spans="2:5" x14ac:dyDescent="0.25">
      <c r="B197" t="s">
        <v>75</v>
      </c>
      <c r="C197" t="s">
        <v>263</v>
      </c>
      <c r="D197">
        <v>10</v>
      </c>
      <c r="E197">
        <v>170</v>
      </c>
    </row>
    <row r="198" spans="2:5" x14ac:dyDescent="0.25">
      <c r="B198" t="s">
        <v>89</v>
      </c>
      <c r="C198" t="s">
        <v>265</v>
      </c>
      <c r="D198">
        <v>100</v>
      </c>
      <c r="E198">
        <v>20</v>
      </c>
    </row>
    <row r="199" spans="2:5" x14ac:dyDescent="0.25">
      <c r="B199" t="s">
        <v>1267</v>
      </c>
      <c r="E199">
        <f>SUBTOTAL(109,discountedTable191[Price])</f>
      </c>
    </row>
    <row r="200" spans="1:4" s="8" customFormat="1" x14ac:dyDescent="0.25">
      <c r="A200" s="8" t="s">
        <v>38</v>
      </c>
      <c r="B200" s="8" t="s">
        <v>1274</v>
      </c>
      <c r="C200" s="8" t="s">
        <v>38</v>
      </c>
      <c r="D200" s="8" t="s">
        <v>38</v>
      </c>
    </row>
    <row r="202" spans="1:2" x14ac:dyDescent="0.25">
      <c r="A202" t="s">
        <v>38</v>
      </c>
      <c r="B202" t="s">
        <v>268</v>
      </c>
    </row>
    <row r="203" spans="2:5" x14ac:dyDescent="0.25">
      <c r="B203" t="s">
        <v>5</v>
      </c>
      <c r="C203" t="s">
        <v>1271</v>
      </c>
      <c r="D203" t="s">
        <v>1272</v>
      </c>
      <c r="E203" t="s">
        <v>1273</v>
      </c>
    </row>
    <row r="204" spans="2:5" x14ac:dyDescent="0.25">
      <c r="B204" t="s">
        <v>31</v>
      </c>
      <c r="C204" t="s">
        <v>269</v>
      </c>
      <c r="D204">
        <v>1</v>
      </c>
      <c r="E204">
        <v>680</v>
      </c>
    </row>
    <row r="205" spans="2:5" x14ac:dyDescent="0.25">
      <c r="B205" t="s">
        <v>1267</v>
      </c>
      <c r="E205">
        <f>SUBTOTAL(109,discountedTable202[Price])</f>
      </c>
    </row>
    <row r="206" spans="1:4" s="8" customFormat="1" x14ac:dyDescent="0.25">
      <c r="A206" s="8" t="s">
        <v>38</v>
      </c>
      <c r="B206" s="8" t="s">
        <v>1274</v>
      </c>
      <c r="C206" s="8" t="s">
        <v>38</v>
      </c>
      <c r="D206" s="8" t="s">
        <v>38</v>
      </c>
    </row>
    <row r="208" spans="1:2" x14ac:dyDescent="0.25">
      <c r="A208" t="s">
        <v>38</v>
      </c>
      <c r="B208" t="s">
        <v>273</v>
      </c>
    </row>
    <row r="209" spans="2:5" x14ac:dyDescent="0.25">
      <c r="B209" t="s">
        <v>5</v>
      </c>
      <c r="C209" t="s">
        <v>1271</v>
      </c>
      <c r="D209" t="s">
        <v>1272</v>
      </c>
      <c r="E209" t="s">
        <v>1273</v>
      </c>
    </row>
    <row r="210" spans="2:5" x14ac:dyDescent="0.25">
      <c r="B210" t="s">
        <v>31</v>
      </c>
      <c r="C210" t="s">
        <v>274</v>
      </c>
      <c r="D210">
        <v>1</v>
      </c>
      <c r="E210">
        <v>250</v>
      </c>
    </row>
    <row r="211" spans="2:5" x14ac:dyDescent="0.25">
      <c r="B211" t="s">
        <v>1267</v>
      </c>
      <c r="E211">
        <f>SUBTOTAL(109,discountedTable208[Price])</f>
      </c>
    </row>
    <row r="212" spans="1:4" s="8" customFormat="1" x14ac:dyDescent="0.25">
      <c r="A212" s="8" t="s">
        <v>38</v>
      </c>
      <c r="B212" s="8" t="s">
        <v>1274</v>
      </c>
      <c r="C212" s="8" t="s">
        <v>38</v>
      </c>
      <c r="D212" s="8" t="s">
        <v>38</v>
      </c>
    </row>
    <row r="214" spans="1:2" x14ac:dyDescent="0.25">
      <c r="A214" t="s">
        <v>38</v>
      </c>
      <c r="B214" t="s">
        <v>286</v>
      </c>
    </row>
    <row r="215" spans="2:5" x14ac:dyDescent="0.25">
      <c r="B215" t="s">
        <v>5</v>
      </c>
      <c r="C215" t="s">
        <v>1271</v>
      </c>
      <c r="D215" t="s">
        <v>1272</v>
      </c>
      <c r="E215" t="s">
        <v>1273</v>
      </c>
    </row>
    <row r="216" spans="2:5" x14ac:dyDescent="0.25">
      <c r="B216" t="s">
        <v>31</v>
      </c>
      <c r="C216" t="s">
        <v>274</v>
      </c>
      <c r="D216">
        <v>3</v>
      </c>
      <c r="E216">
        <v>250</v>
      </c>
    </row>
    <row r="217" spans="2:5" x14ac:dyDescent="0.25">
      <c r="B217" t="s">
        <v>1267</v>
      </c>
      <c r="E217">
        <f>SUBTOTAL(109,discountedTable214[Price])</f>
      </c>
    </row>
    <row r="218" spans="1:4" s="8" customFormat="1" x14ac:dyDescent="0.25">
      <c r="A218" s="8" t="s">
        <v>38</v>
      </c>
      <c r="B218" s="8" t="s">
        <v>1274</v>
      </c>
      <c r="C218" s="8" t="s">
        <v>38</v>
      </c>
      <c r="D218" s="8" t="s">
        <v>38</v>
      </c>
    </row>
    <row r="220" spans="1:2" x14ac:dyDescent="0.25">
      <c r="A220" t="s">
        <v>38</v>
      </c>
      <c r="B220" t="s">
        <v>288</v>
      </c>
    </row>
    <row r="221" spans="2:5" x14ac:dyDescent="0.25">
      <c r="B221" t="s">
        <v>5</v>
      </c>
      <c r="C221" t="s">
        <v>1271</v>
      </c>
      <c r="D221" t="s">
        <v>1272</v>
      </c>
      <c r="E221" t="s">
        <v>1273</v>
      </c>
    </row>
    <row r="222" spans="2:5" x14ac:dyDescent="0.25">
      <c r="B222" t="s">
        <v>31</v>
      </c>
      <c r="C222" t="s">
        <v>257</v>
      </c>
      <c r="D222">
        <v>6</v>
      </c>
      <c r="E222">
        <v>114</v>
      </c>
    </row>
    <row r="223" spans="2:5" x14ac:dyDescent="0.25">
      <c r="B223" t="s">
        <v>1267</v>
      </c>
      <c r="E223">
        <f>SUBTOTAL(109,discountedTable220[Price])</f>
      </c>
    </row>
    <row r="224" spans="1:4" s="8" customFormat="1" x14ac:dyDescent="0.25">
      <c r="A224" s="8" t="s">
        <v>38</v>
      </c>
      <c r="B224" s="8" t="s">
        <v>1274</v>
      </c>
      <c r="C224" s="8" t="s">
        <v>38</v>
      </c>
      <c r="D224" s="8" t="s">
        <v>38</v>
      </c>
    </row>
    <row r="226" spans="1:2" x14ac:dyDescent="0.25">
      <c r="A226" t="s">
        <v>38</v>
      </c>
      <c r="B226" t="s">
        <v>309</v>
      </c>
    </row>
    <row r="227" spans="2:5" x14ac:dyDescent="0.25">
      <c r="B227" t="s">
        <v>5</v>
      </c>
      <c r="C227" t="s">
        <v>1271</v>
      </c>
      <c r="D227" t="s">
        <v>1272</v>
      </c>
      <c r="E227" t="s">
        <v>1273</v>
      </c>
    </row>
    <row r="228" spans="2:5" x14ac:dyDescent="0.25">
      <c r="B228" t="s">
        <v>31</v>
      </c>
      <c r="C228" t="s">
        <v>257</v>
      </c>
      <c r="D228">
        <v>5</v>
      </c>
      <c r="E228">
        <v>925</v>
      </c>
    </row>
    <row r="229" spans="2:5" x14ac:dyDescent="0.25">
      <c r="B229" t="s">
        <v>46</v>
      </c>
      <c r="C229" t="s">
        <v>257</v>
      </c>
      <c r="D229">
        <v>8</v>
      </c>
      <c r="E229">
        <v>482</v>
      </c>
    </row>
    <row r="230" spans="2:5" x14ac:dyDescent="0.25">
      <c r="B230" t="s">
        <v>1267</v>
      </c>
      <c r="E230">
        <f>SUBTOTAL(109,discountedTable226[Price])</f>
      </c>
    </row>
    <row r="231" spans="1:4" s="8" customFormat="1" x14ac:dyDescent="0.25">
      <c r="A231" s="8" t="s">
        <v>38</v>
      </c>
      <c r="B231" s="8" t="s">
        <v>1274</v>
      </c>
      <c r="C231" s="8" t="s">
        <v>38</v>
      </c>
      <c r="D231" s="8" t="s">
        <v>38</v>
      </c>
    </row>
    <row r="233" spans="1:2" x14ac:dyDescent="0.25">
      <c r="A233" t="s">
        <v>38</v>
      </c>
      <c r="B233" t="s">
        <v>351</v>
      </c>
    </row>
    <row r="234" spans="2:5" x14ac:dyDescent="0.25">
      <c r="B234" t="s">
        <v>5</v>
      </c>
      <c r="C234" t="s">
        <v>1271</v>
      </c>
      <c r="D234" t="s">
        <v>1272</v>
      </c>
      <c r="E234" t="s">
        <v>1273</v>
      </c>
    </row>
    <row r="235" spans="2:5" x14ac:dyDescent="0.25">
      <c r="B235" t="s">
        <v>31</v>
      </c>
      <c r="C235" t="s">
        <v>353</v>
      </c>
      <c r="D235">
        <v>4</v>
      </c>
      <c r="E235">
        <v>140</v>
      </c>
    </row>
    <row r="236" spans="2:5" x14ac:dyDescent="0.25">
      <c r="B236" t="s">
        <v>46</v>
      </c>
      <c r="C236" t="s">
        <v>358</v>
      </c>
      <c r="D236">
        <v>1</v>
      </c>
      <c r="E236">
        <v>1300</v>
      </c>
    </row>
    <row r="237" spans="2:5" x14ac:dyDescent="0.25">
      <c r="B237" t="s">
        <v>56</v>
      </c>
      <c r="C237" t="s">
        <v>99</v>
      </c>
      <c r="D237">
        <v>6</v>
      </c>
      <c r="E237">
        <v>5.5</v>
      </c>
    </row>
    <row r="238" spans="2:5" x14ac:dyDescent="0.25">
      <c r="B238" t="s">
        <v>1267</v>
      </c>
      <c r="E238">
        <f>SUBTOTAL(109,discountedTable233[Price])</f>
      </c>
    </row>
    <row r="239" spans="1:4" s="8" customFormat="1" x14ac:dyDescent="0.25">
      <c r="A239" s="8" t="s">
        <v>38</v>
      </c>
      <c r="B239" s="8" t="s">
        <v>1274</v>
      </c>
      <c r="C239" s="8" t="s">
        <v>38</v>
      </c>
      <c r="D239" s="8" t="s">
        <v>38</v>
      </c>
    </row>
    <row r="241" spans="1:2" x14ac:dyDescent="0.25">
      <c r="A241" t="s">
        <v>38</v>
      </c>
      <c r="B241" t="s">
        <v>365</v>
      </c>
    </row>
    <row r="242" spans="2:5" x14ac:dyDescent="0.25">
      <c r="B242" t="s">
        <v>5</v>
      </c>
      <c r="C242" t="s">
        <v>1271</v>
      </c>
      <c r="D242" t="s">
        <v>1272</v>
      </c>
      <c r="E242" t="s">
        <v>1273</v>
      </c>
    </row>
    <row r="243" spans="2:5" x14ac:dyDescent="0.25">
      <c r="B243" t="s">
        <v>31</v>
      </c>
      <c r="C243" t="s">
        <v>142</v>
      </c>
      <c r="D243">
        <v>1</v>
      </c>
      <c r="E243">
        <v>3180</v>
      </c>
    </row>
    <row r="244" spans="2:5" x14ac:dyDescent="0.25">
      <c r="B244" t="s">
        <v>1267</v>
      </c>
      <c r="E244">
        <f>SUBTOTAL(109,discountedTable241[Price])</f>
      </c>
    </row>
    <row r="245" spans="1:4" s="8" customFormat="1" x14ac:dyDescent="0.25">
      <c r="A245" s="8" t="s">
        <v>38</v>
      </c>
      <c r="B245" s="8" t="s">
        <v>1274</v>
      </c>
      <c r="C245" s="8" t="s">
        <v>38</v>
      </c>
      <c r="D245" s="8" t="s">
        <v>38</v>
      </c>
    </row>
    <row r="247" spans="1:2" x14ac:dyDescent="0.25">
      <c r="A247" t="s">
        <v>38</v>
      </c>
      <c r="B247" t="s">
        <v>371</v>
      </c>
    </row>
    <row r="248" spans="2:5" x14ac:dyDescent="0.25">
      <c r="B248" t="s">
        <v>5</v>
      </c>
      <c r="C248" t="s">
        <v>1271</v>
      </c>
      <c r="D248" t="s">
        <v>1272</v>
      </c>
      <c r="E248" t="s">
        <v>1273</v>
      </c>
    </row>
    <row r="249" spans="2:5" x14ac:dyDescent="0.25">
      <c r="B249" t="s">
        <v>31</v>
      </c>
      <c r="C249" t="s">
        <v>372</v>
      </c>
      <c r="D249">
        <v>1</v>
      </c>
      <c r="E249">
        <v>345</v>
      </c>
    </row>
    <row r="250" spans="2:5" x14ac:dyDescent="0.25">
      <c r="B250" t="s">
        <v>46</v>
      </c>
      <c r="C250" t="s">
        <v>379</v>
      </c>
      <c r="D250">
        <v>1</v>
      </c>
      <c r="E250">
        <v>260</v>
      </c>
    </row>
    <row r="251" spans="2:5" x14ac:dyDescent="0.25">
      <c r="B251" t="s">
        <v>1267</v>
      </c>
      <c r="E251">
        <f>SUBTOTAL(109,discountedTable247[Price])</f>
      </c>
    </row>
    <row r="252" spans="1:4" s="8" customFormat="1" x14ac:dyDescent="0.25">
      <c r="A252" s="8" t="s">
        <v>38</v>
      </c>
      <c r="B252" s="8" t="s">
        <v>1274</v>
      </c>
      <c r="C252" s="8" t="s">
        <v>38</v>
      </c>
      <c r="D252" s="8" t="s">
        <v>38</v>
      </c>
    </row>
    <row r="254" spans="1:2" x14ac:dyDescent="0.25">
      <c r="A254" t="s">
        <v>38</v>
      </c>
      <c r="B254" t="s">
        <v>384</v>
      </c>
    </row>
    <row r="255" spans="2:5" x14ac:dyDescent="0.25">
      <c r="B255" t="s">
        <v>5</v>
      </c>
      <c r="C255" t="s">
        <v>1271</v>
      </c>
      <c r="D255" t="s">
        <v>1272</v>
      </c>
      <c r="E255" t="s">
        <v>1273</v>
      </c>
    </row>
    <row r="256" spans="2:5" x14ac:dyDescent="0.25">
      <c r="B256" t="s">
        <v>31</v>
      </c>
      <c r="C256" t="s">
        <v>142</v>
      </c>
      <c r="D256">
        <v>1</v>
      </c>
      <c r="E256">
        <v>3180</v>
      </c>
    </row>
    <row r="257" spans="2:5" x14ac:dyDescent="0.25">
      <c r="B257" t="s">
        <v>1267</v>
      </c>
      <c r="E257">
        <f>SUBTOTAL(109,discountedTable254[Price])</f>
      </c>
    </row>
    <row r="258" spans="1:4" s="8" customFormat="1" x14ac:dyDescent="0.25">
      <c r="A258" s="8" t="s">
        <v>38</v>
      </c>
      <c r="B258" s="8" t="s">
        <v>1274</v>
      </c>
      <c r="C258" s="8" t="s">
        <v>38</v>
      </c>
      <c r="D258" s="8" t="s">
        <v>38</v>
      </c>
    </row>
    <row r="260" spans="1:2" x14ac:dyDescent="0.25">
      <c r="A260" t="s">
        <v>38</v>
      </c>
      <c r="B260" t="s">
        <v>387</v>
      </c>
    </row>
    <row r="261" spans="2:5" x14ac:dyDescent="0.25">
      <c r="B261" t="s">
        <v>5</v>
      </c>
      <c r="C261" t="s">
        <v>1271</v>
      </c>
      <c r="D261" t="s">
        <v>1272</v>
      </c>
      <c r="E261" t="s">
        <v>1273</v>
      </c>
    </row>
    <row r="262" spans="2:5" x14ac:dyDescent="0.25">
      <c r="B262" t="s">
        <v>31</v>
      </c>
      <c r="C262" t="s">
        <v>152</v>
      </c>
      <c r="D262">
        <v>2</v>
      </c>
      <c r="E262">
        <v>400</v>
      </c>
    </row>
    <row r="263" spans="2:5" x14ac:dyDescent="0.25">
      <c r="B263" t="s">
        <v>46</v>
      </c>
      <c r="C263" t="s">
        <v>152</v>
      </c>
      <c r="D263">
        <v>2</v>
      </c>
      <c r="E263">
        <v>790</v>
      </c>
    </row>
    <row r="264" spans="2:5" x14ac:dyDescent="0.25">
      <c r="B264" t="s">
        <v>1267</v>
      </c>
      <c r="E264">
        <f>SUBTOTAL(109,discountedTable260[Price])</f>
      </c>
    </row>
    <row r="265" spans="1:4" s="8" customFormat="1" x14ac:dyDescent="0.25">
      <c r="A265" s="8" t="s">
        <v>38</v>
      </c>
      <c r="B265" s="8" t="s">
        <v>1274</v>
      </c>
      <c r="C265" s="8" t="s">
        <v>38</v>
      </c>
      <c r="D265" s="8" t="s">
        <v>38</v>
      </c>
    </row>
    <row r="267" spans="1:2" x14ac:dyDescent="0.25">
      <c r="A267" t="s">
        <v>38</v>
      </c>
      <c r="B267" t="s">
        <v>395</v>
      </c>
    </row>
    <row r="268" spans="2:5" x14ac:dyDescent="0.25">
      <c r="B268" t="s">
        <v>5</v>
      </c>
      <c r="C268" t="s">
        <v>1271</v>
      </c>
      <c r="D268" t="s">
        <v>1272</v>
      </c>
      <c r="E268" t="s">
        <v>1273</v>
      </c>
    </row>
    <row r="269" spans="2:5" x14ac:dyDescent="0.25">
      <c r="B269" t="s">
        <v>31</v>
      </c>
      <c r="C269" t="s">
        <v>257</v>
      </c>
      <c r="D269">
        <v>6</v>
      </c>
      <c r="E269">
        <v>407</v>
      </c>
    </row>
    <row r="270" spans="2:5" x14ac:dyDescent="0.25">
      <c r="B270" t="s">
        <v>46</v>
      </c>
      <c r="C270" t="s">
        <v>244</v>
      </c>
      <c r="D270">
        <v>1</v>
      </c>
      <c r="E270">
        <v>3720</v>
      </c>
    </row>
    <row r="271" spans="2:5" x14ac:dyDescent="0.25">
      <c r="B271" t="s">
        <v>1267</v>
      </c>
      <c r="E271">
        <f>SUBTOTAL(109,discountedTable267[Price])</f>
      </c>
    </row>
    <row r="272" spans="1:4" s="8" customFormat="1" x14ac:dyDescent="0.25">
      <c r="A272" s="8" t="s">
        <v>38</v>
      </c>
      <c r="B272" s="8" t="s">
        <v>1274</v>
      </c>
      <c r="C272" s="8" t="s">
        <v>38</v>
      </c>
      <c r="D272" s="8" t="s">
        <v>38</v>
      </c>
    </row>
    <row r="274" spans="1:2" x14ac:dyDescent="0.25">
      <c r="A274" t="s">
        <v>38</v>
      </c>
      <c r="B274" t="s">
        <v>418</v>
      </c>
    </row>
    <row r="275" spans="2:5" x14ac:dyDescent="0.25">
      <c r="B275" t="s">
        <v>5</v>
      </c>
      <c r="C275" t="s">
        <v>1271</v>
      </c>
      <c r="D275" t="s">
        <v>1272</v>
      </c>
      <c r="E275" t="s">
        <v>1273</v>
      </c>
    </row>
    <row r="276" spans="2:5" x14ac:dyDescent="0.25">
      <c r="B276" t="s">
        <v>31</v>
      </c>
      <c r="C276" t="s">
        <v>419</v>
      </c>
      <c r="D276">
        <v>10</v>
      </c>
      <c r="E276">
        <v>64</v>
      </c>
    </row>
    <row r="277" spans="2:5" x14ac:dyDescent="0.25">
      <c r="B277" t="s">
        <v>1267</v>
      </c>
      <c r="E277">
        <f>SUBTOTAL(109,discountedTable274[Price])</f>
      </c>
    </row>
    <row r="278" spans="1:4" s="8" customFormat="1" x14ac:dyDescent="0.25">
      <c r="A278" s="8" t="s">
        <v>38</v>
      </c>
      <c r="B278" s="8" t="s">
        <v>1274</v>
      </c>
      <c r="C278" s="8" t="s">
        <v>38</v>
      </c>
      <c r="D278" s="8" t="s">
        <v>38</v>
      </c>
    </row>
    <row r="280" spans="1:2" x14ac:dyDescent="0.25">
      <c r="A280" t="s">
        <v>38</v>
      </c>
      <c r="B280" t="s">
        <v>423</v>
      </c>
    </row>
    <row r="281" spans="2:5" x14ac:dyDescent="0.25">
      <c r="B281" t="s">
        <v>5</v>
      </c>
      <c r="C281" t="s">
        <v>1271</v>
      </c>
      <c r="D281" t="s">
        <v>1272</v>
      </c>
      <c r="E281" t="s">
        <v>1273</v>
      </c>
    </row>
    <row r="282" spans="2:5" x14ac:dyDescent="0.25">
      <c r="B282" t="s">
        <v>31</v>
      </c>
      <c r="C282" t="s">
        <v>424</v>
      </c>
      <c r="D282">
        <v>6</v>
      </c>
      <c r="E282">
        <v>450</v>
      </c>
    </row>
    <row r="283" spans="2:5" x14ac:dyDescent="0.25">
      <c r="B283" t="s">
        <v>1267</v>
      </c>
      <c r="E283">
        <f>SUBTOTAL(109,discountedTable280[Price])</f>
      </c>
    </row>
    <row r="284" spans="1:4" s="8" customFormat="1" x14ac:dyDescent="0.25">
      <c r="A284" s="8" t="s">
        <v>38</v>
      </c>
      <c r="B284" s="8" t="s">
        <v>1274</v>
      </c>
      <c r="C284" s="8" t="s">
        <v>38</v>
      </c>
      <c r="D284" s="8" t="s">
        <v>38</v>
      </c>
    </row>
    <row r="286" spans="1:2" x14ac:dyDescent="0.25">
      <c r="A286" t="s">
        <v>38</v>
      </c>
      <c r="B286" t="s">
        <v>496</v>
      </c>
    </row>
    <row r="287" spans="2:5" x14ac:dyDescent="0.25">
      <c r="B287" t="s">
        <v>5</v>
      </c>
      <c r="C287" t="s">
        <v>1271</v>
      </c>
      <c r="D287" t="s">
        <v>1272</v>
      </c>
      <c r="E287" t="s">
        <v>1273</v>
      </c>
    </row>
    <row r="288" spans="2:5" x14ac:dyDescent="0.25">
      <c r="B288" t="s">
        <v>31</v>
      </c>
      <c r="C288" t="s">
        <v>497</v>
      </c>
      <c r="D288">
        <v>1</v>
      </c>
      <c r="E288">
        <v>240</v>
      </c>
    </row>
    <row r="289" spans="2:5" x14ac:dyDescent="0.25">
      <c r="B289" t="s">
        <v>1267</v>
      </c>
      <c r="E289">
        <f>SUBTOTAL(109,discountedTable286[Price])</f>
      </c>
    </row>
    <row r="290" spans="1:4" s="8" customFormat="1" x14ac:dyDescent="0.25">
      <c r="A290" s="8" t="s">
        <v>38</v>
      </c>
      <c r="B290" s="8" t="s">
        <v>1274</v>
      </c>
      <c r="C290" s="8" t="s">
        <v>38</v>
      </c>
      <c r="D290" s="8" t="s">
        <v>38</v>
      </c>
    </row>
    <row r="292" spans="1:2" x14ac:dyDescent="0.25">
      <c r="A292" t="s">
        <v>38</v>
      </c>
      <c r="B292" t="s">
        <v>502</v>
      </c>
    </row>
    <row r="293" spans="2:5" x14ac:dyDescent="0.25">
      <c r="B293" t="s">
        <v>5</v>
      </c>
      <c r="C293" t="s">
        <v>1271</v>
      </c>
      <c r="D293" t="s">
        <v>1272</v>
      </c>
      <c r="E293" t="s">
        <v>1273</v>
      </c>
    </row>
    <row r="294" spans="2:5" x14ac:dyDescent="0.25">
      <c r="B294" t="s">
        <v>31</v>
      </c>
      <c r="C294" t="s">
        <v>503</v>
      </c>
      <c r="D294">
        <v>1</v>
      </c>
      <c r="E294">
        <v>550</v>
      </c>
    </row>
    <row r="295" spans="2:5" x14ac:dyDescent="0.25">
      <c r="B295" t="s">
        <v>1267</v>
      </c>
      <c r="E295">
        <f>SUBTOTAL(109,discountedTable292[Price])</f>
      </c>
    </row>
    <row r="296" spans="1:4" s="8" customFormat="1" x14ac:dyDescent="0.25">
      <c r="A296" s="8" t="s">
        <v>38</v>
      </c>
      <c r="B296" s="8" t="s">
        <v>1274</v>
      </c>
      <c r="C296" s="8" t="s">
        <v>38</v>
      </c>
      <c r="D296" s="8" t="s">
        <v>38</v>
      </c>
    </row>
    <row r="298" spans="1:2" x14ac:dyDescent="0.25">
      <c r="A298" t="s">
        <v>38</v>
      </c>
      <c r="B298" t="s">
        <v>521</v>
      </c>
    </row>
    <row r="299" spans="2:5" x14ac:dyDescent="0.25">
      <c r="B299" t="s">
        <v>5</v>
      </c>
      <c r="C299" t="s">
        <v>1271</v>
      </c>
      <c r="D299" t="s">
        <v>1272</v>
      </c>
      <c r="E299" t="s">
        <v>1273</v>
      </c>
    </row>
    <row r="300" spans="2:5" x14ac:dyDescent="0.25">
      <c r="B300" t="s">
        <v>31</v>
      </c>
      <c r="C300" t="s">
        <v>212</v>
      </c>
      <c r="D300">
        <v>1</v>
      </c>
      <c r="E300">
        <v>720</v>
      </c>
    </row>
    <row r="301" spans="2:5" x14ac:dyDescent="0.25">
      <c r="B301" t="s">
        <v>1267</v>
      </c>
      <c r="E301">
        <f>SUBTOTAL(109,discountedTable298[Price])</f>
      </c>
    </row>
    <row r="302" spans="1:4" s="8" customFormat="1" x14ac:dyDescent="0.25">
      <c r="A302" s="8" t="s">
        <v>38</v>
      </c>
      <c r="B302" s="8" t="s">
        <v>1274</v>
      </c>
      <c r="C302" s="8" t="s">
        <v>38</v>
      </c>
      <c r="D302" s="8" t="s">
        <v>38</v>
      </c>
    </row>
    <row r="304" spans="1:2" x14ac:dyDescent="0.25">
      <c r="A304" t="s">
        <v>38</v>
      </c>
      <c r="B304" t="s">
        <v>539</v>
      </c>
    </row>
    <row r="305" spans="2:5" x14ac:dyDescent="0.25">
      <c r="B305" t="s">
        <v>5</v>
      </c>
      <c r="C305" t="s">
        <v>1271</v>
      </c>
      <c r="D305" t="s">
        <v>1272</v>
      </c>
      <c r="E305" t="s">
        <v>1273</v>
      </c>
    </row>
    <row r="306" spans="2:5" x14ac:dyDescent="0.25">
      <c r="B306" t="s">
        <v>31</v>
      </c>
      <c r="C306" t="s">
        <v>142</v>
      </c>
      <c r="D306">
        <v>2</v>
      </c>
      <c r="E306">
        <v>720</v>
      </c>
    </row>
    <row r="307" spans="2:5" x14ac:dyDescent="0.25">
      <c r="B307" t="s">
        <v>46</v>
      </c>
      <c r="C307" t="s">
        <v>212</v>
      </c>
      <c r="D307">
        <v>1</v>
      </c>
      <c r="E307">
        <v>720</v>
      </c>
    </row>
    <row r="308" spans="2:5" x14ac:dyDescent="0.25">
      <c r="B308" t="s">
        <v>1267</v>
      </c>
      <c r="E308">
        <f>SUBTOTAL(109,discountedTable304[Price])</f>
      </c>
    </row>
    <row r="309" spans="1:4" s="8" customFormat="1" x14ac:dyDescent="0.25">
      <c r="A309" s="8" t="s">
        <v>38</v>
      </c>
      <c r="B309" s="8" t="s">
        <v>1274</v>
      </c>
      <c r="C309" s="8" t="s">
        <v>38</v>
      </c>
      <c r="D309" s="8" t="s">
        <v>38</v>
      </c>
    </row>
    <row r="311" spans="1:2" x14ac:dyDescent="0.25">
      <c r="A311" t="s">
        <v>38</v>
      </c>
      <c r="B311" t="s">
        <v>543</v>
      </c>
    </row>
    <row r="312" spans="2:5" x14ac:dyDescent="0.25">
      <c r="B312" t="s">
        <v>5</v>
      </c>
      <c r="C312" t="s">
        <v>1271</v>
      </c>
      <c r="D312" t="s">
        <v>1272</v>
      </c>
      <c r="E312" t="s">
        <v>1273</v>
      </c>
    </row>
    <row r="313" spans="2:5" x14ac:dyDescent="0.25">
      <c r="B313" t="s">
        <v>31</v>
      </c>
      <c r="C313" t="s">
        <v>212</v>
      </c>
      <c r="D313">
        <v>1</v>
      </c>
      <c r="E313">
        <v>720</v>
      </c>
    </row>
    <row r="314" spans="2:5" x14ac:dyDescent="0.25">
      <c r="B314" t="s">
        <v>46</v>
      </c>
      <c r="C314" t="s">
        <v>497</v>
      </c>
      <c r="D314">
        <v>2</v>
      </c>
      <c r="E314">
        <v>240</v>
      </c>
    </row>
    <row r="315" spans="2:5" x14ac:dyDescent="0.25">
      <c r="B315" t="s">
        <v>1267</v>
      </c>
      <c r="E315">
        <f>SUBTOTAL(109,discountedTable311[Price])</f>
      </c>
    </row>
    <row r="316" spans="1:4" s="8" customFormat="1" x14ac:dyDescent="0.25">
      <c r="A316" s="8" t="s">
        <v>38</v>
      </c>
      <c r="B316" s="8" t="s">
        <v>1274</v>
      </c>
      <c r="C316" s="8" t="s">
        <v>38</v>
      </c>
      <c r="D316" s="8" t="s">
        <v>38</v>
      </c>
    </row>
    <row r="318" spans="1:2" x14ac:dyDescent="0.25">
      <c r="A318" t="s">
        <v>38</v>
      </c>
      <c r="B318" t="s">
        <v>547</v>
      </c>
    </row>
    <row r="319" spans="2:5" x14ac:dyDescent="0.25">
      <c r="B319" t="s">
        <v>5</v>
      </c>
      <c r="C319" t="s">
        <v>1271</v>
      </c>
      <c r="D319" t="s">
        <v>1272</v>
      </c>
      <c r="E319" t="s">
        <v>1273</v>
      </c>
    </row>
    <row r="320" spans="2:5" x14ac:dyDescent="0.25">
      <c r="B320" t="s">
        <v>31</v>
      </c>
      <c r="C320" t="s">
        <v>99</v>
      </c>
      <c r="D320">
        <v>10</v>
      </c>
      <c r="E320">
        <v>5.5</v>
      </c>
    </row>
    <row r="321" spans="2:5" x14ac:dyDescent="0.25">
      <c r="B321" t="s">
        <v>1267</v>
      </c>
      <c r="E321">
        <f>SUBTOTAL(109,discountedTable318[Price])</f>
      </c>
    </row>
    <row r="322" spans="1:4" s="8" customFormat="1" x14ac:dyDescent="0.25">
      <c r="A322" s="8" t="s">
        <v>38</v>
      </c>
      <c r="B322" s="8" t="s">
        <v>1274</v>
      </c>
      <c r="C322" s="8" t="s">
        <v>38</v>
      </c>
      <c r="D322" s="8" t="s">
        <v>38</v>
      </c>
    </row>
    <row r="324" spans="1:2" x14ac:dyDescent="0.25">
      <c r="A324" t="s">
        <v>38</v>
      </c>
      <c r="B324" t="s">
        <v>557</v>
      </c>
    </row>
    <row r="325" spans="2:5" x14ac:dyDescent="0.25">
      <c r="B325" t="s">
        <v>5</v>
      </c>
      <c r="C325" t="s">
        <v>1271</v>
      </c>
      <c r="D325" t="s">
        <v>1272</v>
      </c>
      <c r="E325" t="s">
        <v>1273</v>
      </c>
    </row>
    <row r="326" spans="2:5" x14ac:dyDescent="0.25">
      <c r="B326" t="s">
        <v>31</v>
      </c>
      <c r="C326" t="s">
        <v>558</v>
      </c>
      <c r="D326">
        <v>2</v>
      </c>
      <c r="E326">
        <v>925</v>
      </c>
    </row>
    <row r="327" spans="2:5" x14ac:dyDescent="0.25">
      <c r="B327" t="s">
        <v>1267</v>
      </c>
      <c r="E327">
        <f>SUBTOTAL(109,discountedTable324[Price])</f>
      </c>
    </row>
    <row r="328" spans="1:4" s="8" customFormat="1" x14ac:dyDescent="0.25">
      <c r="A328" s="8" t="s">
        <v>38</v>
      </c>
      <c r="B328" s="8" t="s">
        <v>1274</v>
      </c>
      <c r="C328" s="8" t="s">
        <v>38</v>
      </c>
      <c r="D328" s="8" t="s">
        <v>38</v>
      </c>
    </row>
    <row r="330" spans="1:2" x14ac:dyDescent="0.25">
      <c r="A330" t="s">
        <v>38</v>
      </c>
      <c r="B330" t="s">
        <v>576</v>
      </c>
    </row>
    <row r="331" spans="2:5" x14ac:dyDescent="0.25">
      <c r="B331" t="s">
        <v>5</v>
      </c>
      <c r="C331" t="s">
        <v>1271</v>
      </c>
      <c r="D331" t="s">
        <v>1272</v>
      </c>
      <c r="E331" t="s">
        <v>1273</v>
      </c>
    </row>
    <row r="332" spans="2:5" x14ac:dyDescent="0.25">
      <c r="B332" t="s">
        <v>31</v>
      </c>
      <c r="C332" t="s">
        <v>558</v>
      </c>
      <c r="D332">
        <v>2</v>
      </c>
      <c r="E332">
        <v>130</v>
      </c>
    </row>
    <row r="333" spans="2:5" x14ac:dyDescent="0.25">
      <c r="B333" t="s">
        <v>46</v>
      </c>
      <c r="C333" t="s">
        <v>197</v>
      </c>
      <c r="D333">
        <v>1</v>
      </c>
      <c r="E333">
        <v>700</v>
      </c>
    </row>
    <row r="334" spans="2:5" x14ac:dyDescent="0.25">
      <c r="B334" t="s">
        <v>1267</v>
      </c>
      <c r="E334">
        <f>SUBTOTAL(109,discountedTable330[Price])</f>
      </c>
    </row>
    <row r="335" spans="1:4" s="8" customFormat="1" x14ac:dyDescent="0.25">
      <c r="A335" s="8" t="s">
        <v>38</v>
      </c>
      <c r="B335" s="8" t="s">
        <v>1274</v>
      </c>
      <c r="C335" s="8" t="s">
        <v>38</v>
      </c>
      <c r="D335" s="8" t="s">
        <v>38</v>
      </c>
    </row>
    <row r="337" spans="1:2" x14ac:dyDescent="0.25">
      <c r="A337" t="s">
        <v>38</v>
      </c>
      <c r="B337" t="s">
        <v>590</v>
      </c>
    </row>
    <row r="338" spans="2:5" x14ac:dyDescent="0.25">
      <c r="B338" t="s">
        <v>5</v>
      </c>
      <c r="C338" t="s">
        <v>1271</v>
      </c>
      <c r="D338" t="s">
        <v>1272</v>
      </c>
      <c r="E338" t="s">
        <v>1273</v>
      </c>
    </row>
    <row r="339" spans="2:5" x14ac:dyDescent="0.25">
      <c r="B339" t="s">
        <v>31</v>
      </c>
      <c r="C339" t="s">
        <v>591</v>
      </c>
      <c r="D339">
        <v>2</v>
      </c>
      <c r="E339">
        <v>60</v>
      </c>
    </row>
    <row r="340" spans="2:5" x14ac:dyDescent="0.25">
      <c r="B340" t="s">
        <v>46</v>
      </c>
      <c r="C340" t="s">
        <v>596</v>
      </c>
      <c r="D340">
        <v>3</v>
      </c>
      <c r="E340">
        <v>80</v>
      </c>
    </row>
    <row r="341" spans="2:5" x14ac:dyDescent="0.25">
      <c r="B341" t="s">
        <v>56</v>
      </c>
      <c r="C341" t="s">
        <v>599</v>
      </c>
      <c r="D341">
        <v>2</v>
      </c>
      <c r="E341">
        <v>5000</v>
      </c>
    </row>
    <row r="342" spans="2:5" x14ac:dyDescent="0.25">
      <c r="B342" t="s">
        <v>64</v>
      </c>
      <c r="C342" t="s">
        <v>591</v>
      </c>
      <c r="D342">
        <v>2</v>
      </c>
      <c r="E342">
        <v>15</v>
      </c>
    </row>
    <row r="343" spans="2:5" x14ac:dyDescent="0.25">
      <c r="B343" t="s">
        <v>75</v>
      </c>
      <c r="C343" t="s">
        <v>604</v>
      </c>
      <c r="D343">
        <v>1</v>
      </c>
      <c r="E343">
        <v>870</v>
      </c>
    </row>
    <row r="344" spans="2:5" x14ac:dyDescent="0.25">
      <c r="B344" t="s">
        <v>1267</v>
      </c>
      <c r="E344">
        <f>SUBTOTAL(109,discountedTable337[Price])</f>
      </c>
    </row>
    <row r="345" spans="1:4" s="8" customFormat="1" x14ac:dyDescent="0.25">
      <c r="A345" s="8" t="s">
        <v>38</v>
      </c>
      <c r="B345" s="8" t="s">
        <v>1274</v>
      </c>
      <c r="C345" s="8" t="s">
        <v>38</v>
      </c>
      <c r="D345" s="8" t="s">
        <v>38</v>
      </c>
    </row>
    <row r="347" spans="1:2" x14ac:dyDescent="0.25">
      <c r="A347" t="s">
        <v>38</v>
      </c>
      <c r="B347" t="s">
        <v>607</v>
      </c>
    </row>
    <row r="348" spans="2:5" x14ac:dyDescent="0.25">
      <c r="B348" t="s">
        <v>5</v>
      </c>
      <c r="C348" t="s">
        <v>1271</v>
      </c>
      <c r="D348" t="s">
        <v>1272</v>
      </c>
      <c r="E348" t="s">
        <v>1273</v>
      </c>
    </row>
    <row r="349" spans="2:5" x14ac:dyDescent="0.25">
      <c r="B349" t="s">
        <v>31</v>
      </c>
      <c r="C349" t="s">
        <v>608</v>
      </c>
      <c r="D349">
        <v>10</v>
      </c>
      <c r="E349">
        <v>70</v>
      </c>
    </row>
    <row r="350" spans="2:5" x14ac:dyDescent="0.25">
      <c r="B350" t="s">
        <v>46</v>
      </c>
      <c r="C350" t="s">
        <v>612</v>
      </c>
      <c r="D350">
        <v>2</v>
      </c>
      <c r="E350">
        <v>100</v>
      </c>
    </row>
    <row r="351" spans="2:5" x14ac:dyDescent="0.25">
      <c r="B351" t="s">
        <v>1267</v>
      </c>
      <c r="E351">
        <f>SUBTOTAL(109,discountedTable347[Price])</f>
      </c>
    </row>
    <row r="352" spans="1:4" s="8" customFormat="1" x14ac:dyDescent="0.25">
      <c r="A352" s="8" t="s">
        <v>38</v>
      </c>
      <c r="B352" s="8" t="s">
        <v>1274</v>
      </c>
      <c r="C352" s="8" t="s">
        <v>38</v>
      </c>
      <c r="D352" s="8" t="s">
        <v>38</v>
      </c>
    </row>
    <row r="354" spans="1:2" x14ac:dyDescent="0.25">
      <c r="A354" t="s">
        <v>38</v>
      </c>
      <c r="B354" t="s">
        <v>626</v>
      </c>
    </row>
    <row r="355" spans="2:5" x14ac:dyDescent="0.25">
      <c r="B355" t="s">
        <v>5</v>
      </c>
      <c r="C355" t="s">
        <v>1271</v>
      </c>
      <c r="D355" t="s">
        <v>1272</v>
      </c>
      <c r="E355" t="s">
        <v>1273</v>
      </c>
    </row>
    <row r="356" spans="2:5" x14ac:dyDescent="0.25">
      <c r="B356" t="s">
        <v>31</v>
      </c>
      <c r="C356" t="s">
        <v>627</v>
      </c>
      <c r="D356">
        <v>50</v>
      </c>
      <c r="E356">
        <v>1.5</v>
      </c>
    </row>
    <row r="357" spans="2:5" x14ac:dyDescent="0.25">
      <c r="B357" t="s">
        <v>46</v>
      </c>
      <c r="C357" t="s">
        <v>195</v>
      </c>
      <c r="D357">
        <v>10</v>
      </c>
      <c r="E357">
        <v>50</v>
      </c>
    </row>
    <row r="358" spans="2:5" x14ac:dyDescent="0.25">
      <c r="B358" t="s">
        <v>1267</v>
      </c>
      <c r="E358">
        <f>SUBTOTAL(109,discountedTable354[Price])</f>
      </c>
    </row>
    <row r="359" spans="1:4" s="8" customFormat="1" x14ac:dyDescent="0.25">
      <c r="A359" s="8" t="s">
        <v>38</v>
      </c>
      <c r="B359" s="8" t="s">
        <v>1274</v>
      </c>
      <c r="C359" s="8" t="s">
        <v>38</v>
      </c>
      <c r="D359" s="8" t="s">
        <v>38</v>
      </c>
    </row>
    <row r="361" spans="1:2" x14ac:dyDescent="0.25">
      <c r="A361" t="s">
        <v>38</v>
      </c>
      <c r="B361" t="s">
        <v>632</v>
      </c>
    </row>
    <row r="362" spans="2:5" x14ac:dyDescent="0.25">
      <c r="B362" t="s">
        <v>5</v>
      </c>
      <c r="C362" t="s">
        <v>1271</v>
      </c>
      <c r="D362" t="s">
        <v>1272</v>
      </c>
      <c r="E362" t="s">
        <v>1273</v>
      </c>
    </row>
    <row r="363" spans="2:5" x14ac:dyDescent="0.25">
      <c r="B363" t="s">
        <v>31</v>
      </c>
      <c r="C363" t="s">
        <v>633</v>
      </c>
      <c r="D363">
        <v>1</v>
      </c>
      <c r="E363">
        <v>2650</v>
      </c>
    </row>
    <row r="364" spans="2:5" x14ac:dyDescent="0.25">
      <c r="B364" t="s">
        <v>46</v>
      </c>
      <c r="C364" t="s">
        <v>639</v>
      </c>
      <c r="D364">
        <v>6</v>
      </c>
      <c r="E364">
        <v>270</v>
      </c>
    </row>
    <row r="365" spans="2:5" x14ac:dyDescent="0.25">
      <c r="B365" t="s">
        <v>1267</v>
      </c>
      <c r="E365">
        <f>SUBTOTAL(109,discountedTable361[Price])</f>
      </c>
    </row>
    <row r="366" spans="1:4" s="8" customFormat="1" x14ac:dyDescent="0.25">
      <c r="A366" s="8" t="s">
        <v>38</v>
      </c>
      <c r="B366" s="8" t="s">
        <v>1274</v>
      </c>
      <c r="C366" s="8" t="s">
        <v>38</v>
      </c>
      <c r="D366" s="8" t="s">
        <v>38</v>
      </c>
    </row>
    <row r="368" spans="1:2" x14ac:dyDescent="0.25">
      <c r="A368" t="s">
        <v>38</v>
      </c>
      <c r="B368" t="s">
        <v>641</v>
      </c>
    </row>
    <row r="369" spans="2:5" x14ac:dyDescent="0.25">
      <c r="B369" t="s">
        <v>5</v>
      </c>
      <c r="C369" t="s">
        <v>1271</v>
      </c>
      <c r="D369" t="s">
        <v>1272</v>
      </c>
      <c r="E369" t="s">
        <v>1273</v>
      </c>
    </row>
    <row r="370" spans="2:5" x14ac:dyDescent="0.25">
      <c r="B370" t="s">
        <v>31</v>
      </c>
      <c r="C370" t="s">
        <v>643</v>
      </c>
      <c r="D370">
        <v>4</v>
      </c>
      <c r="E370">
        <v>4725</v>
      </c>
    </row>
    <row r="371" spans="2:5" x14ac:dyDescent="0.25">
      <c r="B371" t="s">
        <v>1267</v>
      </c>
      <c r="E371">
        <f>SUBTOTAL(109,discountedTable368[Price])</f>
      </c>
    </row>
    <row r="372" spans="1:4" s="8" customFormat="1" x14ac:dyDescent="0.25">
      <c r="A372" s="8" t="s">
        <v>38</v>
      </c>
      <c r="B372" s="8" t="s">
        <v>1274</v>
      </c>
      <c r="C372" s="8" t="s">
        <v>38</v>
      </c>
      <c r="D372" s="8" t="s">
        <v>38</v>
      </c>
    </row>
    <row r="374" spans="1:2" x14ac:dyDescent="0.25">
      <c r="A374" t="s">
        <v>38</v>
      </c>
      <c r="B374" t="s">
        <v>663</v>
      </c>
    </row>
    <row r="375" spans="2:5" x14ac:dyDescent="0.25">
      <c r="B375" t="s">
        <v>5</v>
      </c>
      <c r="C375" t="s">
        <v>1271</v>
      </c>
      <c r="D375" t="s">
        <v>1272</v>
      </c>
      <c r="E375" t="s">
        <v>1273</v>
      </c>
    </row>
    <row r="376" spans="2:5" x14ac:dyDescent="0.25">
      <c r="B376" t="s">
        <v>31</v>
      </c>
      <c r="C376" t="s">
        <v>142</v>
      </c>
      <c r="D376">
        <v>1</v>
      </c>
      <c r="E376">
        <v>3180</v>
      </c>
    </row>
    <row r="377" spans="2:5" x14ac:dyDescent="0.25">
      <c r="B377" t="s">
        <v>1267</v>
      </c>
      <c r="E377">
        <f>SUBTOTAL(109,discountedTable374[Price])</f>
      </c>
    </row>
    <row r="378" spans="1:4" s="8" customFormat="1" x14ac:dyDescent="0.25">
      <c r="A378" s="8" t="s">
        <v>38</v>
      </c>
      <c r="B378" s="8" t="s">
        <v>1274</v>
      </c>
      <c r="C378" s="8" t="s">
        <v>38</v>
      </c>
      <c r="D378" s="8" t="s">
        <v>38</v>
      </c>
    </row>
    <row r="380" spans="1:2" x14ac:dyDescent="0.25">
      <c r="A380" t="s">
        <v>38</v>
      </c>
      <c r="B380" t="s">
        <v>667</v>
      </c>
    </row>
    <row r="381" spans="2:5" x14ac:dyDescent="0.25">
      <c r="B381" t="s">
        <v>5</v>
      </c>
      <c r="C381" t="s">
        <v>1271</v>
      </c>
      <c r="D381" t="s">
        <v>1272</v>
      </c>
      <c r="E381" t="s">
        <v>1273</v>
      </c>
    </row>
    <row r="382" spans="2:5" x14ac:dyDescent="0.25">
      <c r="B382" t="s">
        <v>31</v>
      </c>
      <c r="C382" t="s">
        <v>212</v>
      </c>
      <c r="D382">
        <v>1</v>
      </c>
      <c r="E382">
        <v>3240</v>
      </c>
    </row>
    <row r="383" spans="2:5" x14ac:dyDescent="0.25">
      <c r="B383" t="s">
        <v>46</v>
      </c>
      <c r="C383" t="s">
        <v>212</v>
      </c>
      <c r="D383">
        <v>3</v>
      </c>
      <c r="E383">
        <v>720</v>
      </c>
    </row>
    <row r="384" spans="2:5" x14ac:dyDescent="0.25">
      <c r="B384" t="s">
        <v>1267</v>
      </c>
      <c r="E384">
        <f>SUBTOTAL(109,discountedTable380[Price])</f>
      </c>
    </row>
    <row r="385" spans="1:4" s="8" customFormat="1" x14ac:dyDescent="0.25">
      <c r="A385" s="8" t="s">
        <v>38</v>
      </c>
      <c r="B385" s="8" t="s">
        <v>1274</v>
      </c>
      <c r="C385" s="8" t="s">
        <v>38</v>
      </c>
      <c r="D385" s="8" t="s">
        <v>38</v>
      </c>
    </row>
    <row r="387" spans="1:2" x14ac:dyDescent="0.25">
      <c r="A387" t="s">
        <v>38</v>
      </c>
      <c r="B387" t="s">
        <v>671</v>
      </c>
    </row>
    <row r="388" spans="2:5" x14ac:dyDescent="0.25">
      <c r="B388" t="s">
        <v>5</v>
      </c>
      <c r="C388" t="s">
        <v>1271</v>
      </c>
      <c r="D388" t="s">
        <v>1272</v>
      </c>
      <c r="E388" t="s">
        <v>1273</v>
      </c>
    </row>
    <row r="389" spans="2:5" x14ac:dyDescent="0.25">
      <c r="B389" t="s">
        <v>31</v>
      </c>
      <c r="C389" t="s">
        <v>672</v>
      </c>
      <c r="D389">
        <v>13</v>
      </c>
      <c r="E389">
        <v>46</v>
      </c>
    </row>
    <row r="390" spans="2:5" x14ac:dyDescent="0.25">
      <c r="B390" t="s">
        <v>46</v>
      </c>
      <c r="C390" t="s">
        <v>675</v>
      </c>
      <c r="D390">
        <v>2</v>
      </c>
      <c r="E390">
        <v>180</v>
      </c>
    </row>
    <row r="391" spans="2:5" x14ac:dyDescent="0.25">
      <c r="B391" t="s">
        <v>1267</v>
      </c>
      <c r="E391">
        <f>SUBTOTAL(109,discountedTable387[Price])</f>
      </c>
    </row>
    <row r="392" spans="1:4" s="8" customFormat="1" x14ac:dyDescent="0.25">
      <c r="A392" s="8" t="s">
        <v>38</v>
      </c>
      <c r="B392" s="8" t="s">
        <v>1274</v>
      </c>
      <c r="C392" s="8" t="s">
        <v>38</v>
      </c>
      <c r="D392" s="8" t="s">
        <v>38</v>
      </c>
    </row>
    <row r="394" spans="1:2" x14ac:dyDescent="0.25">
      <c r="A394" t="s">
        <v>38</v>
      </c>
      <c r="B394" t="s">
        <v>684</v>
      </c>
    </row>
    <row r="395" spans="2:5" x14ac:dyDescent="0.25">
      <c r="B395" t="s">
        <v>5</v>
      </c>
      <c r="C395" t="s">
        <v>1271</v>
      </c>
      <c r="D395" t="s">
        <v>1272</v>
      </c>
      <c r="E395" t="s">
        <v>1273</v>
      </c>
    </row>
    <row r="396" spans="2:5" x14ac:dyDescent="0.25">
      <c r="B396" t="s">
        <v>31</v>
      </c>
      <c r="C396" t="s">
        <v>99</v>
      </c>
      <c r="D396">
        <v>150</v>
      </c>
      <c r="E396">
        <v>8</v>
      </c>
    </row>
    <row r="397" spans="2:5" x14ac:dyDescent="0.25">
      <c r="B397" t="s">
        <v>46</v>
      </c>
      <c r="C397" t="s">
        <v>690</v>
      </c>
      <c r="D397">
        <v>1</v>
      </c>
      <c r="E397">
        <v>1480</v>
      </c>
    </row>
    <row r="398" spans="2:5" x14ac:dyDescent="0.25">
      <c r="B398" t="s">
        <v>56</v>
      </c>
      <c r="C398" t="s">
        <v>694</v>
      </c>
      <c r="D398">
        <v>8</v>
      </c>
      <c r="E398">
        <v>633</v>
      </c>
    </row>
    <row r="399" spans="2:5" x14ac:dyDescent="0.25">
      <c r="B399" t="s">
        <v>64</v>
      </c>
      <c r="C399" t="s">
        <v>698</v>
      </c>
      <c r="D399">
        <v>6</v>
      </c>
      <c r="E399">
        <v>340</v>
      </c>
    </row>
    <row r="400" spans="2:5" x14ac:dyDescent="0.25">
      <c r="B400" t="s">
        <v>75</v>
      </c>
      <c r="C400" t="s">
        <v>599</v>
      </c>
      <c r="D400">
        <v>6</v>
      </c>
      <c r="E400">
        <v>4900</v>
      </c>
    </row>
    <row r="401" spans="2:5" x14ac:dyDescent="0.25">
      <c r="B401" t="s">
        <v>89</v>
      </c>
      <c r="C401" t="s">
        <v>705</v>
      </c>
      <c r="D401">
        <v>7</v>
      </c>
      <c r="E401">
        <v>9450</v>
      </c>
    </row>
    <row r="402" spans="2:5" x14ac:dyDescent="0.25">
      <c r="B402" t="s">
        <v>98</v>
      </c>
      <c r="C402" t="s">
        <v>690</v>
      </c>
      <c r="D402">
        <v>7</v>
      </c>
      <c r="E402">
        <v>5040</v>
      </c>
    </row>
    <row r="403" spans="2:5" x14ac:dyDescent="0.25">
      <c r="B403" t="s">
        <v>102</v>
      </c>
      <c r="C403" t="s">
        <v>694</v>
      </c>
      <c r="D403">
        <v>3</v>
      </c>
      <c r="E403">
        <v>1715</v>
      </c>
    </row>
    <row r="404" spans="2:5" x14ac:dyDescent="0.25">
      <c r="B404" t="s">
        <v>111</v>
      </c>
      <c r="C404" t="s">
        <v>715</v>
      </c>
      <c r="D404">
        <v>10</v>
      </c>
      <c r="E404">
        <v>1140</v>
      </c>
    </row>
    <row r="405" spans="2:5" x14ac:dyDescent="0.25">
      <c r="B405" t="s">
        <v>117</v>
      </c>
      <c r="C405" t="s">
        <v>715</v>
      </c>
      <c r="D405">
        <v>3</v>
      </c>
      <c r="E405">
        <v>3400</v>
      </c>
    </row>
    <row r="406" spans="2:5" x14ac:dyDescent="0.25">
      <c r="B406" t="s">
        <v>1267</v>
      </c>
      <c r="E406">
        <f>SUBTOTAL(109,discountedTable394[Price])</f>
      </c>
    </row>
    <row r="407" spans="1:4" s="8" customFormat="1" x14ac:dyDescent="0.25">
      <c r="A407" s="8" t="s">
        <v>38</v>
      </c>
      <c r="B407" s="8" t="s">
        <v>1274</v>
      </c>
      <c r="C407" s="8" t="s">
        <v>38</v>
      </c>
      <c r="D407" s="8" t="s">
        <v>38</v>
      </c>
    </row>
    <row r="409" spans="1:2" x14ac:dyDescent="0.25">
      <c r="A409" t="s">
        <v>38</v>
      </c>
      <c r="B409" t="s">
        <v>722</v>
      </c>
    </row>
    <row r="410" spans="2:5" x14ac:dyDescent="0.25">
      <c r="B410" t="s">
        <v>5</v>
      </c>
      <c r="C410" t="s">
        <v>1271</v>
      </c>
      <c r="D410" t="s">
        <v>1272</v>
      </c>
      <c r="E410" t="s">
        <v>1273</v>
      </c>
    </row>
    <row r="411" spans="2:5" x14ac:dyDescent="0.25">
      <c r="B411" t="s">
        <v>31</v>
      </c>
      <c r="C411" t="s">
        <v>106</v>
      </c>
      <c r="D411">
        <v>1</v>
      </c>
      <c r="E411">
        <v>800</v>
      </c>
    </row>
    <row r="412" spans="2:5" x14ac:dyDescent="0.25">
      <c r="B412" t="s">
        <v>1267</v>
      </c>
      <c r="E412">
        <f>SUBTOTAL(109,discountedTable409[Price])</f>
      </c>
    </row>
    <row r="413" spans="1:4" s="8" customFormat="1" x14ac:dyDescent="0.25">
      <c r="A413" s="8" t="s">
        <v>38</v>
      </c>
      <c r="B413" s="8" t="s">
        <v>1274</v>
      </c>
      <c r="C413" s="8" t="s">
        <v>38</v>
      </c>
      <c r="D413" s="8" t="s">
        <v>38</v>
      </c>
    </row>
    <row r="415" spans="1:2" x14ac:dyDescent="0.25">
      <c r="A415" t="s">
        <v>38</v>
      </c>
      <c r="B415" t="s">
        <v>726</v>
      </c>
    </row>
    <row r="416" spans="2:5" x14ac:dyDescent="0.25">
      <c r="B416" t="s">
        <v>5</v>
      </c>
      <c r="C416" t="s">
        <v>1271</v>
      </c>
      <c r="D416" t="s">
        <v>1272</v>
      </c>
      <c r="E416" t="s">
        <v>1273</v>
      </c>
    </row>
    <row r="417" spans="2:5" x14ac:dyDescent="0.25">
      <c r="B417" t="s">
        <v>31</v>
      </c>
      <c r="C417" t="s">
        <v>71</v>
      </c>
      <c r="D417">
        <v>1</v>
      </c>
      <c r="E417">
        <v>630</v>
      </c>
    </row>
    <row r="418" spans="2:5" x14ac:dyDescent="0.25">
      <c r="B418" t="s">
        <v>1267</v>
      </c>
      <c r="E418">
        <f>SUBTOTAL(109,discountedTable415[Price])</f>
      </c>
    </row>
    <row r="419" spans="1:4" s="8" customFormat="1" x14ac:dyDescent="0.25">
      <c r="A419" s="8" t="s">
        <v>38</v>
      </c>
      <c r="B419" s="8" t="s">
        <v>1274</v>
      </c>
      <c r="C419" s="8" t="s">
        <v>38</v>
      </c>
      <c r="D419" s="8" t="s">
        <v>38</v>
      </c>
    </row>
    <row r="421" spans="1:2" x14ac:dyDescent="0.25">
      <c r="A421" t="s">
        <v>38</v>
      </c>
      <c r="B421" t="s">
        <v>731</v>
      </c>
    </row>
    <row r="422" spans="2:5" x14ac:dyDescent="0.25">
      <c r="B422" t="s">
        <v>5</v>
      </c>
      <c r="C422" t="s">
        <v>1271</v>
      </c>
      <c r="D422" t="s">
        <v>1272</v>
      </c>
      <c r="E422" t="s">
        <v>1273</v>
      </c>
    </row>
    <row r="423" spans="2:5" x14ac:dyDescent="0.25">
      <c r="B423" t="s">
        <v>31</v>
      </c>
      <c r="C423" t="s">
        <v>212</v>
      </c>
      <c r="D423">
        <v>1</v>
      </c>
      <c r="E423">
        <v>3240</v>
      </c>
    </row>
    <row r="424" spans="2:5" x14ac:dyDescent="0.25">
      <c r="B424" t="s">
        <v>46</v>
      </c>
      <c r="C424" t="s">
        <v>736</v>
      </c>
      <c r="D424">
        <v>1</v>
      </c>
      <c r="E424">
        <v>400</v>
      </c>
    </row>
    <row r="425" spans="2:5" x14ac:dyDescent="0.25">
      <c r="B425" t="s">
        <v>56</v>
      </c>
      <c r="C425" t="s">
        <v>71</v>
      </c>
      <c r="D425">
        <v>1</v>
      </c>
      <c r="E425">
        <v>630</v>
      </c>
    </row>
    <row r="426" spans="2:5" x14ac:dyDescent="0.25">
      <c r="B426" t="s">
        <v>1267</v>
      </c>
      <c r="E426">
        <f>SUBTOTAL(109,discountedTable421[Price])</f>
      </c>
    </row>
    <row r="427" spans="1:4" s="8" customFormat="1" x14ac:dyDescent="0.25">
      <c r="A427" s="8" t="s">
        <v>38</v>
      </c>
      <c r="B427" s="8" t="s">
        <v>1274</v>
      </c>
      <c r="C427" s="8" t="s">
        <v>38</v>
      </c>
      <c r="D427" s="8" t="s">
        <v>38</v>
      </c>
    </row>
    <row r="429" spans="1:2" x14ac:dyDescent="0.25">
      <c r="A429" t="s">
        <v>38</v>
      </c>
      <c r="B429" t="s">
        <v>744</v>
      </c>
    </row>
    <row r="430" spans="2:5" x14ac:dyDescent="0.25">
      <c r="B430" t="s">
        <v>5</v>
      </c>
      <c r="C430" t="s">
        <v>1271</v>
      </c>
      <c r="D430" t="s">
        <v>1272</v>
      </c>
      <c r="E430" t="s">
        <v>1273</v>
      </c>
    </row>
    <row r="431" spans="2:5" x14ac:dyDescent="0.25">
      <c r="B431" t="s">
        <v>31</v>
      </c>
      <c r="C431" t="s">
        <v>745</v>
      </c>
      <c r="D431">
        <v>2</v>
      </c>
      <c r="E431">
        <v>60</v>
      </c>
    </row>
    <row r="432" spans="2:5" x14ac:dyDescent="0.25">
      <c r="B432" t="s">
        <v>46</v>
      </c>
      <c r="C432" t="s">
        <v>747</v>
      </c>
      <c r="D432">
        <v>2</v>
      </c>
      <c r="E432">
        <v>200</v>
      </c>
    </row>
    <row r="433" spans="2:5" x14ac:dyDescent="0.25">
      <c r="B433" t="s">
        <v>1267</v>
      </c>
      <c r="E433">
        <f>SUBTOTAL(109,discountedTable429[Price])</f>
      </c>
    </row>
    <row r="434" spans="1:4" s="8" customFormat="1" x14ac:dyDescent="0.25">
      <c r="A434" s="8" t="s">
        <v>38</v>
      </c>
      <c r="B434" s="8" t="s">
        <v>1274</v>
      </c>
      <c r="C434" s="8" t="s">
        <v>38</v>
      </c>
      <c r="D434" s="8" t="s">
        <v>38</v>
      </c>
    </row>
    <row r="436" spans="1:2" x14ac:dyDescent="0.25">
      <c r="A436" t="s">
        <v>38</v>
      </c>
      <c r="B436" t="s">
        <v>750</v>
      </c>
    </row>
    <row r="437" spans="2:5" x14ac:dyDescent="0.25">
      <c r="B437" t="s">
        <v>5</v>
      </c>
      <c r="C437" t="s">
        <v>1271</v>
      </c>
      <c r="D437" t="s">
        <v>1272</v>
      </c>
      <c r="E437" t="s">
        <v>1273</v>
      </c>
    </row>
    <row r="438" spans="2:5" x14ac:dyDescent="0.25">
      <c r="B438" t="s">
        <v>31</v>
      </c>
      <c r="C438" t="s">
        <v>751</v>
      </c>
      <c r="D438">
        <v>24</v>
      </c>
      <c r="E438">
        <v>270</v>
      </c>
    </row>
    <row r="439" spans="2:5" x14ac:dyDescent="0.25">
      <c r="B439" t="s">
        <v>1267</v>
      </c>
      <c r="E439">
        <f>SUBTOTAL(109,discountedTable436[Price])</f>
      </c>
    </row>
    <row r="440" spans="1:4" s="8" customFormat="1" x14ac:dyDescent="0.25">
      <c r="A440" s="8" t="s">
        <v>38</v>
      </c>
      <c r="B440" s="8" t="s">
        <v>1274</v>
      </c>
      <c r="C440" s="8" t="s">
        <v>38</v>
      </c>
      <c r="D440" s="8" t="s">
        <v>38</v>
      </c>
    </row>
    <row r="442" spans="1:2" x14ac:dyDescent="0.25">
      <c r="A442" t="s">
        <v>38</v>
      </c>
      <c r="B442" t="s">
        <v>755</v>
      </c>
    </row>
    <row r="443" spans="2:5" x14ac:dyDescent="0.25">
      <c r="B443" t="s">
        <v>5</v>
      </c>
      <c r="C443" t="s">
        <v>1271</v>
      </c>
      <c r="D443" t="s">
        <v>1272</v>
      </c>
      <c r="E443" t="s">
        <v>1273</v>
      </c>
    </row>
    <row r="444" spans="2:5" x14ac:dyDescent="0.25">
      <c r="B444" t="s">
        <v>31</v>
      </c>
      <c r="C444" t="s">
        <v>756</v>
      </c>
      <c r="D444">
        <v>1</v>
      </c>
      <c r="E444">
        <v>9720</v>
      </c>
    </row>
    <row r="445" spans="2:5" x14ac:dyDescent="0.25">
      <c r="B445" t="s">
        <v>1267</v>
      </c>
      <c r="E445">
        <f>SUBTOTAL(109,discountedTable442[Price])</f>
      </c>
    </row>
    <row r="446" spans="1:4" s="8" customFormat="1" x14ac:dyDescent="0.25">
      <c r="A446" s="8" t="s">
        <v>38</v>
      </c>
      <c r="B446" s="8" t="s">
        <v>1274</v>
      </c>
      <c r="C446" s="8" t="s">
        <v>38</v>
      </c>
      <c r="D446" s="8" t="s">
        <v>38</v>
      </c>
    </row>
    <row r="448" spans="1:2" x14ac:dyDescent="0.25">
      <c r="A448" t="s">
        <v>38</v>
      </c>
      <c r="B448" t="s">
        <v>769</v>
      </c>
    </row>
    <row r="449" spans="2:5" x14ac:dyDescent="0.25">
      <c r="B449" t="s">
        <v>5</v>
      </c>
      <c r="C449" t="s">
        <v>1271</v>
      </c>
      <c r="D449" t="s">
        <v>1272</v>
      </c>
      <c r="E449" t="s">
        <v>1273</v>
      </c>
    </row>
    <row r="450" spans="2:5" x14ac:dyDescent="0.25">
      <c r="B450" t="s">
        <v>31</v>
      </c>
      <c r="C450" t="s">
        <v>770</v>
      </c>
      <c r="D450">
        <v>1</v>
      </c>
      <c r="E450">
        <v>300</v>
      </c>
    </row>
    <row r="451" spans="2:5" x14ac:dyDescent="0.25">
      <c r="B451" t="s">
        <v>1267</v>
      </c>
      <c r="E451">
        <f>SUBTOTAL(109,discountedTable448[Price])</f>
      </c>
    </row>
    <row r="452" spans="1:4" s="8" customFormat="1" x14ac:dyDescent="0.25">
      <c r="A452" s="8" t="s">
        <v>38</v>
      </c>
      <c r="B452" s="8" t="s">
        <v>1274</v>
      </c>
      <c r="C452" s="8" t="s">
        <v>38</v>
      </c>
      <c r="D452" s="8" t="s">
        <v>38</v>
      </c>
    </row>
    <row r="454" spans="1:2" x14ac:dyDescent="0.25">
      <c r="A454" t="s">
        <v>38</v>
      </c>
      <c r="B454" t="s">
        <v>774</v>
      </c>
    </row>
    <row r="455" spans="2:5" x14ac:dyDescent="0.25">
      <c r="B455" t="s">
        <v>5</v>
      </c>
      <c r="C455" t="s">
        <v>1271</v>
      </c>
      <c r="D455" t="s">
        <v>1272</v>
      </c>
      <c r="E455" t="s">
        <v>1273</v>
      </c>
    </row>
    <row r="456" spans="2:5" x14ac:dyDescent="0.25">
      <c r="B456" t="s">
        <v>31</v>
      </c>
      <c r="C456" t="s">
        <v>212</v>
      </c>
      <c r="D456">
        <v>1</v>
      </c>
      <c r="E456">
        <v>1495</v>
      </c>
    </row>
    <row r="457" spans="2:5" x14ac:dyDescent="0.25">
      <c r="B457" t="s">
        <v>46</v>
      </c>
      <c r="C457" t="s">
        <v>780</v>
      </c>
      <c r="D457">
        <v>1</v>
      </c>
      <c r="E457">
        <v>270</v>
      </c>
    </row>
    <row r="458" spans="2:5" x14ac:dyDescent="0.25">
      <c r="B458" t="s">
        <v>1267</v>
      </c>
      <c r="E458">
        <f>SUBTOTAL(109,discountedTable454[Price])</f>
      </c>
    </row>
    <row r="459" spans="1:4" s="8" customFormat="1" x14ac:dyDescent="0.25">
      <c r="A459" s="8" t="s">
        <v>38</v>
      </c>
      <c r="B459" s="8" t="s">
        <v>1274</v>
      </c>
      <c r="C459" s="8" t="s">
        <v>38</v>
      </c>
      <c r="D459" s="8" t="s">
        <v>38</v>
      </c>
    </row>
    <row r="461" spans="1:2" x14ac:dyDescent="0.25">
      <c r="A461" t="s">
        <v>38</v>
      </c>
      <c r="B461" t="s">
        <v>782</v>
      </c>
    </row>
    <row r="462" spans="2:5" x14ac:dyDescent="0.25">
      <c r="B462" t="s">
        <v>5</v>
      </c>
      <c r="C462" t="s">
        <v>1271</v>
      </c>
      <c r="D462" t="s">
        <v>1272</v>
      </c>
      <c r="E462" t="s">
        <v>1273</v>
      </c>
    </row>
    <row r="463" spans="2:5" x14ac:dyDescent="0.25">
      <c r="B463" t="s">
        <v>31</v>
      </c>
      <c r="C463" t="s">
        <v>783</v>
      </c>
      <c r="D463">
        <v>1</v>
      </c>
      <c r="E463">
        <v>1400</v>
      </c>
    </row>
    <row r="464" spans="2:5" x14ac:dyDescent="0.25">
      <c r="B464" t="s">
        <v>1267</v>
      </c>
      <c r="E464">
        <f>SUBTOTAL(109,discountedTable461[Price])</f>
      </c>
    </row>
    <row r="465" spans="1:4" s="8" customFormat="1" x14ac:dyDescent="0.25">
      <c r="A465" s="8" t="s">
        <v>38</v>
      </c>
      <c r="B465" s="8" t="s">
        <v>1274</v>
      </c>
      <c r="C465" s="8" t="s">
        <v>38</v>
      </c>
      <c r="D465" s="8" t="s">
        <v>38</v>
      </c>
    </row>
    <row r="467" spans="1:2" x14ac:dyDescent="0.25">
      <c r="A467" t="s">
        <v>38</v>
      </c>
      <c r="B467" t="s">
        <v>786</v>
      </c>
    </row>
    <row r="468" spans="2:5" x14ac:dyDescent="0.25">
      <c r="B468" t="s">
        <v>5</v>
      </c>
      <c r="C468" t="s">
        <v>1271</v>
      </c>
      <c r="D468" t="s">
        <v>1272</v>
      </c>
      <c r="E468" t="s">
        <v>1273</v>
      </c>
    </row>
    <row r="469" spans="2:5" x14ac:dyDescent="0.25">
      <c r="B469" t="s">
        <v>31</v>
      </c>
      <c r="C469" t="s">
        <v>787</v>
      </c>
      <c r="D469">
        <v>15</v>
      </c>
      <c r="E469">
        <v>80</v>
      </c>
    </row>
    <row r="470" spans="2:5" x14ac:dyDescent="0.25">
      <c r="B470" t="s">
        <v>46</v>
      </c>
      <c r="C470" t="s">
        <v>791</v>
      </c>
      <c r="D470">
        <v>1</v>
      </c>
      <c r="E470">
        <v>400</v>
      </c>
    </row>
    <row r="471" spans="2:5" x14ac:dyDescent="0.25">
      <c r="B471" t="s">
        <v>56</v>
      </c>
      <c r="C471" t="s">
        <v>795</v>
      </c>
      <c r="D471">
        <v>1</v>
      </c>
      <c r="E471">
        <v>80</v>
      </c>
    </row>
    <row r="472" spans="2:5" x14ac:dyDescent="0.25">
      <c r="B472" t="s">
        <v>64</v>
      </c>
      <c r="C472" t="s">
        <v>497</v>
      </c>
      <c r="D472">
        <v>1</v>
      </c>
      <c r="E472">
        <v>240</v>
      </c>
    </row>
    <row r="473" spans="2:5" x14ac:dyDescent="0.25">
      <c r="B473" t="s">
        <v>75</v>
      </c>
      <c r="C473" t="s">
        <v>212</v>
      </c>
      <c r="D473">
        <v>1</v>
      </c>
      <c r="E473">
        <v>720</v>
      </c>
    </row>
    <row r="474" spans="2:5" x14ac:dyDescent="0.25">
      <c r="B474" t="s">
        <v>89</v>
      </c>
      <c r="C474" t="s">
        <v>71</v>
      </c>
      <c r="D474">
        <v>1</v>
      </c>
      <c r="E474">
        <v>630</v>
      </c>
    </row>
    <row r="475" spans="2:5" x14ac:dyDescent="0.25">
      <c r="B475" t="s">
        <v>98</v>
      </c>
      <c r="C475" t="s">
        <v>780</v>
      </c>
      <c r="D475">
        <v>1</v>
      </c>
      <c r="E475">
        <v>270</v>
      </c>
    </row>
    <row r="476" spans="2:5" x14ac:dyDescent="0.25">
      <c r="B476" t="s">
        <v>102</v>
      </c>
      <c r="C476" t="s">
        <v>251</v>
      </c>
      <c r="D476">
        <v>5</v>
      </c>
      <c r="E476">
        <v>160</v>
      </c>
    </row>
    <row r="477" spans="2:5" x14ac:dyDescent="0.25">
      <c r="B477" t="s">
        <v>1267</v>
      </c>
      <c r="E477">
        <f>SUBTOTAL(109,discountedTable467[Price])</f>
      </c>
    </row>
    <row r="478" spans="1:4" s="8" customFormat="1" x14ac:dyDescent="0.25">
      <c r="A478" s="8" t="s">
        <v>38</v>
      </c>
      <c r="B478" s="8" t="s">
        <v>1274</v>
      </c>
      <c r="C478" s="8" t="s">
        <v>38</v>
      </c>
      <c r="D478" s="8" t="s">
        <v>38</v>
      </c>
    </row>
    <row r="480" spans="1:2" x14ac:dyDescent="0.25">
      <c r="A480" t="s">
        <v>38</v>
      </c>
      <c r="B480" t="s">
        <v>803</v>
      </c>
    </row>
    <row r="481" spans="2:5" x14ac:dyDescent="0.25">
      <c r="B481" t="s">
        <v>5</v>
      </c>
      <c r="C481" t="s">
        <v>1271</v>
      </c>
      <c r="D481" t="s">
        <v>1272</v>
      </c>
      <c r="E481" t="s">
        <v>1273</v>
      </c>
    </row>
    <row r="482" spans="2:5" x14ac:dyDescent="0.25">
      <c r="B482" t="s">
        <v>31</v>
      </c>
      <c r="C482" t="s">
        <v>780</v>
      </c>
      <c r="D482">
        <v>1</v>
      </c>
      <c r="E482">
        <v>270</v>
      </c>
    </row>
    <row r="483" spans="2:5" x14ac:dyDescent="0.25">
      <c r="B483" t="s">
        <v>46</v>
      </c>
      <c r="C483" t="s">
        <v>805</v>
      </c>
      <c r="D483">
        <v>1</v>
      </c>
      <c r="E483">
        <v>40</v>
      </c>
    </row>
    <row r="484" spans="2:5" x14ac:dyDescent="0.25">
      <c r="B484" t="s">
        <v>1267</v>
      </c>
      <c r="E484">
        <f>SUBTOTAL(109,discountedTable480[Price])</f>
      </c>
    </row>
    <row r="485" spans="1:4" s="8" customFormat="1" x14ac:dyDescent="0.25">
      <c r="A485" s="8" t="s">
        <v>38</v>
      </c>
      <c r="B485" s="8" t="s">
        <v>1274</v>
      </c>
      <c r="C485" s="8" t="s">
        <v>38</v>
      </c>
      <c r="D485" s="8" t="s">
        <v>38</v>
      </c>
    </row>
    <row r="487" spans="1:2" x14ac:dyDescent="0.25">
      <c r="A487" t="s">
        <v>38</v>
      </c>
      <c r="B487" t="s">
        <v>808</v>
      </c>
    </row>
    <row r="488" spans="2:5" x14ac:dyDescent="0.25">
      <c r="B488" t="s">
        <v>5</v>
      </c>
      <c r="C488" t="s">
        <v>1271</v>
      </c>
      <c r="D488" t="s">
        <v>1272</v>
      </c>
      <c r="E488" t="s">
        <v>1273</v>
      </c>
    </row>
    <row r="489" spans="2:5" x14ac:dyDescent="0.25">
      <c r="B489" t="s">
        <v>31</v>
      </c>
      <c r="C489" t="s">
        <v>809</v>
      </c>
      <c r="D489">
        <v>1</v>
      </c>
      <c r="E489">
        <v>620</v>
      </c>
    </row>
    <row r="490" spans="2:5" x14ac:dyDescent="0.25">
      <c r="B490" t="s">
        <v>46</v>
      </c>
      <c r="C490" t="s">
        <v>195</v>
      </c>
      <c r="D490">
        <v>1</v>
      </c>
      <c r="E490">
        <v>50</v>
      </c>
    </row>
    <row r="491" spans="2:5" x14ac:dyDescent="0.25">
      <c r="B491" t="s">
        <v>56</v>
      </c>
      <c r="C491" t="s">
        <v>817</v>
      </c>
      <c r="D491">
        <v>1</v>
      </c>
      <c r="E491">
        <v>1750</v>
      </c>
    </row>
    <row r="492" spans="2:5" x14ac:dyDescent="0.25">
      <c r="B492" t="s">
        <v>64</v>
      </c>
      <c r="C492" t="s">
        <v>497</v>
      </c>
      <c r="D492">
        <v>1</v>
      </c>
      <c r="E492">
        <v>240</v>
      </c>
    </row>
    <row r="493" spans="2:5" x14ac:dyDescent="0.25">
      <c r="B493" t="s">
        <v>75</v>
      </c>
      <c r="C493" t="s">
        <v>787</v>
      </c>
      <c r="D493">
        <v>2</v>
      </c>
      <c r="E493">
        <v>6</v>
      </c>
    </row>
    <row r="494" spans="2:5" x14ac:dyDescent="0.25">
      <c r="B494" t="s">
        <v>1267</v>
      </c>
      <c r="E494">
        <f>SUBTOTAL(109,discountedTable487[Price])</f>
      </c>
    </row>
    <row r="495" spans="1:4" s="8" customFormat="1" x14ac:dyDescent="0.25">
      <c r="A495" s="8" t="s">
        <v>38</v>
      </c>
      <c r="B495" s="8" t="s">
        <v>1274</v>
      </c>
      <c r="C495" s="8" t="s">
        <v>38</v>
      </c>
      <c r="D495" s="8" t="s">
        <v>38</v>
      </c>
    </row>
    <row r="497" spans="1:2" x14ac:dyDescent="0.25">
      <c r="A497" t="s">
        <v>38</v>
      </c>
      <c r="B497" t="s">
        <v>844</v>
      </c>
    </row>
    <row r="498" spans="2:5" x14ac:dyDescent="0.25">
      <c r="B498" t="s">
        <v>5</v>
      </c>
      <c r="C498" t="s">
        <v>1271</v>
      </c>
      <c r="D498" t="s">
        <v>1272</v>
      </c>
      <c r="E498" t="s">
        <v>1273</v>
      </c>
    </row>
    <row r="499" spans="2:5" x14ac:dyDescent="0.25">
      <c r="B499" t="s">
        <v>31</v>
      </c>
      <c r="C499" t="s">
        <v>497</v>
      </c>
      <c r="D499">
        <v>5</v>
      </c>
      <c r="E499">
        <v>240</v>
      </c>
    </row>
    <row r="500" spans="2:5" x14ac:dyDescent="0.25">
      <c r="B500" t="s">
        <v>46</v>
      </c>
      <c r="C500" t="s">
        <v>212</v>
      </c>
      <c r="D500">
        <v>5</v>
      </c>
      <c r="E500">
        <v>220</v>
      </c>
    </row>
    <row r="501" spans="2:5" x14ac:dyDescent="0.25">
      <c r="B501" t="s">
        <v>56</v>
      </c>
      <c r="C501" t="s">
        <v>604</v>
      </c>
      <c r="D501">
        <v>2</v>
      </c>
      <c r="E501">
        <v>400</v>
      </c>
    </row>
    <row r="502" spans="2:5" x14ac:dyDescent="0.25">
      <c r="B502" t="s">
        <v>1267</v>
      </c>
      <c r="E502">
        <f>SUBTOTAL(109,discountedTable497[Price])</f>
      </c>
    </row>
    <row r="503" spans="1:4" s="8" customFormat="1" x14ac:dyDescent="0.25">
      <c r="A503" s="8" t="s">
        <v>38</v>
      </c>
      <c r="B503" s="8" t="s">
        <v>1274</v>
      </c>
      <c r="C503" s="8" t="s">
        <v>38</v>
      </c>
      <c r="D503" s="8" t="s">
        <v>38</v>
      </c>
    </row>
    <row r="505" spans="1:2" x14ac:dyDescent="0.25">
      <c r="A505" t="s">
        <v>38</v>
      </c>
      <c r="B505" t="s">
        <v>853</v>
      </c>
    </row>
    <row r="506" spans="2:5" x14ac:dyDescent="0.25">
      <c r="B506" t="s">
        <v>5</v>
      </c>
      <c r="C506" t="s">
        <v>1271</v>
      </c>
      <c r="D506" t="s">
        <v>1272</v>
      </c>
      <c r="E506" t="s">
        <v>1273</v>
      </c>
    </row>
    <row r="507" spans="2:5" x14ac:dyDescent="0.25">
      <c r="B507" t="s">
        <v>31</v>
      </c>
      <c r="C507" t="s">
        <v>740</v>
      </c>
      <c r="D507">
        <v>1</v>
      </c>
      <c r="E507">
        <v>260</v>
      </c>
    </row>
    <row r="508" spans="2:5" x14ac:dyDescent="0.25">
      <c r="B508" t="s">
        <v>46</v>
      </c>
      <c r="C508" t="s">
        <v>736</v>
      </c>
      <c r="D508">
        <v>1</v>
      </c>
      <c r="E508">
        <v>820</v>
      </c>
    </row>
    <row r="509" spans="2:5" x14ac:dyDescent="0.25">
      <c r="B509" t="s">
        <v>56</v>
      </c>
      <c r="C509" t="s">
        <v>212</v>
      </c>
      <c r="D509">
        <v>10</v>
      </c>
      <c r="E509">
        <v>220</v>
      </c>
    </row>
    <row r="510" spans="2:5" x14ac:dyDescent="0.25">
      <c r="B510" t="s">
        <v>64</v>
      </c>
      <c r="C510" t="s">
        <v>863</v>
      </c>
      <c r="D510">
        <v>2</v>
      </c>
      <c r="E510">
        <v>150</v>
      </c>
    </row>
    <row r="511" spans="2:5" x14ac:dyDescent="0.25">
      <c r="B511" t="s">
        <v>1267</v>
      </c>
      <c r="E511">
        <f>SUBTOTAL(109,discountedTable505[Price])</f>
      </c>
    </row>
    <row r="512" spans="1:4" s="8" customFormat="1" x14ac:dyDescent="0.25">
      <c r="A512" s="8" t="s">
        <v>38</v>
      </c>
      <c r="B512" s="8" t="s">
        <v>1274</v>
      </c>
      <c r="C512" s="8" t="s">
        <v>38</v>
      </c>
      <c r="D512" s="8" t="s">
        <v>38</v>
      </c>
    </row>
    <row r="514" spans="1:2" x14ac:dyDescent="0.25">
      <c r="A514" t="s">
        <v>38</v>
      </c>
      <c r="B514" t="s">
        <v>865</v>
      </c>
    </row>
    <row r="515" spans="2:5" x14ac:dyDescent="0.25">
      <c r="B515" t="s">
        <v>5</v>
      </c>
      <c r="C515" t="s">
        <v>1271</v>
      </c>
      <c r="D515" t="s">
        <v>1272</v>
      </c>
      <c r="E515" t="s">
        <v>1273</v>
      </c>
    </row>
    <row r="516" spans="2:5" x14ac:dyDescent="0.25">
      <c r="B516" t="s">
        <v>31</v>
      </c>
      <c r="C516" t="s">
        <v>126</v>
      </c>
      <c r="D516">
        <v>8</v>
      </c>
      <c r="E516">
        <v>700</v>
      </c>
    </row>
    <row r="517" spans="2:5" x14ac:dyDescent="0.25">
      <c r="B517" t="s">
        <v>46</v>
      </c>
      <c r="C517" t="s">
        <v>126</v>
      </c>
      <c r="D517">
        <v>16</v>
      </c>
      <c r="E517">
        <v>520</v>
      </c>
    </row>
    <row r="518" spans="2:5" x14ac:dyDescent="0.25">
      <c r="B518" t="s">
        <v>56</v>
      </c>
      <c r="C518" t="s">
        <v>133</v>
      </c>
      <c r="D518">
        <v>300</v>
      </c>
      <c r="E518">
        <v>2</v>
      </c>
    </row>
    <row r="519" spans="2:5" x14ac:dyDescent="0.25">
      <c r="B519" t="s">
        <v>1267</v>
      </c>
      <c r="E519">
        <f>SUBTOTAL(109,discountedTable514[Price])</f>
      </c>
    </row>
    <row r="520" spans="1:4" s="8" customFormat="1" x14ac:dyDescent="0.25">
      <c r="A520" s="8" t="s">
        <v>38</v>
      </c>
      <c r="B520" s="8" t="s">
        <v>1274</v>
      </c>
      <c r="C520" s="8" t="s">
        <v>38</v>
      </c>
      <c r="D520" s="8" t="s">
        <v>38</v>
      </c>
    </row>
    <row r="522" spans="1:2" x14ac:dyDescent="0.25">
      <c r="A522" t="s">
        <v>38</v>
      </c>
      <c r="B522" t="s">
        <v>873</v>
      </c>
    </row>
    <row r="523" spans="2:5" x14ac:dyDescent="0.25">
      <c r="B523" t="s">
        <v>5</v>
      </c>
      <c r="C523" t="s">
        <v>1271</v>
      </c>
      <c r="D523" t="s">
        <v>1272</v>
      </c>
      <c r="E523" t="s">
        <v>1273</v>
      </c>
    </row>
    <row r="524" spans="2:5" x14ac:dyDescent="0.25">
      <c r="B524" t="s">
        <v>31</v>
      </c>
      <c r="C524" t="s">
        <v>257</v>
      </c>
      <c r="D524">
        <v>2</v>
      </c>
      <c r="E524">
        <v>645</v>
      </c>
    </row>
    <row r="525" spans="2:5" x14ac:dyDescent="0.25">
      <c r="B525" t="s">
        <v>1267</v>
      </c>
      <c r="E525">
        <f>SUBTOTAL(109,discountedTable522[Price])</f>
      </c>
    </row>
    <row r="526" spans="1:4" s="8" customFormat="1" x14ac:dyDescent="0.25">
      <c r="A526" s="8" t="s">
        <v>38</v>
      </c>
      <c r="B526" s="8" t="s">
        <v>1274</v>
      </c>
      <c r="C526" s="8" t="s">
        <v>38</v>
      </c>
      <c r="D526" s="8" t="s">
        <v>38</v>
      </c>
    </row>
    <row r="528" spans="1:2" x14ac:dyDescent="0.25">
      <c r="A528" t="s">
        <v>38</v>
      </c>
      <c r="B528" t="s">
        <v>878</v>
      </c>
    </row>
    <row r="529" spans="2:5" x14ac:dyDescent="0.25">
      <c r="B529" t="s">
        <v>5</v>
      </c>
      <c r="C529" t="s">
        <v>1271</v>
      </c>
      <c r="D529" t="s">
        <v>1272</v>
      </c>
      <c r="E529" t="s">
        <v>1273</v>
      </c>
    </row>
    <row r="530" spans="2:5" x14ac:dyDescent="0.25">
      <c r="B530" t="s">
        <v>31</v>
      </c>
      <c r="C530" t="s">
        <v>879</v>
      </c>
      <c r="D530">
        <v>10</v>
      </c>
      <c r="E530">
        <v>230</v>
      </c>
    </row>
    <row r="531" spans="2:5" x14ac:dyDescent="0.25">
      <c r="B531" t="s">
        <v>1267</v>
      </c>
      <c r="E531">
        <f>SUBTOTAL(109,discountedTable528[Price])</f>
      </c>
    </row>
    <row r="532" spans="1:4" s="8" customFormat="1" x14ac:dyDescent="0.25">
      <c r="A532" s="8" t="s">
        <v>38</v>
      </c>
      <c r="B532" s="8" t="s">
        <v>1274</v>
      </c>
      <c r="C532" s="8" t="s">
        <v>38</v>
      </c>
      <c r="D532" s="8" t="s">
        <v>38</v>
      </c>
    </row>
    <row r="534" spans="1:2" x14ac:dyDescent="0.25">
      <c r="A534" t="s">
        <v>38</v>
      </c>
      <c r="B534" t="s">
        <v>882</v>
      </c>
    </row>
    <row r="535" spans="2:5" x14ac:dyDescent="0.25">
      <c r="B535" t="s">
        <v>5</v>
      </c>
      <c r="C535" t="s">
        <v>1271</v>
      </c>
      <c r="D535" t="s">
        <v>1272</v>
      </c>
      <c r="E535" t="s">
        <v>1273</v>
      </c>
    </row>
    <row r="536" spans="2:5" x14ac:dyDescent="0.25">
      <c r="B536" t="s">
        <v>31</v>
      </c>
      <c r="C536" t="s">
        <v>142</v>
      </c>
      <c r="D536">
        <v>2</v>
      </c>
      <c r="E536">
        <v>720</v>
      </c>
    </row>
    <row r="537" spans="2:5" x14ac:dyDescent="0.25">
      <c r="B537" t="s">
        <v>1267</v>
      </c>
      <c r="E537">
        <f>SUBTOTAL(109,discountedTable534[Price])</f>
      </c>
    </row>
    <row r="538" spans="1:4" s="8" customFormat="1" x14ac:dyDescent="0.25">
      <c r="A538" s="8" t="s">
        <v>38</v>
      </c>
      <c r="B538" s="8" t="s">
        <v>1274</v>
      </c>
      <c r="C538" s="8" t="s">
        <v>38</v>
      </c>
      <c r="D538" s="8" t="s">
        <v>38</v>
      </c>
    </row>
    <row r="540" spans="1:2" x14ac:dyDescent="0.25">
      <c r="A540" t="s">
        <v>38</v>
      </c>
      <c r="B540" t="s">
        <v>891</v>
      </c>
    </row>
    <row r="541" spans="2:5" x14ac:dyDescent="0.25">
      <c r="B541" t="s">
        <v>5</v>
      </c>
      <c r="C541" t="s">
        <v>1271</v>
      </c>
      <c r="D541" t="s">
        <v>1272</v>
      </c>
      <c r="E541" t="s">
        <v>1273</v>
      </c>
    </row>
    <row r="542" spans="2:5" x14ac:dyDescent="0.25">
      <c r="B542" t="s">
        <v>31</v>
      </c>
      <c r="C542" t="s">
        <v>71</v>
      </c>
      <c r="D542">
        <v>1</v>
      </c>
      <c r="E542">
        <v>630</v>
      </c>
    </row>
    <row r="543" spans="2:5" x14ac:dyDescent="0.25">
      <c r="B543" t="s">
        <v>1267</v>
      </c>
      <c r="E543">
        <f>SUBTOTAL(109,discountedTable540[Price])</f>
      </c>
    </row>
    <row r="544" spans="1:4" s="8" customFormat="1" x14ac:dyDescent="0.25">
      <c r="A544" s="8" t="s">
        <v>38</v>
      </c>
      <c r="B544" s="8" t="s">
        <v>1274</v>
      </c>
      <c r="C544" s="8" t="s">
        <v>38</v>
      </c>
      <c r="D544" s="8" t="s">
        <v>38</v>
      </c>
    </row>
    <row r="546" spans="1:2" x14ac:dyDescent="0.25">
      <c r="A546" t="s">
        <v>38</v>
      </c>
      <c r="B546" t="s">
        <v>893</v>
      </c>
    </row>
    <row r="547" spans="2:5" x14ac:dyDescent="0.25">
      <c r="B547" t="s">
        <v>5</v>
      </c>
      <c r="C547" t="s">
        <v>1271</v>
      </c>
      <c r="D547" t="s">
        <v>1272</v>
      </c>
      <c r="E547" t="s">
        <v>1273</v>
      </c>
    </row>
    <row r="548" spans="2:5" x14ac:dyDescent="0.25">
      <c r="B548" t="s">
        <v>31</v>
      </c>
      <c r="C548" t="s">
        <v>894</v>
      </c>
      <c r="D548">
        <v>1</v>
      </c>
      <c r="E548">
        <v>980</v>
      </c>
    </row>
    <row r="549" spans="2:5" x14ac:dyDescent="0.25">
      <c r="B549" t="s">
        <v>1267</v>
      </c>
      <c r="E549">
        <f>SUBTOTAL(109,discountedTable546[Price])</f>
      </c>
    </row>
    <row r="550" spans="1:4" s="8" customFormat="1" x14ac:dyDescent="0.25">
      <c r="A550" s="8" t="s">
        <v>38</v>
      </c>
      <c r="B550" s="8" t="s">
        <v>1274</v>
      </c>
      <c r="C550" s="8" t="s">
        <v>38</v>
      </c>
      <c r="D550" s="8" t="s">
        <v>38</v>
      </c>
    </row>
    <row r="552" spans="1:2" x14ac:dyDescent="0.25">
      <c r="A552" t="s">
        <v>38</v>
      </c>
      <c r="B552" t="s">
        <v>898</v>
      </c>
    </row>
    <row r="553" spans="2:5" x14ac:dyDescent="0.25">
      <c r="B553" t="s">
        <v>5</v>
      </c>
      <c r="C553" t="s">
        <v>1271</v>
      </c>
      <c r="D553" t="s">
        <v>1272</v>
      </c>
      <c r="E553" t="s">
        <v>1273</v>
      </c>
    </row>
    <row r="554" spans="2:5" x14ac:dyDescent="0.25">
      <c r="B554" t="s">
        <v>31</v>
      </c>
      <c r="C554" t="s">
        <v>899</v>
      </c>
      <c r="D554">
        <v>2</v>
      </c>
      <c r="E554">
        <v>765</v>
      </c>
    </row>
    <row r="555" spans="2:5" x14ac:dyDescent="0.25">
      <c r="B555" t="s">
        <v>1267</v>
      </c>
      <c r="E555">
        <f>SUBTOTAL(109,discountedTable552[Price])</f>
      </c>
    </row>
    <row r="556" spans="1:4" s="8" customFormat="1" x14ac:dyDescent="0.25">
      <c r="A556" s="8" t="s">
        <v>38</v>
      </c>
      <c r="B556" s="8" t="s">
        <v>1274</v>
      </c>
      <c r="C556" s="8" t="s">
        <v>38</v>
      </c>
      <c r="D556" s="8" t="s">
        <v>38</v>
      </c>
    </row>
    <row r="558" spans="1:2" x14ac:dyDescent="0.25">
      <c r="A558" t="s">
        <v>38</v>
      </c>
      <c r="B558" t="s">
        <v>903</v>
      </c>
    </row>
    <row r="559" spans="2:5" x14ac:dyDescent="0.25">
      <c r="B559" t="s">
        <v>5</v>
      </c>
      <c r="C559" t="s">
        <v>1271</v>
      </c>
      <c r="D559" t="s">
        <v>1272</v>
      </c>
      <c r="E559" t="s">
        <v>1273</v>
      </c>
    </row>
    <row r="560" spans="2:5" x14ac:dyDescent="0.25">
      <c r="B560" t="s">
        <v>31</v>
      </c>
      <c r="C560" t="s">
        <v>904</v>
      </c>
      <c r="D560">
        <v>3</v>
      </c>
      <c r="E560">
        <v>70</v>
      </c>
    </row>
    <row r="561" spans="2:5" x14ac:dyDescent="0.25">
      <c r="B561" t="s">
        <v>46</v>
      </c>
      <c r="C561" t="s">
        <v>904</v>
      </c>
      <c r="D561">
        <v>4</v>
      </c>
      <c r="E561">
        <v>60</v>
      </c>
    </row>
    <row r="562" spans="2:5" x14ac:dyDescent="0.25">
      <c r="B562" t="s">
        <v>56</v>
      </c>
      <c r="C562" t="s">
        <v>913</v>
      </c>
      <c r="D562">
        <v>8</v>
      </c>
      <c r="E562">
        <v>50</v>
      </c>
    </row>
    <row r="563" spans="2:5" x14ac:dyDescent="0.25">
      <c r="B563" t="s">
        <v>64</v>
      </c>
      <c r="C563" t="s">
        <v>497</v>
      </c>
      <c r="D563">
        <v>2</v>
      </c>
      <c r="E563">
        <v>240</v>
      </c>
    </row>
    <row r="564" spans="2:5" x14ac:dyDescent="0.25">
      <c r="B564" t="s">
        <v>75</v>
      </c>
      <c r="C564" t="s">
        <v>918</v>
      </c>
      <c r="D564">
        <v>2</v>
      </c>
      <c r="E564">
        <v>20</v>
      </c>
    </row>
    <row r="565" spans="2:5" x14ac:dyDescent="0.25">
      <c r="B565" t="s">
        <v>89</v>
      </c>
      <c r="C565" t="s">
        <v>99</v>
      </c>
      <c r="D565">
        <v>6</v>
      </c>
      <c r="E565">
        <v>40</v>
      </c>
    </row>
    <row r="566" spans="2:5" x14ac:dyDescent="0.25">
      <c r="B566" t="s">
        <v>98</v>
      </c>
      <c r="C566" t="s">
        <v>904</v>
      </c>
      <c r="D566">
        <v>0</v>
      </c>
      <c r="E566">
        <v>80</v>
      </c>
    </row>
    <row r="567" spans="2:5" x14ac:dyDescent="0.25">
      <c r="B567" t="s">
        <v>102</v>
      </c>
      <c r="C567" t="s">
        <v>928</v>
      </c>
      <c r="D567">
        <v>4</v>
      </c>
      <c r="E567">
        <v>210</v>
      </c>
    </row>
    <row r="568" spans="2:5" x14ac:dyDescent="0.25">
      <c r="B568" t="s">
        <v>1267</v>
      </c>
      <c r="E568">
        <f>SUBTOTAL(109,discountedTable558[Price])</f>
      </c>
    </row>
    <row r="569" spans="1:4" s="8" customFormat="1" x14ac:dyDescent="0.25">
      <c r="A569" s="8" t="s">
        <v>38</v>
      </c>
      <c r="B569" s="8" t="s">
        <v>1274</v>
      </c>
      <c r="C569" s="8" t="s">
        <v>38</v>
      </c>
      <c r="D569" s="8" t="s">
        <v>38</v>
      </c>
    </row>
    <row r="571" spans="1:2" x14ac:dyDescent="0.25">
      <c r="A571" t="s">
        <v>38</v>
      </c>
      <c r="B571" t="s">
        <v>935</v>
      </c>
    </row>
    <row r="572" spans="2:5" x14ac:dyDescent="0.25">
      <c r="B572" t="s">
        <v>5</v>
      </c>
      <c r="C572" t="s">
        <v>1271</v>
      </c>
      <c r="D572" t="s">
        <v>1272</v>
      </c>
      <c r="E572" t="s">
        <v>1273</v>
      </c>
    </row>
    <row r="573" spans="2:5" x14ac:dyDescent="0.25">
      <c r="B573" t="s">
        <v>31</v>
      </c>
      <c r="C573" t="s">
        <v>212</v>
      </c>
      <c r="D573">
        <v>1</v>
      </c>
      <c r="E573">
        <v>720</v>
      </c>
    </row>
    <row r="574" spans="2:5" x14ac:dyDescent="0.25">
      <c r="B574" t="s">
        <v>46</v>
      </c>
      <c r="C574" t="s">
        <v>497</v>
      </c>
      <c r="D574">
        <v>1</v>
      </c>
      <c r="E574">
        <v>240</v>
      </c>
    </row>
    <row r="575" spans="2:5" x14ac:dyDescent="0.25">
      <c r="B575" t="s">
        <v>56</v>
      </c>
      <c r="C575" t="s">
        <v>553</v>
      </c>
      <c r="D575">
        <v>6</v>
      </c>
      <c r="E575">
        <v>60</v>
      </c>
    </row>
    <row r="576" spans="2:5" x14ac:dyDescent="0.25">
      <c r="B576" t="s">
        <v>64</v>
      </c>
      <c r="C576" t="s">
        <v>553</v>
      </c>
      <c r="D576">
        <v>6</v>
      </c>
      <c r="E576">
        <v>60</v>
      </c>
    </row>
    <row r="577" spans="2:5" x14ac:dyDescent="0.25">
      <c r="B577" t="s">
        <v>1267</v>
      </c>
      <c r="E577">
        <f>SUBTOTAL(109,discountedTable571[Price])</f>
      </c>
    </row>
    <row r="578" spans="1:4" s="8" customFormat="1" x14ac:dyDescent="0.25">
      <c r="A578" s="8" t="s">
        <v>38</v>
      </c>
      <c r="B578" s="8" t="s">
        <v>1274</v>
      </c>
      <c r="C578" s="8" t="s">
        <v>38</v>
      </c>
      <c r="D578" s="8" t="s">
        <v>38</v>
      </c>
    </row>
    <row r="580" spans="1:2" x14ac:dyDescent="0.25">
      <c r="A580" t="s">
        <v>38</v>
      </c>
      <c r="B580" t="s">
        <v>946</v>
      </c>
    </row>
    <row r="581" spans="2:5" x14ac:dyDescent="0.25">
      <c r="B581" t="s">
        <v>5</v>
      </c>
      <c r="C581" t="s">
        <v>1271</v>
      </c>
      <c r="D581" t="s">
        <v>1272</v>
      </c>
      <c r="E581" t="s">
        <v>1273</v>
      </c>
    </row>
    <row r="582" spans="2:5" x14ac:dyDescent="0.25">
      <c r="B582" t="s">
        <v>31</v>
      </c>
      <c r="C582" t="s">
        <v>212</v>
      </c>
      <c r="D582">
        <v>1</v>
      </c>
      <c r="E582">
        <v>720</v>
      </c>
    </row>
    <row r="583" spans="2:5" x14ac:dyDescent="0.25">
      <c r="B583" t="s">
        <v>46</v>
      </c>
      <c r="C583" t="s">
        <v>948</v>
      </c>
      <c r="D583">
        <v>2</v>
      </c>
      <c r="E583">
        <v>250</v>
      </c>
    </row>
    <row r="584" spans="2:5" x14ac:dyDescent="0.25">
      <c r="B584" t="s">
        <v>56</v>
      </c>
      <c r="C584" t="s">
        <v>195</v>
      </c>
      <c r="D584">
        <v>1</v>
      </c>
      <c r="E584">
        <v>50</v>
      </c>
    </row>
    <row r="585" spans="2:5" x14ac:dyDescent="0.25">
      <c r="B585" t="s">
        <v>1267</v>
      </c>
      <c r="E585">
        <f>SUBTOTAL(109,discountedTable580[Price])</f>
      </c>
    </row>
    <row r="586" spans="1:4" s="8" customFormat="1" x14ac:dyDescent="0.25">
      <c r="A586" s="8" t="s">
        <v>38</v>
      </c>
      <c r="B586" s="8" t="s">
        <v>1274</v>
      </c>
      <c r="C586" s="8" t="s">
        <v>38</v>
      </c>
      <c r="D586" s="8" t="s">
        <v>38</v>
      </c>
    </row>
    <row r="588" spans="1:2" x14ac:dyDescent="0.25">
      <c r="A588" t="s">
        <v>38</v>
      </c>
      <c r="B588" t="s">
        <v>954</v>
      </c>
    </row>
    <row r="589" spans="2:5" x14ac:dyDescent="0.25">
      <c r="B589" t="s">
        <v>5</v>
      </c>
      <c r="C589" t="s">
        <v>1271</v>
      </c>
      <c r="D589" t="s">
        <v>1272</v>
      </c>
      <c r="E589" t="s">
        <v>1273</v>
      </c>
    </row>
    <row r="590" spans="2:5" x14ac:dyDescent="0.25">
      <c r="B590" t="s">
        <v>31</v>
      </c>
      <c r="C590" t="s">
        <v>955</v>
      </c>
      <c r="D590">
        <v>1</v>
      </c>
      <c r="E590">
        <v>1500</v>
      </c>
    </row>
    <row r="591" spans="2:5" x14ac:dyDescent="0.25">
      <c r="B591" t="s">
        <v>46</v>
      </c>
      <c r="C591" t="s">
        <v>958</v>
      </c>
      <c r="D591">
        <v>1</v>
      </c>
      <c r="E591">
        <v>150</v>
      </c>
    </row>
    <row r="592" spans="2:5" x14ac:dyDescent="0.25">
      <c r="B592" t="s">
        <v>1267</v>
      </c>
      <c r="E592">
        <f>SUBTOTAL(109,discountedTable588[Price])</f>
      </c>
    </row>
    <row r="593" spans="1:4" s="8" customFormat="1" x14ac:dyDescent="0.25">
      <c r="A593" s="8" t="s">
        <v>38</v>
      </c>
      <c r="B593" s="8" t="s">
        <v>1274</v>
      </c>
      <c r="C593" s="8" t="s">
        <v>38</v>
      </c>
      <c r="D593" s="8" t="s">
        <v>38</v>
      </c>
    </row>
    <row r="595" spans="1:2" x14ac:dyDescent="0.25">
      <c r="A595" t="s">
        <v>38</v>
      </c>
      <c r="B595" t="s">
        <v>983</v>
      </c>
    </row>
    <row r="596" spans="2:5" x14ac:dyDescent="0.25">
      <c r="B596" t="s">
        <v>5</v>
      </c>
      <c r="C596" t="s">
        <v>1271</v>
      </c>
      <c r="D596" t="s">
        <v>1272</v>
      </c>
      <c r="E596" t="s">
        <v>1273</v>
      </c>
    </row>
    <row r="597" spans="2:5" x14ac:dyDescent="0.25">
      <c r="B597" t="s">
        <v>31</v>
      </c>
      <c r="C597" t="s">
        <v>887</v>
      </c>
      <c r="D597">
        <v>2</v>
      </c>
      <c r="E597">
        <v>1100</v>
      </c>
    </row>
    <row r="598" spans="2:5" x14ac:dyDescent="0.25">
      <c r="B598" t="s">
        <v>46</v>
      </c>
      <c r="C598" t="s">
        <v>133</v>
      </c>
      <c r="D598">
        <v>50</v>
      </c>
      <c r="E598">
        <v>2</v>
      </c>
    </row>
    <row r="599" spans="2:5" x14ac:dyDescent="0.25">
      <c r="B599" t="s">
        <v>56</v>
      </c>
      <c r="C599" t="s">
        <v>596</v>
      </c>
      <c r="D599">
        <v>5</v>
      </c>
      <c r="E599">
        <v>34</v>
      </c>
    </row>
    <row r="600" spans="2:5" x14ac:dyDescent="0.25">
      <c r="B600" t="s">
        <v>64</v>
      </c>
      <c r="C600" t="s">
        <v>596</v>
      </c>
      <c r="D600">
        <v>0</v>
      </c>
      <c r="E600">
        <v>0</v>
      </c>
    </row>
    <row r="601" spans="2:5" x14ac:dyDescent="0.25">
      <c r="B601" t="s">
        <v>1267</v>
      </c>
      <c r="E601">
        <f>SUBTOTAL(109,discountedTable595[Price])</f>
      </c>
    </row>
    <row r="602" spans="1:4" s="8" customFormat="1" x14ac:dyDescent="0.25">
      <c r="A602" s="8" t="s">
        <v>38</v>
      </c>
      <c r="B602" s="8" t="s">
        <v>1274</v>
      </c>
      <c r="C602" s="8" t="s">
        <v>38</v>
      </c>
      <c r="D602" s="8" t="s">
        <v>38</v>
      </c>
    </row>
    <row r="604" spans="1:2" x14ac:dyDescent="0.25">
      <c r="A604" t="s">
        <v>38</v>
      </c>
      <c r="B604" t="s">
        <v>996</v>
      </c>
    </row>
    <row r="605" spans="2:5" x14ac:dyDescent="0.25">
      <c r="B605" t="s">
        <v>5</v>
      </c>
      <c r="C605" t="s">
        <v>1271</v>
      </c>
      <c r="D605" t="s">
        <v>1272</v>
      </c>
      <c r="E605" t="s">
        <v>1273</v>
      </c>
    </row>
    <row r="606" spans="2:5" x14ac:dyDescent="0.25">
      <c r="B606" t="s">
        <v>31</v>
      </c>
      <c r="C606" t="s">
        <v>997</v>
      </c>
      <c r="D606">
        <v>4</v>
      </c>
      <c r="E606">
        <v>140</v>
      </c>
    </row>
    <row r="607" spans="2:5" x14ac:dyDescent="0.25">
      <c r="B607" t="s">
        <v>1267</v>
      </c>
      <c r="E607">
        <f>SUBTOTAL(109,discountedTable604[Price])</f>
      </c>
    </row>
    <row r="608" spans="1:4" s="8" customFormat="1" x14ac:dyDescent="0.25">
      <c r="A608" s="8" t="s">
        <v>38</v>
      </c>
      <c r="B608" s="8" t="s">
        <v>1274</v>
      </c>
      <c r="C608" s="8" t="s">
        <v>38</v>
      </c>
      <c r="D608" s="8" t="s">
        <v>38</v>
      </c>
    </row>
    <row r="610" spans="1:2" x14ac:dyDescent="0.25">
      <c r="A610" t="s">
        <v>38</v>
      </c>
      <c r="B610" t="s">
        <v>1013</v>
      </c>
    </row>
    <row r="611" spans="2:5" x14ac:dyDescent="0.25">
      <c r="B611" t="s">
        <v>5</v>
      </c>
      <c r="C611" t="s">
        <v>1271</v>
      </c>
      <c r="D611" t="s">
        <v>1272</v>
      </c>
      <c r="E611" t="s">
        <v>1273</v>
      </c>
    </row>
    <row r="612" spans="2:5" x14ac:dyDescent="0.25">
      <c r="B612" t="s">
        <v>31</v>
      </c>
      <c r="C612" t="s">
        <v>904</v>
      </c>
      <c r="D612">
        <v>4</v>
      </c>
      <c r="E612">
        <v>65</v>
      </c>
    </row>
    <row r="613" spans="2:5" x14ac:dyDescent="0.25">
      <c r="B613" t="s">
        <v>46</v>
      </c>
      <c r="C613" t="s">
        <v>1018</v>
      </c>
      <c r="D613">
        <v>1</v>
      </c>
      <c r="E613">
        <v>330</v>
      </c>
    </row>
    <row r="614" spans="2:5" x14ac:dyDescent="0.25">
      <c r="B614" t="s">
        <v>56</v>
      </c>
      <c r="C614" t="s">
        <v>918</v>
      </c>
      <c r="D614">
        <v>1</v>
      </c>
      <c r="E614">
        <v>20</v>
      </c>
    </row>
    <row r="615" spans="2:5" x14ac:dyDescent="0.25">
      <c r="B615" t="s">
        <v>64</v>
      </c>
      <c r="C615" t="s">
        <v>497</v>
      </c>
      <c r="D615">
        <v>2</v>
      </c>
      <c r="E615">
        <v>240</v>
      </c>
    </row>
    <row r="616" spans="2:5" x14ac:dyDescent="0.25">
      <c r="B616" t="s">
        <v>1267</v>
      </c>
      <c r="E616">
        <f>SUBTOTAL(109,discountedTable610[Price])</f>
      </c>
    </row>
    <row r="617" spans="1:4" s="8" customFormat="1" x14ac:dyDescent="0.25">
      <c r="A617" s="8" t="s">
        <v>38</v>
      </c>
      <c r="B617" s="8" t="s">
        <v>1274</v>
      </c>
      <c r="C617" s="8" t="s">
        <v>38</v>
      </c>
      <c r="D617" s="8" t="s">
        <v>38</v>
      </c>
    </row>
    <row r="619" spans="1:2" x14ac:dyDescent="0.25">
      <c r="A619" t="s">
        <v>38</v>
      </c>
      <c r="B619" t="s">
        <v>1035</v>
      </c>
    </row>
    <row r="620" spans="2:5" x14ac:dyDescent="0.25">
      <c r="B620" t="s">
        <v>5</v>
      </c>
      <c r="C620" t="s">
        <v>1271</v>
      </c>
      <c r="D620" t="s">
        <v>1272</v>
      </c>
      <c r="E620" t="s">
        <v>1273</v>
      </c>
    </row>
    <row r="621" spans="2:5" x14ac:dyDescent="0.25">
      <c r="B621" t="s">
        <v>31</v>
      </c>
      <c r="C621" t="s">
        <v>71</v>
      </c>
      <c r="D621">
        <v>2</v>
      </c>
      <c r="E621">
        <v>630</v>
      </c>
    </row>
    <row r="622" spans="2:5" x14ac:dyDescent="0.25">
      <c r="B622" t="s">
        <v>1267</v>
      </c>
      <c r="E622">
        <f>SUBTOTAL(109,discountedTable619[Price])</f>
      </c>
    </row>
    <row r="623" spans="1:4" s="8" customFormat="1" x14ac:dyDescent="0.25">
      <c r="A623" s="8" t="s">
        <v>38</v>
      </c>
      <c r="B623" s="8" t="s">
        <v>1274</v>
      </c>
      <c r="C623" s="8" t="s">
        <v>38</v>
      </c>
      <c r="D623" s="8" t="s">
        <v>38</v>
      </c>
    </row>
    <row r="625" spans="1:2" x14ac:dyDescent="0.25">
      <c r="A625" t="s">
        <v>38</v>
      </c>
      <c r="B625" t="s">
        <v>1040</v>
      </c>
    </row>
    <row r="626" spans="2:5" x14ac:dyDescent="0.25">
      <c r="B626" t="s">
        <v>5</v>
      </c>
      <c r="C626" t="s">
        <v>1271</v>
      </c>
      <c r="D626" t="s">
        <v>1272</v>
      </c>
      <c r="E626" t="s">
        <v>1273</v>
      </c>
    </row>
    <row r="627" spans="2:5" x14ac:dyDescent="0.25">
      <c r="B627" t="s">
        <v>31</v>
      </c>
      <c r="C627" t="s">
        <v>948</v>
      </c>
      <c r="D627">
        <v>2</v>
      </c>
      <c r="E627">
        <v>210</v>
      </c>
    </row>
    <row r="628" spans="2:5" x14ac:dyDescent="0.25">
      <c r="B628" t="s">
        <v>46</v>
      </c>
      <c r="C628" t="s">
        <v>497</v>
      </c>
      <c r="D628">
        <v>1</v>
      </c>
      <c r="E628">
        <v>240</v>
      </c>
    </row>
    <row r="629" spans="2:5" x14ac:dyDescent="0.25">
      <c r="B629" t="s">
        <v>1267</v>
      </c>
      <c r="E629">
        <f>SUBTOTAL(109,discountedTable625[Price])</f>
      </c>
    </row>
    <row r="630" spans="1:4" s="8" customFormat="1" x14ac:dyDescent="0.25">
      <c r="A630" s="8" t="s">
        <v>38</v>
      </c>
      <c r="B630" s="8" t="s">
        <v>1274</v>
      </c>
      <c r="C630" s="8" t="s">
        <v>38</v>
      </c>
      <c r="D630" s="8" t="s">
        <v>38</v>
      </c>
    </row>
    <row r="632" spans="1:2" x14ac:dyDescent="0.25">
      <c r="A632" t="s">
        <v>38</v>
      </c>
      <c r="B632" t="s">
        <v>1045</v>
      </c>
    </row>
    <row r="633" spans="2:5" x14ac:dyDescent="0.25">
      <c r="B633" t="s">
        <v>5</v>
      </c>
      <c r="C633" t="s">
        <v>1271</v>
      </c>
      <c r="D633" t="s">
        <v>1272</v>
      </c>
      <c r="E633" t="s">
        <v>1273</v>
      </c>
    </row>
    <row r="634" spans="2:5" x14ac:dyDescent="0.25">
      <c r="B634" t="s">
        <v>31</v>
      </c>
      <c r="C634" t="s">
        <v>255</v>
      </c>
      <c r="D634">
        <v>5</v>
      </c>
      <c r="E634">
        <v>112</v>
      </c>
    </row>
    <row r="635" spans="2:5" x14ac:dyDescent="0.25">
      <c r="B635" t="s">
        <v>1267</v>
      </c>
      <c r="E635">
        <f>SUBTOTAL(109,discountedTable632[Price])</f>
      </c>
    </row>
    <row r="636" spans="1:4" s="8" customFormat="1" x14ac:dyDescent="0.25">
      <c r="A636" s="8" t="s">
        <v>38</v>
      </c>
      <c r="B636" s="8" t="s">
        <v>1274</v>
      </c>
      <c r="C636" s="8" t="s">
        <v>38</v>
      </c>
      <c r="D636" s="8" t="s">
        <v>38</v>
      </c>
    </row>
    <row r="638" spans="1:2" x14ac:dyDescent="0.25">
      <c r="A638" t="s">
        <v>38</v>
      </c>
      <c r="B638" t="s">
        <v>1048</v>
      </c>
    </row>
    <row r="639" spans="2:5" x14ac:dyDescent="0.25">
      <c r="B639" t="s">
        <v>5</v>
      </c>
      <c r="C639" t="s">
        <v>1271</v>
      </c>
      <c r="D639" t="s">
        <v>1272</v>
      </c>
      <c r="E639" t="s">
        <v>1273</v>
      </c>
    </row>
    <row r="640" spans="2:5" x14ac:dyDescent="0.25">
      <c r="B640" t="s">
        <v>31</v>
      </c>
      <c r="C640" t="s">
        <v>1049</v>
      </c>
      <c r="D640">
        <v>1</v>
      </c>
      <c r="E640">
        <v>2350</v>
      </c>
    </row>
    <row r="641" spans="2:5" x14ac:dyDescent="0.25">
      <c r="B641" t="s">
        <v>1267</v>
      </c>
      <c r="E641">
        <f>SUBTOTAL(109,discountedTable638[Price])</f>
      </c>
    </row>
    <row r="642" spans="1:4" s="8" customFormat="1" x14ac:dyDescent="0.25">
      <c r="A642" s="8" t="s">
        <v>38</v>
      </c>
      <c r="B642" s="8" t="s">
        <v>1274</v>
      </c>
      <c r="C642" s="8" t="s">
        <v>38</v>
      </c>
      <c r="D642" s="8" t="s">
        <v>38</v>
      </c>
    </row>
    <row r="644" spans="1:2" x14ac:dyDescent="0.25">
      <c r="A644" t="s">
        <v>38</v>
      </c>
      <c r="B644" t="s">
        <v>1051</v>
      </c>
    </row>
    <row r="645" spans="2:5" x14ac:dyDescent="0.25">
      <c r="B645" t="s">
        <v>5</v>
      </c>
      <c r="C645" t="s">
        <v>1271</v>
      </c>
      <c r="D645" t="s">
        <v>1272</v>
      </c>
      <c r="E645" t="s">
        <v>1273</v>
      </c>
    </row>
    <row r="646" spans="2:5" x14ac:dyDescent="0.25">
      <c r="B646" t="s">
        <v>31</v>
      </c>
      <c r="C646" t="s">
        <v>599</v>
      </c>
      <c r="D646">
        <v>1</v>
      </c>
      <c r="E646">
        <v>5000</v>
      </c>
    </row>
    <row r="647" spans="2:5" x14ac:dyDescent="0.25">
      <c r="B647" t="s">
        <v>1267</v>
      </c>
      <c r="E647">
        <f>SUBTOTAL(109,discountedTable644[Price])</f>
      </c>
    </row>
    <row r="648" spans="1:4" s="8" customFormat="1" x14ac:dyDescent="0.25">
      <c r="A648" s="8" t="s">
        <v>38</v>
      </c>
      <c r="B648" s="8" t="s">
        <v>1274</v>
      </c>
      <c r="C648" s="8" t="s">
        <v>38</v>
      </c>
      <c r="D648" s="8" t="s">
        <v>38</v>
      </c>
    </row>
    <row r="650" spans="1:2" x14ac:dyDescent="0.25">
      <c r="A650" t="s">
        <v>38</v>
      </c>
      <c r="B650" t="s">
        <v>1059</v>
      </c>
    </row>
    <row r="651" spans="2:5" x14ac:dyDescent="0.25">
      <c r="B651" t="s">
        <v>5</v>
      </c>
      <c r="C651" t="s">
        <v>1271</v>
      </c>
      <c r="D651" t="s">
        <v>1272</v>
      </c>
      <c r="E651" t="s">
        <v>1273</v>
      </c>
    </row>
    <row r="652" spans="2:5" x14ac:dyDescent="0.25">
      <c r="B652" t="s">
        <v>31</v>
      </c>
      <c r="C652" t="s">
        <v>599</v>
      </c>
      <c r="D652">
        <v>1</v>
      </c>
      <c r="E652">
        <v>4900</v>
      </c>
    </row>
    <row r="653" spans="2:5" x14ac:dyDescent="0.25">
      <c r="B653" t="s">
        <v>1267</v>
      </c>
      <c r="E653">
        <f>SUBTOTAL(109,discountedTable650[Price])</f>
      </c>
    </row>
    <row r="654" spans="1:4" s="8" customFormat="1" x14ac:dyDescent="0.25">
      <c r="A654" s="8" t="s">
        <v>38</v>
      </c>
      <c r="B654" s="8" t="s">
        <v>1274</v>
      </c>
      <c r="C654" s="8" t="s">
        <v>38</v>
      </c>
      <c r="D654" s="8" t="s">
        <v>38</v>
      </c>
    </row>
    <row r="656" spans="1:2" x14ac:dyDescent="0.25">
      <c r="A656" t="s">
        <v>38</v>
      </c>
      <c r="B656" t="s">
        <v>1084</v>
      </c>
    </row>
    <row r="657" spans="2:5" x14ac:dyDescent="0.25">
      <c r="B657" t="s">
        <v>5</v>
      </c>
      <c r="C657" t="s">
        <v>1271</v>
      </c>
      <c r="D657" t="s">
        <v>1272</v>
      </c>
      <c r="E657" t="s">
        <v>1273</v>
      </c>
    </row>
    <row r="658" spans="2:5" x14ac:dyDescent="0.25">
      <c r="B658" t="s">
        <v>31</v>
      </c>
      <c r="C658" t="s">
        <v>633</v>
      </c>
      <c r="D658">
        <v>20</v>
      </c>
      <c r="E658">
        <v>210</v>
      </c>
    </row>
    <row r="659" spans="2:5" x14ac:dyDescent="0.25">
      <c r="B659" t="s">
        <v>1267</v>
      </c>
      <c r="E659">
        <f>SUBTOTAL(109,discountedTable656[Price])</f>
      </c>
    </row>
    <row r="660" spans="1:4" s="8" customFormat="1" x14ac:dyDescent="0.25">
      <c r="A660" s="8" t="s">
        <v>38</v>
      </c>
      <c r="B660" s="8" t="s">
        <v>1274</v>
      </c>
      <c r="C660" s="8" t="s">
        <v>38</v>
      </c>
      <c r="D660" s="8" t="s">
        <v>38</v>
      </c>
    </row>
    <row r="662" spans="1:2" x14ac:dyDescent="0.25">
      <c r="A662" t="s">
        <v>38</v>
      </c>
      <c r="B662" t="s">
        <v>1088</v>
      </c>
    </row>
    <row r="663" spans="2:5" x14ac:dyDescent="0.25">
      <c r="B663" t="s">
        <v>5</v>
      </c>
      <c r="C663" t="s">
        <v>1271</v>
      </c>
      <c r="D663" t="s">
        <v>1272</v>
      </c>
      <c r="E663" t="s">
        <v>1273</v>
      </c>
    </row>
    <row r="664" spans="2:5" x14ac:dyDescent="0.25">
      <c r="B664" t="s">
        <v>31</v>
      </c>
      <c r="C664" t="s">
        <v>257</v>
      </c>
      <c r="D664">
        <v>2</v>
      </c>
      <c r="E664">
        <v>162</v>
      </c>
    </row>
    <row r="665" spans="2:5" x14ac:dyDescent="0.25">
      <c r="B665" t="s">
        <v>1267</v>
      </c>
      <c r="E665">
        <f>SUBTOTAL(109,discountedTable662[Price])</f>
      </c>
    </row>
    <row r="666" spans="1:4" s="8" customFormat="1" x14ac:dyDescent="0.25">
      <c r="A666" s="8" t="s">
        <v>38</v>
      </c>
      <c r="B666" s="8" t="s">
        <v>1274</v>
      </c>
      <c r="C666" s="8" t="s">
        <v>38</v>
      </c>
      <c r="D666" s="8" t="s">
        <v>38</v>
      </c>
    </row>
    <row r="668" spans="1:2" x14ac:dyDescent="0.25">
      <c r="A668" t="s">
        <v>38</v>
      </c>
      <c r="B668" t="s">
        <v>1093</v>
      </c>
    </row>
    <row r="669" spans="2:5" x14ac:dyDescent="0.25">
      <c r="B669" t="s">
        <v>5</v>
      </c>
      <c r="C669" t="s">
        <v>1271</v>
      </c>
      <c r="D669" t="s">
        <v>1272</v>
      </c>
      <c r="E669" t="s">
        <v>1273</v>
      </c>
    </row>
    <row r="670" spans="2:5" x14ac:dyDescent="0.25">
      <c r="B670" t="s">
        <v>31</v>
      </c>
      <c r="C670" t="s">
        <v>561</v>
      </c>
      <c r="D670">
        <v>1</v>
      </c>
      <c r="E670">
        <v>2780</v>
      </c>
    </row>
    <row r="671" spans="2:5" x14ac:dyDescent="0.25">
      <c r="B671" t="s">
        <v>46</v>
      </c>
      <c r="C671" t="s">
        <v>1096</v>
      </c>
      <c r="D671">
        <v>1</v>
      </c>
      <c r="E671">
        <v>6300</v>
      </c>
    </row>
    <row r="672" spans="2:5" x14ac:dyDescent="0.25">
      <c r="B672" t="s">
        <v>1267</v>
      </c>
      <c r="E672">
        <f>SUBTOTAL(109,discountedTable668[Price])</f>
      </c>
    </row>
    <row r="673" spans="1:4" s="8" customFormat="1" x14ac:dyDescent="0.25">
      <c r="A673" s="8" t="s">
        <v>38</v>
      </c>
      <c r="B673" s="8" t="s">
        <v>1274</v>
      </c>
      <c r="C673" s="8" t="s">
        <v>38</v>
      </c>
      <c r="D673" s="8" t="s">
        <v>38</v>
      </c>
    </row>
    <row r="675" spans="1:2" x14ac:dyDescent="0.25">
      <c r="A675" t="s">
        <v>38</v>
      </c>
      <c r="B675" t="s">
        <v>1104</v>
      </c>
    </row>
    <row r="676" spans="2:5" x14ac:dyDescent="0.25">
      <c r="B676" t="s">
        <v>5</v>
      </c>
      <c r="C676" t="s">
        <v>1271</v>
      </c>
      <c r="D676" t="s">
        <v>1272</v>
      </c>
      <c r="E676" t="s">
        <v>1273</v>
      </c>
    </row>
    <row r="677" spans="2:5" x14ac:dyDescent="0.25">
      <c r="B677" t="s">
        <v>31</v>
      </c>
      <c r="C677" t="s">
        <v>553</v>
      </c>
      <c r="D677">
        <v>1</v>
      </c>
      <c r="E677">
        <v>250</v>
      </c>
    </row>
    <row r="678" spans="2:5" x14ac:dyDescent="0.25">
      <c r="B678" t="s">
        <v>46</v>
      </c>
      <c r="C678" t="s">
        <v>553</v>
      </c>
      <c r="D678">
        <v>1</v>
      </c>
      <c r="E678">
        <v>30</v>
      </c>
    </row>
    <row r="679" spans="2:5" x14ac:dyDescent="0.25">
      <c r="B679" t="s">
        <v>1267</v>
      </c>
      <c r="E679">
        <f>SUBTOTAL(109,discountedTable675[Price])</f>
      </c>
    </row>
    <row r="680" spans="1:4" s="8" customFormat="1" x14ac:dyDescent="0.25">
      <c r="A680" s="8" t="s">
        <v>38</v>
      </c>
      <c r="B680" s="8" t="s">
        <v>1274</v>
      </c>
      <c r="C680" s="8" t="s">
        <v>38</v>
      </c>
      <c r="D680" s="8" t="s">
        <v>38</v>
      </c>
    </row>
    <row r="682" spans="1:2" x14ac:dyDescent="0.25">
      <c r="A682" t="s">
        <v>38</v>
      </c>
      <c r="B682" t="s">
        <v>1113</v>
      </c>
    </row>
    <row r="683" spans="2:5" x14ac:dyDescent="0.25">
      <c r="B683" t="s">
        <v>5</v>
      </c>
      <c r="C683" t="s">
        <v>1271</v>
      </c>
      <c r="D683" t="s">
        <v>1272</v>
      </c>
      <c r="E683" t="s">
        <v>1273</v>
      </c>
    </row>
    <row r="684" spans="2:5" x14ac:dyDescent="0.25">
      <c r="B684" t="s">
        <v>31</v>
      </c>
      <c r="C684" t="s">
        <v>1114</v>
      </c>
      <c r="D684">
        <v>1</v>
      </c>
      <c r="E684">
        <v>1100</v>
      </c>
    </row>
    <row r="685" spans="2:5" x14ac:dyDescent="0.25">
      <c r="B685" t="s">
        <v>46</v>
      </c>
      <c r="C685" t="s">
        <v>1117</v>
      </c>
      <c r="D685">
        <v>1</v>
      </c>
      <c r="E685">
        <v>2625</v>
      </c>
    </row>
    <row r="686" spans="2:5" x14ac:dyDescent="0.25">
      <c r="B686" t="s">
        <v>1267</v>
      </c>
      <c r="E686">
        <f>SUBTOTAL(109,discountedTable682[Price])</f>
      </c>
    </row>
    <row r="687" spans="1:4" s="8" customFormat="1" x14ac:dyDescent="0.25">
      <c r="A687" s="8" t="s">
        <v>38</v>
      </c>
      <c r="B687" s="8" t="s">
        <v>1274</v>
      </c>
      <c r="C687" s="8" t="s">
        <v>38</v>
      </c>
      <c r="D687" s="8" t="s">
        <v>38</v>
      </c>
    </row>
    <row r="689" spans="1:2" x14ac:dyDescent="0.25">
      <c r="A689" t="s">
        <v>38</v>
      </c>
      <c r="B689" t="s">
        <v>1119</v>
      </c>
    </row>
    <row r="690" spans="2:5" x14ac:dyDescent="0.25">
      <c r="B690" t="s">
        <v>5</v>
      </c>
      <c r="C690" t="s">
        <v>1271</v>
      </c>
      <c r="D690" t="s">
        <v>1272</v>
      </c>
      <c r="E690" t="s">
        <v>1273</v>
      </c>
    </row>
    <row r="691" spans="2:5" x14ac:dyDescent="0.25">
      <c r="B691" t="s">
        <v>31</v>
      </c>
      <c r="C691" t="s">
        <v>1120</v>
      </c>
      <c r="D691">
        <v>2</v>
      </c>
      <c r="E691">
        <v>70</v>
      </c>
    </row>
    <row r="692" spans="2:5" x14ac:dyDescent="0.25">
      <c r="B692" t="s">
        <v>1267</v>
      </c>
      <c r="E692">
        <f>SUBTOTAL(109,discountedTable689[Price])</f>
      </c>
    </row>
    <row r="693" spans="1:4" s="8" customFormat="1" x14ac:dyDescent="0.25">
      <c r="A693" s="8" t="s">
        <v>38</v>
      </c>
      <c r="B693" s="8" t="s">
        <v>1274</v>
      </c>
      <c r="C693" s="8" t="s">
        <v>38</v>
      </c>
      <c r="D693" s="8" t="s">
        <v>38</v>
      </c>
    </row>
    <row r="695" spans="1:2" x14ac:dyDescent="0.25">
      <c r="A695" t="s">
        <v>38</v>
      </c>
      <c r="B695" t="s">
        <v>1148</v>
      </c>
    </row>
    <row r="696" spans="2:5" x14ac:dyDescent="0.25">
      <c r="B696" t="s">
        <v>5</v>
      </c>
      <c r="C696" t="s">
        <v>1271</v>
      </c>
      <c r="D696" t="s">
        <v>1272</v>
      </c>
      <c r="E696" t="s">
        <v>1273</v>
      </c>
    </row>
    <row r="697" spans="2:5" x14ac:dyDescent="0.25">
      <c r="B697" t="s">
        <v>31</v>
      </c>
      <c r="C697" t="s">
        <v>1149</v>
      </c>
      <c r="D697">
        <v>30</v>
      </c>
      <c r="E697">
        <v>10</v>
      </c>
    </row>
    <row r="698" spans="2:5" x14ac:dyDescent="0.25">
      <c r="B698" t="s">
        <v>46</v>
      </c>
      <c r="C698" t="s">
        <v>1149</v>
      </c>
      <c r="D698">
        <v>30</v>
      </c>
      <c r="E698">
        <v>15</v>
      </c>
    </row>
    <row r="699" spans="2:5" x14ac:dyDescent="0.25">
      <c r="B699" t="s">
        <v>56</v>
      </c>
      <c r="C699" t="s">
        <v>1149</v>
      </c>
      <c r="D699">
        <v>30</v>
      </c>
      <c r="E699">
        <v>25</v>
      </c>
    </row>
    <row r="700" spans="2:5" x14ac:dyDescent="0.25">
      <c r="B700" t="s">
        <v>1267</v>
      </c>
      <c r="E700">
        <f>SUBTOTAL(109,discountedTable695[Price])</f>
      </c>
    </row>
    <row r="701" spans="1:4" s="8" customFormat="1" x14ac:dyDescent="0.25">
      <c r="A701" s="8" t="s">
        <v>38</v>
      </c>
      <c r="B701" s="8" t="s">
        <v>1274</v>
      </c>
      <c r="C701" s="8" t="s">
        <v>38</v>
      </c>
      <c r="D701" s="8" t="s">
        <v>38</v>
      </c>
    </row>
    <row r="703" spans="1:2" x14ac:dyDescent="0.25">
      <c r="A703" t="s">
        <v>38</v>
      </c>
      <c r="B703" t="s">
        <v>1158</v>
      </c>
    </row>
    <row r="704" spans="2:5" x14ac:dyDescent="0.25">
      <c r="B704" t="s">
        <v>5</v>
      </c>
      <c r="C704" t="s">
        <v>1271</v>
      </c>
      <c r="D704" t="s">
        <v>1272</v>
      </c>
      <c r="E704" t="s">
        <v>1273</v>
      </c>
    </row>
    <row r="705" spans="2:5" x14ac:dyDescent="0.25">
      <c r="B705" t="s">
        <v>31</v>
      </c>
      <c r="C705" t="s">
        <v>1159</v>
      </c>
      <c r="D705">
        <v>1</v>
      </c>
      <c r="E705">
        <v>250</v>
      </c>
    </row>
    <row r="706" spans="2:5" x14ac:dyDescent="0.25">
      <c r="B706" t="s">
        <v>1267</v>
      </c>
      <c r="E706">
        <f>SUBTOTAL(109,discountedTable703[Price])</f>
      </c>
    </row>
    <row r="707" spans="1:4" s="8" customFormat="1" x14ac:dyDescent="0.25">
      <c r="A707" s="8" t="s">
        <v>38</v>
      </c>
      <c r="B707" s="8" t="s">
        <v>1274</v>
      </c>
      <c r="C707" s="8" t="s">
        <v>38</v>
      </c>
      <c r="D707" s="8" t="s">
        <v>38</v>
      </c>
    </row>
    <row r="709" spans="1:2" x14ac:dyDescent="0.25">
      <c r="A709" t="s">
        <v>38</v>
      </c>
      <c r="B709" t="s">
        <v>1163</v>
      </c>
    </row>
    <row r="710" spans="2:5" x14ac:dyDescent="0.25">
      <c r="B710" t="s">
        <v>5</v>
      </c>
      <c r="C710" t="s">
        <v>1271</v>
      </c>
      <c r="D710" t="s">
        <v>1272</v>
      </c>
      <c r="E710" t="s">
        <v>1273</v>
      </c>
    </row>
    <row r="711" spans="2:5" x14ac:dyDescent="0.25">
      <c r="B711" t="s">
        <v>31</v>
      </c>
      <c r="C711" t="s">
        <v>1164</v>
      </c>
      <c r="D711">
        <v>1</v>
      </c>
      <c r="E711">
        <v>1900</v>
      </c>
    </row>
    <row r="712" spans="2:5" x14ac:dyDescent="0.25">
      <c r="B712" t="s">
        <v>1267</v>
      </c>
      <c r="E712">
        <f>SUBTOTAL(109,discountedTable709[Price])</f>
      </c>
    </row>
    <row r="713" spans="1:4" s="8" customFormat="1" x14ac:dyDescent="0.25">
      <c r="A713" s="8" t="s">
        <v>38</v>
      </c>
      <c r="B713" s="8" t="s">
        <v>1274</v>
      </c>
      <c r="C713" s="8" t="s">
        <v>38</v>
      </c>
      <c r="D713" s="8" t="s">
        <v>38</v>
      </c>
    </row>
    <row r="715" spans="1:2" x14ac:dyDescent="0.25">
      <c r="A715" t="s">
        <v>38</v>
      </c>
      <c r="B715" t="s">
        <v>1174</v>
      </c>
    </row>
    <row r="716" spans="2:5" x14ac:dyDescent="0.25">
      <c r="B716" t="s">
        <v>5</v>
      </c>
      <c r="C716" t="s">
        <v>1271</v>
      </c>
      <c r="D716" t="s">
        <v>1272</v>
      </c>
      <c r="E716" t="s">
        <v>1273</v>
      </c>
    </row>
    <row r="717" spans="2:5" x14ac:dyDescent="0.25">
      <c r="B717" t="s">
        <v>31</v>
      </c>
      <c r="C717" t="s">
        <v>257</v>
      </c>
      <c r="D717">
        <v>2</v>
      </c>
      <c r="E717">
        <v>620</v>
      </c>
    </row>
    <row r="718" spans="2:5" x14ac:dyDescent="0.25">
      <c r="B718" t="s">
        <v>1267</v>
      </c>
      <c r="E718">
        <f>SUBTOTAL(109,discountedTable715[Price])</f>
      </c>
    </row>
    <row r="719" spans="1:4" s="8" customFormat="1" x14ac:dyDescent="0.25">
      <c r="A719" s="8" t="s">
        <v>38</v>
      </c>
      <c r="B719" s="8" t="s">
        <v>1274</v>
      </c>
      <c r="C719" s="8" t="s">
        <v>38</v>
      </c>
      <c r="D719" s="8" t="s">
        <v>38</v>
      </c>
    </row>
    <row r="721" spans="1:2" x14ac:dyDescent="0.25">
      <c r="A721" t="s">
        <v>38</v>
      </c>
      <c r="B721" t="s">
        <v>1190</v>
      </c>
    </row>
    <row r="722" spans="2:5" x14ac:dyDescent="0.25">
      <c r="B722" t="s">
        <v>5</v>
      </c>
      <c r="C722" t="s">
        <v>1271</v>
      </c>
      <c r="D722" t="s">
        <v>1272</v>
      </c>
      <c r="E722" t="s">
        <v>1273</v>
      </c>
    </row>
    <row r="723" spans="2:5" x14ac:dyDescent="0.25">
      <c r="B723" t="s">
        <v>31</v>
      </c>
      <c r="C723" t="s">
        <v>756</v>
      </c>
      <c r="D723">
        <v>1</v>
      </c>
      <c r="E723">
        <v>10000</v>
      </c>
    </row>
    <row r="724" spans="2:5" x14ac:dyDescent="0.25">
      <c r="B724" t="s">
        <v>46</v>
      </c>
      <c r="C724" t="s">
        <v>503</v>
      </c>
      <c r="D724">
        <v>2</v>
      </c>
      <c r="E724">
        <v>250</v>
      </c>
    </row>
    <row r="725" spans="2:5" x14ac:dyDescent="0.25">
      <c r="B725" t="s">
        <v>1267</v>
      </c>
      <c r="E725">
        <f>SUBTOTAL(109,discountedTable721[Price])</f>
      </c>
    </row>
    <row r="726" spans="1:4" s="8" customFormat="1" x14ac:dyDescent="0.25">
      <c r="A726" s="8" t="s">
        <v>38</v>
      </c>
      <c r="B726" s="8" t="s">
        <v>1274</v>
      </c>
      <c r="C726" s="8" t="s">
        <v>38</v>
      </c>
      <c r="D726" s="8" t="s">
        <v>38</v>
      </c>
    </row>
    <row r="728" spans="1:2" x14ac:dyDescent="0.25">
      <c r="A728" t="s">
        <v>38</v>
      </c>
      <c r="B728" t="s">
        <v>1210</v>
      </c>
    </row>
    <row r="729" spans="2:5" x14ac:dyDescent="0.25">
      <c r="B729" t="s">
        <v>5</v>
      </c>
      <c r="C729" t="s">
        <v>1271</v>
      </c>
      <c r="D729" t="s">
        <v>1272</v>
      </c>
      <c r="E729" t="s">
        <v>1273</v>
      </c>
    </row>
    <row r="730" spans="2:5" x14ac:dyDescent="0.25">
      <c r="B730" t="s">
        <v>31</v>
      </c>
      <c r="C730" t="s">
        <v>1211</v>
      </c>
      <c r="D730">
        <v>1</v>
      </c>
      <c r="E730">
        <v>550</v>
      </c>
    </row>
    <row r="731" spans="2:5" x14ac:dyDescent="0.25">
      <c r="B731" t="s">
        <v>46</v>
      </c>
      <c r="C731" t="s">
        <v>1213</v>
      </c>
      <c r="D731">
        <v>1</v>
      </c>
      <c r="E731">
        <v>370</v>
      </c>
    </row>
    <row r="732" spans="2:5" x14ac:dyDescent="0.25">
      <c r="B732" t="s">
        <v>1267</v>
      </c>
      <c r="E732">
        <f>SUBTOTAL(109,discountedTable728[Price])</f>
      </c>
    </row>
    <row r="733" spans="1:4" s="8" customFormat="1" x14ac:dyDescent="0.25">
      <c r="A733" s="8" t="s">
        <v>38</v>
      </c>
      <c r="B733" s="8" t="s">
        <v>1274</v>
      </c>
      <c r="C733" s="8" t="s">
        <v>38</v>
      </c>
      <c r="D733" s="8" t="s">
        <v>38</v>
      </c>
    </row>
    <row r="735" spans="1:2" x14ac:dyDescent="0.25">
      <c r="A735" t="s">
        <v>38</v>
      </c>
      <c r="B735" t="s">
        <v>1216</v>
      </c>
    </row>
    <row r="736" spans="2:5" x14ac:dyDescent="0.25">
      <c r="B736" t="s">
        <v>5</v>
      </c>
      <c r="C736" t="s">
        <v>1271</v>
      </c>
      <c r="D736" t="s">
        <v>1272</v>
      </c>
      <c r="E736" t="s">
        <v>1273</v>
      </c>
    </row>
    <row r="737" spans="2:5" x14ac:dyDescent="0.25">
      <c r="B737" t="s">
        <v>31</v>
      </c>
      <c r="C737" t="s">
        <v>71</v>
      </c>
      <c r="D737">
        <v>12</v>
      </c>
      <c r="E737">
        <v>185</v>
      </c>
    </row>
    <row r="738" spans="2:5" x14ac:dyDescent="0.25">
      <c r="B738" t="s">
        <v>46</v>
      </c>
      <c r="C738" t="s">
        <v>1221</v>
      </c>
      <c r="D738">
        <v>12</v>
      </c>
      <c r="E738">
        <v>170</v>
      </c>
    </row>
    <row r="739" spans="2:5" x14ac:dyDescent="0.25">
      <c r="B739" t="s">
        <v>1267</v>
      </c>
      <c r="E739">
        <f>SUBTOTAL(109,discountedTable735[Price])</f>
      </c>
    </row>
    <row r="740" spans="1:4" s="8" customFormat="1" x14ac:dyDescent="0.25">
      <c r="A740" s="8" t="s">
        <v>38</v>
      </c>
      <c r="B740" s="8" t="s">
        <v>1274</v>
      </c>
      <c r="C740" s="8" t="s">
        <v>38</v>
      </c>
      <c r="D740" s="8" t="s">
        <v>38</v>
      </c>
    </row>
    <row r="742" spans="1:2" x14ac:dyDescent="0.25">
      <c r="A742" t="s">
        <v>38</v>
      </c>
      <c r="B742" t="s">
        <v>1224</v>
      </c>
    </row>
    <row r="743" spans="2:5" x14ac:dyDescent="0.25">
      <c r="B743" t="s">
        <v>5</v>
      </c>
      <c r="C743" t="s">
        <v>1271</v>
      </c>
      <c r="D743" t="s">
        <v>1272</v>
      </c>
      <c r="E743" t="s">
        <v>1273</v>
      </c>
    </row>
    <row r="744" spans="2:5" x14ac:dyDescent="0.25">
      <c r="B744" t="s">
        <v>31</v>
      </c>
      <c r="C744" t="s">
        <v>1225</v>
      </c>
      <c r="D744">
        <v>15</v>
      </c>
      <c r="E744">
        <v>47</v>
      </c>
    </row>
    <row r="745" spans="2:5" x14ac:dyDescent="0.25">
      <c r="B745" t="s">
        <v>46</v>
      </c>
      <c r="C745" t="s">
        <v>1230</v>
      </c>
      <c r="D745">
        <v>12</v>
      </c>
      <c r="E745">
        <v>6</v>
      </c>
    </row>
    <row r="746" spans="2:5" x14ac:dyDescent="0.25">
      <c r="B746" t="s">
        <v>56</v>
      </c>
      <c r="C746" t="s">
        <v>1234</v>
      </c>
      <c r="D746">
        <v>2</v>
      </c>
      <c r="E746">
        <v>72</v>
      </c>
    </row>
    <row r="747" spans="2:5" x14ac:dyDescent="0.25">
      <c r="B747" t="s">
        <v>64</v>
      </c>
      <c r="C747" t="s">
        <v>1236</v>
      </c>
      <c r="D747">
        <v>2</v>
      </c>
      <c r="E747">
        <v>7</v>
      </c>
    </row>
    <row r="748" spans="2:5" x14ac:dyDescent="0.25">
      <c r="B748" t="s">
        <v>75</v>
      </c>
      <c r="C748" t="s">
        <v>805</v>
      </c>
      <c r="D748">
        <v>1</v>
      </c>
      <c r="E748">
        <v>40</v>
      </c>
    </row>
    <row r="749" spans="2:5" x14ac:dyDescent="0.25">
      <c r="B749" t="s">
        <v>89</v>
      </c>
      <c r="C749" t="s">
        <v>627</v>
      </c>
      <c r="D749">
        <v>15</v>
      </c>
      <c r="E749">
        <v>1.5</v>
      </c>
    </row>
    <row r="750" spans="2:5" x14ac:dyDescent="0.25">
      <c r="B750" t="s">
        <v>98</v>
      </c>
      <c r="C750" t="s">
        <v>627</v>
      </c>
      <c r="D750">
        <v>5</v>
      </c>
      <c r="E750">
        <v>2</v>
      </c>
    </row>
    <row r="751" spans="2:5" x14ac:dyDescent="0.25">
      <c r="B751" t="s">
        <v>1267</v>
      </c>
      <c r="E751">
        <f>SUBTOTAL(109,discountedTable742[Price])</f>
      </c>
    </row>
    <row r="752" spans="1:4" s="8" customFormat="1" x14ac:dyDescent="0.25">
      <c r="A752" s="8" t="s">
        <v>38</v>
      </c>
      <c r="B752" s="8" t="s">
        <v>1274</v>
      </c>
      <c r="C752" s="8" t="s">
        <v>38</v>
      </c>
      <c r="D752" s="8" t="s">
        <v>38</v>
      </c>
    </row>
    <row r="754" spans="1:2" x14ac:dyDescent="0.25">
      <c r="A754" t="s">
        <v>38</v>
      </c>
      <c r="B754" t="s">
        <v>1243</v>
      </c>
    </row>
    <row r="755" spans="2:5" x14ac:dyDescent="0.25">
      <c r="B755" t="s">
        <v>5</v>
      </c>
      <c r="C755" t="s">
        <v>1271</v>
      </c>
      <c r="D755" t="s">
        <v>1272</v>
      </c>
      <c r="E755" t="s">
        <v>1273</v>
      </c>
    </row>
    <row r="756" spans="2:5" x14ac:dyDescent="0.25">
      <c r="B756" t="s">
        <v>31</v>
      </c>
      <c r="C756" t="s">
        <v>1244</v>
      </c>
      <c r="D756">
        <v>1</v>
      </c>
      <c r="E756">
        <v>49</v>
      </c>
    </row>
    <row r="757" spans="2:5" x14ac:dyDescent="0.25">
      <c r="B757" t="s">
        <v>46</v>
      </c>
      <c r="C757" t="s">
        <v>1248</v>
      </c>
      <c r="D757">
        <v>1</v>
      </c>
      <c r="E757">
        <v>27</v>
      </c>
    </row>
    <row r="758" spans="2:5" x14ac:dyDescent="0.25">
      <c r="B758" t="s">
        <v>56</v>
      </c>
      <c r="C758" t="s">
        <v>1251</v>
      </c>
      <c r="D758">
        <v>1</v>
      </c>
      <c r="E758">
        <v>22</v>
      </c>
    </row>
    <row r="759" spans="2:5" x14ac:dyDescent="0.25">
      <c r="B759" t="s">
        <v>64</v>
      </c>
      <c r="C759" t="s">
        <v>1248</v>
      </c>
      <c r="D759">
        <v>1</v>
      </c>
      <c r="E759">
        <v>27</v>
      </c>
    </row>
    <row r="760" spans="2:5" x14ac:dyDescent="0.25">
      <c r="B760" t="s">
        <v>75</v>
      </c>
      <c r="C760" t="s">
        <v>1256</v>
      </c>
      <c r="D760">
        <v>1</v>
      </c>
      <c r="E760">
        <v>300</v>
      </c>
    </row>
    <row r="761" spans="2:5" x14ac:dyDescent="0.25">
      <c r="B761" t="s">
        <v>89</v>
      </c>
      <c r="C761" t="s">
        <v>1248</v>
      </c>
      <c r="D761">
        <v>1</v>
      </c>
      <c r="E761">
        <v>49</v>
      </c>
    </row>
    <row r="762" spans="2:5" x14ac:dyDescent="0.25">
      <c r="B762" t="s">
        <v>98</v>
      </c>
      <c r="C762" t="s">
        <v>1260</v>
      </c>
      <c r="D762">
        <v>1</v>
      </c>
      <c r="E762">
        <v>60</v>
      </c>
    </row>
    <row r="763" spans="2:5" x14ac:dyDescent="0.25">
      <c r="B763" t="s">
        <v>102</v>
      </c>
      <c r="C763" t="s">
        <v>1262</v>
      </c>
      <c r="D763">
        <v>1</v>
      </c>
      <c r="E763">
        <v>40</v>
      </c>
    </row>
    <row r="764" spans="2:5" x14ac:dyDescent="0.25">
      <c r="B764" t="s">
        <v>1267</v>
      </c>
      <c r="E764">
        <f>SUBTOTAL(109,discountedTable754[Price])</f>
      </c>
    </row>
    <row r="765" spans="1:4" s="8" customFormat="1" x14ac:dyDescent="0.25">
      <c r="A765" s="8" t="s">
        <v>38</v>
      </c>
      <c r="B765" s="8" t="s">
        <v>1274</v>
      </c>
      <c r="C765" s="8" t="s">
        <v>38</v>
      </c>
      <c r="D765" s="8" t="s">
        <v>38</v>
      </c>
    </row>
    <row r="767" spans="1:2" x14ac:dyDescent="0.25">
      <c r="A767" t="s">
        <v>38</v>
      </c>
      <c r="B767" t="s">
        <v>1265</v>
      </c>
    </row>
    <row r="768" spans="2:5" x14ac:dyDescent="0.25">
      <c r="B768" t="s">
        <v>5</v>
      </c>
      <c r="C768" t="s">
        <v>1271</v>
      </c>
      <c r="D768" t="s">
        <v>1272</v>
      </c>
      <c r="E768" t="s">
        <v>1273</v>
      </c>
    </row>
    <row r="769" spans="2:5" x14ac:dyDescent="0.25">
      <c r="B769" t="s">
        <v>31</v>
      </c>
      <c r="C769" t="s">
        <v>414</v>
      </c>
      <c r="D769">
        <v>2</v>
      </c>
      <c r="E769">
        <v>65</v>
      </c>
    </row>
    <row r="770" spans="2:5" x14ac:dyDescent="0.25">
      <c r="B770" t="s">
        <v>1267</v>
      </c>
      <c r="E770">
        <f>SUBTOTAL(109,discountedTable767[Price])</f>
      </c>
    </row>
    <row r="771" spans="1:4" s="8" customFormat="1" x14ac:dyDescent="0.25">
      <c r="A771" s="8" t="s">
        <v>38</v>
      </c>
      <c r="B771" s="8" t="s">
        <v>1274</v>
      </c>
      <c r="C771" s="8" t="s">
        <v>38</v>
      </c>
      <c r="D771" s="8" t="s">
        <v>38</v>
      </c>
    </row>
    <row r="773" spans="1:1" s="8" customFormat="1" x14ac:dyDescent="0.25">
      <c r="A773" s="8" t="s">
        <v>1276</v>
      </c>
    </row>
    <row r="774" spans="1:2" x14ac:dyDescent="0.25">
      <c r="A774" t="s">
        <v>38</v>
      </c>
      <c r="B774" t="s">
        <v>76</v>
      </c>
    </row>
    <row r="775" spans="2:5" x14ac:dyDescent="0.25">
      <c r="B775" t="s">
        <v>5</v>
      </c>
      <c r="C775" t="s">
        <v>1271</v>
      </c>
      <c r="D775" t="s">
        <v>1272</v>
      </c>
      <c r="E775" t="s">
        <v>1273</v>
      </c>
    </row>
    <row r="776" spans="2:5" x14ac:dyDescent="0.25">
      <c r="B776" t="s">
        <v>31</v>
      </c>
      <c r="C776" t="s">
        <v>82</v>
      </c>
      <c r="D776">
        <v>1</v>
      </c>
      <c r="E776">
        <v>1450</v>
      </c>
    </row>
    <row r="777" spans="2:5" x14ac:dyDescent="0.25">
      <c r="B777" t="s">
        <v>1267</v>
      </c>
      <c r="E777">
        <f>SUBTOTAL(109,discountedTable774[Price])</f>
      </c>
    </row>
    <row r="778" spans="1:4" s="8" customFormat="1" x14ac:dyDescent="0.25">
      <c r="A778" s="8" t="s">
        <v>38</v>
      </c>
      <c r="B778" s="8" t="s">
        <v>1274</v>
      </c>
      <c r="C778" s="8" t="s">
        <v>38</v>
      </c>
      <c r="D778" s="8" t="s">
        <v>38</v>
      </c>
    </row>
    <row r="780" spans="1:2" x14ac:dyDescent="0.25">
      <c r="A780" t="s">
        <v>38</v>
      </c>
      <c r="B780" t="s">
        <v>1128</v>
      </c>
    </row>
    <row r="781" spans="2:5" x14ac:dyDescent="0.25">
      <c r="B781" t="s">
        <v>5</v>
      </c>
      <c r="C781" t="s">
        <v>1271</v>
      </c>
      <c r="D781" t="s">
        <v>1272</v>
      </c>
      <c r="E781" t="s">
        <v>1273</v>
      </c>
    </row>
    <row r="782" spans="2:5" x14ac:dyDescent="0.25">
      <c r="B782" t="s">
        <v>31</v>
      </c>
      <c r="C782" t="s">
        <v>1000</v>
      </c>
      <c r="D782">
        <v>2</v>
      </c>
      <c r="E782">
        <v>650</v>
      </c>
    </row>
    <row r="783" spans="2:5" x14ac:dyDescent="0.25">
      <c r="B783" t="s">
        <v>1267</v>
      </c>
      <c r="E783">
        <f>SUBTOTAL(109,discountedTable780[Price])</f>
      </c>
    </row>
    <row r="784" spans="1:4" s="8" customFormat="1" x14ac:dyDescent="0.25">
      <c r="A784" s="8" t="s">
        <v>38</v>
      </c>
      <c r="B784" s="8" t="s">
        <v>1274</v>
      </c>
      <c r="C784" s="8" t="s">
        <v>38</v>
      </c>
      <c r="D784" s="8" t="s">
        <v>38</v>
      </c>
    </row>
    <row r="786" spans="1:1" s="8" customFormat="1" x14ac:dyDescent="0.25">
      <c r="A786" s="8" t="s">
        <v>1277</v>
      </c>
    </row>
    <row r="787" spans="1:2" x14ac:dyDescent="0.25">
      <c r="A787" t="s">
        <v>38</v>
      </c>
      <c r="B787" t="s">
        <v>155</v>
      </c>
    </row>
    <row r="788" spans="2:5" x14ac:dyDescent="0.25">
      <c r="B788" t="s">
        <v>5</v>
      </c>
      <c r="C788" t="s">
        <v>1271</v>
      </c>
      <c r="D788" t="s">
        <v>1272</v>
      </c>
      <c r="E788" t="s">
        <v>1273</v>
      </c>
    </row>
    <row r="789" spans="2:5" x14ac:dyDescent="0.25">
      <c r="B789" t="s">
        <v>31</v>
      </c>
      <c r="C789" t="s">
        <v>157</v>
      </c>
      <c r="D789">
        <v>1</v>
      </c>
      <c r="E789">
        <v>8500</v>
      </c>
    </row>
    <row r="790" spans="2:5" x14ac:dyDescent="0.25">
      <c r="B790" t="s">
        <v>1267</v>
      </c>
      <c r="E790">
        <f>SUBTOTAL(109,discountedTable787[Price])</f>
      </c>
    </row>
    <row r="791" spans="1:4" s="8" customFormat="1" x14ac:dyDescent="0.25">
      <c r="A791" s="8" t="s">
        <v>38</v>
      </c>
      <c r="B791" s="8" t="s">
        <v>1274</v>
      </c>
      <c r="C791" s="8" t="s">
        <v>38</v>
      </c>
      <c r="D791" s="8" t="s">
        <v>38</v>
      </c>
    </row>
    <row r="793" spans="1:1" s="8" customFormat="1" x14ac:dyDescent="0.25">
      <c r="A793" s="8" t="s">
        <v>1278</v>
      </c>
    </row>
    <row r="794" spans="1:2" x14ac:dyDescent="0.25">
      <c r="A794" t="s">
        <v>38</v>
      </c>
      <c r="B794" t="s">
        <v>163</v>
      </c>
    </row>
    <row r="795" spans="2:5" x14ac:dyDescent="0.25">
      <c r="B795" t="s">
        <v>5</v>
      </c>
      <c r="C795" t="s">
        <v>1271</v>
      </c>
      <c r="D795" t="s">
        <v>1272</v>
      </c>
      <c r="E795" t="s">
        <v>1273</v>
      </c>
    </row>
    <row r="796" spans="2:5" x14ac:dyDescent="0.25">
      <c r="B796" t="s">
        <v>31</v>
      </c>
      <c r="C796" t="s">
        <v>165</v>
      </c>
      <c r="D796">
        <v>2</v>
      </c>
      <c r="E796">
        <v>550</v>
      </c>
    </row>
    <row r="797" spans="2:5" x14ac:dyDescent="0.25">
      <c r="B797" t="s">
        <v>46</v>
      </c>
      <c r="C797" t="s">
        <v>165</v>
      </c>
      <c r="D797">
        <v>2</v>
      </c>
      <c r="E797">
        <v>650</v>
      </c>
    </row>
    <row r="798" spans="2:5" x14ac:dyDescent="0.25">
      <c r="B798" t="s">
        <v>56</v>
      </c>
      <c r="C798" t="s">
        <v>174</v>
      </c>
      <c r="D798">
        <v>2</v>
      </c>
      <c r="E798">
        <v>900</v>
      </c>
    </row>
    <row r="799" spans="2:5" x14ac:dyDescent="0.25">
      <c r="B799" t="s">
        <v>64</v>
      </c>
      <c r="C799" t="s">
        <v>165</v>
      </c>
      <c r="D799">
        <v>4</v>
      </c>
      <c r="E799">
        <v>550</v>
      </c>
    </row>
    <row r="800" spans="2:5" x14ac:dyDescent="0.25">
      <c r="B800" t="s">
        <v>75</v>
      </c>
      <c r="C800" t="s">
        <v>179</v>
      </c>
      <c r="D800">
        <v>2</v>
      </c>
      <c r="E800">
        <v>250</v>
      </c>
    </row>
    <row r="801" spans="2:5" x14ac:dyDescent="0.25">
      <c r="B801" t="s">
        <v>89</v>
      </c>
      <c r="C801" t="s">
        <v>183</v>
      </c>
      <c r="D801">
        <v>2</v>
      </c>
      <c r="E801">
        <v>70</v>
      </c>
    </row>
    <row r="802" spans="2:5" x14ac:dyDescent="0.25">
      <c r="B802" t="s">
        <v>98</v>
      </c>
      <c r="C802" t="s">
        <v>179</v>
      </c>
      <c r="D802">
        <v>2</v>
      </c>
      <c r="E802">
        <v>350</v>
      </c>
    </row>
    <row r="803" spans="2:5" x14ac:dyDescent="0.25">
      <c r="B803" t="s">
        <v>102</v>
      </c>
      <c r="C803" t="s">
        <v>183</v>
      </c>
      <c r="D803">
        <v>2</v>
      </c>
      <c r="E803">
        <v>65</v>
      </c>
    </row>
    <row r="804" spans="2:5" x14ac:dyDescent="0.25">
      <c r="B804" t="s">
        <v>1267</v>
      </c>
      <c r="E804">
        <f>SUBTOTAL(109,discountedTable794[Price])</f>
      </c>
    </row>
    <row r="805" spans="1:4" s="8" customFormat="1" x14ac:dyDescent="0.25">
      <c r="A805" s="8" t="s">
        <v>38</v>
      </c>
      <c r="B805" s="8" t="s">
        <v>1274</v>
      </c>
      <c r="C805" s="8" t="s">
        <v>38</v>
      </c>
      <c r="D805" s="8" t="s">
        <v>38</v>
      </c>
    </row>
    <row r="807" spans="1:1" s="8" customFormat="1" x14ac:dyDescent="0.25">
      <c r="A807" s="8" t="s">
        <v>1279</v>
      </c>
    </row>
    <row r="808" spans="1:2" x14ac:dyDescent="0.25">
      <c r="A808" t="s">
        <v>38</v>
      </c>
      <c r="B808" t="s">
        <v>229</v>
      </c>
    </row>
    <row r="809" spans="2:5" x14ac:dyDescent="0.25">
      <c r="B809" t="s">
        <v>5</v>
      </c>
      <c r="C809" t="s">
        <v>1271</v>
      </c>
      <c r="D809" t="s">
        <v>1272</v>
      </c>
      <c r="E809" t="s">
        <v>1273</v>
      </c>
    </row>
    <row r="810" spans="2:5" x14ac:dyDescent="0.25">
      <c r="B810" t="s">
        <v>31</v>
      </c>
      <c r="C810" t="s">
        <v>157</v>
      </c>
      <c r="D810">
        <v>1</v>
      </c>
      <c r="E810">
        <v>50</v>
      </c>
    </row>
    <row r="811" spans="2:5" x14ac:dyDescent="0.25">
      <c r="B811" t="s">
        <v>1267</v>
      </c>
      <c r="E811">
        <f>SUBTOTAL(109,discountedTable808[Price])</f>
      </c>
    </row>
    <row r="812" spans="1:4" s="8" customFormat="1" x14ac:dyDescent="0.25">
      <c r="A812" s="8" t="s">
        <v>38</v>
      </c>
      <c r="B812" s="8" t="s">
        <v>1274</v>
      </c>
      <c r="C812" s="8" t="s">
        <v>38</v>
      </c>
      <c r="D812" s="8" t="s">
        <v>38</v>
      </c>
    </row>
    <row r="814" spans="1:1" s="8" customFormat="1" x14ac:dyDescent="0.25">
      <c r="A814" s="8" t="s">
        <v>235</v>
      </c>
    </row>
    <row r="815" spans="1:2" x14ac:dyDescent="0.25">
      <c r="A815" t="s">
        <v>38</v>
      </c>
      <c r="B815" t="s">
        <v>234</v>
      </c>
    </row>
    <row r="816" spans="2:5" x14ac:dyDescent="0.25">
      <c r="B816" t="s">
        <v>5</v>
      </c>
      <c r="C816" t="s">
        <v>1271</v>
      </c>
      <c r="D816" t="s">
        <v>1272</v>
      </c>
      <c r="E816" t="s">
        <v>1273</v>
      </c>
    </row>
    <row r="817" spans="2:5" x14ac:dyDescent="0.25">
      <c r="B817" t="s">
        <v>31</v>
      </c>
      <c r="C817" t="s">
        <v>236</v>
      </c>
      <c r="D817">
        <v>1</v>
      </c>
      <c r="E817">
        <v>22000</v>
      </c>
    </row>
    <row r="818" spans="2:5" x14ac:dyDescent="0.25">
      <c r="B818" t="s">
        <v>1267</v>
      </c>
      <c r="E818">
        <f>SUBTOTAL(109,discountedTable815[Price])</f>
      </c>
    </row>
    <row r="819" spans="1:4" s="8" customFormat="1" x14ac:dyDescent="0.25">
      <c r="A819" s="8" t="s">
        <v>38</v>
      </c>
      <c r="B819" s="8" t="s">
        <v>1274</v>
      </c>
      <c r="C819" s="8" t="s">
        <v>38</v>
      </c>
      <c r="D819" s="8" t="s">
        <v>38</v>
      </c>
    </row>
    <row r="821" spans="1:2" x14ac:dyDescent="0.25">
      <c r="A821" t="s">
        <v>38</v>
      </c>
      <c r="B821" t="s">
        <v>238</v>
      </c>
    </row>
    <row r="822" spans="2:5" x14ac:dyDescent="0.25">
      <c r="B822" t="s">
        <v>5</v>
      </c>
      <c r="C822" t="s">
        <v>1271</v>
      </c>
      <c r="D822" t="s">
        <v>1272</v>
      </c>
      <c r="E822" t="s">
        <v>1273</v>
      </c>
    </row>
    <row r="823" spans="2:5" x14ac:dyDescent="0.25">
      <c r="B823" t="s">
        <v>31</v>
      </c>
      <c r="C823" t="s">
        <v>239</v>
      </c>
      <c r="D823">
        <v>1</v>
      </c>
      <c r="E823">
        <v>25000</v>
      </c>
    </row>
    <row r="824" spans="2:5" x14ac:dyDescent="0.25">
      <c r="B824" t="s">
        <v>1267</v>
      </c>
      <c r="E824">
        <f>SUBTOTAL(109,discountedTable821[Price])</f>
      </c>
    </row>
    <row r="825" spans="1:4" s="8" customFormat="1" x14ac:dyDescent="0.25">
      <c r="A825" s="8" t="s">
        <v>38</v>
      </c>
      <c r="B825" s="8" t="s">
        <v>1274</v>
      </c>
      <c r="C825" s="8" t="s">
        <v>38</v>
      </c>
      <c r="D825" s="8" t="s">
        <v>38</v>
      </c>
    </row>
    <row r="827" spans="1:2" x14ac:dyDescent="0.25">
      <c r="A827" t="s">
        <v>38</v>
      </c>
      <c r="B827" t="s">
        <v>326</v>
      </c>
    </row>
    <row r="828" spans="2:5" x14ac:dyDescent="0.25">
      <c r="B828" t="s">
        <v>5</v>
      </c>
      <c r="C828" t="s">
        <v>1271</v>
      </c>
      <c r="D828" t="s">
        <v>1272</v>
      </c>
      <c r="E828" t="s">
        <v>1273</v>
      </c>
    </row>
    <row r="829" spans="2:5" x14ac:dyDescent="0.25">
      <c r="B829" t="s">
        <v>31</v>
      </c>
      <c r="C829" t="s">
        <v>327</v>
      </c>
      <c r="D829">
        <v>8</v>
      </c>
      <c r="E829">
        <v>7500</v>
      </c>
    </row>
    <row r="830" spans="2:5" x14ac:dyDescent="0.25">
      <c r="B830" t="s">
        <v>1267</v>
      </c>
      <c r="E830">
        <f>SUBTOTAL(109,discountedTable827[Price])</f>
      </c>
    </row>
    <row r="831" spans="1:4" s="8" customFormat="1" x14ac:dyDescent="0.25">
      <c r="A831" s="8" t="s">
        <v>38</v>
      </c>
      <c r="B831" s="8" t="s">
        <v>1274</v>
      </c>
      <c r="C831" s="8" t="s">
        <v>38</v>
      </c>
      <c r="D831" s="8" t="s">
        <v>38</v>
      </c>
    </row>
    <row r="833" spans="1:1" s="8" customFormat="1" x14ac:dyDescent="0.25">
      <c r="A833" s="8" t="s">
        <v>1280</v>
      </c>
    </row>
    <row r="834" spans="1:2" x14ac:dyDescent="0.25">
      <c r="A834" t="s">
        <v>38</v>
      </c>
      <c r="B834" t="s">
        <v>293</v>
      </c>
    </row>
    <row r="835" spans="2:5" x14ac:dyDescent="0.25">
      <c r="B835" t="s">
        <v>5</v>
      </c>
      <c r="C835" t="s">
        <v>1271</v>
      </c>
      <c r="D835" t="s">
        <v>1272</v>
      </c>
      <c r="E835" t="s">
        <v>1273</v>
      </c>
    </row>
    <row r="836" spans="2:5" x14ac:dyDescent="0.25">
      <c r="B836" t="s">
        <v>31</v>
      </c>
      <c r="C836" t="s">
        <v>296</v>
      </c>
      <c r="D836">
        <v>1</v>
      </c>
      <c r="E836">
        <v>295</v>
      </c>
    </row>
    <row r="837" spans="2:5" x14ac:dyDescent="0.25">
      <c r="B837" t="s">
        <v>1267</v>
      </c>
      <c r="E837">
        <f>SUBTOTAL(109,discountedTable834[Price])</f>
      </c>
    </row>
    <row r="838" spans="1:4" s="8" customFormat="1" x14ac:dyDescent="0.25">
      <c r="A838" s="8" t="s">
        <v>38</v>
      </c>
      <c r="B838" s="8" t="s">
        <v>1274</v>
      </c>
      <c r="C838" s="8" t="s">
        <v>38</v>
      </c>
      <c r="D838" s="8" t="s">
        <v>38</v>
      </c>
    </row>
    <row r="840" spans="1:2" x14ac:dyDescent="0.25">
      <c r="A840" t="s">
        <v>38</v>
      </c>
      <c r="B840" t="s">
        <v>302</v>
      </c>
    </row>
    <row r="841" spans="2:5" x14ac:dyDescent="0.25">
      <c r="B841" t="s">
        <v>5</v>
      </c>
      <c r="C841" t="s">
        <v>1271</v>
      </c>
      <c r="D841" t="s">
        <v>1272</v>
      </c>
      <c r="E841" t="s">
        <v>1273</v>
      </c>
    </row>
    <row r="842" spans="2:5" x14ac:dyDescent="0.25">
      <c r="B842" t="s">
        <v>31</v>
      </c>
      <c r="C842" t="s">
        <v>296</v>
      </c>
      <c r="D842">
        <v>1</v>
      </c>
      <c r="E842">
        <v>295</v>
      </c>
    </row>
    <row r="843" spans="2:5" x14ac:dyDescent="0.25">
      <c r="B843" t="s">
        <v>1267</v>
      </c>
      <c r="E843">
        <f>SUBTOTAL(109,discountedTable840[Price])</f>
      </c>
    </row>
    <row r="844" spans="1:4" s="8" customFormat="1" x14ac:dyDescent="0.25">
      <c r="A844" s="8" t="s">
        <v>38</v>
      </c>
      <c r="B844" s="8" t="s">
        <v>1274</v>
      </c>
      <c r="C844" s="8" t="s">
        <v>38</v>
      </c>
      <c r="D844" s="8" t="s">
        <v>38</v>
      </c>
    </row>
    <row r="846" spans="1:2" x14ac:dyDescent="0.25">
      <c r="A846" t="s">
        <v>38</v>
      </c>
      <c r="B846" t="s">
        <v>318</v>
      </c>
    </row>
    <row r="847" spans="2:5" x14ac:dyDescent="0.25">
      <c r="B847" t="s">
        <v>5</v>
      </c>
      <c r="C847" t="s">
        <v>1271</v>
      </c>
      <c r="D847" t="s">
        <v>1272</v>
      </c>
      <c r="E847" t="s">
        <v>1273</v>
      </c>
    </row>
    <row r="848" spans="2:5" x14ac:dyDescent="0.25">
      <c r="B848" t="s">
        <v>31</v>
      </c>
      <c r="C848" t="s">
        <v>320</v>
      </c>
      <c r="D848">
        <v>3</v>
      </c>
      <c r="E848">
        <v>199</v>
      </c>
    </row>
    <row r="849" spans="2:5" x14ac:dyDescent="0.25">
      <c r="B849" t="s">
        <v>1267</v>
      </c>
      <c r="E849">
        <f>SUBTOTAL(109,discountedTable846[Price])</f>
      </c>
    </row>
    <row r="850" spans="1:4" s="8" customFormat="1" x14ac:dyDescent="0.25">
      <c r="A850" s="8" t="s">
        <v>38</v>
      </c>
      <c r="B850" s="8" t="s">
        <v>1274</v>
      </c>
      <c r="C850" s="8" t="s">
        <v>38</v>
      </c>
      <c r="D850" s="8" t="s">
        <v>38</v>
      </c>
    </row>
    <row r="852" spans="1:2" x14ac:dyDescent="0.25">
      <c r="A852" t="s">
        <v>38</v>
      </c>
      <c r="B852" t="s">
        <v>331</v>
      </c>
    </row>
    <row r="853" spans="2:5" x14ac:dyDescent="0.25">
      <c r="B853" t="s">
        <v>5</v>
      </c>
      <c r="C853" t="s">
        <v>1271</v>
      </c>
      <c r="D853" t="s">
        <v>1272</v>
      </c>
      <c r="E853" t="s">
        <v>1273</v>
      </c>
    </row>
    <row r="854" spans="2:5" x14ac:dyDescent="0.25">
      <c r="B854" t="s">
        <v>31</v>
      </c>
      <c r="C854" t="s">
        <v>296</v>
      </c>
      <c r="D854">
        <v>1</v>
      </c>
      <c r="E854">
        <v>295</v>
      </c>
    </row>
    <row r="855" spans="2:5" x14ac:dyDescent="0.25">
      <c r="B855" t="s">
        <v>1267</v>
      </c>
      <c r="E855">
        <f>SUBTOTAL(109,discountedTable852[Price])</f>
      </c>
    </row>
    <row r="856" spans="1:4" s="8" customFormat="1" x14ac:dyDescent="0.25">
      <c r="A856" s="8" t="s">
        <v>38</v>
      </c>
      <c r="B856" s="8" t="s">
        <v>1274</v>
      </c>
      <c r="C856" s="8" t="s">
        <v>38</v>
      </c>
      <c r="D856" s="8" t="s">
        <v>38</v>
      </c>
    </row>
    <row r="858" spans="1:2" x14ac:dyDescent="0.25">
      <c r="A858" t="s">
        <v>38</v>
      </c>
      <c r="B858" t="s">
        <v>402</v>
      </c>
    </row>
    <row r="859" spans="2:5" x14ac:dyDescent="0.25">
      <c r="B859" t="s">
        <v>5</v>
      </c>
      <c r="C859" t="s">
        <v>1271</v>
      </c>
      <c r="D859" t="s">
        <v>1272</v>
      </c>
      <c r="E859" t="s">
        <v>1273</v>
      </c>
    </row>
    <row r="860" spans="2:5" x14ac:dyDescent="0.25">
      <c r="B860" t="s">
        <v>31</v>
      </c>
      <c r="C860" t="s">
        <v>405</v>
      </c>
      <c r="D860">
        <v>1</v>
      </c>
      <c r="E860">
        <v>561.75</v>
      </c>
    </row>
    <row r="861" spans="2:5" x14ac:dyDescent="0.25">
      <c r="B861" t="s">
        <v>1267</v>
      </c>
      <c r="E861">
        <f>SUBTOTAL(109,discountedTable858[Price])</f>
      </c>
    </row>
    <row r="862" spans="1:4" s="8" customFormat="1" x14ac:dyDescent="0.25">
      <c r="A862" s="8" t="s">
        <v>38</v>
      </c>
      <c r="B862" s="8" t="s">
        <v>1274</v>
      </c>
      <c r="C862" s="8" t="s">
        <v>38</v>
      </c>
      <c r="D862" s="8" t="s">
        <v>38</v>
      </c>
    </row>
    <row r="864" spans="1:2" x14ac:dyDescent="0.25">
      <c r="A864" t="s">
        <v>38</v>
      </c>
      <c r="B864" t="s">
        <v>430</v>
      </c>
    </row>
    <row r="865" spans="2:5" x14ac:dyDescent="0.25">
      <c r="B865" t="s">
        <v>5</v>
      </c>
      <c r="C865" t="s">
        <v>1271</v>
      </c>
      <c r="D865" t="s">
        <v>1272</v>
      </c>
      <c r="E865" t="s">
        <v>1273</v>
      </c>
    </row>
    <row r="866" spans="2:5" x14ac:dyDescent="0.25">
      <c r="B866" t="s">
        <v>31</v>
      </c>
      <c r="C866" t="s">
        <v>431</v>
      </c>
      <c r="D866">
        <v>4</v>
      </c>
      <c r="E866">
        <v>215</v>
      </c>
    </row>
    <row r="867" spans="2:5" x14ac:dyDescent="0.25">
      <c r="B867" t="s">
        <v>46</v>
      </c>
      <c r="C867" t="s">
        <v>431</v>
      </c>
      <c r="D867">
        <v>1</v>
      </c>
      <c r="E867">
        <v>246</v>
      </c>
    </row>
    <row r="868" spans="2:5" x14ac:dyDescent="0.25">
      <c r="B868" t="s">
        <v>56</v>
      </c>
      <c r="C868" t="s">
        <v>431</v>
      </c>
      <c r="D868">
        <v>1</v>
      </c>
      <c r="E868">
        <v>224</v>
      </c>
    </row>
    <row r="869" spans="2:5" x14ac:dyDescent="0.25">
      <c r="B869" t="s">
        <v>64</v>
      </c>
      <c r="C869" t="s">
        <v>442</v>
      </c>
      <c r="D869">
        <v>1</v>
      </c>
      <c r="E869">
        <v>21</v>
      </c>
    </row>
    <row r="870" spans="2:5" x14ac:dyDescent="0.25">
      <c r="B870" t="s">
        <v>75</v>
      </c>
      <c r="C870" t="s">
        <v>446</v>
      </c>
      <c r="D870">
        <v>1</v>
      </c>
      <c r="E870">
        <v>60</v>
      </c>
    </row>
    <row r="871" spans="2:5" x14ac:dyDescent="0.25">
      <c r="B871" t="s">
        <v>89</v>
      </c>
      <c r="C871" t="s">
        <v>450</v>
      </c>
      <c r="D871">
        <v>5</v>
      </c>
      <c r="E871">
        <v>75</v>
      </c>
    </row>
    <row r="872" spans="2:5" x14ac:dyDescent="0.25">
      <c r="B872" t="s">
        <v>98</v>
      </c>
      <c r="C872" t="s">
        <v>453</v>
      </c>
      <c r="D872">
        <v>1</v>
      </c>
      <c r="E872">
        <v>34</v>
      </c>
    </row>
    <row r="873" spans="2:5" x14ac:dyDescent="0.25">
      <c r="B873" t="s">
        <v>102</v>
      </c>
      <c r="C873" t="s">
        <v>453</v>
      </c>
      <c r="D873">
        <v>1</v>
      </c>
      <c r="E873">
        <v>11</v>
      </c>
    </row>
    <row r="874" spans="2:5" x14ac:dyDescent="0.25">
      <c r="B874" t="s">
        <v>111</v>
      </c>
      <c r="C874" t="s">
        <v>459</v>
      </c>
      <c r="D874">
        <v>2</v>
      </c>
      <c r="E874">
        <v>50</v>
      </c>
    </row>
    <row r="875" spans="2:5" x14ac:dyDescent="0.25">
      <c r="B875" t="s">
        <v>117</v>
      </c>
      <c r="C875" t="s">
        <v>462</v>
      </c>
      <c r="D875">
        <v>10</v>
      </c>
      <c r="E875">
        <v>6</v>
      </c>
    </row>
    <row r="876" spans="2:5" x14ac:dyDescent="0.25">
      <c r="B876" t="s">
        <v>1267</v>
      </c>
      <c r="E876">
        <f>SUBTOTAL(109,discountedTable864[Price])</f>
      </c>
    </row>
    <row r="877" spans="1:4" s="8" customFormat="1" x14ac:dyDescent="0.25">
      <c r="A877" s="8" t="s">
        <v>38</v>
      </c>
      <c r="B877" s="8" t="s">
        <v>1274</v>
      </c>
      <c r="C877" s="8" t="s">
        <v>38</v>
      </c>
      <c r="D877" s="8" t="s">
        <v>38</v>
      </c>
    </row>
    <row r="879" spans="1:2" x14ac:dyDescent="0.25">
      <c r="A879" t="s">
        <v>38</v>
      </c>
      <c r="B879" t="s">
        <v>464</v>
      </c>
    </row>
    <row r="880" spans="2:5" x14ac:dyDescent="0.25">
      <c r="B880" t="s">
        <v>5</v>
      </c>
      <c r="C880" t="s">
        <v>1271</v>
      </c>
      <c r="D880" t="s">
        <v>1272</v>
      </c>
      <c r="E880" t="s">
        <v>1273</v>
      </c>
    </row>
    <row r="881" spans="2:5" x14ac:dyDescent="0.25">
      <c r="B881" t="s">
        <v>31</v>
      </c>
      <c r="C881" t="s">
        <v>431</v>
      </c>
      <c r="D881">
        <v>1</v>
      </c>
      <c r="E881">
        <v>215</v>
      </c>
    </row>
    <row r="882" spans="2:5" x14ac:dyDescent="0.25">
      <c r="B882" t="s">
        <v>46</v>
      </c>
      <c r="C882" t="s">
        <v>320</v>
      </c>
      <c r="D882">
        <v>1</v>
      </c>
      <c r="E882">
        <v>199</v>
      </c>
    </row>
    <row r="883" spans="2:5" x14ac:dyDescent="0.25">
      <c r="B883" t="s">
        <v>56</v>
      </c>
      <c r="C883" t="s">
        <v>453</v>
      </c>
      <c r="D883">
        <v>1</v>
      </c>
      <c r="E883">
        <v>7</v>
      </c>
    </row>
    <row r="884" spans="2:5" x14ac:dyDescent="0.25">
      <c r="B884" t="s">
        <v>64</v>
      </c>
      <c r="C884" t="s">
        <v>472</v>
      </c>
      <c r="D884">
        <v>3</v>
      </c>
      <c r="E884">
        <v>7.5</v>
      </c>
    </row>
    <row r="885" spans="2:5" x14ac:dyDescent="0.25">
      <c r="B885" t="s">
        <v>75</v>
      </c>
      <c r="C885" t="s">
        <v>477</v>
      </c>
      <c r="D885">
        <v>1</v>
      </c>
      <c r="E885">
        <v>30</v>
      </c>
    </row>
    <row r="886" spans="2:5" x14ac:dyDescent="0.25">
      <c r="B886" t="s">
        <v>1267</v>
      </c>
      <c r="E886">
        <f>SUBTOTAL(109,discountedTable879[Price])</f>
      </c>
    </row>
    <row r="887" spans="1:4" s="8" customFormat="1" x14ac:dyDescent="0.25">
      <c r="A887" s="8" t="s">
        <v>38</v>
      </c>
      <c r="B887" s="8" t="s">
        <v>1274</v>
      </c>
      <c r="C887" s="8" t="s">
        <v>38</v>
      </c>
      <c r="D887" s="8" t="s">
        <v>38</v>
      </c>
    </row>
    <row r="889" spans="1:2" x14ac:dyDescent="0.25">
      <c r="A889" t="s">
        <v>38</v>
      </c>
      <c r="B889" t="s">
        <v>484</v>
      </c>
    </row>
    <row r="890" spans="2:5" x14ac:dyDescent="0.25">
      <c r="B890" t="s">
        <v>5</v>
      </c>
      <c r="C890" t="s">
        <v>1271</v>
      </c>
      <c r="D890" t="s">
        <v>1272</v>
      </c>
      <c r="E890" t="s">
        <v>1273</v>
      </c>
    </row>
    <row r="891" spans="2:5" x14ac:dyDescent="0.25">
      <c r="B891" t="s">
        <v>31</v>
      </c>
      <c r="C891" t="s">
        <v>405</v>
      </c>
      <c r="D891">
        <v>1</v>
      </c>
      <c r="E891">
        <v>561.75</v>
      </c>
    </row>
    <row r="892" spans="2:5" x14ac:dyDescent="0.25">
      <c r="B892" t="s">
        <v>1267</v>
      </c>
      <c r="E892">
        <f>SUBTOTAL(109,discountedTable889[Price])</f>
      </c>
    </row>
    <row r="893" spans="1:4" s="8" customFormat="1" x14ac:dyDescent="0.25">
      <c r="A893" s="8" t="s">
        <v>38</v>
      </c>
      <c r="B893" s="8" t="s">
        <v>1274</v>
      </c>
      <c r="C893" s="8" t="s">
        <v>38</v>
      </c>
      <c r="D893" s="8" t="s">
        <v>38</v>
      </c>
    </row>
    <row r="895" spans="1:2" x14ac:dyDescent="0.25">
      <c r="A895" t="s">
        <v>38</v>
      </c>
      <c r="B895" t="s">
        <v>614</v>
      </c>
    </row>
    <row r="896" spans="2:5" x14ac:dyDescent="0.25">
      <c r="B896" t="s">
        <v>5</v>
      </c>
      <c r="C896" t="s">
        <v>1271</v>
      </c>
      <c r="D896" t="s">
        <v>1272</v>
      </c>
      <c r="E896" t="s">
        <v>1273</v>
      </c>
    </row>
    <row r="897" spans="2:5" x14ac:dyDescent="0.25">
      <c r="B897" t="s">
        <v>31</v>
      </c>
      <c r="C897" t="s">
        <v>320</v>
      </c>
      <c r="D897">
        <v>4</v>
      </c>
      <c r="E897">
        <v>199</v>
      </c>
    </row>
    <row r="898" spans="2:5" x14ac:dyDescent="0.25">
      <c r="B898" t="s">
        <v>1267</v>
      </c>
      <c r="E898">
        <f>SUBTOTAL(109,discountedTable895[Price])</f>
      </c>
    </row>
    <row r="899" spans="1:4" s="8" customFormat="1" x14ac:dyDescent="0.25">
      <c r="A899" s="8" t="s">
        <v>38</v>
      </c>
      <c r="B899" s="8" t="s">
        <v>1274</v>
      </c>
      <c r="C899" s="8" t="s">
        <v>38</v>
      </c>
      <c r="D899" s="8" t="s">
        <v>38</v>
      </c>
    </row>
    <row r="901" spans="1:2" x14ac:dyDescent="0.25">
      <c r="A901" t="s">
        <v>38</v>
      </c>
      <c r="B901" t="s">
        <v>831</v>
      </c>
    </row>
    <row r="902" spans="2:5" x14ac:dyDescent="0.25">
      <c r="B902" t="s">
        <v>5</v>
      </c>
      <c r="C902" t="s">
        <v>1271</v>
      </c>
      <c r="D902" t="s">
        <v>1272</v>
      </c>
      <c r="E902" t="s">
        <v>1273</v>
      </c>
    </row>
    <row r="903" spans="2:5" x14ac:dyDescent="0.25">
      <c r="B903" t="s">
        <v>31</v>
      </c>
      <c r="C903" t="s">
        <v>840</v>
      </c>
      <c r="D903">
        <v>1</v>
      </c>
      <c r="E903">
        <v>620</v>
      </c>
    </row>
    <row r="904" spans="2:5" x14ac:dyDescent="0.25">
      <c r="B904" t="s">
        <v>1267</v>
      </c>
      <c r="E904">
        <f>SUBTOTAL(109,discountedTable901[Price])</f>
      </c>
    </row>
    <row r="905" spans="1:4" s="8" customFormat="1" x14ac:dyDescent="0.25">
      <c r="A905" s="8" t="s">
        <v>38</v>
      </c>
      <c r="B905" s="8" t="s">
        <v>1274</v>
      </c>
      <c r="C905" s="8" t="s">
        <v>38</v>
      </c>
      <c r="D905" s="8" t="s">
        <v>38</v>
      </c>
    </row>
    <row r="907" spans="1:2" x14ac:dyDescent="0.25">
      <c r="A907" t="s">
        <v>38</v>
      </c>
      <c r="B907" t="s">
        <v>1062</v>
      </c>
    </row>
    <row r="908" spans="2:5" x14ac:dyDescent="0.25">
      <c r="B908" t="s">
        <v>5</v>
      </c>
      <c r="C908" t="s">
        <v>1271</v>
      </c>
      <c r="D908" t="s">
        <v>1272</v>
      </c>
      <c r="E908" t="s">
        <v>1273</v>
      </c>
    </row>
    <row r="909" spans="2:5" x14ac:dyDescent="0.25">
      <c r="B909" t="s">
        <v>31</v>
      </c>
      <c r="C909" t="s">
        <v>1063</v>
      </c>
      <c r="D909">
        <v>1</v>
      </c>
      <c r="E909">
        <v>105</v>
      </c>
    </row>
    <row r="910" spans="2:5" x14ac:dyDescent="0.25">
      <c r="B910" t="s">
        <v>1267</v>
      </c>
      <c r="E910">
        <f>SUBTOTAL(109,discountedTable907[Price])</f>
      </c>
    </row>
    <row r="911" spans="1:4" s="8" customFormat="1" x14ac:dyDescent="0.25">
      <c r="A911" s="8" t="s">
        <v>38</v>
      </c>
      <c r="B911" s="8" t="s">
        <v>1274</v>
      </c>
      <c r="C911" s="8" t="s">
        <v>38</v>
      </c>
      <c r="D911" s="8" t="s">
        <v>38</v>
      </c>
    </row>
    <row r="913" spans="1:2" x14ac:dyDescent="0.25">
      <c r="A913" t="s">
        <v>38</v>
      </c>
      <c r="B913" t="s">
        <v>1176</v>
      </c>
    </row>
    <row r="914" spans="2:5" x14ac:dyDescent="0.25">
      <c r="B914" t="s">
        <v>5</v>
      </c>
      <c r="C914" t="s">
        <v>1271</v>
      </c>
      <c r="D914" t="s">
        <v>1272</v>
      </c>
      <c r="E914" t="s">
        <v>1273</v>
      </c>
    </row>
    <row r="915" spans="2:5" x14ac:dyDescent="0.25">
      <c r="B915" t="s">
        <v>31</v>
      </c>
      <c r="C915" t="s">
        <v>1178</v>
      </c>
      <c r="D915">
        <v>4</v>
      </c>
      <c r="E915">
        <v>113.95</v>
      </c>
    </row>
    <row r="916" spans="2:5" x14ac:dyDescent="0.25">
      <c r="B916" t="s">
        <v>1267</v>
      </c>
      <c r="E916">
        <f>SUBTOTAL(109,discountedTable913[Price])</f>
      </c>
    </row>
    <row r="917" spans="1:4" s="8" customFormat="1" x14ac:dyDescent="0.25">
      <c r="A917" s="8" t="s">
        <v>38</v>
      </c>
      <c r="B917" s="8" t="s">
        <v>1274</v>
      </c>
      <c r="C917" s="8" t="s">
        <v>38</v>
      </c>
      <c r="D917" s="8" t="s">
        <v>38</v>
      </c>
    </row>
    <row r="919" spans="1:1" s="8" customFormat="1" x14ac:dyDescent="0.25">
      <c r="A919" s="8" t="s">
        <v>1281</v>
      </c>
    </row>
    <row r="920" spans="1:2" x14ac:dyDescent="0.25">
      <c r="A920" t="s">
        <v>38</v>
      </c>
      <c r="B920" t="s">
        <v>331</v>
      </c>
    </row>
    <row r="921" spans="2:5" x14ac:dyDescent="0.25">
      <c r="B921" t="s">
        <v>5</v>
      </c>
      <c r="C921" t="s">
        <v>1271</v>
      </c>
      <c r="D921" t="s">
        <v>1272</v>
      </c>
      <c r="E921" t="s">
        <v>1273</v>
      </c>
    </row>
    <row r="922" spans="2:5" x14ac:dyDescent="0.25">
      <c r="B922" t="s">
        <v>31</v>
      </c>
      <c r="C922" t="s">
        <v>335</v>
      </c>
      <c r="D922">
        <v>1</v>
      </c>
      <c r="E922">
        <v>220</v>
      </c>
    </row>
    <row r="923" spans="2:5" x14ac:dyDescent="0.25">
      <c r="B923" t="s">
        <v>1267</v>
      </c>
      <c r="E923">
        <f>SUBTOTAL(109,discountedTable920[Price])</f>
      </c>
    </row>
    <row r="924" spans="1:4" s="8" customFormat="1" x14ac:dyDescent="0.25">
      <c r="A924" s="8" t="s">
        <v>38</v>
      </c>
      <c r="B924" s="8" t="s">
        <v>1274</v>
      </c>
      <c r="C924" s="8" t="s">
        <v>38</v>
      </c>
      <c r="D924" s="8" t="s">
        <v>38</v>
      </c>
    </row>
    <row r="926" spans="1:2" x14ac:dyDescent="0.25">
      <c r="A926" t="s">
        <v>38</v>
      </c>
      <c r="B926" t="s">
        <v>464</v>
      </c>
    </row>
    <row r="927" spans="2:5" x14ac:dyDescent="0.25">
      <c r="B927" t="s">
        <v>5</v>
      </c>
      <c r="C927" t="s">
        <v>1271</v>
      </c>
      <c r="D927" t="s">
        <v>1272</v>
      </c>
      <c r="E927" t="s">
        <v>1273</v>
      </c>
    </row>
    <row r="928" spans="2:5" x14ac:dyDescent="0.25">
      <c r="B928" t="s">
        <v>31</v>
      </c>
      <c r="C928" t="s">
        <v>480</v>
      </c>
      <c r="D928">
        <v>1</v>
      </c>
      <c r="E928">
        <v>131</v>
      </c>
    </row>
    <row r="929" spans="2:5" x14ac:dyDescent="0.25">
      <c r="B929" t="s">
        <v>1267</v>
      </c>
      <c r="E929">
        <f>SUBTOTAL(109,discountedTable926[Price])</f>
      </c>
    </row>
    <row r="930" spans="1:4" s="8" customFormat="1" x14ac:dyDescent="0.25">
      <c r="A930" s="8" t="s">
        <v>38</v>
      </c>
      <c r="B930" s="8" t="s">
        <v>1274</v>
      </c>
      <c r="C930" s="8" t="s">
        <v>38</v>
      </c>
      <c r="D930" s="8" t="s">
        <v>38</v>
      </c>
    </row>
    <row r="932" spans="1:2" x14ac:dyDescent="0.25">
      <c r="A932" t="s">
        <v>38</v>
      </c>
      <c r="B932" t="s">
        <v>618</v>
      </c>
    </row>
    <row r="933" spans="2:5" x14ac:dyDescent="0.25">
      <c r="B933" t="s">
        <v>5</v>
      </c>
      <c r="C933" t="s">
        <v>1271</v>
      </c>
      <c r="D933" t="s">
        <v>1272</v>
      </c>
      <c r="E933" t="s">
        <v>1273</v>
      </c>
    </row>
    <row r="934" spans="2:5" x14ac:dyDescent="0.25">
      <c r="B934" t="s">
        <v>31</v>
      </c>
      <c r="C934" t="s">
        <v>620</v>
      </c>
      <c r="D934">
        <v>100</v>
      </c>
      <c r="E934">
        <v>71</v>
      </c>
    </row>
    <row r="935" spans="2:5" x14ac:dyDescent="0.25">
      <c r="B935" t="s">
        <v>1267</v>
      </c>
      <c r="E935">
        <f>SUBTOTAL(109,discountedTable932[Price])</f>
      </c>
    </row>
    <row r="936" spans="1:4" s="8" customFormat="1" x14ac:dyDescent="0.25">
      <c r="A936" s="8" t="s">
        <v>38</v>
      </c>
      <c r="B936" s="8" t="s">
        <v>1274</v>
      </c>
      <c r="C936" s="8" t="s">
        <v>38</v>
      </c>
      <c r="D936" s="8" t="s">
        <v>38</v>
      </c>
    </row>
    <row r="938" spans="1:2" x14ac:dyDescent="0.25">
      <c r="A938" t="s">
        <v>38</v>
      </c>
      <c r="B938" t="s">
        <v>824</v>
      </c>
    </row>
    <row r="939" spans="2:5" x14ac:dyDescent="0.25">
      <c r="B939" t="s">
        <v>5</v>
      </c>
      <c r="C939" t="s">
        <v>1271</v>
      </c>
      <c r="D939" t="s">
        <v>1272</v>
      </c>
      <c r="E939" t="s">
        <v>1273</v>
      </c>
    </row>
    <row r="940" spans="2:5" x14ac:dyDescent="0.25">
      <c r="B940" t="s">
        <v>31</v>
      </c>
      <c r="C940" t="s">
        <v>492</v>
      </c>
      <c r="D940">
        <v>1</v>
      </c>
      <c r="E940">
        <v>79.5</v>
      </c>
    </row>
    <row r="941" spans="2:5" x14ac:dyDescent="0.25">
      <c r="B941" t="s">
        <v>1267</v>
      </c>
      <c r="E941">
        <f>SUBTOTAL(109,discountedTable938[Price])</f>
      </c>
    </row>
    <row r="942" spans="1:4" s="8" customFormat="1" x14ac:dyDescent="0.25">
      <c r="A942" s="8" t="s">
        <v>38</v>
      </c>
      <c r="B942" s="8" t="s">
        <v>1274</v>
      </c>
      <c r="C942" s="8" t="s">
        <v>38</v>
      </c>
      <c r="D942" s="8" t="s">
        <v>38</v>
      </c>
    </row>
    <row r="944" spans="1:1" s="8" customFormat="1" x14ac:dyDescent="0.25">
      <c r="A944" s="8" t="s">
        <v>1282</v>
      </c>
    </row>
    <row r="945" spans="1:2" x14ac:dyDescent="0.25">
      <c r="A945" t="s">
        <v>38</v>
      </c>
      <c r="B945" t="s">
        <v>411</v>
      </c>
    </row>
    <row r="946" spans="2:5" x14ac:dyDescent="0.25">
      <c r="B946" t="s">
        <v>5</v>
      </c>
      <c r="C946" t="s">
        <v>1271</v>
      </c>
      <c r="D946" t="s">
        <v>1272</v>
      </c>
      <c r="E946" t="s">
        <v>1273</v>
      </c>
    </row>
    <row r="947" spans="2:5" x14ac:dyDescent="0.25">
      <c r="B947" t="s">
        <v>31</v>
      </c>
      <c r="C947" t="s">
        <v>414</v>
      </c>
      <c r="D947">
        <v>2</v>
      </c>
      <c r="E947">
        <v>690</v>
      </c>
    </row>
    <row r="948" spans="2:5" x14ac:dyDescent="0.25">
      <c r="B948" t="s">
        <v>1267</v>
      </c>
      <c r="E948">
        <f>SUBTOTAL(109,discountedTable945[Price])</f>
      </c>
    </row>
    <row r="949" spans="1:4" s="8" customFormat="1" x14ac:dyDescent="0.25">
      <c r="A949" s="8" t="s">
        <v>38</v>
      </c>
      <c r="B949" s="8" t="s">
        <v>1274</v>
      </c>
      <c r="C949" s="8" t="s">
        <v>38</v>
      </c>
      <c r="D949" s="8" t="s">
        <v>38</v>
      </c>
    </row>
    <row r="951" spans="1:2" x14ac:dyDescent="0.25">
      <c r="A951" t="s">
        <v>38</v>
      </c>
      <c r="B951" t="s">
        <v>552</v>
      </c>
    </row>
    <row r="952" spans="2:5" x14ac:dyDescent="0.25">
      <c r="B952" t="s">
        <v>5</v>
      </c>
      <c r="C952" t="s">
        <v>1271</v>
      </c>
      <c r="D952" t="s">
        <v>1272</v>
      </c>
      <c r="E952" t="s">
        <v>1273</v>
      </c>
    </row>
    <row r="953" spans="2:5" x14ac:dyDescent="0.25">
      <c r="B953" t="s">
        <v>31</v>
      </c>
      <c r="C953" t="s">
        <v>553</v>
      </c>
      <c r="D953">
        <v>2</v>
      </c>
      <c r="E953">
        <v>580</v>
      </c>
    </row>
    <row r="954" spans="2:5" x14ac:dyDescent="0.25">
      <c r="B954" t="s">
        <v>1267</v>
      </c>
      <c r="E954">
        <f>SUBTOTAL(109,discountedTable951[Price])</f>
      </c>
    </row>
    <row r="955" spans="1:4" s="8" customFormat="1" x14ac:dyDescent="0.25">
      <c r="A955" s="8" t="s">
        <v>38</v>
      </c>
      <c r="B955" s="8" t="s">
        <v>1274</v>
      </c>
      <c r="C955" s="8" t="s">
        <v>38</v>
      </c>
      <c r="D955" s="8" t="s">
        <v>38</v>
      </c>
    </row>
    <row r="957" spans="1:2" x14ac:dyDescent="0.25">
      <c r="A957" t="s">
        <v>38</v>
      </c>
      <c r="B957" t="s">
        <v>557</v>
      </c>
    </row>
    <row r="958" spans="2:5" x14ac:dyDescent="0.25">
      <c r="B958" t="s">
        <v>5</v>
      </c>
      <c r="C958" t="s">
        <v>1271</v>
      </c>
      <c r="D958" t="s">
        <v>1272</v>
      </c>
      <c r="E958" t="s">
        <v>1273</v>
      </c>
    </row>
    <row r="959" spans="2:5" x14ac:dyDescent="0.25">
      <c r="B959" t="s">
        <v>31</v>
      </c>
      <c r="C959" t="s">
        <v>561</v>
      </c>
      <c r="D959">
        <v>1</v>
      </c>
      <c r="E959">
        <v>5000</v>
      </c>
    </row>
    <row r="960" spans="2:5" x14ac:dyDescent="0.25">
      <c r="B960" t="s">
        <v>1267</v>
      </c>
      <c r="E960">
        <f>SUBTOTAL(109,discountedTable957[Price])</f>
      </c>
    </row>
    <row r="961" spans="1:4" s="8" customFormat="1" x14ac:dyDescent="0.25">
      <c r="A961" s="8" t="s">
        <v>38</v>
      </c>
      <c r="B961" s="8" t="s">
        <v>1274</v>
      </c>
      <c r="C961" s="8" t="s">
        <v>38</v>
      </c>
      <c r="D961" s="8" t="s">
        <v>38</v>
      </c>
    </row>
    <row r="963" spans="1:2" x14ac:dyDescent="0.25">
      <c r="A963" t="s">
        <v>38</v>
      </c>
      <c r="B963" t="s">
        <v>731</v>
      </c>
    </row>
    <row r="964" spans="2:5" x14ac:dyDescent="0.25">
      <c r="B964" t="s">
        <v>5</v>
      </c>
      <c r="C964" t="s">
        <v>1271</v>
      </c>
      <c r="D964" t="s">
        <v>1272</v>
      </c>
      <c r="E964" t="s">
        <v>1273</v>
      </c>
    </row>
    <row r="965" spans="2:5" x14ac:dyDescent="0.25">
      <c r="B965" t="s">
        <v>31</v>
      </c>
      <c r="C965" t="s">
        <v>740</v>
      </c>
      <c r="D965">
        <v>1</v>
      </c>
      <c r="E965">
        <v>1580</v>
      </c>
    </row>
    <row r="966" spans="2:5" x14ac:dyDescent="0.25">
      <c r="B966" t="s">
        <v>1267</v>
      </c>
      <c r="E966">
        <f>SUBTOTAL(109,discountedTable963[Price])</f>
      </c>
    </row>
    <row r="967" spans="1:4" s="8" customFormat="1" x14ac:dyDescent="0.25">
      <c r="A967" s="8" t="s">
        <v>38</v>
      </c>
      <c r="B967" s="8" t="s">
        <v>1274</v>
      </c>
      <c r="C967" s="8" t="s">
        <v>38</v>
      </c>
      <c r="D967" s="8" t="s">
        <v>38</v>
      </c>
    </row>
    <row r="969" spans="1:2" x14ac:dyDescent="0.25">
      <c r="A969" t="s">
        <v>38</v>
      </c>
      <c r="B969" t="s">
        <v>932</v>
      </c>
    </row>
    <row r="970" spans="2:5" x14ac:dyDescent="0.25">
      <c r="B970" t="s">
        <v>5</v>
      </c>
      <c r="C970" t="s">
        <v>1271</v>
      </c>
      <c r="D970" t="s">
        <v>1272</v>
      </c>
      <c r="E970" t="s">
        <v>1273</v>
      </c>
    </row>
    <row r="971" spans="2:5" x14ac:dyDescent="0.25">
      <c r="B971" t="s">
        <v>31</v>
      </c>
      <c r="C971" t="s">
        <v>904</v>
      </c>
      <c r="D971">
        <v>1</v>
      </c>
      <c r="E971">
        <v>80</v>
      </c>
    </row>
    <row r="972" spans="2:5" x14ac:dyDescent="0.25">
      <c r="B972" t="s">
        <v>1267</v>
      </c>
      <c r="E972">
        <f>SUBTOTAL(109,discountedTable969[Price])</f>
      </c>
    </row>
    <row r="973" spans="1:4" s="8" customFormat="1" x14ac:dyDescent="0.25">
      <c r="A973" s="8" t="s">
        <v>38</v>
      </c>
      <c r="B973" s="8" t="s">
        <v>1274</v>
      </c>
      <c r="C973" s="8" t="s">
        <v>38</v>
      </c>
      <c r="D973" s="8" t="s">
        <v>38</v>
      </c>
    </row>
    <row r="975" spans="1:2" x14ac:dyDescent="0.25">
      <c r="A975" t="s">
        <v>38</v>
      </c>
      <c r="B975" t="s">
        <v>974</v>
      </c>
    </row>
    <row r="976" spans="2:5" x14ac:dyDescent="0.25">
      <c r="B976" t="s">
        <v>5</v>
      </c>
      <c r="C976" t="s">
        <v>1271</v>
      </c>
      <c r="D976" t="s">
        <v>1272</v>
      </c>
      <c r="E976" t="s">
        <v>1273</v>
      </c>
    </row>
    <row r="977" spans="2:5" x14ac:dyDescent="0.25">
      <c r="B977" t="s">
        <v>31</v>
      </c>
      <c r="C977" t="s">
        <v>904</v>
      </c>
      <c r="D977">
        <v>5</v>
      </c>
      <c r="E977">
        <v>70</v>
      </c>
    </row>
    <row r="978" spans="2:5" x14ac:dyDescent="0.25">
      <c r="B978" t="s">
        <v>1267</v>
      </c>
      <c r="E978">
        <f>SUBTOTAL(109,discountedTable975[Price])</f>
      </c>
    </row>
    <row r="979" spans="1:4" s="8" customFormat="1" x14ac:dyDescent="0.25">
      <c r="A979" s="8" t="s">
        <v>38</v>
      </c>
      <c r="B979" s="8" t="s">
        <v>1274</v>
      </c>
      <c r="C979" s="8" t="s">
        <v>38</v>
      </c>
      <c r="D979" s="8" t="s">
        <v>38</v>
      </c>
    </row>
    <row r="981" spans="1:2" x14ac:dyDescent="0.25">
      <c r="A981" t="s">
        <v>38</v>
      </c>
      <c r="B981" t="s">
        <v>1055</v>
      </c>
    </row>
    <row r="982" spans="2:5" x14ac:dyDescent="0.25">
      <c r="B982" t="s">
        <v>5</v>
      </c>
      <c r="C982" t="s">
        <v>1271</v>
      </c>
      <c r="D982" t="s">
        <v>1272</v>
      </c>
      <c r="E982" t="s">
        <v>1273</v>
      </c>
    </row>
    <row r="983" spans="2:5" x14ac:dyDescent="0.25">
      <c r="B983" t="s">
        <v>31</v>
      </c>
      <c r="C983" t="s">
        <v>1056</v>
      </c>
      <c r="D983">
        <v>4</v>
      </c>
      <c r="E983">
        <v>250</v>
      </c>
    </row>
    <row r="984" spans="2:5" x14ac:dyDescent="0.25">
      <c r="B984" t="s">
        <v>1267</v>
      </c>
      <c r="E984">
        <f>SUBTOTAL(109,discountedTable981[Price])</f>
      </c>
    </row>
    <row r="985" spans="1:4" s="8" customFormat="1" x14ac:dyDescent="0.25">
      <c r="A985" s="8" t="s">
        <v>38</v>
      </c>
      <c r="B985" s="8" t="s">
        <v>1274</v>
      </c>
      <c r="C985" s="8" t="s">
        <v>38</v>
      </c>
      <c r="D985" s="8" t="s">
        <v>38</v>
      </c>
    </row>
    <row r="987" spans="1:2" x14ac:dyDescent="0.25">
      <c r="A987" t="s">
        <v>38</v>
      </c>
      <c r="B987" t="s">
        <v>1190</v>
      </c>
    </row>
    <row r="988" spans="2:5" x14ac:dyDescent="0.25">
      <c r="B988" t="s">
        <v>5</v>
      </c>
      <c r="C988" t="s">
        <v>1271</v>
      </c>
      <c r="D988" t="s">
        <v>1272</v>
      </c>
      <c r="E988" t="s">
        <v>1273</v>
      </c>
    </row>
    <row r="989" spans="2:5" x14ac:dyDescent="0.25">
      <c r="B989" t="s">
        <v>31</v>
      </c>
      <c r="C989" t="s">
        <v>783</v>
      </c>
      <c r="D989">
        <v>1</v>
      </c>
      <c r="E989">
        <v>4500</v>
      </c>
    </row>
    <row r="990" spans="2:5" x14ac:dyDescent="0.25">
      <c r="B990" t="s">
        <v>1267</v>
      </c>
      <c r="E990">
        <f>SUBTOTAL(109,discountedTable987[Price])</f>
      </c>
    </row>
    <row r="991" spans="1:4" s="8" customFormat="1" x14ac:dyDescent="0.25">
      <c r="A991" s="8" t="s">
        <v>38</v>
      </c>
      <c r="B991" s="8" t="s">
        <v>1274</v>
      </c>
      <c r="C991" s="8" t="s">
        <v>38</v>
      </c>
      <c r="D991" s="8" t="s">
        <v>38</v>
      </c>
    </row>
    <row r="993" spans="1:1" s="8" customFormat="1" x14ac:dyDescent="0.25">
      <c r="A993" s="8" t="s">
        <v>1283</v>
      </c>
    </row>
    <row r="994" spans="1:2" x14ac:dyDescent="0.25">
      <c r="A994" t="s">
        <v>38</v>
      </c>
      <c r="B994" t="s">
        <v>484</v>
      </c>
    </row>
    <row r="995" spans="2:5" x14ac:dyDescent="0.25">
      <c r="B995" t="s">
        <v>5</v>
      </c>
      <c r="C995" t="s">
        <v>1271</v>
      </c>
      <c r="D995" t="s">
        <v>1272</v>
      </c>
      <c r="E995" t="s">
        <v>1273</v>
      </c>
    </row>
    <row r="996" spans="2:5" x14ac:dyDescent="0.25">
      <c r="B996" t="s">
        <v>31</v>
      </c>
      <c r="C996" t="s">
        <v>492</v>
      </c>
      <c r="D996">
        <v>0</v>
      </c>
      <c r="E996">
        <v>18</v>
      </c>
    </row>
    <row r="997" spans="2:5" x14ac:dyDescent="0.25">
      <c r="B997" t="s">
        <v>1267</v>
      </c>
      <c r="E997">
        <f>SUBTOTAL(109,discountedTable994[Price])</f>
      </c>
    </row>
    <row r="998" spans="1:4" s="8" customFormat="1" x14ac:dyDescent="0.25">
      <c r="A998" s="8" t="s">
        <v>38</v>
      </c>
      <c r="B998" s="8" t="s">
        <v>1274</v>
      </c>
      <c r="C998" s="8" t="s">
        <v>38</v>
      </c>
      <c r="D998" s="8" t="s">
        <v>38</v>
      </c>
    </row>
    <row r="1000" spans="1:2" x14ac:dyDescent="0.25">
      <c r="A1000" t="s">
        <v>38</v>
      </c>
      <c r="B1000" t="s">
        <v>649</v>
      </c>
    </row>
    <row r="1001" spans="2:5" x14ac:dyDescent="0.25">
      <c r="B1001" t="s">
        <v>5</v>
      </c>
      <c r="C1001" t="s">
        <v>1271</v>
      </c>
      <c r="D1001" t="s">
        <v>1272</v>
      </c>
      <c r="E1001" t="s">
        <v>1273</v>
      </c>
    </row>
    <row r="1002" spans="2:5" x14ac:dyDescent="0.25">
      <c r="B1002" t="s">
        <v>31</v>
      </c>
      <c r="C1002" t="s">
        <v>472</v>
      </c>
      <c r="D1002">
        <v>1</v>
      </c>
      <c r="E1002">
        <v>125</v>
      </c>
    </row>
    <row r="1003" spans="2:5" x14ac:dyDescent="0.25">
      <c r="B1003" t="s">
        <v>1267</v>
      </c>
      <c r="E1003">
        <f>SUBTOTAL(109,discountedTable1000[Price])</f>
      </c>
    </row>
    <row r="1004" spans="1:4" s="8" customFormat="1" x14ac:dyDescent="0.25">
      <c r="A1004" s="8" t="s">
        <v>38</v>
      </c>
      <c r="B1004" s="8" t="s">
        <v>1274</v>
      </c>
      <c r="C1004" s="8" t="s">
        <v>38</v>
      </c>
      <c r="D1004" s="8" t="s">
        <v>38</v>
      </c>
    </row>
    <row r="1006" spans="1:2" x14ac:dyDescent="0.25">
      <c r="A1006" t="s">
        <v>38</v>
      </c>
      <c r="B1006" t="s">
        <v>657</v>
      </c>
    </row>
    <row r="1007" spans="2:5" x14ac:dyDescent="0.25">
      <c r="B1007" t="s">
        <v>5</v>
      </c>
      <c r="C1007" t="s">
        <v>1271</v>
      </c>
      <c r="D1007" t="s">
        <v>1272</v>
      </c>
      <c r="E1007" t="s">
        <v>1273</v>
      </c>
    </row>
    <row r="1008" spans="2:5" x14ac:dyDescent="0.25">
      <c r="B1008" t="s">
        <v>31</v>
      </c>
      <c r="C1008" t="s">
        <v>658</v>
      </c>
      <c r="D1008">
        <v>1</v>
      </c>
      <c r="E1008">
        <v>650</v>
      </c>
    </row>
    <row r="1009" spans="2:5" x14ac:dyDescent="0.25">
      <c r="B1009" t="s">
        <v>1267</v>
      </c>
      <c r="E1009">
        <f>SUBTOTAL(109,discountedTable1006[Price])</f>
      </c>
    </row>
    <row r="1010" spans="1:4" s="8" customFormat="1" x14ac:dyDescent="0.25">
      <c r="A1010" s="8" t="s">
        <v>38</v>
      </c>
      <c r="B1010" s="8" t="s">
        <v>1274</v>
      </c>
      <c r="C1010" s="8" t="s">
        <v>38</v>
      </c>
      <c r="D1010" s="8" t="s">
        <v>38</v>
      </c>
    </row>
    <row r="1012" spans="1:2" x14ac:dyDescent="0.25">
      <c r="A1012" t="s">
        <v>38</v>
      </c>
      <c r="B1012" t="s">
        <v>999</v>
      </c>
    </row>
    <row r="1013" spans="2:5" x14ac:dyDescent="0.25">
      <c r="B1013" t="s">
        <v>5</v>
      </c>
      <c r="C1013" t="s">
        <v>1271</v>
      </c>
      <c r="D1013" t="s">
        <v>1272</v>
      </c>
      <c r="E1013" t="s">
        <v>1273</v>
      </c>
    </row>
    <row r="1014" spans="2:5" x14ac:dyDescent="0.25">
      <c r="B1014" t="s">
        <v>31</v>
      </c>
      <c r="C1014" t="s">
        <v>1000</v>
      </c>
      <c r="D1014">
        <v>6</v>
      </c>
      <c r="E1014">
        <v>135</v>
      </c>
    </row>
    <row r="1015" spans="2:5" x14ac:dyDescent="0.25">
      <c r="B1015" t="s">
        <v>46</v>
      </c>
      <c r="C1015" t="s">
        <v>1000</v>
      </c>
      <c r="D1015">
        <v>0</v>
      </c>
      <c r="E1015">
        <v>0</v>
      </c>
    </row>
    <row r="1016" spans="2:5" x14ac:dyDescent="0.25">
      <c r="B1016" t="s">
        <v>1267</v>
      </c>
      <c r="E1016">
        <f>SUBTOTAL(109,discountedTable1012[Price])</f>
      </c>
    </row>
    <row r="1017" spans="1:4" s="8" customFormat="1" x14ac:dyDescent="0.25">
      <c r="A1017" s="8" t="s">
        <v>38</v>
      </c>
      <c r="B1017" s="8" t="s">
        <v>1274</v>
      </c>
      <c r="C1017" s="8" t="s">
        <v>38</v>
      </c>
      <c r="D1017" s="8" t="s">
        <v>38</v>
      </c>
    </row>
    <row r="1019" spans="1:1" s="8" customFormat="1" x14ac:dyDescent="0.25">
      <c r="A1019" s="8" t="s">
        <v>1284</v>
      </c>
    </row>
    <row r="1020" spans="1:2" x14ac:dyDescent="0.25">
      <c r="A1020" t="s">
        <v>38</v>
      </c>
      <c r="B1020" t="s">
        <v>509</v>
      </c>
    </row>
    <row r="1021" spans="2:5" x14ac:dyDescent="0.25">
      <c r="B1021" t="s">
        <v>5</v>
      </c>
      <c r="C1021" t="s">
        <v>1271</v>
      </c>
      <c r="D1021" t="s">
        <v>1272</v>
      </c>
      <c r="E1021" t="s">
        <v>1273</v>
      </c>
    </row>
    <row r="1022" spans="2:5" x14ac:dyDescent="0.25">
      <c r="B1022" t="s">
        <v>31</v>
      </c>
      <c r="C1022" t="s">
        <v>512</v>
      </c>
      <c r="D1022">
        <v>2</v>
      </c>
      <c r="E1022">
        <v>55</v>
      </c>
    </row>
    <row r="1023" spans="2:5" x14ac:dyDescent="0.25">
      <c r="B1023" t="s">
        <v>1267</v>
      </c>
      <c r="E1023">
        <f>SUBTOTAL(109,discountedTable1020[Price])</f>
      </c>
    </row>
    <row r="1024" spans="1:4" s="8" customFormat="1" x14ac:dyDescent="0.25">
      <c r="A1024" s="8" t="s">
        <v>38</v>
      </c>
      <c r="B1024" s="8" t="s">
        <v>1274</v>
      </c>
      <c r="C1024" s="8" t="s">
        <v>38</v>
      </c>
      <c r="D1024" s="8" t="s">
        <v>38</v>
      </c>
    </row>
    <row r="1026" spans="1:2" x14ac:dyDescent="0.25">
      <c r="A1026" t="s">
        <v>38</v>
      </c>
      <c r="B1026" t="s">
        <v>999</v>
      </c>
    </row>
    <row r="1027" spans="2:5" x14ac:dyDescent="0.25">
      <c r="B1027" t="s">
        <v>5</v>
      </c>
      <c r="C1027" t="s">
        <v>1271</v>
      </c>
      <c r="D1027" t="s">
        <v>1272</v>
      </c>
      <c r="E1027" t="s">
        <v>1273</v>
      </c>
    </row>
    <row r="1028" spans="2:5" x14ac:dyDescent="0.25">
      <c r="B1028" t="s">
        <v>31</v>
      </c>
      <c r="C1028" t="s">
        <v>1007</v>
      </c>
      <c r="D1028">
        <v>5</v>
      </c>
      <c r="E1028">
        <v>90</v>
      </c>
    </row>
    <row r="1029" spans="2:5" x14ac:dyDescent="0.25">
      <c r="B1029" t="s">
        <v>46</v>
      </c>
      <c r="C1029" t="s">
        <v>1007</v>
      </c>
      <c r="D1029">
        <v>5</v>
      </c>
      <c r="E1029">
        <v>200</v>
      </c>
    </row>
    <row r="1030" spans="2:5" x14ac:dyDescent="0.25">
      <c r="B1030" t="s">
        <v>1267</v>
      </c>
      <c r="E1030">
        <f>SUBTOTAL(109,discountedTable1026[Price])</f>
      </c>
    </row>
    <row r="1031" spans="1:4" s="8" customFormat="1" x14ac:dyDescent="0.25">
      <c r="A1031" s="8" t="s">
        <v>38</v>
      </c>
      <c r="B1031" s="8" t="s">
        <v>1274</v>
      </c>
      <c r="C1031" s="8" t="s">
        <v>38</v>
      </c>
      <c r="D1031" s="8" t="s">
        <v>38</v>
      </c>
    </row>
    <row r="1033" spans="1:2" x14ac:dyDescent="0.25">
      <c r="A1033" t="s">
        <v>38</v>
      </c>
      <c r="B1033" t="s">
        <v>1122</v>
      </c>
    </row>
    <row r="1034" spans="2:5" x14ac:dyDescent="0.25">
      <c r="B1034" t="s">
        <v>5</v>
      </c>
      <c r="C1034" t="s">
        <v>1271</v>
      </c>
      <c r="D1034" t="s">
        <v>1272</v>
      </c>
      <c r="E1034" t="s">
        <v>1273</v>
      </c>
    </row>
    <row r="1035" spans="2:5" x14ac:dyDescent="0.25">
      <c r="B1035" t="s">
        <v>31</v>
      </c>
      <c r="C1035" t="s">
        <v>1123</v>
      </c>
      <c r="D1035">
        <v>8</v>
      </c>
      <c r="E1035">
        <v>30</v>
      </c>
    </row>
    <row r="1036" spans="2:5" x14ac:dyDescent="0.25">
      <c r="B1036" t="s">
        <v>1267</v>
      </c>
      <c r="E1036">
        <f>SUBTOTAL(109,discountedTable1033[Price])</f>
      </c>
    </row>
    <row r="1037" spans="1:4" s="8" customFormat="1" x14ac:dyDescent="0.25">
      <c r="A1037" s="8" t="s">
        <v>38</v>
      </c>
      <c r="B1037" s="8" t="s">
        <v>1274</v>
      </c>
      <c r="C1037" s="8" t="s">
        <v>38</v>
      </c>
      <c r="D1037" s="8" t="s">
        <v>38</v>
      </c>
    </row>
    <row r="1039" spans="1:1" s="8" customFormat="1" x14ac:dyDescent="0.25">
      <c r="A1039" s="8" t="s">
        <v>1285</v>
      </c>
    </row>
    <row r="1040" spans="1:2" x14ac:dyDescent="0.25">
      <c r="A1040" t="s">
        <v>38</v>
      </c>
      <c r="B1040" t="s">
        <v>523</v>
      </c>
    </row>
    <row r="1041" spans="2:5" x14ac:dyDescent="0.25">
      <c r="B1041" t="s">
        <v>5</v>
      </c>
      <c r="C1041" t="s">
        <v>1271</v>
      </c>
      <c r="D1041" t="s">
        <v>1272</v>
      </c>
      <c r="E1041" t="s">
        <v>1273</v>
      </c>
    </row>
    <row r="1042" spans="2:5" x14ac:dyDescent="0.25">
      <c r="B1042" t="s">
        <v>31</v>
      </c>
      <c r="C1042" t="s">
        <v>526</v>
      </c>
      <c r="D1042">
        <v>2</v>
      </c>
      <c r="E1042">
        <v>990</v>
      </c>
    </row>
    <row r="1043" spans="2:5" x14ac:dyDescent="0.25">
      <c r="B1043" t="s">
        <v>1267</v>
      </c>
      <c r="E1043">
        <f>SUBTOTAL(109,discountedTable1040[Price])</f>
      </c>
    </row>
    <row r="1044" spans="1:4" s="8" customFormat="1" x14ac:dyDescent="0.25">
      <c r="A1044" s="8" t="s">
        <v>38</v>
      </c>
      <c r="B1044" s="8" t="s">
        <v>1274</v>
      </c>
      <c r="C1044" s="8" t="s">
        <v>38</v>
      </c>
      <c r="D1044" s="8" t="s">
        <v>38</v>
      </c>
    </row>
    <row r="1046" spans="1:1" s="8" customFormat="1" x14ac:dyDescent="0.25">
      <c r="A1046" s="8" t="s">
        <v>1286</v>
      </c>
    </row>
    <row r="1047" spans="1:2" x14ac:dyDescent="0.25">
      <c r="A1047" t="s">
        <v>38</v>
      </c>
      <c r="B1047" t="s">
        <v>532</v>
      </c>
    </row>
    <row r="1048" spans="2:5" x14ac:dyDescent="0.25">
      <c r="B1048" t="s">
        <v>5</v>
      </c>
      <c r="C1048" t="s">
        <v>1271</v>
      </c>
      <c r="D1048" t="s">
        <v>1272</v>
      </c>
      <c r="E1048" t="s">
        <v>1273</v>
      </c>
    </row>
    <row r="1049" spans="2:5" x14ac:dyDescent="0.25">
      <c r="B1049" t="s">
        <v>31</v>
      </c>
      <c r="C1049" t="s">
        <v>335</v>
      </c>
      <c r="D1049">
        <v>1</v>
      </c>
      <c r="E1049">
        <v>298</v>
      </c>
    </row>
    <row r="1050" spans="2:5" x14ac:dyDescent="0.25">
      <c r="B1050" t="s">
        <v>1267</v>
      </c>
      <c r="E1050">
        <f>SUBTOTAL(109,discountedTable1047[Price])</f>
      </c>
    </row>
    <row r="1051" spans="1:4" s="8" customFormat="1" x14ac:dyDescent="0.25">
      <c r="A1051" s="8" t="s">
        <v>38</v>
      </c>
      <c r="B1051" s="8" t="s">
        <v>1274</v>
      </c>
      <c r="C1051" s="8" t="s">
        <v>38</v>
      </c>
      <c r="D1051" s="8" t="s">
        <v>38</v>
      </c>
    </row>
    <row r="1053" spans="1:1" s="8" customFormat="1" x14ac:dyDescent="0.25">
      <c r="A1053" s="8" t="s">
        <v>1287</v>
      </c>
    </row>
    <row r="1054" spans="1:2" x14ac:dyDescent="0.25">
      <c r="A1054" t="s">
        <v>38</v>
      </c>
      <c r="B1054" t="s">
        <v>584</v>
      </c>
    </row>
    <row r="1055" spans="2:5" x14ac:dyDescent="0.25">
      <c r="B1055" t="s">
        <v>5</v>
      </c>
      <c r="C1055" t="s">
        <v>1271</v>
      </c>
      <c r="D1055" t="s">
        <v>1272</v>
      </c>
      <c r="E1055" t="s">
        <v>1273</v>
      </c>
    </row>
    <row r="1056" spans="2:5" x14ac:dyDescent="0.25">
      <c r="B1056" t="s">
        <v>31</v>
      </c>
      <c r="C1056" t="s">
        <v>586</v>
      </c>
      <c r="D1056">
        <v>1</v>
      </c>
      <c r="E1056">
        <v>228</v>
      </c>
    </row>
    <row r="1057" spans="2:5" x14ac:dyDescent="0.25">
      <c r="B1057" t="s">
        <v>1267</v>
      </c>
      <c r="E1057">
        <f>SUBTOTAL(109,discountedTable1054[Price])</f>
      </c>
    </row>
    <row r="1058" spans="1:4" s="8" customFormat="1" x14ac:dyDescent="0.25">
      <c r="A1058" s="8" t="s">
        <v>38</v>
      </c>
      <c r="B1058" s="8" t="s">
        <v>1274</v>
      </c>
      <c r="C1058" s="8" t="s">
        <v>38</v>
      </c>
      <c r="D1058" s="8" t="s">
        <v>38</v>
      </c>
    </row>
    <row r="1060" spans="1:1" s="8" customFormat="1" x14ac:dyDescent="0.25">
      <c r="A1060" s="8" t="s">
        <v>1288</v>
      </c>
    </row>
    <row r="1061" spans="1:2" x14ac:dyDescent="0.25">
      <c r="A1061" t="s">
        <v>38</v>
      </c>
      <c r="B1061" t="s">
        <v>653</v>
      </c>
    </row>
    <row r="1062" spans="2:5" x14ac:dyDescent="0.25">
      <c r="B1062" t="s">
        <v>5</v>
      </c>
      <c r="C1062" t="s">
        <v>1271</v>
      </c>
      <c r="D1062" t="s">
        <v>1272</v>
      </c>
      <c r="E1062" t="s">
        <v>1273</v>
      </c>
    </row>
    <row r="1063" spans="2:5" x14ac:dyDescent="0.25">
      <c r="B1063" t="s">
        <v>31</v>
      </c>
      <c r="C1063" t="s">
        <v>320</v>
      </c>
      <c r="D1063">
        <v>3</v>
      </c>
      <c r="E1063">
        <v>170</v>
      </c>
    </row>
    <row r="1064" spans="2:5" x14ac:dyDescent="0.25">
      <c r="B1064" t="s">
        <v>1267</v>
      </c>
      <c r="E1064">
        <f>SUBTOTAL(109,discountedTable1061[Price])</f>
      </c>
    </row>
    <row r="1065" spans="1:4" s="8" customFormat="1" x14ac:dyDescent="0.25">
      <c r="A1065" s="8" t="s">
        <v>38</v>
      </c>
      <c r="B1065" s="8" t="s">
        <v>1274</v>
      </c>
      <c r="C1065" s="8" t="s">
        <v>38</v>
      </c>
      <c r="D1065" s="8" t="s">
        <v>38</v>
      </c>
    </row>
    <row r="1067" spans="1:1" s="8" customFormat="1" x14ac:dyDescent="0.25">
      <c r="A1067" s="8" t="s">
        <v>1289</v>
      </c>
    </row>
    <row r="1068" spans="1:2" x14ac:dyDescent="0.25">
      <c r="A1068" t="s">
        <v>38</v>
      </c>
      <c r="B1068" t="s">
        <v>677</v>
      </c>
    </row>
    <row r="1069" spans="2:5" x14ac:dyDescent="0.25">
      <c r="B1069" t="s">
        <v>5</v>
      </c>
      <c r="C1069" t="s">
        <v>1271</v>
      </c>
      <c r="D1069" t="s">
        <v>1272</v>
      </c>
      <c r="E1069" t="s">
        <v>1273</v>
      </c>
    </row>
    <row r="1070" spans="2:5" x14ac:dyDescent="0.25">
      <c r="B1070" t="s">
        <v>31</v>
      </c>
      <c r="C1070" t="s">
        <v>680</v>
      </c>
      <c r="D1070">
        <v>2</v>
      </c>
      <c r="E1070">
        <v>1181</v>
      </c>
    </row>
    <row r="1071" spans="2:5" x14ac:dyDescent="0.25">
      <c r="B1071" t="s">
        <v>1267</v>
      </c>
      <c r="E1071">
        <f>SUBTOTAL(109,discountedTable1068[Price])</f>
      </c>
    </row>
    <row r="1072" spans="1:4" s="8" customFormat="1" x14ac:dyDescent="0.25">
      <c r="A1072" s="8" t="s">
        <v>38</v>
      </c>
      <c r="B1072" s="8" t="s">
        <v>1274</v>
      </c>
      <c r="C1072" s="8" t="s">
        <v>38</v>
      </c>
      <c r="D1072" s="8" t="s">
        <v>38</v>
      </c>
    </row>
    <row r="1074" spans="1:2" x14ac:dyDescent="0.25">
      <c r="A1074" t="s">
        <v>38</v>
      </c>
      <c r="B1074" t="s">
        <v>896</v>
      </c>
    </row>
    <row r="1075" spans="2:5" x14ac:dyDescent="0.25">
      <c r="B1075" t="s">
        <v>5</v>
      </c>
      <c r="C1075" t="s">
        <v>1271</v>
      </c>
      <c r="D1075" t="s">
        <v>1272</v>
      </c>
      <c r="E1075" t="s">
        <v>1273</v>
      </c>
    </row>
    <row r="1076" spans="2:5" x14ac:dyDescent="0.25">
      <c r="B1076" t="s">
        <v>31</v>
      </c>
      <c r="C1076" t="s">
        <v>680</v>
      </c>
      <c r="D1076">
        <v>8</v>
      </c>
      <c r="E1076">
        <v>433</v>
      </c>
    </row>
    <row r="1077" spans="2:5" x14ac:dyDescent="0.25">
      <c r="B1077" t="s">
        <v>1267</v>
      </c>
      <c r="E1077">
        <f>SUBTOTAL(109,discountedTable1074[Price])</f>
      </c>
    </row>
    <row r="1078" spans="1:4" s="8" customFormat="1" x14ac:dyDescent="0.25">
      <c r="A1078" s="8" t="s">
        <v>38</v>
      </c>
      <c r="B1078" s="8" t="s">
        <v>1274</v>
      </c>
      <c r="C1078" s="8" t="s">
        <v>38</v>
      </c>
      <c r="D1078" s="8" t="s">
        <v>38</v>
      </c>
    </row>
    <row r="1080" spans="1:1" s="8" customFormat="1" x14ac:dyDescent="0.25">
      <c r="A1080" s="8" t="s">
        <v>1290</v>
      </c>
    </row>
    <row r="1081" spans="1:2" x14ac:dyDescent="0.25">
      <c r="A1081" t="s">
        <v>38</v>
      </c>
      <c r="B1081" t="s">
        <v>764</v>
      </c>
    </row>
    <row r="1082" spans="2:5" x14ac:dyDescent="0.25">
      <c r="B1082" t="s">
        <v>5</v>
      </c>
      <c r="C1082" t="s">
        <v>1271</v>
      </c>
      <c r="D1082" t="s">
        <v>1272</v>
      </c>
      <c r="E1082" t="s">
        <v>1273</v>
      </c>
    </row>
    <row r="1083" spans="2:5" x14ac:dyDescent="0.25">
      <c r="B1083" t="s">
        <v>31</v>
      </c>
      <c r="C1083" t="s">
        <v>766</v>
      </c>
      <c r="D1083">
        <v>1</v>
      </c>
      <c r="E1083">
        <v>500</v>
      </c>
    </row>
    <row r="1084" spans="2:5" x14ac:dyDescent="0.25">
      <c r="B1084" t="s">
        <v>1267</v>
      </c>
      <c r="E1084">
        <f>SUBTOTAL(109,discountedTable1081[Price])</f>
      </c>
    </row>
    <row r="1085" spans="1:4" s="8" customFormat="1" x14ac:dyDescent="0.25">
      <c r="A1085" s="8" t="s">
        <v>38</v>
      </c>
      <c r="B1085" s="8" t="s">
        <v>1274</v>
      </c>
      <c r="C1085" s="8" t="s">
        <v>38</v>
      </c>
      <c r="D1085" s="8" t="s">
        <v>38</v>
      </c>
    </row>
    <row r="1087" spans="1:1" s="8" customFormat="1" x14ac:dyDescent="0.25">
      <c r="A1087" s="8" t="s">
        <v>1291</v>
      </c>
    </row>
    <row r="1088" spans="1:2" x14ac:dyDescent="0.25">
      <c r="A1088" t="s">
        <v>38</v>
      </c>
      <c r="B1088" t="s">
        <v>831</v>
      </c>
    </row>
    <row r="1089" spans="2:5" x14ac:dyDescent="0.25">
      <c r="B1089" t="s">
        <v>5</v>
      </c>
      <c r="C1089" t="s">
        <v>1271</v>
      </c>
      <c r="D1089" t="s">
        <v>1272</v>
      </c>
      <c r="E1089" t="s">
        <v>1273</v>
      </c>
    </row>
    <row r="1090" spans="2:5" x14ac:dyDescent="0.25">
      <c r="B1090" t="s">
        <v>31</v>
      </c>
      <c r="C1090" t="s">
        <v>834</v>
      </c>
      <c r="D1090">
        <v>3</v>
      </c>
      <c r="E1090">
        <v>3000</v>
      </c>
    </row>
    <row r="1091" spans="2:5" x14ac:dyDescent="0.25">
      <c r="B1091" t="s">
        <v>1267</v>
      </c>
      <c r="E1091">
        <f>SUBTOTAL(109,discountedTable1088[Price])</f>
      </c>
    </row>
    <row r="1092" spans="1:4" s="8" customFormat="1" x14ac:dyDescent="0.25">
      <c r="A1092" s="8" t="s">
        <v>38</v>
      </c>
      <c r="B1092" s="8" t="s">
        <v>1274</v>
      </c>
      <c r="C1092" s="8" t="s">
        <v>38</v>
      </c>
      <c r="D1092" s="8" t="s">
        <v>38</v>
      </c>
    </row>
    <row r="1094" spans="1:1" s="8" customFormat="1" x14ac:dyDescent="0.25">
      <c r="A1094" s="8" t="s">
        <v>1292</v>
      </c>
    </row>
    <row r="1095" spans="1:2" x14ac:dyDescent="0.25">
      <c r="A1095" t="s">
        <v>38</v>
      </c>
      <c r="B1095" t="s">
        <v>885</v>
      </c>
    </row>
    <row r="1096" spans="2:5" x14ac:dyDescent="0.25">
      <c r="B1096" t="s">
        <v>5</v>
      </c>
      <c r="C1096" t="s">
        <v>1271</v>
      </c>
      <c r="D1096" t="s">
        <v>1272</v>
      </c>
      <c r="E1096" t="s">
        <v>1273</v>
      </c>
    </row>
    <row r="1097" spans="2:5" x14ac:dyDescent="0.25">
      <c r="B1097" t="s">
        <v>31</v>
      </c>
      <c r="C1097" t="s">
        <v>887</v>
      </c>
      <c r="D1097">
        <v>1</v>
      </c>
      <c r="E1097">
        <v>35000</v>
      </c>
    </row>
    <row r="1098" spans="2:5" x14ac:dyDescent="0.25">
      <c r="B1098" t="s">
        <v>1267</v>
      </c>
      <c r="E1098">
        <f>SUBTOTAL(109,discountedTable1095[Price])</f>
      </c>
    </row>
    <row r="1099" spans="1:4" s="8" customFormat="1" x14ac:dyDescent="0.25">
      <c r="A1099" s="8" t="s">
        <v>38</v>
      </c>
      <c r="B1099" s="8" t="s">
        <v>1274</v>
      </c>
      <c r="C1099" s="8" t="s">
        <v>38</v>
      </c>
      <c r="D1099" s="8" t="s">
        <v>38</v>
      </c>
    </row>
    <row r="1101" spans="1:1" s="8" customFormat="1" x14ac:dyDescent="0.25">
      <c r="A1101" s="8" t="s">
        <v>1293</v>
      </c>
    </row>
    <row r="1102" spans="1:2" x14ac:dyDescent="0.25">
      <c r="A1102" t="s">
        <v>38</v>
      </c>
      <c r="B1102" t="s">
        <v>961</v>
      </c>
    </row>
    <row r="1103" spans="2:5" x14ac:dyDescent="0.25">
      <c r="B1103" t="s">
        <v>5</v>
      </c>
      <c r="C1103" t="s">
        <v>1271</v>
      </c>
      <c r="D1103" t="s">
        <v>1272</v>
      </c>
      <c r="E1103" t="s">
        <v>1273</v>
      </c>
    </row>
    <row r="1104" spans="2:5" x14ac:dyDescent="0.25">
      <c r="B1104" t="s">
        <v>31</v>
      </c>
      <c r="C1104" t="s">
        <v>99</v>
      </c>
      <c r="D1104">
        <v>3</v>
      </c>
      <c r="E1104">
        <v>47</v>
      </c>
    </row>
    <row r="1105" spans="2:5" x14ac:dyDescent="0.25">
      <c r="B1105" t="s">
        <v>1267</v>
      </c>
      <c r="E1105">
        <f>SUBTOTAL(109,discountedTable1102[Price])</f>
      </c>
    </row>
    <row r="1106" spans="1:4" s="8" customFormat="1" x14ac:dyDescent="0.25">
      <c r="A1106" s="8" t="s">
        <v>38</v>
      </c>
      <c r="B1106" s="8" t="s">
        <v>1274</v>
      </c>
      <c r="C1106" s="8" t="s">
        <v>38</v>
      </c>
      <c r="D1106" s="8" t="s">
        <v>38</v>
      </c>
    </row>
    <row r="1108" spans="1:1" s="8" customFormat="1" x14ac:dyDescent="0.25">
      <c r="A1108" s="8" t="s">
        <v>1294</v>
      </c>
    </row>
    <row r="1109" spans="1:2" x14ac:dyDescent="0.25">
      <c r="A1109" t="s">
        <v>38</v>
      </c>
      <c r="B1109" t="s">
        <v>968</v>
      </c>
    </row>
    <row r="1110" spans="2:5" x14ac:dyDescent="0.25">
      <c r="B1110" t="s">
        <v>5</v>
      </c>
      <c r="C1110" t="s">
        <v>1271</v>
      </c>
      <c r="D1110" t="s">
        <v>1272</v>
      </c>
      <c r="E1110" t="s">
        <v>1273</v>
      </c>
    </row>
    <row r="1111" spans="2:5" x14ac:dyDescent="0.25">
      <c r="B1111" t="s">
        <v>31</v>
      </c>
      <c r="C1111" t="s">
        <v>970</v>
      </c>
      <c r="D1111">
        <v>2</v>
      </c>
      <c r="E1111">
        <v>300</v>
      </c>
    </row>
    <row r="1112" spans="2:5" x14ac:dyDescent="0.25">
      <c r="B1112" t="s">
        <v>1267</v>
      </c>
      <c r="E1112">
        <f>SUBTOTAL(109,discountedTable1109[Price])</f>
      </c>
    </row>
    <row r="1113" spans="1:4" s="8" customFormat="1" x14ac:dyDescent="0.25">
      <c r="A1113" s="8" t="s">
        <v>38</v>
      </c>
      <c r="B1113" s="8" t="s">
        <v>1274</v>
      </c>
      <c r="C1113" s="8" t="s">
        <v>38</v>
      </c>
      <c r="D1113" s="8" t="s">
        <v>38</v>
      </c>
    </row>
    <row r="1115" spans="1:1" s="8" customFormat="1" x14ac:dyDescent="0.25">
      <c r="A1115" s="8" t="s">
        <v>1295</v>
      </c>
    </row>
    <row r="1116" spans="1:2" x14ac:dyDescent="0.25">
      <c r="A1116" t="s">
        <v>38</v>
      </c>
      <c r="B1116" t="s">
        <v>983</v>
      </c>
    </row>
    <row r="1117" spans="2:5" x14ac:dyDescent="0.25">
      <c r="B1117" t="s">
        <v>5</v>
      </c>
      <c r="C1117" t="s">
        <v>1271</v>
      </c>
      <c r="D1117" t="s">
        <v>1272</v>
      </c>
      <c r="E1117" t="s">
        <v>1273</v>
      </c>
    </row>
    <row r="1118" spans="2:5" x14ac:dyDescent="0.25">
      <c r="B1118" t="s">
        <v>31</v>
      </c>
      <c r="C1118" t="s">
        <v>126</v>
      </c>
      <c r="D1118">
        <v>2</v>
      </c>
      <c r="E1118">
        <v>1300</v>
      </c>
    </row>
    <row r="1119" spans="2:5" x14ac:dyDescent="0.25">
      <c r="B1119" t="s">
        <v>1267</v>
      </c>
      <c r="E1119">
        <f>SUBTOTAL(109,discountedTable1116[Price])</f>
      </c>
    </row>
    <row r="1120" spans="1:4" s="8" customFormat="1" x14ac:dyDescent="0.25">
      <c r="A1120" s="8" t="s">
        <v>38</v>
      </c>
      <c r="B1120" s="8" t="s">
        <v>1274</v>
      </c>
      <c r="C1120" s="8" t="s">
        <v>38</v>
      </c>
      <c r="D1120" s="8" t="s">
        <v>38</v>
      </c>
    </row>
    <row r="1122" spans="1:1" s="8" customFormat="1" x14ac:dyDescent="0.25">
      <c r="A1122" s="8" t="s">
        <v>1296</v>
      </c>
    </row>
    <row r="1123" spans="1:2" x14ac:dyDescent="0.25">
      <c r="A1123" t="s">
        <v>38</v>
      </c>
      <c r="B1123" t="s">
        <v>1022</v>
      </c>
    </row>
    <row r="1124" spans="2:5" x14ac:dyDescent="0.25">
      <c r="B1124" t="s">
        <v>5</v>
      </c>
      <c r="C1124" t="s">
        <v>1271</v>
      </c>
      <c r="D1124" t="s">
        <v>1272</v>
      </c>
      <c r="E1124" t="s">
        <v>1273</v>
      </c>
    </row>
    <row r="1125" spans="2:5" x14ac:dyDescent="0.25">
      <c r="B1125" t="s">
        <v>31</v>
      </c>
      <c r="C1125" t="s">
        <v>1024</v>
      </c>
      <c r="D1125">
        <v>1</v>
      </c>
      <c r="E1125">
        <v>65</v>
      </c>
    </row>
    <row r="1126" spans="2:5" x14ac:dyDescent="0.25">
      <c r="B1126" t="s">
        <v>1267</v>
      </c>
      <c r="E1126">
        <f>SUBTOTAL(109,discountedTable1123[Price])</f>
      </c>
    </row>
    <row r="1127" spans="1:4" s="8" customFormat="1" x14ac:dyDescent="0.25">
      <c r="A1127" s="8" t="s">
        <v>38</v>
      </c>
      <c r="B1127" s="8" t="s">
        <v>1274</v>
      </c>
      <c r="C1127" s="8" t="s">
        <v>38</v>
      </c>
      <c r="D1127" s="8" t="s">
        <v>38</v>
      </c>
    </row>
    <row r="1129" spans="1:2" x14ac:dyDescent="0.25">
      <c r="A1129" t="s">
        <v>38</v>
      </c>
      <c r="B1129" t="s">
        <v>1079</v>
      </c>
    </row>
    <row r="1130" spans="2:5" x14ac:dyDescent="0.25">
      <c r="B1130" t="s">
        <v>5</v>
      </c>
      <c r="C1130" t="s">
        <v>1271</v>
      </c>
      <c r="D1130" t="s">
        <v>1272</v>
      </c>
      <c r="E1130" t="s">
        <v>1273</v>
      </c>
    </row>
    <row r="1131" spans="2:5" x14ac:dyDescent="0.25">
      <c r="B1131" t="s">
        <v>31</v>
      </c>
      <c r="C1131" t="s">
        <v>1080</v>
      </c>
      <c r="D1131">
        <v>1</v>
      </c>
      <c r="E1131">
        <v>60</v>
      </c>
    </row>
    <row r="1132" spans="2:5" x14ac:dyDescent="0.25">
      <c r="B1132" t="s">
        <v>1267</v>
      </c>
      <c r="E1132">
        <f>SUBTOTAL(109,discountedTable1129[Price])</f>
      </c>
    </row>
    <row r="1133" spans="1:4" s="8" customFormat="1" x14ac:dyDescent="0.25">
      <c r="A1133" s="8" t="s">
        <v>38</v>
      </c>
      <c r="B1133" s="8" t="s">
        <v>1274</v>
      </c>
      <c r="C1133" s="8" t="s">
        <v>38</v>
      </c>
      <c r="D1133" s="8" t="s">
        <v>38</v>
      </c>
    </row>
    <row r="1135" spans="1:1" s="8" customFormat="1" x14ac:dyDescent="0.25">
      <c r="A1135" s="8" t="s">
        <v>1297</v>
      </c>
    </row>
    <row r="1136" spans="1:2" x14ac:dyDescent="0.25">
      <c r="A1136" t="s">
        <v>38</v>
      </c>
      <c r="B1136" t="s">
        <v>1029</v>
      </c>
    </row>
    <row r="1137" spans="2:5" x14ac:dyDescent="0.25">
      <c r="B1137" t="s">
        <v>5</v>
      </c>
      <c r="C1137" t="s">
        <v>1271</v>
      </c>
      <c r="D1137" t="s">
        <v>1272</v>
      </c>
      <c r="E1137" t="s">
        <v>1273</v>
      </c>
    </row>
    <row r="1138" spans="2:5" x14ac:dyDescent="0.25">
      <c r="B1138" t="s">
        <v>31</v>
      </c>
      <c r="C1138" t="s">
        <v>335</v>
      </c>
      <c r="D1138">
        <v>1</v>
      </c>
      <c r="E1138">
        <v>410</v>
      </c>
    </row>
    <row r="1139" spans="2:5" x14ac:dyDescent="0.25">
      <c r="B1139" t="s">
        <v>1267</v>
      </c>
      <c r="E1139">
        <f>SUBTOTAL(109,discountedTable1136[Price])</f>
      </c>
    </row>
    <row r="1140" spans="1:4" s="8" customFormat="1" x14ac:dyDescent="0.25">
      <c r="A1140" s="8" t="s">
        <v>38</v>
      </c>
      <c r="B1140" s="8" t="s">
        <v>1274</v>
      </c>
      <c r="C1140" s="8" t="s">
        <v>38</v>
      </c>
      <c r="D1140" s="8" t="s">
        <v>38</v>
      </c>
    </row>
    <row r="1142" spans="1:1" s="8" customFormat="1" x14ac:dyDescent="0.25">
      <c r="A1142" s="8" t="s">
        <v>1298</v>
      </c>
    </row>
    <row r="1143" spans="1:2" x14ac:dyDescent="0.25">
      <c r="A1143" t="s">
        <v>38</v>
      </c>
      <c r="B1143" t="s">
        <v>1100</v>
      </c>
    </row>
    <row r="1144" spans="2:5" x14ac:dyDescent="0.25">
      <c r="B1144" t="s">
        <v>5</v>
      </c>
      <c r="C1144" t="s">
        <v>1271</v>
      </c>
      <c r="D1144" t="s">
        <v>1272</v>
      </c>
      <c r="E1144" t="s">
        <v>1273</v>
      </c>
    </row>
    <row r="1145" spans="2:5" x14ac:dyDescent="0.25">
      <c r="B1145" t="s">
        <v>31</v>
      </c>
      <c r="C1145" t="s">
        <v>39</v>
      </c>
      <c r="D1145">
        <v>1.55</v>
      </c>
      <c r="E1145">
        <v>64.4</v>
      </c>
    </row>
    <row r="1146" spans="2:5" x14ac:dyDescent="0.25">
      <c r="B1146" t="s">
        <v>1267</v>
      </c>
      <c r="E1146">
        <f>SUBTOTAL(109,discountedTable1143[Price])</f>
      </c>
    </row>
    <row r="1147" spans="1:4" s="8" customFormat="1" x14ac:dyDescent="0.25">
      <c r="A1147" s="8" t="s">
        <v>38</v>
      </c>
      <c r="B1147" s="8" t="s">
        <v>1274</v>
      </c>
      <c r="C1147" s="8" t="s">
        <v>38</v>
      </c>
      <c r="D1147" s="8" t="s">
        <v>38</v>
      </c>
    </row>
    <row r="1149" spans="1:1" s="8" customFormat="1" x14ac:dyDescent="0.25">
      <c r="A1149" s="8" t="s">
        <v>1299</v>
      </c>
    </row>
    <row r="1150" spans="1:2" x14ac:dyDescent="0.25">
      <c r="A1150" t="s">
        <v>38</v>
      </c>
      <c r="B1150" t="s">
        <v>1132</v>
      </c>
    </row>
    <row r="1151" spans="2:5" x14ac:dyDescent="0.25">
      <c r="B1151" t="s">
        <v>5</v>
      </c>
      <c r="C1151" t="s">
        <v>1271</v>
      </c>
      <c r="D1151" t="s">
        <v>1272</v>
      </c>
      <c r="E1151" t="s">
        <v>1273</v>
      </c>
    </row>
    <row r="1152" spans="2:5" x14ac:dyDescent="0.25">
      <c r="B1152" t="s">
        <v>31</v>
      </c>
      <c r="C1152" t="s">
        <v>1135</v>
      </c>
      <c r="D1152">
        <v>2</v>
      </c>
      <c r="E1152">
        <v>55</v>
      </c>
    </row>
    <row r="1153" spans="2:5" x14ac:dyDescent="0.25">
      <c r="B1153" t="s">
        <v>1267</v>
      </c>
      <c r="E1153">
        <f>SUBTOTAL(109,discountedTable1150[Price])</f>
      </c>
    </row>
    <row r="1154" spans="1:4" s="8" customFormat="1" x14ac:dyDescent="0.25">
      <c r="A1154" s="8" t="s">
        <v>38</v>
      </c>
      <c r="B1154" s="8" t="s">
        <v>1274</v>
      </c>
      <c r="C1154" s="8" t="s">
        <v>38</v>
      </c>
      <c r="D1154" s="8" t="s">
        <v>38</v>
      </c>
    </row>
    <row r="1156" spans="1:1" s="8" customFormat="1" x14ac:dyDescent="0.25">
      <c r="A1156" s="8" t="s">
        <v>1300</v>
      </c>
    </row>
    <row r="1157" spans="1:2" x14ac:dyDescent="0.25">
      <c r="A1157" t="s">
        <v>38</v>
      </c>
      <c r="B1157" t="s">
        <v>1140</v>
      </c>
    </row>
    <row r="1158" spans="2:5" x14ac:dyDescent="0.25">
      <c r="B1158" t="s">
        <v>5</v>
      </c>
      <c r="C1158" t="s">
        <v>1271</v>
      </c>
      <c r="D1158" t="s">
        <v>1272</v>
      </c>
      <c r="E1158" t="s">
        <v>1273</v>
      </c>
    </row>
    <row r="1159" spans="2:5" x14ac:dyDescent="0.25">
      <c r="B1159" t="s">
        <v>31</v>
      </c>
      <c r="C1159" t="s">
        <v>1142</v>
      </c>
      <c r="D1159">
        <v>50</v>
      </c>
      <c r="E1159">
        <v>35</v>
      </c>
    </row>
    <row r="1160" spans="2:5" x14ac:dyDescent="0.25">
      <c r="B1160" t="s">
        <v>1267</v>
      </c>
      <c r="E1160">
        <f>SUBTOTAL(109,discountedTable1157[Price])</f>
      </c>
    </row>
    <row r="1161" spans="1:4" s="8" customFormat="1" x14ac:dyDescent="0.25">
      <c r="A1161" s="8" t="s">
        <v>38</v>
      </c>
      <c r="B1161" s="8" t="s">
        <v>1274</v>
      </c>
      <c r="C1161" s="8" t="s">
        <v>38</v>
      </c>
      <c r="D1161" s="8" t="s">
        <v>38</v>
      </c>
    </row>
    <row r="1163" spans="1:1" s="8" customFormat="1" x14ac:dyDescent="0.25">
      <c r="A1163" s="8" t="s">
        <v>1301</v>
      </c>
    </row>
    <row r="1164" spans="1:2" x14ac:dyDescent="0.25">
      <c r="A1164" t="s">
        <v>38</v>
      </c>
      <c r="B1164" t="s">
        <v>1184</v>
      </c>
    </row>
    <row r="1165" spans="2:5" x14ac:dyDescent="0.25">
      <c r="B1165" t="s">
        <v>5</v>
      </c>
      <c r="C1165" t="s">
        <v>1271</v>
      </c>
      <c r="D1165" t="s">
        <v>1272</v>
      </c>
      <c r="E1165" t="s">
        <v>1273</v>
      </c>
    </row>
    <row r="1166" spans="2:5" x14ac:dyDescent="0.25">
      <c r="B1166" t="s">
        <v>31</v>
      </c>
      <c r="C1166" t="s">
        <v>1186</v>
      </c>
      <c r="D1166">
        <v>1</v>
      </c>
      <c r="E1166">
        <v>100</v>
      </c>
    </row>
    <row r="1167" spans="2:5" x14ac:dyDescent="0.25">
      <c r="B1167" t="s">
        <v>1267</v>
      </c>
      <c r="E1167">
        <f>SUBTOTAL(109,discountedTable1164[Price])</f>
      </c>
    </row>
    <row r="1168" spans="1:4" s="8" customFormat="1" x14ac:dyDescent="0.25">
      <c r="A1168" s="8" t="s">
        <v>38</v>
      </c>
      <c r="B1168" s="8" t="s">
        <v>1274</v>
      </c>
      <c r="C1168" s="8" t="s">
        <v>38</v>
      </c>
      <c r="D1168" s="8" t="s">
        <v>38</v>
      </c>
    </row>
    <row r="1170" spans="1:1" s="8" customFormat="1" x14ac:dyDescent="0.25">
      <c r="A1170" s="8" t="s">
        <v>1302</v>
      </c>
    </row>
    <row r="1171" spans="1:2" x14ac:dyDescent="0.25">
      <c r="A1171" t="s">
        <v>38</v>
      </c>
      <c r="B1171" t="s">
        <v>1197</v>
      </c>
    </row>
    <row r="1172" spans="2:5" x14ac:dyDescent="0.25">
      <c r="B1172" t="s">
        <v>5</v>
      </c>
      <c r="C1172" t="s">
        <v>1271</v>
      </c>
      <c r="D1172" t="s">
        <v>1272</v>
      </c>
      <c r="E1172" t="s">
        <v>1273</v>
      </c>
    </row>
    <row r="1173" spans="2:5" x14ac:dyDescent="0.25">
      <c r="B1173" t="s">
        <v>31</v>
      </c>
      <c r="C1173" t="s">
        <v>1199</v>
      </c>
      <c r="D1173">
        <v>2</v>
      </c>
      <c r="E1173">
        <v>500</v>
      </c>
    </row>
    <row r="1174" spans="2:5" x14ac:dyDescent="0.25">
      <c r="B1174" t="s">
        <v>46</v>
      </c>
      <c r="C1174" t="s">
        <v>1000</v>
      </c>
      <c r="D1174">
        <v>4</v>
      </c>
      <c r="E1174">
        <v>15</v>
      </c>
    </row>
    <row r="1175" spans="2:5" x14ac:dyDescent="0.25">
      <c r="B1175" t="s">
        <v>1267</v>
      </c>
      <c r="E1175">
        <f>SUBTOTAL(109,discountedTable1171[Price])</f>
      </c>
    </row>
    <row r="1176" spans="1:4" s="8" customFormat="1" x14ac:dyDescent="0.25">
      <c r="A1176" s="8" t="s">
        <v>38</v>
      </c>
      <c r="B1176" s="8" t="s">
        <v>1274</v>
      </c>
      <c r="C1176" s="8" t="s">
        <v>38</v>
      </c>
      <c r="D1176" s="8" t="s">
        <v>38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tableParts count="16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</vt:lpstr>
      <vt:lpstr>Discount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2025-02-25T05:55:36Z</dcterms:created>
  <dcterms:modified xsi:type="dcterms:W3CDTF">2025-02-25T05:55:36Z</dcterms:modified>
</cp:coreProperties>
</file>