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activeX/activeX9.xml" ContentType="application/vnd.ms-office.activeX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activeX/activeX5.xml" ContentType="application/vnd.ms-office.activeX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activeX/activeX10.xml" ContentType="application/vnd.ms-office.activeX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activeX/activeX6.xml" ContentType="application/vnd.ms-office.activeX+xml"/>
  <Default Extension="emf" ContentType="image/x-emf"/>
  <Override PartName="/xl/drawings/drawing5.xml" ContentType="application/vnd.openxmlformats-officedocument.drawingml.chartsha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ate1904="1" codeName="ThisWorkbook" defaultThemeVersion="124226"/>
  <bookViews>
    <workbookView xWindow="0" yWindow="0" windowWidth="15330" windowHeight="7470" tabRatio="953" activeTab="17"/>
  </bookViews>
  <sheets>
    <sheet name="GEntry" sheetId="1" r:id="rId1"/>
    <sheet name="FWise" sheetId="2" r:id="rId2"/>
    <sheet name="MVAR-Yesterday" sheetId="3" r:id="rId3"/>
    <sheet name="Forecast" sheetId="4" r:id="rId4"/>
    <sheet name="Ch" sheetId="5" r:id="rId5"/>
    <sheet name="PM" sheetId="6" r:id="rId6"/>
    <sheet name="Generation" sheetId="7" r:id="rId7"/>
    <sheet name="EvReport" sheetId="8" r:id="rId8"/>
    <sheet name="EvBangla" sheetId="9" r:id="rId9"/>
    <sheet name="DGFI" sheetId="10" r:id="rId10"/>
    <sheet name="EWIC" sheetId="11" r:id="rId11"/>
    <sheet name="P1" sheetId="12" r:id="rId12"/>
    <sheet name="P2" sheetId="13" r:id="rId13"/>
    <sheet name="P3" sheetId="14" r:id="rId14"/>
    <sheet name="Volt" sheetId="15" r:id="rId15"/>
    <sheet name="YesterdayGen" sheetId="16" r:id="rId16"/>
    <sheet name="L-Curve" sheetId="17" r:id="rId17"/>
    <sheet name="En-Curve" sheetId="18" r:id="rId18"/>
    <sheet name="SMS" sheetId="19" r:id="rId19"/>
    <sheet name="NSI Reading" sheetId="20" r:id="rId20"/>
    <sheet name="P-Sum" sheetId="21" r:id="rId21"/>
    <sheet name="Demand" sheetId="22" r:id="rId22"/>
    <sheet name="YesterdayFWise" sheetId="23" r:id="rId23"/>
    <sheet name="Master" sheetId="24" r:id="rId24"/>
    <sheet name="Zone Wise Gen" sheetId="25" r:id="rId25"/>
    <sheet name="solar" sheetId="26" r:id="rId26"/>
    <sheet name="EnReport" sheetId="27" r:id="rId27"/>
    <sheet name="Sheet1" sheetId="28" r:id="rId28"/>
  </sheets>
  <functionGroups/>
  <definedNames>
    <definedName name="_xlnm._FilterDatabase" localSheetId="7" hidden="1">EvReport!$A$4:$Q$200</definedName>
    <definedName name="A" localSheetId="14">Volt!$A$1:$L$104</definedName>
    <definedName name="DeleteA2">GEntry!$DZ$4:$GG$16</definedName>
    <definedName name="DeleteB1">GEntry!$B$17:$DS$29</definedName>
    <definedName name="DeleteB2">GEntry!$DZ$17:$GG$29</definedName>
    <definedName name="DeleteC1">GEntry!$B$30:$DS$30</definedName>
    <definedName name="DeleteC2">GEntry!$DZ$30:$GG$30</definedName>
    <definedName name="Eastern">GEntry!$DY:$DY</definedName>
    <definedName name="Evening">GEntry!$DZ$17:$GI$30,GEntry!$B$17:$DX$30</definedName>
    <definedName name="HVDC">GEntry!$EX:$EX</definedName>
    <definedName name="Kaptai">GEntry!$CI$15</definedName>
    <definedName name="Morning">GEntry!$DZ$11:$GI$30,GEntry!$B$11:$DX$30</definedName>
    <definedName name="Night">GEntry!$B$4:$DV$21,GEntry!$DZ$4:$GI$21</definedName>
    <definedName name="_xlnm.Print_Area" localSheetId="4">Ch!$A$1:$J$58</definedName>
    <definedName name="_xlnm.Print_Area" localSheetId="9">DGFI!$A$1:$F$52</definedName>
    <definedName name="_xlnm.Print_Area" localSheetId="17">'En-Curve'!$P$2:$Z$64</definedName>
    <definedName name="_xlnm.Print_Area" localSheetId="26">EnReport!$C$5:$F$38</definedName>
    <definedName name="_xlnm.Print_Area" localSheetId="8">EvBangla!$A$1:$M$32</definedName>
    <definedName name="_xlnm.Print_Area" localSheetId="7">EvReport!$B$1:$L$207</definedName>
    <definedName name="_xlnm.Print_Area" localSheetId="3">Forecast!$B$1:$R$222</definedName>
    <definedName name="_xlnm.Print_Area" localSheetId="1">FWise!$B$2:$L$42</definedName>
    <definedName name="_xlnm.Print_Area" localSheetId="6">Generation!$A$1:$AC$199</definedName>
    <definedName name="_xlnm.Print_Area" localSheetId="16">'L-Curve'!$H$3:$Q$49</definedName>
    <definedName name="_xlnm.Print_Area" localSheetId="11">'P1'!$A$1:$I$113</definedName>
    <definedName name="_xlnm.Print_Area" localSheetId="12">'P2'!$B$1:$J$192</definedName>
    <definedName name="_xlnm.Print_Area" localSheetId="13">'P3'!$B$1:$J$91</definedName>
    <definedName name="_xlnm.Print_Area" localSheetId="5">PM!$A$1:$G$22</definedName>
    <definedName name="_xlnm.Print_Area" localSheetId="14">Volt!$B$2:$K$115</definedName>
    <definedName name="_xlnm.Print_Area" localSheetId="22">YesterdayFWise!$B$2:$L$32</definedName>
    <definedName name="_xlnm.Print_Area" localSheetId="24">'Zone Wise Gen'!$A$3:$K$29</definedName>
    <definedName name="_xlnm.Print_Titles" localSheetId="7">EvReport!$7:$8</definedName>
    <definedName name="_xlnm.Print_Titles" localSheetId="3">Forecast!$4:$8</definedName>
    <definedName name="_xlnm.Print_Titles" localSheetId="12">'P2'!$5:$8</definedName>
    <definedName name="Teknaf">GEntry!$G$15</definedName>
    <definedName name="Total">GEntry!$GK:$GK</definedName>
    <definedName name="Water_Level">GEntry!$GL$4</definedName>
    <definedName name="Z_00816E66_C8EF_4707_9426_37B48CF40B5E_.wvu.FilterData" localSheetId="7" hidden="1">EvReport!$A$4:$Q$200</definedName>
    <definedName name="Z_00985444_868C_4FA6_A402_B8873578A103_.wvu.FilterData" localSheetId="7" hidden="1">EvReport!$A$4:$Q$200</definedName>
    <definedName name="Z_00D54B19_C8D1_40BA_A58F_8D9E0C18E1CB_.wvu.FilterData" localSheetId="7" hidden="1">EvReport!$A$4:$Q$200</definedName>
    <definedName name="Z_00E30733_8CE2_4A3A_B3FF_CB8172AF80F1_.wvu.FilterData" localSheetId="7" hidden="1">EvReport!$A$4:$Q$200</definedName>
    <definedName name="Z_0230FEFA_F31E_4BC3_9092_1069693CAB47_.wvu.FilterData" localSheetId="7" hidden="1">EvReport!$A$4:$Q$200</definedName>
    <definedName name="Z_024E958E_E929_4501_A53E_94920969BF09_.wvu.FilterData" localSheetId="7" hidden="1">EvReport!$A$4:$Q$200</definedName>
    <definedName name="Z_030A4111_01BB_4D51_9E4B_EE9DCC27ADB7_.wvu.FilterData" localSheetId="7" hidden="1">EvReport!$A$4:$Q$200</definedName>
    <definedName name="Z_033DC2B8_03D9_43A3_BE91_BFDC1E98A5ED_.wvu.FilterData" localSheetId="7" hidden="1">EvReport!$A$4:$Q$200</definedName>
    <definedName name="Z_036D4968_45EC_4BD7_81D3_5854167F817E_.wvu.FilterData" localSheetId="7" hidden="1">EvReport!$A$4:$Q$200</definedName>
    <definedName name="Z_037D5D13_6546_402C_894F_7881F23A6B4B_.wvu.FilterData" localSheetId="7" hidden="1">EvReport!$A$4:$Q$200</definedName>
    <definedName name="Z_03A4F068_30D8_4FBA_B9FB_C447C4192FE3_.wvu.FilterData" localSheetId="7" hidden="1">EvReport!$A$4:$Q$200</definedName>
    <definedName name="Z_03BAA096_459A_4640_B6AF_65AD552547EC_.wvu.FilterData" localSheetId="7" hidden="1">EvReport!$A$4:$Q$200</definedName>
    <definedName name="Z_03EEFB0C_47F4_4DA3_B1BC_41EE07ABDA2B_.wvu.FilterData" localSheetId="7" hidden="1">EvReport!$A$4:$Q$200</definedName>
    <definedName name="Z_04A0C869_87B0_4F4E_BF37_A44175F5931E_.wvu.FilterData" localSheetId="7" hidden="1">EvReport!$A$4:$Q$200</definedName>
    <definedName name="Z_04F0B07E_A887_4181_8082_9869608BB2CC_.wvu.FilterData" localSheetId="7" hidden="1">EvReport!$A$4:$Q$200</definedName>
    <definedName name="Z_05C00F70_27E3_4230_97FA_2ACAC26559D6_.wvu.FilterData" localSheetId="7" hidden="1">EvReport!$A$4:$Q$200</definedName>
    <definedName name="Z_065E6F8B_25A5_4E3F_807E_48561F1B101E_.wvu.FilterData" localSheetId="7" hidden="1">EvReport!$A$4:$Q$200</definedName>
    <definedName name="Z_071D690D_0431_43F4_8617_5D6A66F81A3D_.wvu.FilterData" localSheetId="7" hidden="1">EvReport!$A$4:$Q$200</definedName>
    <definedName name="Z_0734719E_AB28_427C_8EA2_71D5694520E6_.wvu.FilterData" localSheetId="7" hidden="1">EvReport!$A$4:$Q$200</definedName>
    <definedName name="Z_074633E4_8F98_448E_8F4D_FD6FFAB4636D_.wvu.FilterData" localSheetId="7" hidden="1">EvReport!$A$4:$Q$200</definedName>
    <definedName name="Z_078A4398_BA06_46AF_A726_BAD6722BF846_.wvu.FilterData" localSheetId="7" hidden="1">EvReport!$A$4:$Q$200</definedName>
    <definedName name="Z_07C36BE0_0F11_4F97_8764_B82E447A6EAC_.wvu.FilterData" localSheetId="7" hidden="1">EvReport!$A$4:$Q$200</definedName>
    <definedName name="Z_08267811_9372_4D27_9CE5_D64A4C04A75D_.wvu.FilterData" localSheetId="7" hidden="1">EvReport!$A$4:$Q$200</definedName>
    <definedName name="Z_08317346_0773_4EE5_90CC_F1A5231D46ED_.wvu.FilterData" localSheetId="7" hidden="1">EvReport!$A$4:$Q$200</definedName>
    <definedName name="Z_08C09E9E_3554_437C_8364_0FBEDAB7A0CA_.wvu.FilterData" localSheetId="7" hidden="1">EvReport!$A$4:$Q$200</definedName>
    <definedName name="Z_08F6C376_C8FD_4401_8CC9_F984D5B520E4_.wvu.FilterData" localSheetId="7" hidden="1">EvReport!$A$4:$Q$200</definedName>
    <definedName name="Z_094F6C4B_BD71_40B9_8ABC_E68942C60527_.wvu.FilterData" localSheetId="7" hidden="1">EvReport!$A$4:$Q$200</definedName>
    <definedName name="Z_0957EFE7_7949_4994_86C2_877CEF489767_.wvu.FilterData" localSheetId="7" hidden="1">EvReport!$A$4:$Q$200</definedName>
    <definedName name="Z_09868C73_4693_4C07_9DD0_486E39A247D5_.wvu.FilterData" localSheetId="7" hidden="1">EvReport!$A$4:$Q$200</definedName>
    <definedName name="Z_0A2380C8_F90D_4FD9_BD7D_1D8B1D005986_.wvu.FilterData" localSheetId="7" hidden="1">EvReport!$A$4:$Q$200</definedName>
    <definedName name="Z_0AA4FF65_D939_4589_9C21_8E7771905258_.wvu.FilterData" localSheetId="7" hidden="1">EvReport!$A$4:$Q$200</definedName>
    <definedName name="Z_0AD949BE_3FCA_4D83_9EAF_08F1B4260343_.wvu.FilterData" localSheetId="7" hidden="1">EvReport!$A$4:$Q$200</definedName>
    <definedName name="Z_0AE86EBC_924F_4F7E_9724_D711BB7D3D8B_.wvu.FilterData" localSheetId="7" hidden="1">EvReport!$A$4:$Q$200</definedName>
    <definedName name="Z_0B07CE1B_4DB2_4417_984D_A95EC4A18B2D_.wvu.FilterData" localSheetId="7" hidden="1">EvReport!$A$4:$Q$200</definedName>
    <definedName name="Z_0B1683B8_B493_4BBF_9EC0_CBEA513C98C7_.wvu.FilterData" localSheetId="7" hidden="1">EvReport!$A$4:$Q$200</definedName>
    <definedName name="Z_0B1D2579_4259_4950_925D_C8FA4D84D921_.wvu.FilterData" localSheetId="7" hidden="1">EvReport!$A$4:$Q$200</definedName>
    <definedName name="Z_0B4CC4B1_5E01_44CD_A003_2D9FB836AF9E_.wvu.FilterData" localSheetId="7" hidden="1">EvReport!$A$4:$Q$200</definedName>
    <definedName name="Z_0BD30875_D33F_4BA2_B861_942A2822B802_.wvu.FilterData" localSheetId="7" hidden="1">EvReport!$A$4:$Q$200</definedName>
    <definedName name="Z_0BF9381F_FAC0_43F5_B92D_FF70157FCD34_.wvu.FilterData" localSheetId="7" hidden="1">EvReport!$A$4:$Q$200</definedName>
    <definedName name="Z_0C1AE4A8_9AF7_4381_83D9_538C6D40F16A_.wvu.FilterData" localSheetId="7" hidden="1">EvReport!$A$4:$Q$200</definedName>
    <definedName name="Z_0C74F36D_EA6C_430B_B6D3_A49DA1C9EAE9_.wvu.FilterData" localSheetId="7" hidden="1">EvReport!$A$4:$Q$200</definedName>
    <definedName name="Z_0CA3A819_6BD8_4273_BB34_3A2E062FE2DC_.wvu.FilterData" localSheetId="7" hidden="1">EvReport!$A$4:$Q$200</definedName>
    <definedName name="Z_0D4FE4C4_5330_4DE8_B3A3_A3C7AEBD282D_.wvu.FilterData" localSheetId="7" hidden="1">EvReport!$A$4:$Q$200</definedName>
    <definedName name="Z_0D564944_F186_4AE2_A114_8010049CE1F5_.wvu.FilterData" localSheetId="7" hidden="1">EvReport!$A$4:$Q$200</definedName>
    <definedName name="Z_0D5B941E_A189_44BC_B01F_B6DFA3D70FCD_.wvu.FilterData" localSheetId="7" hidden="1">EvReport!$A$4:$Q$200</definedName>
    <definedName name="Z_0DE589F6_8A70_417D_B2F3_66A6E3E7FE5E_.wvu.FilterData" localSheetId="7" hidden="1">EvReport!$A$4:$Q$200</definedName>
    <definedName name="Z_0DFE4201_E7DA_40C4_BEBB_3323ED621ADF_.wvu.FilterData" localSheetId="7" hidden="1">EvReport!$A$4:$Q$200</definedName>
    <definedName name="Z_0E1F6889_6039_4989_A6EA_13BE553088EB_.wvu.FilterData" localSheetId="7" hidden="1">EvReport!$A$4:$Q$200</definedName>
    <definedName name="Z_0E9AC62E_1DF9_43AA_B35B_4A0509CC089F_.wvu.FilterData" localSheetId="7" hidden="1">EvReport!$A$4:$Q$200</definedName>
    <definedName name="Z_0ED9FA5C_D12A_45F6_A013_DF983F0C0F94_.wvu.FilterData" localSheetId="7" hidden="1">EvReport!$A$4:$Q$200</definedName>
    <definedName name="Z_0EDBA314_230E_42B9_A1EC_1EE92FD69763_.wvu.FilterData" localSheetId="7" hidden="1">EvReport!$A$4:$Q$200</definedName>
    <definedName name="Z_0F39C3EB_07F3_4BCA_99F5_98FF63DAE4EB_.wvu.FilterData" localSheetId="7" hidden="1">EvReport!$A$4:$Q$200</definedName>
    <definedName name="Z_0F6AAD51_9591_4A6A_8A05_005B711B4E9A_.wvu.FilterData" localSheetId="7" hidden="1">EvReport!$A$4:$Q$200</definedName>
    <definedName name="Z_0F7880D7_4F37_4BF3_8306_FD7A56F35448_.wvu.FilterData" localSheetId="7" hidden="1">EvReport!$A$4:$Q$200</definedName>
    <definedName name="Z_0F8E50D9_FF08_4537_BE71_1A1A56F4B68C_.wvu.FilterData" localSheetId="7" hidden="1">EvReport!$A$4:$Q$200</definedName>
    <definedName name="Z_0FD585FC_06A6_448A_A2FD_15ED81384E86_.wvu.FilterData" localSheetId="7" hidden="1">EvReport!$A$4:$Q$200</definedName>
    <definedName name="Z_0FD8B39E_3EBE_4424_AC33_374A3D7B3270_.wvu.FilterData" localSheetId="7" hidden="1">EvReport!$A$4:$Q$200</definedName>
    <definedName name="Z_0FDE9C93_058A_4F09_8EAB_2B35D833C473_.wvu.FilterData" localSheetId="7" hidden="1">EvReport!$A$4:$Q$200</definedName>
    <definedName name="Z_104FDE06_5D18_4EF0_B817_46CB586C99D1_.wvu.FilterData" localSheetId="7" hidden="1">EvReport!$A$4:$Q$200</definedName>
    <definedName name="Z_107AC145_86CC_4B03_9367_21D15B210737_.wvu.FilterData" localSheetId="7" hidden="1">EvReport!$A$4:$Q$200</definedName>
    <definedName name="Z_115670CE_B2C0_4F9C_9CCA_20926EA723C4_.wvu.FilterData" localSheetId="7" hidden="1">EvReport!$A$4:$Q$200</definedName>
    <definedName name="Z_1195FE5C_A7E6_43D4_AE1E_6A69A08FA8F8_.wvu.FilterData" localSheetId="7" hidden="1">EvReport!$A$4:$Q$200</definedName>
    <definedName name="Z_11B51A95_C289_40BE_931D_1000376D5501_.wvu.FilterData" localSheetId="7" hidden="1">EvReport!$A$4:$Q$200</definedName>
    <definedName name="Z_11D4E215_2238_4814_A1E1_ADE69E76F6C3_.wvu.FilterData" localSheetId="7" hidden="1">EvReport!$A$4:$Q$200</definedName>
    <definedName name="Z_11D69135_2826_4F64_9EB9_41A3D0B9677D_.wvu.FilterData" localSheetId="7" hidden="1">EvReport!$A$4:$Q$200</definedName>
    <definedName name="Z_122059A6_6EE4_4E12_AFE4_01C6D54C0FC1_.wvu.FilterData" localSheetId="7" hidden="1">EvReport!$A$4:$Q$200</definedName>
    <definedName name="Z_128BFC96_C044_439C_B1C2_9887E01406D1_.wvu.FilterData" localSheetId="7" hidden="1">EvReport!$A$4:$Q$200</definedName>
    <definedName name="Z_128C3BC4_02D7_4E87_B010_4BC247A9083E_.wvu.FilterData" localSheetId="7" hidden="1">EvReport!$A$4:$Q$200</definedName>
    <definedName name="Z_130B14BE_816B_41F7_9D4B_FBAFC4C6C6CD_.wvu.FilterData" localSheetId="7" hidden="1">EvReport!$A$4:$Q$200</definedName>
    <definedName name="Z_1333C686_C5DC_4D5A_A141_F1F504281964_.wvu.FilterData" localSheetId="7" hidden="1">EvReport!$A$4:$Q$200</definedName>
    <definedName name="Z_141333FC_09CC_411F_B530_E20146B2AC97_.wvu.FilterData" localSheetId="7" hidden="1">EvReport!$A$4:$Q$200</definedName>
    <definedName name="Z_1440872F_0E4C_4600_A945_2EF2EE193A73_.wvu.FilterData" localSheetId="7" hidden="1">EvReport!$A$4:$Q$200</definedName>
    <definedName name="Z_14683404_8FFF_4BB4_B2B6_D489F7CF307E_.wvu.FilterData" localSheetId="7" hidden="1">EvReport!$A$4:$Q$200</definedName>
    <definedName name="Z_1469F021_0C62_47C6_B3CE_45EF51D06EC8_.wvu.FilterData" localSheetId="7" hidden="1">EvReport!$A$4:$Q$200</definedName>
    <definedName name="Z_14A9B20D_E2FF_424B_8BAE_A41AD37F9D79_.wvu.FilterData" localSheetId="7" hidden="1">EvReport!$A$4:$Q$200</definedName>
    <definedName name="Z_14C0D99A_C592_4B7F_AB87_5BA6EA36C10A_.wvu.FilterData" localSheetId="7" hidden="1">EvReport!$A$4:$Q$200</definedName>
    <definedName name="Z_14F86935_43AC_4E4D_B085_2734D89E1900_.wvu.FilterData" localSheetId="7" hidden="1">EvReport!$A$4:$Q$200</definedName>
    <definedName name="Z_14F932BC_C09A_4237_8BB6_56B4DC4D35B7_.wvu.FilterData" localSheetId="7" hidden="1">EvReport!$A$4:$Q$200</definedName>
    <definedName name="Z_150ED540_B3C7_46F7_BD83_4D77526109F6_.wvu.FilterData" localSheetId="7" hidden="1">EvReport!$A$4:$Q$200</definedName>
    <definedName name="Z_151AEE1F_DE75_4E83_A572_1DE930CDA81C_.wvu.FilterData" localSheetId="7" hidden="1">EvReport!$A$4:$Q$200</definedName>
    <definedName name="Z_15F377A6_8963_4B81_9B2E_DAD9EF07D410_.wvu.FilterData" localSheetId="7" hidden="1">EvReport!$A$4:$Q$200</definedName>
    <definedName name="Z_16129B23_EA8B_4FD8_B11D_65E9103D6693_.wvu.FilterData" localSheetId="7" hidden="1">EvReport!$A$4:$Q$200</definedName>
    <definedName name="Z_1624BBB9_664D_4BE6_B063_1F11D97B2B57_.wvu.FilterData" localSheetId="7" hidden="1">EvReport!$A$4:$Q$200</definedName>
    <definedName name="Z_16AA4D3D_28DA_4060_B611_3BA8C608AA1B_.wvu.FilterData" localSheetId="7" hidden="1">EvReport!$A$4:$Q$200</definedName>
    <definedName name="Z_16E1D32E_CEA1_4493_BA9A_69B063DA12E4_.wvu.FilterData" localSheetId="7" hidden="1">EvReport!$A$4:$Q$200</definedName>
    <definedName name="Z_16FEEC52_1AE3_4567_91EF_F3AE5EAD22D8_.wvu.FilterData" localSheetId="7" hidden="1">EvReport!$A$4:$Q$200</definedName>
    <definedName name="Z_17190DEE_D428_48C2_9A61_4BACC00B3041_.wvu.FilterData" localSheetId="7" hidden="1">EvReport!$A$4:$Q$200</definedName>
    <definedName name="Z_173D1C9A_71E5_463F_A679_A002E4C33FB7_.wvu.FilterData" localSheetId="7" hidden="1">EvReport!$A$4:$Q$200</definedName>
    <definedName name="Z_1749B5FE_7665_4931_AB3B_A3B09C4ED40D_.wvu.FilterData" localSheetId="7" hidden="1">EvReport!$A$4:$Q$200</definedName>
    <definedName name="Z_174FC3D0_8610_4101_95DE_1CA9ECAD98F1_.wvu.FilterData" localSheetId="7" hidden="1">EvReport!$A$4:$Q$200</definedName>
    <definedName name="Z_183F30AF_06A6_4C8B_B2D1_253D96FD824D_.wvu.FilterData" localSheetId="7" hidden="1">EvReport!$A$4:$Q$200</definedName>
    <definedName name="Z_18D2067E_90BC_4C7E_8CB0_00A6CDF15A7A_.wvu.FilterData" localSheetId="7" hidden="1">EvReport!$A$4:$Q$200</definedName>
    <definedName name="Z_191988D9_8D48_4C2D_8538_CF7DAEC6816C_.wvu.FilterData" localSheetId="7" hidden="1">EvReport!$A$4:$Q$200</definedName>
    <definedName name="Z_192D303E_2CED_42A4_BE74_944E985DCC8E_.wvu.FilterData" localSheetId="7" hidden="1">EvReport!$A$4:$Q$200</definedName>
    <definedName name="Z_193AEE2D_1C15_4556_9CBE_05DA5F1A3AD6_.wvu.FilterData" localSheetId="7" hidden="1">EvReport!$A$4:$Q$200</definedName>
    <definedName name="Z_19AADB3A_91D7_41EC_B23D_EAD0D7F432CB_.wvu.FilterData" localSheetId="7" hidden="1">EvReport!$A$4:$Q$200</definedName>
    <definedName name="Z_19BFCCF2_DBC4_4D48_A305_9F8FD73F9FB1_.wvu.FilterData" localSheetId="7" hidden="1">EvReport!$A$4:$Q$200</definedName>
    <definedName name="Z_1A23D399_C54D_4B8E_AEC0_80C0DCAAF868_.wvu.FilterData" localSheetId="7" hidden="1">EvReport!$A$4:$Q$200</definedName>
    <definedName name="Z_1A3955E5_CBAE_4C70_8EDD_710D817F1AD4_.wvu.FilterData" localSheetId="7" hidden="1">EvReport!$A$4:$Q$200</definedName>
    <definedName name="Z_1A4BA2C1_BD4A_40D3_B93C_354647299969_.wvu.FilterData" localSheetId="7" hidden="1">EvReport!$A$4:$Q$200</definedName>
    <definedName name="Z_1AB89784_7E75_4854_92C7_20D1535B1609_.wvu.FilterData" localSheetId="7" hidden="1">EvReport!$A$4:$Q$200</definedName>
    <definedName name="Z_1AC62E40_77FD_44DE_BA91_1C631F08E8A8_.wvu.FilterData" localSheetId="7" hidden="1">EvReport!$A$4:$Q$200</definedName>
    <definedName name="Z_1AEC3A06_85A4_4889_9549_9D2631864006_.wvu.FilterData" localSheetId="7" hidden="1">EvReport!$A$4:$Q$200</definedName>
    <definedName name="Z_1AFABA9E_7B3C_485A_95CE_4BD360EC2137_.wvu.FilterData" localSheetId="7" hidden="1">EvReport!$A$4:$Q$200</definedName>
    <definedName name="Z_1B2AEA14_24A6_403E_8780_BD33786DB311_.wvu.FilterData" localSheetId="7" hidden="1">EvReport!$A$4:$Q$200</definedName>
    <definedName name="Z_1B31B09A_CC24_4764_9DE2_B350184B6438_.wvu.FilterData" localSheetId="7" hidden="1">EvReport!$A$4:$Q$200</definedName>
    <definedName name="Z_1B5519D9_5F55_40F4_8D59_CCD28B728B40_.wvu.FilterData" localSheetId="7" hidden="1">EvReport!$A$4:$Q$200</definedName>
    <definedName name="Z_1B691F81_C30D_4E91_87A8_060528F79F39_.wvu.FilterData" localSheetId="7" hidden="1">EvReport!$A$4:$Q$200</definedName>
    <definedName name="Z_1BA437F3_F28B_4CED_B34B_37CEFD7E0705_.wvu.FilterData" localSheetId="7" hidden="1">EvReport!$A$4:$Q$200</definedName>
    <definedName name="Z_1BDE9B62_3E06_40DC_A99B_A32574777320_.wvu.FilterData" localSheetId="7" hidden="1">EvReport!$A$4:$Q$200</definedName>
    <definedName name="Z_1D0EDF60_5B69_4DA3_9AC3_4623BC36F31F_.wvu.FilterData" localSheetId="7" hidden="1">EvReport!$A$4:$Q$200</definedName>
    <definedName name="Z_1D557E8F_3B5F_4D88_8F57_8404A62676B0_.wvu.FilterData" localSheetId="7" hidden="1">EvReport!$A$4:$Q$200</definedName>
    <definedName name="Z_1D681938_561B_448F_AA38_19C375E4F103_.wvu.FilterData" localSheetId="7" hidden="1">EvReport!$A$4:$Q$200</definedName>
    <definedName name="Z_1DA8ED1D_4477_4764_BCD2_BDBDD62BF8F4_.wvu.FilterData" localSheetId="7" hidden="1">EvReport!$A$4:$Q$200</definedName>
    <definedName name="Z_1E100689_37E8_4903_89DB_CEA4D0B6D8CE_.wvu.FilterData" localSheetId="7" hidden="1">EvReport!$A$4:$Q$200</definedName>
    <definedName name="Z_1E2583D8_C2C8_4DEA_A5C1_4DF3F32C537B_.wvu.FilterData" localSheetId="7" hidden="1">EvReport!$A$4:$Q$200</definedName>
    <definedName name="Z_1E29A707_9034_4081_9B00_DAA8102FCE5A_.wvu.FilterData" localSheetId="7" hidden="1">EvReport!$A$4:$Q$200</definedName>
    <definedName name="Z_1EF0FACE_65E6_4DE9_A01E_8F98AF34E8CD_.wvu.FilterData" localSheetId="7" hidden="1">EvReport!$A$4:$Q$200</definedName>
    <definedName name="Z_1FAEEFC0_CE2C_4A23_8DDA_4B4B26558431_.wvu.FilterData" localSheetId="7" hidden="1">EvReport!$A$4:$Q$200</definedName>
    <definedName name="Z_1FD46B63_D09F_48EE_9F6B_623B58A03D36_.wvu.FilterData" localSheetId="7" hidden="1">EvReport!$A$4:$Q$200</definedName>
    <definedName name="Z_1FF77055_D7E4_4B7E_9463_7F8150A791BA_.wvu.FilterData" localSheetId="7" hidden="1">EvReport!$A$4:$Q$200</definedName>
    <definedName name="Z_204402C2_9784_4D50_9431_DC1BB5529D7C_.wvu.FilterData" localSheetId="7" hidden="1">EvReport!$A$4:$Q$200</definedName>
    <definedName name="Z_209ABFB6_CD12_43EC_8742_905C59B5EC6B_.wvu.FilterData" localSheetId="7" hidden="1">EvReport!$A$4:$Q$200</definedName>
    <definedName name="Z_20D6BC61_1CE6_4BC0_9A03_4D9F8A199ABF_.wvu.FilterData" localSheetId="7" hidden="1">EvReport!$A$4:$Q$200</definedName>
    <definedName name="Z_20DC9985_8D8D_484F_8612_7F5E1A57835C_.wvu.FilterData" localSheetId="7" hidden="1">EvReport!$A$4:$Q$200</definedName>
    <definedName name="Z_213460BD_9265_47B6_8DE7_FD55F3F76940_.wvu.FilterData" localSheetId="7" hidden="1">EvReport!$A$4:$Q$200</definedName>
    <definedName name="Z_21914110_B1EC_497D_A123_357F6AF8F22B_.wvu.FilterData" localSheetId="7" hidden="1">EvReport!$A$4:$Q$200</definedName>
    <definedName name="Z_21ACAD26_C763_4480_83FA_5C3F6485B8C1_.wvu.FilterData" localSheetId="7" hidden="1">EvReport!$A$4:$Q$200</definedName>
    <definedName name="Z_21B382CA_335C_4B96_ABBE_26D54E251CCD_.wvu.FilterData" localSheetId="7" hidden="1">EvReport!$A$4:$Q$200</definedName>
    <definedName name="Z_21B7BE66_6EF5_4141_8147_515CDAF7D037_.wvu.FilterData" localSheetId="7" hidden="1">EvReport!$A$4:$Q$200</definedName>
    <definedName name="Z_21DA81D9_6857_4461_A7CA_64475910EAAE_.wvu.FilterData" localSheetId="7" hidden="1">EvReport!$A$4:$Q$200</definedName>
    <definedName name="Z_22388B52_73BC_4C2D_B6F7_120F21AAF63F_.wvu.FilterData" localSheetId="7" hidden="1">EvReport!$A$4:$Q$200</definedName>
    <definedName name="Z_22415EA2_A1F3_4690_8C35_6BCDE2BD42CD_.wvu.FilterData" localSheetId="7" hidden="1">EvReport!$A$4:$Q$200</definedName>
    <definedName name="Z_238A66E3_EA5C_413D_BF8E_23A1789BE517_.wvu.FilterData" localSheetId="7" hidden="1">EvReport!$A$4:$Q$200</definedName>
    <definedName name="Z_23BCB8F1_A8DB_4880_A691_15C98CCC40BF_.wvu.FilterData" localSheetId="7" hidden="1">EvReport!$A$4:$Q$200</definedName>
    <definedName name="Z_23ED37FD_0E52_435B_BC40_5E3295213A5A_.wvu.FilterData" localSheetId="7" hidden="1">EvReport!$A$4:$Q$200</definedName>
    <definedName name="Z_23F4DC00_BC97_4745_AA5C_F05D469CB1EF_.wvu.Cols" localSheetId="4" hidden="1">Ch!$B:$B,Ch!$L:$N</definedName>
    <definedName name="Z_23F4DC00_BC97_4745_AA5C_F05D469CB1EF_.wvu.Cols" localSheetId="6" hidden="1">Generation!$U:$U</definedName>
    <definedName name="Z_23F4DC00_BC97_4745_AA5C_F05D469CB1EF_.wvu.PrintArea" localSheetId="4" hidden="1">Ch!$A$1:$J$59</definedName>
    <definedName name="Z_23F4DC00_BC97_4745_AA5C_F05D469CB1EF_.wvu.PrintArea" localSheetId="21" hidden="1">Demand!$B$9:$G$25</definedName>
    <definedName name="Z_23F4DC00_BC97_4745_AA5C_F05D469CB1EF_.wvu.PrintArea" localSheetId="9" hidden="1">DGFI!$A$1:$F$36</definedName>
    <definedName name="Z_23F4DC00_BC97_4745_AA5C_F05D469CB1EF_.wvu.PrintArea" localSheetId="17" hidden="1">'En-Curve'!$O$1:$AA$69</definedName>
    <definedName name="Z_23F4DC00_BC97_4745_AA5C_F05D469CB1EF_.wvu.PrintArea" localSheetId="26" hidden="1">EnReport!$C$3:$H$42</definedName>
    <definedName name="Z_23F4DC00_BC97_4745_AA5C_F05D469CB1EF_.wvu.PrintArea" localSheetId="8" hidden="1">EvBangla!$A$1:$L$33</definedName>
    <definedName name="Z_23F4DC00_BC97_4745_AA5C_F05D469CB1EF_.wvu.PrintArea" localSheetId="7" hidden="1">EvReport!$B$4:$L$206</definedName>
    <definedName name="Z_23F4DC00_BC97_4745_AA5C_F05D469CB1EF_.wvu.PrintArea" localSheetId="3" hidden="1">Forecast!$B$1:$R$222</definedName>
    <definedName name="Z_23F4DC00_BC97_4745_AA5C_F05D469CB1EF_.wvu.PrintArea" localSheetId="1" hidden="1">FWise!$B$1:$L$35</definedName>
    <definedName name="Z_23F4DC00_BC97_4745_AA5C_F05D469CB1EF_.wvu.PrintArea" localSheetId="6" hidden="1">Generation!$A$1:$AC$190</definedName>
    <definedName name="Z_23F4DC00_BC97_4745_AA5C_F05D469CB1EF_.wvu.PrintArea" localSheetId="0" hidden="1">GEntry!$A$2:$GK$30</definedName>
    <definedName name="Z_23F4DC00_BC97_4745_AA5C_F05D469CB1EF_.wvu.PrintArea" localSheetId="16" hidden="1">'L-Curve'!$H$2:$R$48</definedName>
    <definedName name="Z_23F4DC00_BC97_4745_AA5C_F05D469CB1EF_.wvu.PrintArea" localSheetId="23" hidden="1">Master!$A$3:$GG$40</definedName>
    <definedName name="Z_23F4DC00_BC97_4745_AA5C_F05D469CB1EF_.wvu.PrintArea" localSheetId="19" hidden="1">'NSI Reading'!$D$1:$F$24</definedName>
    <definedName name="Z_23F4DC00_BC97_4745_AA5C_F05D469CB1EF_.wvu.PrintArea" localSheetId="11" hidden="1">'P1'!$A$1:$I$306</definedName>
    <definedName name="Z_23F4DC00_BC97_4745_AA5C_F05D469CB1EF_.wvu.PrintArea" localSheetId="12" hidden="1">'P2'!$B$2:$J$190</definedName>
    <definedName name="Z_23F4DC00_BC97_4745_AA5C_F05D469CB1EF_.wvu.PrintArea" localSheetId="13" hidden="1">'P3'!$B$1:$I$84</definedName>
    <definedName name="Z_23F4DC00_BC97_4745_AA5C_F05D469CB1EF_.wvu.PrintArea" localSheetId="5" hidden="1">PM!$A$1:$G$22</definedName>
    <definedName name="Z_23F4DC00_BC97_4745_AA5C_F05D469CB1EF_.wvu.PrintArea" localSheetId="20" hidden="1">'P-Sum'!$A$1:$G$28</definedName>
    <definedName name="Z_23F4DC00_BC97_4745_AA5C_F05D469CB1EF_.wvu.PrintArea" localSheetId="18" hidden="1">SMS!$D$33</definedName>
    <definedName name="Z_23F4DC00_BC97_4745_AA5C_F05D469CB1EF_.wvu.PrintArea" localSheetId="14" hidden="1">Volt!$B$2:$K$101</definedName>
    <definedName name="Z_23F4DC00_BC97_4745_AA5C_F05D469CB1EF_.wvu.PrintArea" localSheetId="22" hidden="1">YesterdayFWise!$B$1:$L$33</definedName>
    <definedName name="Z_23F4DC00_BC97_4745_AA5C_F05D469CB1EF_.wvu.PrintArea" localSheetId="15" hidden="1">YesterdayGen!$A$1:$GR$81</definedName>
    <definedName name="Z_23F4DC00_BC97_4745_AA5C_F05D469CB1EF_.wvu.PrintTitles" localSheetId="7" hidden="1">EvReport!$7:$8</definedName>
    <definedName name="Z_23F4DC00_BC97_4745_AA5C_F05D469CB1EF_.wvu.PrintTitles" localSheetId="3" hidden="1">Forecast!$4:$8</definedName>
    <definedName name="Z_23F4DC00_BC97_4745_AA5C_F05D469CB1EF_.wvu.PrintTitles" localSheetId="12" hidden="1">'P2'!$5:$8</definedName>
    <definedName name="Z_23F4DC00_BC97_4745_AA5C_F05D469CB1EF_.wvu.Rows" localSheetId="1" hidden="1">FWise!$24:$24</definedName>
    <definedName name="Z_23F4DC00_BC97_4745_AA5C_F05D469CB1EF_.wvu.Rows" localSheetId="23" hidden="1">Master!$32:$32</definedName>
    <definedName name="Z_23F4DC00_BC97_4745_AA5C_F05D469CB1EF_.wvu.Rows" localSheetId="22" hidden="1">YesterdayFWise!$24:$24</definedName>
    <definedName name="Z_23F4DC00_BC97_4745_AA5C_F05D469CB1EF_.wvu.Rows" localSheetId="15" hidden="1">YesterdayGen!$23:$23</definedName>
    <definedName name="Z_24742A0B_0FA2_4F59_83D2_07E33F78C106_.wvu.FilterData" localSheetId="7" hidden="1">EvReport!$A$4:$Q$200</definedName>
    <definedName name="Z_247CF712_9834_4B9C_A592_6F3E80464641_.wvu.FilterData" localSheetId="7" hidden="1">EvReport!$A$4:$Q$200</definedName>
    <definedName name="Z_24C961EA_306A_4426_BD53_8DE29D5A5E4E_.wvu.FilterData" localSheetId="7" hidden="1">EvReport!$A$4:$Q$200</definedName>
    <definedName name="Z_24CB3A4E_659F_4824_8D03_3A18F4A3F033_.wvu.FilterData" localSheetId="7" hidden="1">EvReport!$A$4:$Q$200</definedName>
    <definedName name="Z_25004B5D_CA0D_436D_9B94_692D5017887E_.wvu.FilterData" localSheetId="7" hidden="1">EvReport!$A$4:$Q$200</definedName>
    <definedName name="Z_252436E4_831A_4DF6_AD5A_37A3251322E3_.wvu.FilterData" localSheetId="7" hidden="1">EvReport!$A$4:$Q$200</definedName>
    <definedName name="Z_259B83DE_C3AD_4E1C_A1C7_4DDF1589C245_.wvu.FilterData" localSheetId="7" hidden="1">EvReport!$A$4:$Q$200</definedName>
    <definedName name="Z_25B40F6E_3DFC_439E_995C_17E214EF609B_.wvu.FilterData" localSheetId="7" hidden="1">EvReport!$A$4:$Q$200</definedName>
    <definedName name="Z_26065696_8D82_4DD1_9033_766CAA20FBB1_.wvu.FilterData" localSheetId="7" hidden="1">EvReport!$A$4:$Q$200</definedName>
    <definedName name="Z_263E8AC1_1859_4D3C_A908_BC9D0872BD0C_.wvu.FilterData" localSheetId="7" hidden="1">EvReport!$A$4:$Q$200</definedName>
    <definedName name="Z_26A8A35C_6665_459F_8F50_D5FEE221CC31_.wvu.FilterData" localSheetId="7" hidden="1">EvReport!$A$4:$Q$200</definedName>
    <definedName name="Z_271123B8_D400_4C22_A480_43711F87B3A0_.wvu.FilterData" localSheetId="7" hidden="1">EvReport!$A$4:$Q$200</definedName>
    <definedName name="Z_27159948_21A0_4EEB_AE22_A95CF894EE61_.wvu.FilterData" localSheetId="7" hidden="1">EvReport!$A$4:$Q$200</definedName>
    <definedName name="Z_272595A1_164A_487B_9C98_285732236607_.wvu.FilterData" localSheetId="7" hidden="1">EvReport!$A$4:$Q$200</definedName>
    <definedName name="Z_277E745C_EFBA_4983_813A_08A95191232F_.wvu.FilterData" localSheetId="7" hidden="1">EvReport!$A$4:$Q$200</definedName>
    <definedName name="Z_27E42005_A17D_4FB2_8F83_0C3BE878CA46_.wvu.FilterData" localSheetId="7" hidden="1">EvReport!$A$4:$Q$200</definedName>
    <definedName name="Z_28622057_FC2B_48BC_AA3C_2FE6521B7704_.wvu.FilterData" localSheetId="7" hidden="1">EvReport!$A$4:$Q$200</definedName>
    <definedName name="Z_287F9351_70CA_40FB_8EE9_05D38A25A4B8_.wvu.FilterData" localSheetId="7" hidden="1">EvReport!$A$4:$Q$200</definedName>
    <definedName name="Z_28D32C84_6279_4F06_833A_A1A38817EACC_.wvu.FilterData" localSheetId="7" hidden="1">EvReport!$A$4:$Q$200</definedName>
    <definedName name="Z_2931112E_9448_402E_8DA1_AC5EEE810C4F_.wvu.FilterData" localSheetId="7" hidden="1">EvReport!$A$4:$Q$200</definedName>
    <definedName name="Z_294433C3_FCBE_466B_81CE_F14CB0BEA37D_.wvu.FilterData" localSheetId="7" hidden="1">EvReport!$A$4:$Q$200</definedName>
    <definedName name="Z_29492C9E_ED54_409E_976F_033A708AD49E_.wvu.FilterData" localSheetId="7" hidden="1">EvReport!$A$4:$Q$200</definedName>
    <definedName name="Z_2A5730E3_BCA9_4ADA_B9BD_0FBF138D5626_.wvu.FilterData" localSheetId="7" hidden="1">EvReport!$A$4:$Q$200</definedName>
    <definedName name="Z_2A9D3F34_FE7E_4B6E_AE31_6C63A6C12016_.wvu.FilterData" localSheetId="7" hidden="1">EvReport!$A$4:$Q$200</definedName>
    <definedName name="Z_2AC49D5E_80D9_422C_9116_D6298E54B39C_.wvu.FilterData" localSheetId="7" hidden="1">EvReport!$A$4:$Q$200</definedName>
    <definedName name="Z_2B42F48E_DD00_4332_81C9_3F66483DB6A0_.wvu.FilterData" localSheetId="7" hidden="1">EvReport!$A$4:$Q$200</definedName>
    <definedName name="Z_2CCD41CD_717D_4E66_83F2_B86632451D65_.wvu.FilterData" localSheetId="7" hidden="1">EvReport!$A$4:$Q$200</definedName>
    <definedName name="Z_2CF45B0B_59F6_46D7_9B33_3F23BF9F62FE_.wvu.FilterData" localSheetId="7" hidden="1">EvReport!$A$4:$Q$200</definedName>
    <definedName name="Z_2D7FE84C_E360_41CB_8478_735D9B3132A8_.wvu.FilterData" localSheetId="7" hidden="1">EvReport!$A$4:$Q$200</definedName>
    <definedName name="Z_2D898C45_CEE1_45A5_BD2C_CBB512D7C93B_.wvu.FilterData" localSheetId="7" hidden="1">EvReport!$A$4:$Q$200</definedName>
    <definedName name="Z_2E2298A7_706E_40D5_9B0E_154F2AE3E8AC_.wvu.FilterData" localSheetId="7" hidden="1">EvReport!$A$4:$Q$200</definedName>
    <definedName name="Z_2E8AE7FB_C1F1_43F0_B806_FFD356D23E07_.wvu.FilterData" localSheetId="7" hidden="1">EvReport!$A$4:$Q$200</definedName>
    <definedName name="Z_2EE1AB15_0916_4438_BFA2_10D6F21F5294_.wvu.FilterData" localSheetId="7" hidden="1">EvReport!$A$4:$Q$200</definedName>
    <definedName name="Z_2EE87246_CA4D_4CBC_A40A_2B97CE57CF4A_.wvu.FilterData" localSheetId="7" hidden="1">EvReport!$A$4:$Q$200</definedName>
    <definedName name="Z_2F799470_17AA_4E35_86C5_C09871CF3F84_.wvu.FilterData" localSheetId="7" hidden="1">EvReport!$A$4:$Q$200</definedName>
    <definedName name="Z_2F809D52_7687_41DC_B29E_382547DA1A4F_.wvu.FilterData" localSheetId="7" hidden="1">EvReport!$A$4:$Q$200</definedName>
    <definedName name="Z_2F86D1DE_911D_4A5F_AF81_D5D4331A618C_.wvu.FilterData" localSheetId="7" hidden="1">EvReport!$A$4:$Q$200</definedName>
    <definedName name="Z_2F99D277_E7EE_49DD_BD18_FE0A3B30B0BC_.wvu.FilterData" localSheetId="7" hidden="1">EvReport!$A$4:$Q$200</definedName>
    <definedName name="Z_2FD20DD6_5314_40A4_88B8_A2B1D8895015_.wvu.FilterData" localSheetId="7" hidden="1">EvReport!$A$4:$Q$200</definedName>
    <definedName name="Z_30293FC1_33A7_472C_88EE_20A91D5FCBAE_.wvu.FilterData" localSheetId="7" hidden="1">EvReport!$A$4:$Q$200</definedName>
    <definedName name="Z_302DF36E_CED5_44FB_AD3E_ADBC88F14646_.wvu.FilterData" localSheetId="7" hidden="1">EvReport!$A$4:$Q$200</definedName>
    <definedName name="Z_30493D59_3718_4D71_B3F4_308F7E5AD17C_.wvu.FilterData" localSheetId="7" hidden="1">EvReport!$A$4:$Q$200</definedName>
    <definedName name="Z_30BE40D8_1D2D_43C3_AC34_EF9030B97B28_.wvu.FilterData" localSheetId="7" hidden="1">EvReport!$A$4:$Q$200</definedName>
    <definedName name="Z_30DF340F_2016_4906_B881_465633D9B328_.wvu.FilterData" localSheetId="7" hidden="1">EvReport!$A$4:$Q$200</definedName>
    <definedName name="Z_311B4096_C5D9_4122_B9BE_D1FE4CAE1CDF_.wvu.FilterData" localSheetId="7" hidden="1">EvReport!$A$4:$Q$200</definedName>
    <definedName name="Z_3134E189_D868_4D46_9170_A55326C86B7F_.wvu.FilterData" localSheetId="7" hidden="1">EvReport!$A$4:$Q$200</definedName>
    <definedName name="Z_31575EFC_C2A6_4FD1_AF87_EFA6823337D6_.wvu.FilterData" localSheetId="7" hidden="1">EvReport!$A$4:$Q$200</definedName>
    <definedName name="Z_318CE956_2F16_4807_A9A9_0345AFE15D46_.wvu.FilterData" localSheetId="7" hidden="1">EvReport!$A$4:$Q$200</definedName>
    <definedName name="Z_31D1C2B5_C023_4EA2_989B_B70385055F0D_.wvu.FilterData" localSheetId="7" hidden="1">EvReport!$A$4:$Q$200</definedName>
    <definedName name="Z_31D77A37_C8E3_4AC0_BDB7_29D09781C6E6_.wvu.FilterData" localSheetId="7" hidden="1">EvReport!$A$4:$Q$200</definedName>
    <definedName name="Z_3282C294_E2D4_4849_8366_6A64C937C25D_.wvu.FilterData" localSheetId="7" hidden="1">EvReport!$A$4:$Q$200</definedName>
    <definedName name="Z_32AFEE69_9A72_49EE_BB7A_268F2384C129_.wvu.FilterData" localSheetId="7" hidden="1">EvReport!$A$4:$Q$200</definedName>
    <definedName name="Z_337A7185_C297_4CDE_8FA5_F554EB10C434_.wvu.FilterData" localSheetId="7" hidden="1">EvReport!$A$4:$Q$200</definedName>
    <definedName name="Z_33A4EE36_73A8_4FAC_9774_4FE836959FB9_.wvu.FilterData" localSheetId="7" hidden="1">EvReport!$A$4:$Q$200</definedName>
    <definedName name="Z_33BAC43F_91AB_4AFD_962D_34C8D005A8E2_.wvu.FilterData" localSheetId="7" hidden="1">EvReport!$A$4:$Q$200</definedName>
    <definedName name="Z_33DDDEAD_3D04_4D5F_B915_2EB09219FC90_.wvu.FilterData" localSheetId="7" hidden="1">EvReport!$A$4:$Q$200</definedName>
    <definedName name="Z_349FB50A_8A72_4A94_9FDE_27BAF4F5891F_.wvu.FilterData" localSheetId="7" hidden="1">EvReport!$A$4:$Q$200</definedName>
    <definedName name="Z_350EF999_8BA2_4DF8_AF8B_6DBB829DE055_.wvu.FilterData" localSheetId="7" hidden="1">EvReport!$A$4:$Q$200</definedName>
    <definedName name="Z_35182331_943F_44F4_9E42_E82183FBFAA2_.wvu.FilterData" localSheetId="7" hidden="1">EvReport!$A$4:$Q$200</definedName>
    <definedName name="Z_35F116BE_0DDD_4543_8B7F_BDE8E892AF6E_.wvu.FilterData" localSheetId="7" hidden="1">EvReport!$A$4:$Q$200</definedName>
    <definedName name="Z_360C7CB9_94F1_40F1_BF58_227ABCC12F9C_.wvu.FilterData" localSheetId="7" hidden="1">EvReport!$A$4:$Q$200</definedName>
    <definedName name="Z_367F99CE_4C05_41E3_B6EB_9B3496A3DBD9_.wvu.FilterData" localSheetId="7" hidden="1">EvReport!$A$4:$Q$200</definedName>
    <definedName name="Z_36FAD18F_D0D5_4B5D_A4DE_5D61162740D3_.wvu.FilterData" localSheetId="7" hidden="1">EvReport!$A$4:$Q$200</definedName>
    <definedName name="Z_371B7865_977E_435C_8550_888E34C0DF4A_.wvu.FilterData" localSheetId="7" hidden="1">EvReport!$A$4:$Q$200</definedName>
    <definedName name="Z_37AF9AF6_6997_4FD8_9A53_48C212AF09AE_.wvu.FilterData" localSheetId="7" hidden="1">EvReport!$A$4:$Q$200</definedName>
    <definedName name="Z_38304C55_2424_4D64_BF07_4C5A7567589E_.wvu.FilterData" localSheetId="7" hidden="1">EvReport!$A$4:$Q$200</definedName>
    <definedName name="Z_38402A2D_D570_48AA_907B_3279C0EDB437_.wvu.FilterData" localSheetId="7" hidden="1">EvReport!$A$4:$Q$200</definedName>
    <definedName name="Z_38B099E5_7272_40CA_936E_B02EAC9F834A_.wvu.FilterData" localSheetId="7" hidden="1">EvReport!$A$4:$Q$200</definedName>
    <definedName name="Z_39BDE57B_87A2_4AE8_B7FB_E2D6FEA83793_.wvu.FilterData" localSheetId="7" hidden="1">EvReport!$A$4:$Q$200</definedName>
    <definedName name="Z_3A643F5D_6F74_4A6A_A0CC_BF759A280493_.wvu.FilterData" localSheetId="7" hidden="1">EvReport!$A$4:$Q$200</definedName>
    <definedName name="Z_3A6490CB_38D9_444A_9EC4_78341DE99022_.wvu.FilterData" localSheetId="7" hidden="1">EvReport!$A$4:$Q$200</definedName>
    <definedName name="Z_3AA34619_C6F4_43CE_A073_110E7D2DA8F4_.wvu.FilterData" localSheetId="7" hidden="1">EvReport!$A$4:$Q$200</definedName>
    <definedName name="Z_3B0ABB45_77C5_4D36_B89B_EF65201BB2C4_.wvu.FilterData" localSheetId="7" hidden="1">EvReport!$A$4:$Q$200</definedName>
    <definedName name="Z_3B7958F3_C759_4085_A06F_44D52620F689_.wvu.FilterData" localSheetId="7" hidden="1">EvReport!$A$4:$Q$200</definedName>
    <definedName name="Z_3BDE24CE_63C1_4737_B65D_B9A95604A9F2_.wvu.FilterData" localSheetId="7" hidden="1">EvReport!$A$4:$Q$200</definedName>
    <definedName name="Z_3C1AC2C9_5A7D_4E8D_984A_904554481DBB_.wvu.FilterData" localSheetId="7" hidden="1">EvReport!$A$4:$Q$200</definedName>
    <definedName name="Z_3C38D1B5_A435_4F0A_827A_9A754A0969E2_.wvu.FilterData" localSheetId="7" hidden="1">EvReport!$A$4:$Q$200</definedName>
    <definedName name="Z_3C4DAA33_F88A_488F_8CB0_DC192DB9DBE8_.wvu.FilterData" localSheetId="7" hidden="1">EvReport!$A$4:$Q$200</definedName>
    <definedName name="Z_3C9FF3D2_6DA0_41F7_BB09_212DE77B4079_.wvu.FilterData" localSheetId="7" hidden="1">EvReport!$A$4:$Q$200</definedName>
    <definedName name="Z_3CF656C2_49C4_4DF6_B608_656742273019_.wvu.FilterData" localSheetId="7" hidden="1">EvReport!$A$4:$Q$200</definedName>
    <definedName name="Z_3D2588A2_462A_4B5A_B2D5_4280BDC4EAAE_.wvu.FilterData" localSheetId="7" hidden="1">EvReport!$A$4:$Q$200</definedName>
    <definedName name="Z_3DC56082_17D3_402A_BFC5_F9387E70EC87_.wvu.FilterData" localSheetId="7" hidden="1">EvReport!$A$4:$Q$200</definedName>
    <definedName name="Z_3DFEE64F_C8BA_4D3D_92B1_A453E9523604_.wvu.FilterData" localSheetId="7" hidden="1">EvReport!$A$4:$Q$200</definedName>
    <definedName name="Z_3E26A344_F642_4AFB_8D1E_EE6B1EB47503_.wvu.FilterData" localSheetId="7" hidden="1">EvReport!$A$4:$Q$200</definedName>
    <definedName name="Z_3EB2859A_3C42_4B3A_BDFF_2E98EBCF4780_.wvu.FilterData" localSheetId="7" hidden="1">EvReport!$A$4:$Q$200</definedName>
    <definedName name="Z_3F0E6490_817C_41D1_9250_5E068B240051_.wvu.FilterData" localSheetId="7" hidden="1">EvReport!$A$4:$Q$200</definedName>
    <definedName name="Z_3F2E96FD_B462_45F0_AC4D_7145C5BB6B9D_.wvu.FilterData" localSheetId="7" hidden="1">EvReport!$A$4:$Q$200</definedName>
    <definedName name="Z_3FAACBA9_23E2_410C_924F_9F051BF15A2A_.wvu.FilterData" localSheetId="7" hidden="1">EvReport!$A$4:$Q$200</definedName>
    <definedName name="Z_3FBDC377_9661_46B4_B7C1_BF5C18FD0003_.wvu.FilterData" localSheetId="7" hidden="1">EvReport!$A$4:$Q$200</definedName>
    <definedName name="Z_3FDBD0EC_1898_4D7A_B9A8_62DD680CB40D_.wvu.FilterData" localSheetId="7" hidden="1">EvReport!$A$4:$Q$200</definedName>
    <definedName name="Z_4005859E_10CB_4D4E_99B2_8B595D875161_.wvu.FilterData" localSheetId="7" hidden="1">EvReport!$A$4:$Q$200</definedName>
    <definedName name="Z_400809C2_B107_477B_8999_4C1ABBA25825_.wvu.FilterData" localSheetId="7" hidden="1">EvReport!$A$4:$Q$200</definedName>
    <definedName name="Z_410A7ED5_CBA3_45B0_A90A_3E23C7A38106_.wvu.FilterData" localSheetId="7" hidden="1">EvReport!$A$4:$Q$200</definedName>
    <definedName name="Z_411B2D28_3455_4CC4_B198_D69364CCBD1F_.wvu.FilterData" localSheetId="7" hidden="1">EvReport!$A$4:$Q$200</definedName>
    <definedName name="Z_4144A616_5BA1_4FC3_A8C7_9C971849640E_.wvu.FilterData" localSheetId="7" hidden="1">EvReport!$A$4:$Q$200</definedName>
    <definedName name="Z_41D64F74_33E7_47DD_ADC2_A7FCA955AC30_.wvu.FilterData" localSheetId="7" hidden="1">EvReport!$A$4:$Q$200</definedName>
    <definedName name="Z_41E7D095_7405_47D2_B1F2_336D16FCD73E_.wvu.FilterData" localSheetId="7" hidden="1">EvReport!$A$4:$Q$200</definedName>
    <definedName name="Z_42857548_A880_4BB0_AB8B_38839B5D2479_.wvu.FilterData" localSheetId="7" hidden="1">EvReport!$A$4:$Q$200</definedName>
    <definedName name="Z_42928396_29B9_486C_B75F_D53532343E21_.wvu.FilterData" localSheetId="7" hidden="1">EvReport!$A$4:$Q$200</definedName>
    <definedName name="Z_431A50E0_B073_4FB0_9D15_CC6817595855_.wvu.FilterData" localSheetId="7" hidden="1">EvReport!$A$4:$Q$200</definedName>
    <definedName name="Z_432D39B7_73CD_42EC_942D_C51AE86BF94A_.wvu.FilterData" localSheetId="7" hidden="1">EvReport!$A$4:$Q$200</definedName>
    <definedName name="Z_44080218_4522_48E0_BA82_502C56AD2B49_.wvu.FilterData" localSheetId="7" hidden="1">EvReport!$A$4:$Q$200</definedName>
    <definedName name="Z_4433F470_2017_4ACE_B951_13C1A310DCFA_.wvu.FilterData" localSheetId="7" hidden="1">EvReport!$A$4:$Q$200</definedName>
    <definedName name="Z_44760696_B462_4069_A6D1_B77758719E7F_.wvu.FilterData" localSheetId="7" hidden="1">EvReport!$A$4:$Q$200</definedName>
    <definedName name="Z_448BAC69_C79E_4D53_9CE5_A7BA29A35BC1_.wvu.FilterData" localSheetId="7" hidden="1">EvReport!$A$4:$Q$200</definedName>
    <definedName name="Z_44C1427E_A6C0_4983_8858_DE787707D7E1_.wvu.FilterData" localSheetId="7" hidden="1">EvReport!$A$4:$Q$200</definedName>
    <definedName name="Z_44D52755_360A_4805_83F6_792A2C500BAF_.wvu.FilterData" localSheetId="7" hidden="1">EvReport!$A$4:$Q$200</definedName>
    <definedName name="Z_44E87CAE_4BFF_4039_B9ED_AF87B406F0B2_.wvu.FilterData" localSheetId="7" hidden="1">EvReport!$A$4:$Q$200</definedName>
    <definedName name="Z_457DB195_D6C5_46C2_9B62_601891F9E604_.wvu.FilterData" localSheetId="7" hidden="1">EvReport!$A$4:$Q$200</definedName>
    <definedName name="Z_457E0620_370D_4F8C_ACA2_6C7E7F7A0C79_.wvu.FilterData" localSheetId="7" hidden="1">EvReport!$A$4:$Q$200</definedName>
    <definedName name="Z_457E91D1_7A60_419F_B5D5_F342B0D0F213_.wvu.FilterData" localSheetId="7" hidden="1">EvReport!$A$4:$Q$200</definedName>
    <definedName name="Z_458CDFB3_6D8D_4C66_B162_8E1EBBC7F695_.wvu.FilterData" localSheetId="7" hidden="1">EvReport!$A$4:$Q$200</definedName>
    <definedName name="Z_4593F3EE_0998_4E0E_994A_E02D6BAF3A4B_.wvu.Cols" localSheetId="4" hidden="1">Ch!$B:$B,Ch!$L:$N</definedName>
    <definedName name="Z_4593F3EE_0998_4E0E_994A_E02D6BAF3A4B_.wvu.Cols" localSheetId="6" hidden="1">Generation!$U:$U</definedName>
    <definedName name="Z_4593F3EE_0998_4E0E_994A_E02D6BAF3A4B_.wvu.Cols" localSheetId="11" hidden="1">'P1'!$J:$J</definedName>
    <definedName name="Z_4593F3EE_0998_4E0E_994A_E02D6BAF3A4B_.wvu.PrintArea" localSheetId="4" hidden="1">Ch!$A$1:$J$59</definedName>
    <definedName name="Z_4593F3EE_0998_4E0E_994A_E02D6BAF3A4B_.wvu.PrintArea" localSheetId="21" hidden="1">Demand!$B$9:$G$25</definedName>
    <definedName name="Z_4593F3EE_0998_4E0E_994A_E02D6BAF3A4B_.wvu.PrintArea" localSheetId="9" hidden="1">DGFI!$A$1:$F$36</definedName>
    <definedName name="Z_4593F3EE_0998_4E0E_994A_E02D6BAF3A4B_.wvu.PrintArea" localSheetId="17" hidden="1">'En-Curve'!$P$1:$AA$62</definedName>
    <definedName name="Z_4593F3EE_0998_4E0E_994A_E02D6BAF3A4B_.wvu.PrintArea" localSheetId="8" hidden="1">EvBangla!$A$1:$L$33</definedName>
    <definedName name="Z_4593F3EE_0998_4E0E_994A_E02D6BAF3A4B_.wvu.PrintArea" localSheetId="7" hidden="1">EvReport!$B$4:$L$206</definedName>
    <definedName name="Z_4593F3EE_0998_4E0E_994A_E02D6BAF3A4B_.wvu.PrintArea" localSheetId="3" hidden="1">Forecast!$B$1:$R$222</definedName>
    <definedName name="Z_4593F3EE_0998_4E0E_994A_E02D6BAF3A4B_.wvu.PrintArea" localSheetId="1" hidden="1">FWise!$B$1:$L$37</definedName>
    <definedName name="Z_4593F3EE_0998_4E0E_994A_E02D6BAF3A4B_.wvu.PrintArea" localSheetId="6" hidden="1">Generation!$A$1:$AC$194</definedName>
    <definedName name="Z_4593F3EE_0998_4E0E_994A_E02D6BAF3A4B_.wvu.PrintArea" localSheetId="0" hidden="1">GEntry!$A$2:$GK$30</definedName>
    <definedName name="Z_4593F3EE_0998_4E0E_994A_E02D6BAF3A4B_.wvu.PrintArea" localSheetId="16" hidden="1">'L-Curve'!$H$2:$R$48</definedName>
    <definedName name="Z_4593F3EE_0998_4E0E_994A_E02D6BAF3A4B_.wvu.PrintArea" localSheetId="23" hidden="1">Master!$A$3:$GG$40</definedName>
    <definedName name="Z_4593F3EE_0998_4E0E_994A_E02D6BAF3A4B_.wvu.PrintArea" localSheetId="19" hidden="1">'NSI Reading'!$D$1:$F$24</definedName>
    <definedName name="Z_4593F3EE_0998_4E0E_994A_E02D6BAF3A4B_.wvu.PrintArea" localSheetId="11" hidden="1">'P1'!$A$1:$I$306</definedName>
    <definedName name="Z_4593F3EE_0998_4E0E_994A_E02D6BAF3A4B_.wvu.PrintArea" localSheetId="12" hidden="1">'P2'!$B$2:$J$190</definedName>
    <definedName name="Z_4593F3EE_0998_4E0E_994A_E02D6BAF3A4B_.wvu.PrintArea" localSheetId="13" hidden="1">'P3'!$B$1:$I$84</definedName>
    <definedName name="Z_4593F3EE_0998_4E0E_994A_E02D6BAF3A4B_.wvu.PrintArea" localSheetId="5" hidden="1">PM!$A$1:$G$22</definedName>
    <definedName name="Z_4593F3EE_0998_4E0E_994A_E02D6BAF3A4B_.wvu.PrintArea" localSheetId="20" hidden="1">'P-Sum'!$A$1:$G$28</definedName>
    <definedName name="Z_4593F3EE_0998_4E0E_994A_E02D6BAF3A4B_.wvu.PrintArea" localSheetId="14" hidden="1">Volt!$B$2:$K$101</definedName>
    <definedName name="Z_4593F3EE_0998_4E0E_994A_E02D6BAF3A4B_.wvu.PrintArea" localSheetId="22" hidden="1">YesterdayFWise!$B$1:$L$33</definedName>
    <definedName name="Z_4593F3EE_0998_4E0E_994A_E02D6BAF3A4B_.wvu.PrintArea" localSheetId="15" hidden="1">YesterdayGen!$A$1:$HV$46</definedName>
    <definedName name="Z_4593F3EE_0998_4E0E_994A_E02D6BAF3A4B_.wvu.PrintTitles" localSheetId="7" hidden="1">EvReport!$7:$8</definedName>
    <definedName name="Z_4593F3EE_0998_4E0E_994A_E02D6BAF3A4B_.wvu.PrintTitles" localSheetId="3" hidden="1">Forecast!$4:$8</definedName>
    <definedName name="Z_4593F3EE_0998_4E0E_994A_E02D6BAF3A4B_.wvu.PrintTitles" localSheetId="12" hidden="1">'P2'!$5:$8</definedName>
    <definedName name="Z_4593F3EE_0998_4E0E_994A_E02D6BAF3A4B_.wvu.Rows" localSheetId="1" hidden="1">FWise!$24:$24</definedName>
    <definedName name="Z_4593F3EE_0998_4E0E_994A_E02D6BAF3A4B_.wvu.Rows" localSheetId="23" hidden="1">Master!$32:$32</definedName>
    <definedName name="Z_4593F3EE_0998_4E0E_994A_E02D6BAF3A4B_.wvu.Rows" localSheetId="22" hidden="1">YesterdayFWise!$24:$24</definedName>
    <definedName name="Z_4593F3EE_0998_4E0E_994A_E02D6BAF3A4B_.wvu.Rows" localSheetId="15" hidden="1">YesterdayGen!$23:$23</definedName>
    <definedName name="Z_46376877_CAA0_4F95_912C_712865B6D215_.wvu.FilterData" localSheetId="7" hidden="1">EvReport!$A$4:$Q$200</definedName>
    <definedName name="Z_4637F4D4_F332_46F2_8BA9_A568E74E272C_.wvu.FilterData" localSheetId="7" hidden="1">EvReport!$A$4:$Q$200</definedName>
    <definedName name="Z_464135E8_3154_4C1E_99B5_BCF9A8A4F733_.wvu.FilterData" localSheetId="7" hidden="1">EvReport!$A$4:$Q$200</definedName>
    <definedName name="Z_46550E72_7A44_484C_95C2_B4C1FEB66032_.wvu.FilterData" localSheetId="7" hidden="1">EvReport!$A$4:$Q$200</definedName>
    <definedName name="Z_46C95FE1_3BFA_4449_B37F_F84BF200B95F_.wvu.FilterData" localSheetId="7" hidden="1">EvReport!$A$4:$Q$200</definedName>
    <definedName name="Z_47A24F4A_DC18_402E_9EE5_67CAAE5343F0_.wvu.FilterData" localSheetId="7" hidden="1">EvReport!$A$4:$Q$200</definedName>
    <definedName name="Z_480C6A3C_C3FD_489A_AE08_6749ED66EF47_.wvu.FilterData" localSheetId="7" hidden="1">EvReport!$A$4:$Q$200</definedName>
    <definedName name="Z_485919AC_9DE3_434A_9F6D_2016971016C4_.wvu.FilterData" localSheetId="7" hidden="1">EvReport!$A$4:$Q$200</definedName>
    <definedName name="Z_497ED0ED_43DC_4713_9D53_C00D32FABE62_.wvu.FilterData" localSheetId="7" hidden="1">EvReport!$A$4:$Q$200</definedName>
    <definedName name="Z_49CCEB3D_4FF1_4CDE_8005_85299446E6BB_.wvu.FilterData" localSheetId="7" hidden="1">EvReport!$A$4:$Q$200</definedName>
    <definedName name="Z_49CE1423_B4F1_408A_B4EB_904F53DDE912_.wvu.FilterData" localSheetId="7" hidden="1">EvReport!$A$4:$Q$200</definedName>
    <definedName name="Z_4AE7708B_3490_4C61_ABA9_94C2A57786D1_.wvu.FilterData" localSheetId="7" hidden="1">EvReport!$A$4:$Q$200</definedName>
    <definedName name="Z_4B1A9E97_18CB_4E10_A0E6_05A8BAE7D184_.wvu.FilterData" localSheetId="7" hidden="1">EvReport!$A$4:$Q$200</definedName>
    <definedName name="Z_4B442DC0_0230_4F85_86A7_C3A73CAAEF64_.wvu.FilterData" localSheetId="7" hidden="1">EvReport!$A$4:$Q$200</definedName>
    <definedName name="Z_4B647BE7_48F4_4CD5_BD7B_A9B873C49BFE_.wvu.FilterData" localSheetId="7" hidden="1">EvReport!$A$4:$Q$200</definedName>
    <definedName name="Z_4B6C98DE_D7A6_47FD_9996_73A4F1D91799_.wvu.FilterData" localSheetId="7" hidden="1">EvReport!$A$4:$Q$200</definedName>
    <definedName name="Z_4B72EE67_8EEF_4E81_BC0B_65285EB89B0F_.wvu.FilterData" localSheetId="7" hidden="1">EvReport!$A$4:$Q$200</definedName>
    <definedName name="Z_4BA3D7E8_A5A7_4F7E_8FE9_843EF90A7CED_.wvu.FilterData" localSheetId="7" hidden="1">EvReport!$A$4:$Q$200</definedName>
    <definedName name="Z_4BDE2D5B_4782_48F0_83A4_6983EAB58D2B_.wvu.FilterData" localSheetId="7" hidden="1">EvReport!$A$4:$Q$200</definedName>
    <definedName name="Z_4BED3C74_065C_4378_8124_6BA575154ADB_.wvu.FilterData" localSheetId="7" hidden="1">EvReport!$A$4:$Q$200</definedName>
    <definedName name="Z_4BFA63C9_1304_453D_A410_1C639A47FD2A_.wvu.FilterData" localSheetId="7" hidden="1">EvReport!$A$4:$Q$200</definedName>
    <definedName name="Z_4C3911DD_38E5_478B_AB75_59941ADC5C31_.wvu.FilterData" localSheetId="7" hidden="1">EvReport!$A$4:$Q$200</definedName>
    <definedName name="Z_4CF40C2F_6921_4690_819E_46034506079A_.wvu.FilterData" localSheetId="7" hidden="1">EvReport!$A$4:$Q$200</definedName>
    <definedName name="Z_4D09A71B_B733_462B_863A_D1366A2535B5_.wvu.FilterData" localSheetId="7" hidden="1">EvReport!$A$4:$Q$200</definedName>
    <definedName name="Z_4D1281FE_3E2F_4170_B14B_F6E69BD8538E_.wvu.FilterData" localSheetId="7" hidden="1">EvReport!$A$4:$Q$200</definedName>
    <definedName name="Z_4D6CE4D4_547C_4490_B499_C0B715DD4A7B_.wvu.FilterData" localSheetId="7" hidden="1">EvReport!$A$4:$Q$200</definedName>
    <definedName name="Z_4D71546B_1969_4D79_BD94_E6931B79A39C_.wvu.FilterData" localSheetId="7" hidden="1">EvReport!$A$4:$Q$200</definedName>
    <definedName name="Z_4DB6C640_CE65_4513_9E5A_F6CDD1F4B8AF_.wvu.FilterData" localSheetId="7" hidden="1">EvReport!$A$4:$Q$200</definedName>
    <definedName name="Z_4E3C68C0_2924_44B3_8074_9983ED2458CF_.wvu.FilterData" localSheetId="7" hidden="1">EvReport!$A$4:$Q$200</definedName>
    <definedName name="Z_4EA21BB9_CBE2_4CD3_A8E8_139947A66DC4_.wvu.FilterData" localSheetId="7" hidden="1">EvReport!$A$4:$Q$200</definedName>
    <definedName name="Z_4EBFCD13_3341_4009_9D8B_0A5736E4A58F_.wvu.FilterData" localSheetId="7" hidden="1">EvReport!$A$4:$Q$200</definedName>
    <definedName name="Z_4EC5A86C_2795_4FBE_8D55_E954077C838E_.wvu.FilterData" localSheetId="7" hidden="1">EvReport!$A$4:$Q$200</definedName>
    <definedName name="Z_4ED9BE15_A0F9_4EF5_94E1_6C2BB0479A08_.wvu.FilterData" localSheetId="7" hidden="1">EvReport!$A$4:$Q$200</definedName>
    <definedName name="Z_4F4A98C1_92CD_4549_A464_4E48F427F155_.wvu.FilterData" localSheetId="7" hidden="1">EvReport!$A$4:$Q$200</definedName>
    <definedName name="Z_4FC25DE4_6CDB_4FDC_9687_FB1A9BB8113C_.wvu.FilterData" localSheetId="7" hidden="1">EvReport!$A$4:$Q$200</definedName>
    <definedName name="Z_5080E933_8FC4_440E_8492_2FB1E50D929D_.wvu.FilterData" localSheetId="7" hidden="1">EvReport!$A$4:$Q$200</definedName>
    <definedName name="Z_50B0685B_56C2_412B_968D_4B1B00CE7281_.wvu.FilterData" localSheetId="7" hidden="1">EvReport!$A$4:$Q$200</definedName>
    <definedName name="Z_50EDAD4C_08FB_45F9_BE41_2286EC83F8A0_.wvu.FilterData" localSheetId="7" hidden="1">EvReport!$A$4:$Q$200</definedName>
    <definedName name="Z_51F564B7_D065_44B3_B625_A710B870C2C3_.wvu.FilterData" localSheetId="7" hidden="1">EvReport!$A$4:$Q$200</definedName>
    <definedName name="Z_52A9F128_EB01_4CAA_99A2_814FC77CC595_.wvu.FilterData" localSheetId="7" hidden="1">EvReport!$A$4:$Q$200</definedName>
    <definedName name="Z_52BD3570_6A98_4395_B1B4_326E149155C5_.wvu.FilterData" localSheetId="7" hidden="1">EvReport!$A$4:$Q$200</definedName>
    <definedName name="Z_534672FE_3FE9_4C77_85BE_E2988506C210_.wvu.FilterData" localSheetId="7" hidden="1">EvReport!$A$4:$Q$200</definedName>
    <definedName name="Z_53555865_A307_4C75_8BF6_070309687174_.wvu.FilterData" localSheetId="7" hidden="1">EvReport!$A$4:$Q$200</definedName>
    <definedName name="Z_538224B5_F5D0_4246_B11D_9CCB3CD2C316_.wvu.FilterData" localSheetId="7" hidden="1">EvReport!$A$4:$Q$200</definedName>
    <definedName name="Z_53BCAF4B_022B_4673_A023_F66DDC25B48C_.wvu.FilterData" localSheetId="7" hidden="1">EvReport!$A$4:$Q$200</definedName>
    <definedName name="Z_5473163C_28A9_4782_9E94_34C1F5F281C9_.wvu.FilterData" localSheetId="7" hidden="1">EvReport!$A$4:$Q$200</definedName>
    <definedName name="Z_547AC996_1A9C_4332_ACFB_F5DC80FBAB0E_.wvu.FilterData" localSheetId="7" hidden="1">EvReport!$A$4:$Q$200</definedName>
    <definedName name="Z_54E36594_8729_425E_8CCD_011BC8B471C9_.wvu.FilterData" localSheetId="7" hidden="1">EvReport!$A$4:$Q$200</definedName>
    <definedName name="Z_55479EDA_5CA3_46C4_A69F_F32E0530B84C_.wvu.FilterData" localSheetId="7" hidden="1">EvReport!$A$4:$Q$200</definedName>
    <definedName name="Z_555B8F8D_CF9D_4FD8_8647_38E2ECA7ABCB_.wvu.FilterData" localSheetId="7" hidden="1">EvReport!$A$4:$Q$200</definedName>
    <definedName name="Z_55BD7181_8EF2_453C_AAF4_449138544B42_.wvu.FilterData" localSheetId="7" hidden="1">EvReport!$A$4:$Q$200</definedName>
    <definedName name="Z_56259562_8AD2_4D61_B0F5_72BE95CC9A35_.wvu.FilterData" localSheetId="7" hidden="1">EvReport!$A$4:$Q$200</definedName>
    <definedName name="Z_563A2263_449F_4285_9DA2_9F2F1199CA36_.wvu.FilterData" localSheetId="7" hidden="1">EvReport!$A$4:$Q$200</definedName>
    <definedName name="Z_5646CB13_E207_4E07_8F1E_E548D6856C88_.wvu.FilterData" localSheetId="7" hidden="1">EvReport!$A$4:$Q$200</definedName>
    <definedName name="Z_579B9009_923C_454F_8777_50BD371D353E_.wvu.FilterData" localSheetId="7" hidden="1">EvReport!$A$4:$Q$200</definedName>
    <definedName name="Z_579E9B39_C91E_4CDB_BA2D_B196FFE6CA31_.wvu.FilterData" localSheetId="7" hidden="1">EvReport!$A$4:$Q$200</definedName>
    <definedName name="Z_57A44C0D_9E7B_4AC0_9897_003934CA901D_.wvu.FilterData" localSheetId="7" hidden="1">EvReport!$A$4:$Q$200</definedName>
    <definedName name="Z_57C08311_A0E2_4C9B_947B_F610C1B99A16_.wvu.FilterData" localSheetId="7" hidden="1">EvReport!$A$4:$Q$200</definedName>
    <definedName name="Z_57D91D1A_412A_4A57_88F2_385C1CD279FE_.wvu.FilterData" localSheetId="7" hidden="1">EvReport!$A$4:$Q$200</definedName>
    <definedName name="Z_581B6CC9_3F89_44DF_9C8D_97A0A002EFC7_.wvu.FilterData" localSheetId="7" hidden="1">EvReport!$A$4:$Q$200</definedName>
    <definedName name="Z_5857F536_20CF_475A_BF8D_96607CE6726C_.wvu.FilterData" localSheetId="7" hidden="1">EvReport!$A$4:$Q$200</definedName>
    <definedName name="Z_588A2356_BFFF_4850_898B_0DF3A2BFD8A7_.wvu.FilterData" localSheetId="7" hidden="1">EvReport!$A$4:$Q$200</definedName>
    <definedName name="Z_58BE3F27_6C6E_4D82_B87A_E7700E182586_.wvu.FilterData" localSheetId="7" hidden="1">EvReport!$A$4:$Q$200</definedName>
    <definedName name="Z_58E09C48_73FE_47DD_A7CA_A8A490D01A5C_.wvu.FilterData" localSheetId="7" hidden="1">EvReport!$A$4:$Q$200</definedName>
    <definedName name="Z_594FA617_7210_4B58_B11F_83047129E344_.wvu.FilterData" localSheetId="7" hidden="1">EvReport!$A$4:$Q$200</definedName>
    <definedName name="Z_597302CD_D42B_4DFA_8640_4D176976263E_.wvu.FilterData" localSheetId="7" hidden="1">EvReport!$A$4:$Q$200</definedName>
    <definedName name="Z_5A089275_0F3D_434C_A6B0_6969BC82CFB5_.wvu.FilterData" localSheetId="7" hidden="1">EvReport!$A$4:$Q$200</definedName>
    <definedName name="Z_5A5FE89B_708B_42E9_A2C1_7782D5429198_.wvu.FilterData" localSheetId="7" hidden="1">EvReport!$A$4:$Q$200</definedName>
    <definedName name="Z_5A7FA532_772D_42E1_9C99_FDAE8F216A4C_.wvu.FilterData" localSheetId="7" hidden="1">EvReport!$A$4:$Q$200</definedName>
    <definedName name="Z_5A803268_F6C5_4035_B3E1_A94CB9AA8994_.wvu.Cols" localSheetId="4" hidden="1">Ch!$B:$B,Ch!$L:$N</definedName>
    <definedName name="Z_5A803268_F6C5_4035_B3E1_A94CB9AA8994_.wvu.Cols" localSheetId="6" hidden="1">Generation!$U:$U</definedName>
    <definedName name="Z_5A803268_F6C5_4035_B3E1_A94CB9AA8994_.wvu.FilterData" localSheetId="7" hidden="1">EvReport!$A$4:$Q$200</definedName>
    <definedName name="Z_5A803268_F6C5_4035_B3E1_A94CB9AA8994_.wvu.PrintArea" localSheetId="4" hidden="1">Ch!$A$1:$J$59</definedName>
    <definedName name="Z_5A803268_F6C5_4035_B3E1_A94CB9AA8994_.wvu.PrintArea" localSheetId="21" hidden="1">Demand!$B$9:$G$25</definedName>
    <definedName name="Z_5A803268_F6C5_4035_B3E1_A94CB9AA8994_.wvu.PrintArea" localSheetId="9" hidden="1">DGFI!$A$1:$F$36</definedName>
    <definedName name="Z_5A803268_F6C5_4035_B3E1_A94CB9AA8994_.wvu.PrintArea" localSheetId="17" hidden="1">'En-Curve'!$O$1:$AA$69</definedName>
    <definedName name="Z_5A803268_F6C5_4035_B3E1_A94CB9AA8994_.wvu.PrintArea" localSheetId="8" hidden="1">EvBangla!$A$1:$L$33</definedName>
    <definedName name="Z_5A803268_F6C5_4035_B3E1_A94CB9AA8994_.wvu.PrintArea" localSheetId="7" hidden="1">EvReport!$B$4:$L$206</definedName>
    <definedName name="Z_5A803268_F6C5_4035_B3E1_A94CB9AA8994_.wvu.PrintArea" localSheetId="3" hidden="1">Forecast!$B$1:$R$222</definedName>
    <definedName name="Z_5A803268_F6C5_4035_B3E1_A94CB9AA8994_.wvu.PrintArea" localSheetId="1" hidden="1">FWise!$B$1:$L$35</definedName>
    <definedName name="Z_5A803268_F6C5_4035_B3E1_A94CB9AA8994_.wvu.PrintArea" localSheetId="6" hidden="1">Generation!$A$1:$AC$192</definedName>
    <definedName name="Z_5A803268_F6C5_4035_B3E1_A94CB9AA8994_.wvu.PrintArea" localSheetId="0" hidden="1">GEntry!$A$2:$GK$30</definedName>
    <definedName name="Z_5A803268_F6C5_4035_B3E1_A94CB9AA8994_.wvu.PrintArea" localSheetId="16" hidden="1">'L-Curve'!$H$2:$R$48</definedName>
    <definedName name="Z_5A803268_F6C5_4035_B3E1_A94CB9AA8994_.wvu.PrintArea" localSheetId="23" hidden="1">Master!$A$3:$GG$40</definedName>
    <definedName name="Z_5A803268_F6C5_4035_B3E1_A94CB9AA8994_.wvu.PrintArea" localSheetId="19" hidden="1">'NSI Reading'!$D$1:$F$24</definedName>
    <definedName name="Z_5A803268_F6C5_4035_B3E1_A94CB9AA8994_.wvu.PrintArea" localSheetId="11" hidden="1">'P1'!$A$1:$I$306</definedName>
    <definedName name="Z_5A803268_F6C5_4035_B3E1_A94CB9AA8994_.wvu.PrintArea" localSheetId="12" hidden="1">'P2'!$B$2:$J$190</definedName>
    <definedName name="Z_5A803268_F6C5_4035_B3E1_A94CB9AA8994_.wvu.PrintArea" localSheetId="13" hidden="1">'P3'!$B$1:$I$84</definedName>
    <definedName name="Z_5A803268_F6C5_4035_B3E1_A94CB9AA8994_.wvu.PrintArea" localSheetId="5" hidden="1">PM!$A$1:$G$22</definedName>
    <definedName name="Z_5A803268_F6C5_4035_B3E1_A94CB9AA8994_.wvu.PrintArea" localSheetId="20" hidden="1">'P-Sum'!$A$1:$G$28</definedName>
    <definedName name="Z_5A803268_F6C5_4035_B3E1_A94CB9AA8994_.wvu.PrintArea" localSheetId="14" hidden="1">Volt!$B$2:$K$101</definedName>
    <definedName name="Z_5A803268_F6C5_4035_B3E1_A94CB9AA8994_.wvu.PrintArea" localSheetId="22" hidden="1">YesterdayFWise!$B$1:$L$33</definedName>
    <definedName name="Z_5A803268_F6C5_4035_B3E1_A94CB9AA8994_.wvu.PrintArea" localSheetId="15" hidden="1">YesterdayGen!$A$1:$HV$46</definedName>
    <definedName name="Z_5A803268_F6C5_4035_B3E1_A94CB9AA8994_.wvu.PrintTitles" localSheetId="7" hidden="1">EvReport!$7:$8</definedName>
    <definedName name="Z_5A803268_F6C5_4035_B3E1_A94CB9AA8994_.wvu.PrintTitles" localSheetId="3" hidden="1">Forecast!$4:$8</definedName>
    <definedName name="Z_5A803268_F6C5_4035_B3E1_A94CB9AA8994_.wvu.PrintTitles" localSheetId="12" hidden="1">'P2'!$5:$8</definedName>
    <definedName name="Z_5A803268_F6C5_4035_B3E1_A94CB9AA8994_.wvu.Rows" localSheetId="1" hidden="1">FWise!$24:$24</definedName>
    <definedName name="Z_5A803268_F6C5_4035_B3E1_A94CB9AA8994_.wvu.Rows" localSheetId="0" hidden="1">GEntry!$22:$22</definedName>
    <definedName name="Z_5A803268_F6C5_4035_B3E1_A94CB9AA8994_.wvu.Rows" localSheetId="23" hidden="1">Master!$32:$32</definedName>
    <definedName name="Z_5A803268_F6C5_4035_B3E1_A94CB9AA8994_.wvu.Rows" localSheetId="22" hidden="1">YesterdayFWise!$24:$24</definedName>
    <definedName name="Z_5A803268_F6C5_4035_B3E1_A94CB9AA8994_.wvu.Rows" localSheetId="15" hidden="1">YesterdayGen!$23:$23</definedName>
    <definedName name="Z_5A8DFA9C_FC0C_4A64_B2DB_39D37BD712CD_.wvu.FilterData" localSheetId="7" hidden="1">EvReport!$A$4:$Q$200</definedName>
    <definedName name="Z_5A9D85D6_DDBB_475D_8C5F_1D06ED6FBAFF_.wvu.FilterData" localSheetId="7" hidden="1">EvReport!$A$4:$Q$200</definedName>
    <definedName name="Z_5AA2F511_D0DF_4057_9294_1C4720C4107D_.wvu.FilterData" localSheetId="7" hidden="1">EvReport!$A$4:$Q$200</definedName>
    <definedName name="Z_5B04B077_E160_4982_BE1C_265E8372D978_.wvu.FilterData" localSheetId="7" hidden="1">EvReport!$A$4:$Q$200</definedName>
    <definedName name="Z_5B271355_9527_4BC6_B7F3_CD34FE497828_.wvu.FilterData" localSheetId="7" hidden="1">EvReport!$A$4:$Q$200</definedName>
    <definedName name="Z_5C6D9B83_43D8_4A2F_86B7_52F83C3055CC_.wvu.FilterData" localSheetId="7" hidden="1">EvReport!$A$4:$Q$200</definedName>
    <definedName name="Z_5C796C4F_9EF3_48CC_9E6B_69227F30E3F6_.wvu.FilterData" localSheetId="7" hidden="1">EvReport!$A$4:$Q$200</definedName>
    <definedName name="Z_5C87BD79_311F_431C_91A4_5F6DC11709C1_.wvu.FilterData" localSheetId="7" hidden="1">EvReport!$A$4:$Q$200</definedName>
    <definedName name="Z_5C8A74F4_073B_4277_9AA1_EF29F3FC2BA0_.wvu.FilterData" localSheetId="7" hidden="1">EvReport!$A$4:$Q$200</definedName>
    <definedName name="Z_5CACEC1F_6D58_4393_985A_4FF444C35866_.wvu.FilterData" localSheetId="7" hidden="1">EvReport!$A$4:$Q$200</definedName>
    <definedName name="Z_5D3E4E8A_013A_4F5B_9DC1_DFE91E7993C0_.wvu.FilterData" localSheetId="7" hidden="1">EvReport!$A$4:$Q$200</definedName>
    <definedName name="Z_5D5A3124_ACBD_4E52_89EE_EB3D0C1EB3C7_.wvu.FilterData" localSheetId="7" hidden="1">EvReport!$A$4:$Q$200</definedName>
    <definedName name="Z_5D5B96C7_7E21_4528_844B_0FF020EB6C6A_.wvu.FilterData" localSheetId="7" hidden="1">EvReport!$A$4:$Q$200</definedName>
    <definedName name="Z_5D7B899C_9789_42B9_8BA9_295124F71AFF_.wvu.FilterData" localSheetId="7" hidden="1">EvReport!$A$4:$Q$200</definedName>
    <definedName name="Z_5DBDACE9_12A2_4483_9A5A_392794C1A5BA_.wvu.FilterData" localSheetId="7" hidden="1">EvReport!$A$4:$Q$200</definedName>
    <definedName name="Z_5DD33679_1E79_4606_9AFF_A230BC8EC7F2_.wvu.FilterData" localSheetId="7" hidden="1">EvReport!$A$4:$Q$200</definedName>
    <definedName name="Z_5DEF6AC6_E877_452B_8468_E9D41105A520_.wvu.FilterData" localSheetId="7" hidden="1">EvReport!$A$4:$Q$200</definedName>
    <definedName name="Z_5E3F6ACB_241E_422F_B289_547F8959F820_.wvu.FilterData" localSheetId="7" hidden="1">EvReport!$A$4:$Q$200</definedName>
    <definedName name="Z_5E665273_5427_4FEB_BA2E_1A1BA47051E3_.wvu.FilterData" localSheetId="7" hidden="1">EvReport!$A$4:$Q$200</definedName>
    <definedName name="Z_5EC87053_8D56_4085_B837_31FF186A31C1_.wvu.FilterData" localSheetId="7" hidden="1">EvReport!$A$4:$Q$200</definedName>
    <definedName name="Z_5EE8B860_941E_408F_87C4_717C8FFD9B3B_.wvu.FilterData" localSheetId="7" hidden="1">EvReport!$A$4:$Q$200</definedName>
    <definedName name="Z_5EF224B7_5462_4AB4_BAD1_40A00294148E_.wvu.FilterData" localSheetId="7" hidden="1">EvReport!$A$4:$Q$200</definedName>
    <definedName name="Z_5F38A505_162F_4E72_B2E5_2297BAA4AD42_.wvu.FilterData" localSheetId="7" hidden="1">EvReport!$A$4:$Q$200</definedName>
    <definedName name="Z_5F91D09E_8FC9_48DF_88F2_F98D24874C98_.wvu.FilterData" localSheetId="7" hidden="1">EvReport!$A$4:$Q$200</definedName>
    <definedName name="Z_5F9FEDFF_9B89_4E4C_9D30_D7019BC87FB2_.wvu.FilterData" localSheetId="7" hidden="1">EvReport!$A$4:$Q$200</definedName>
    <definedName name="Z_6003C34F_4A73_4FB1_B34D_21E287F29488_.wvu.FilterData" localSheetId="7" hidden="1">EvReport!$A$4:$Q$200</definedName>
    <definedName name="Z_60873202_375F_4743_B852_110703AEB9E6_.wvu.FilterData" localSheetId="7" hidden="1">EvReport!$A$4:$Q$200</definedName>
    <definedName name="Z_60AEEC48_95FB_449C_B976_68F4AF96C068_.wvu.FilterData" localSheetId="7" hidden="1">EvReport!$A$4:$Q$200</definedName>
    <definedName name="Z_60CDE485_9EC2_453E_B107_6BC4AE76BCD0_.wvu.FilterData" localSheetId="7" hidden="1">EvReport!$A$4:$Q$200</definedName>
    <definedName name="Z_60E71858_B932_4D00_AC4C_ABC2AA78554A_.wvu.FilterData" localSheetId="7" hidden="1">EvReport!$A$4:$Q$200</definedName>
    <definedName name="Z_60FC821F_CC47_4A22_AEBF_080D1C40F563_.wvu.FilterData" localSheetId="7" hidden="1">EvReport!$A$4:$Q$200</definedName>
    <definedName name="Z_611A64C1_EC27_45BF_927B_76F2B15E1DE5_.wvu.FilterData" localSheetId="7" hidden="1">EvReport!$A$4:$Q$200</definedName>
    <definedName name="Z_611E2A34_FC61_43CA_B5E3_5E0FC77A306D_.wvu.FilterData" localSheetId="7" hidden="1">EvReport!$A$4:$Q$200</definedName>
    <definedName name="Z_613DF1EC_0F3E_477B_9278_D14774D8F9EE_.wvu.FilterData" localSheetId="7" hidden="1">EvReport!$A$4:$Q$200</definedName>
    <definedName name="Z_6161F6EE_494A_4579_B2AF_09CE302F89D9_.wvu.FilterData" localSheetId="7" hidden="1">EvReport!$A$4:$Q$200</definedName>
    <definedName name="Z_62AE66CD_4BAE_4B4E_80D7_AEF461811066_.wvu.FilterData" localSheetId="7" hidden="1">EvReport!$A$4:$Q$200</definedName>
    <definedName name="Z_63108354_883B_4A1D_96F2_3C48A9206816_.wvu.FilterData" localSheetId="7" hidden="1">EvReport!$A$4:$Q$200</definedName>
    <definedName name="Z_637F3CB4_16B2_4D58_AD67_857C1E737B0E_.wvu.FilterData" localSheetId="7" hidden="1">EvReport!$A$4:$Q$200</definedName>
    <definedName name="Z_63DAEB8A_1639_42E8_8775_CE5CA7511C6F_.wvu.FilterData" localSheetId="7" hidden="1">EvReport!$A$4:$Q$200</definedName>
    <definedName name="Z_63DF36FA_7EA8_47BB_B7EC_265F749481E8_.wvu.FilterData" localSheetId="7" hidden="1">EvReport!$A$4:$Q$200</definedName>
    <definedName name="Z_63FBC021_2523_418B_AA0E_5AA0A8255765_.wvu.FilterData" localSheetId="7" hidden="1">EvReport!$A$4:$Q$200</definedName>
    <definedName name="Z_644F0986_AEA4_40D0_92B6_AFED8553E2C6_.wvu.FilterData" localSheetId="7" hidden="1">EvReport!$A$4:$Q$200</definedName>
    <definedName name="Z_6468BB12_9A7D_4DE0_95E9_EF1578DE8364_.wvu.FilterData" localSheetId="7" hidden="1">EvReport!$A$4:$Q$200</definedName>
    <definedName name="Z_64870CDA_3421_468A_BE63_50DBC832928E_.wvu.FilterData" localSheetId="7" hidden="1">EvReport!$A$4:$Q$200</definedName>
    <definedName name="Z_64920E69_13DD_4365_BB4A_A8B4A2C061A5_.wvu.FilterData" localSheetId="7" hidden="1">EvReport!$A$4:$Q$200</definedName>
    <definedName name="Z_651758AA_53BF_4624_A4E4_A723E27F3F2F_.wvu.FilterData" localSheetId="7" hidden="1">EvReport!$A$4:$Q$200</definedName>
    <definedName name="Z_6521D22C_E108_457A_9FA4_C3BE303D850D_.wvu.FilterData" localSheetId="7" hidden="1">EvReport!$A$4:$Q$200</definedName>
    <definedName name="Z_65ED1DBE_B109_44E4_AF66_E9B3827004ED_.wvu.FilterData" localSheetId="7" hidden="1">EvReport!$A$4:$Q$200</definedName>
    <definedName name="Z_66518E4F_AC90_42F4_8435_FA83FA49314E_.wvu.FilterData" localSheetId="7" hidden="1">EvReport!$A$4:$Q$200</definedName>
    <definedName name="Z_6655DDB1_8501_4E5D_88D2_C475C6DFEF2D_.wvu.FilterData" localSheetId="7" hidden="1">EvReport!$A$4:$Q$200</definedName>
    <definedName name="Z_666DF125_1145_4394_A463_538B97CC8F1E_.wvu.FilterData" localSheetId="7" hidden="1">EvReport!$A$4:$Q$200</definedName>
    <definedName name="Z_667FCA9E_3927_49F2_8E91_6303EFA26429_.wvu.FilterData" localSheetId="7" hidden="1">EvReport!$A$4:$Q$200</definedName>
    <definedName name="Z_670B2799_6FF2_43F7_9C3D_C944734F04DA_.wvu.FilterData" localSheetId="7" hidden="1">EvReport!$A$4:$Q$200</definedName>
    <definedName name="Z_67F62872_9B00_4603_98F6_0F0690E58808_.wvu.FilterData" localSheetId="7" hidden="1">EvReport!$A$4:$Q$200</definedName>
    <definedName name="Z_683DFC6A_274D_48F9_A527_C52CBCDB2CB9_.wvu.FilterData" localSheetId="7" hidden="1">EvReport!$A$4:$Q$200</definedName>
    <definedName name="Z_68625B9D_A457_45A0_96BB_DC164F500FE7_.wvu.FilterData" localSheetId="7" hidden="1">EvReport!$A$4:$Q$200</definedName>
    <definedName name="Z_68A03BB7_0A77_4C51_8C66_1877EBDA6C92_.wvu.FilterData" localSheetId="7" hidden="1">EvReport!$A$4:$Q$200</definedName>
    <definedName name="Z_68D1FB3B_8FDC_45FF_8EE8_EFF01D03F26E_.wvu.FilterData" localSheetId="7" hidden="1">EvReport!$A$4:$Q$200</definedName>
    <definedName name="Z_6955730A_9DAA_484D_B017_B4F0EE945158_.wvu.FilterData" localSheetId="7" hidden="1">EvReport!$A$4:$Q$200</definedName>
    <definedName name="Z_69668A16_C9DE_4E3D_8501_A8B70505E12A_.wvu.FilterData" localSheetId="7" hidden="1">EvReport!$A$4:$Q$200</definedName>
    <definedName name="Z_697D419C_68D5_4439_A0A1_1061578D217B_.wvu.FilterData" localSheetId="7" hidden="1">EvReport!$A$4:$Q$200</definedName>
    <definedName name="Z_69F8506B_96F9_489F_B951_EEE220F133A5_.wvu.FilterData" localSheetId="7" hidden="1">EvReport!$A$4:$Q$200</definedName>
    <definedName name="Z_6A206D44_EEDA_48C5_A7A3_0833D92A1265_.wvu.FilterData" localSheetId="7" hidden="1">EvReport!$A$4:$Q$200</definedName>
    <definedName name="Z_6AAD44A0_FBC5_4B56_9B7B_105A58325555_.wvu.FilterData" localSheetId="7" hidden="1">EvReport!$A$4:$Q$200</definedName>
    <definedName name="Z_6ACB6484_7910_4A5C_BBD4_8E58329091D5_.wvu.FilterData" localSheetId="7" hidden="1">EvReport!$A$4:$Q$200</definedName>
    <definedName name="Z_6AD9BF4B_B437_4D31_83D6_7D5528F0F6B4_.wvu.FilterData" localSheetId="7" hidden="1">EvReport!$A$4:$Q$200</definedName>
    <definedName name="Z_6AEF225C_F0C2_44FC_89DC_038839B023BD_.wvu.FilterData" localSheetId="7" hidden="1">EvReport!$A$4:$Q$200</definedName>
    <definedName name="Z_6AF3C9BC_029A_4493_AF73_BC680997344F_.wvu.FilterData" localSheetId="7" hidden="1">EvReport!$A$4:$Q$200</definedName>
    <definedName name="Z_6BB8B4FD_470A_4085_97CD_E72466A85EA5_.wvu.FilterData" localSheetId="7" hidden="1">EvReport!$A$4:$Q$200</definedName>
    <definedName name="Z_6C5167AC_717F_47E9_AB91_63AE00050163_.wvu.FilterData" localSheetId="7" hidden="1">EvReport!$A$4:$Q$200</definedName>
    <definedName name="Z_6C54DD5A_2009_44E6_8F75_988D4ADFC62F_.wvu.FilterData" localSheetId="7" hidden="1">EvReport!$A$4:$Q$200</definedName>
    <definedName name="Z_6CDC8FB5_F020_48CB_A906_1DC16CD8273D_.wvu.FilterData" localSheetId="7" hidden="1">EvReport!$A$4:$Q$200</definedName>
    <definedName name="Z_6DCF2203_2C3B_40AA_A640_2C714F4F513C_.wvu.FilterData" localSheetId="7" hidden="1">EvReport!$A$4:$Q$200</definedName>
    <definedName name="Z_6E04F6CF_9C14_4F82_A939_BE9633127033_.wvu.FilterData" localSheetId="7" hidden="1">EvReport!$A$4:$Q$200</definedName>
    <definedName name="Z_6E6D07F1_F7E5_4EEF_8BFB_E2439C82CF0E_.wvu.FilterData" localSheetId="7" hidden="1">EvReport!$A$4:$Q$200</definedName>
    <definedName name="Z_6EC9D9CC_96CA_4C18_AEE5_CF7918F9FF88_.wvu.FilterData" localSheetId="7" hidden="1">EvReport!$A$4:$Q$200</definedName>
    <definedName name="Z_6EE404F0_1A9B_455D_8703_38882422EA96_.wvu.FilterData" localSheetId="7" hidden="1">EvReport!$A$4:$Q$200</definedName>
    <definedName name="Z_6F8362C1_627E_4635_A8F4_79836BB0F257_.wvu.FilterData" localSheetId="7" hidden="1">EvReport!$A$4:$Q$200</definedName>
    <definedName name="Z_6FACEC67_D132_4F6D_B0F1_49A6C573CD90_.wvu.FilterData" localSheetId="7" hidden="1">EvReport!$A$4:$Q$200</definedName>
    <definedName name="Z_700A0ABF_053E_4B46_8A83_F5CBF152E47F_.wvu.FilterData" localSheetId="7" hidden="1">EvReport!$A$4:$Q$200</definedName>
    <definedName name="Z_7082972C_DEDC_4102_9FB1_3E804C042037_.wvu.FilterData" localSheetId="7" hidden="1">EvReport!$A$4:$Q$200</definedName>
    <definedName name="Z_7128D897_7DED_4BA2_8CC9_E9FC2976F5B9_.wvu.FilterData" localSheetId="7" hidden="1">EvReport!$A$4:$Q$200</definedName>
    <definedName name="Z_721A4F70_C6AD_4C47_985E_65559DE0A965_.wvu.FilterData" localSheetId="7" hidden="1">EvReport!$A$4:$Q$200</definedName>
    <definedName name="Z_721D65EE_D89F_4438_B883_9FFD4F2E11C7_.wvu.FilterData" localSheetId="7" hidden="1">EvReport!$A$4:$Q$200</definedName>
    <definedName name="Z_72B65997_0A5A_4FDD_AEAC_EA7C6F5FA442_.wvu.FilterData" localSheetId="7" hidden="1">EvReport!$A$4:$Q$200</definedName>
    <definedName name="Z_7309095A_E4F7_459B_995A_A706592CD971_.wvu.FilterData" localSheetId="7" hidden="1">EvReport!$A$4:$Q$200</definedName>
    <definedName name="Z_73B07478_D61A_4F5A_BF51_70797C3558C8_.wvu.FilterData" localSheetId="7" hidden="1">EvReport!$A$4:$Q$200</definedName>
    <definedName name="Z_7496D673_EA3A_4C43_AC47_AB71C19FF769_.wvu.FilterData" localSheetId="7" hidden="1">EvReport!$A$4:$Q$200</definedName>
    <definedName name="Z_749A7CD3_91BC_4E3C_8867_0447014A6896_.wvu.FilterData" localSheetId="7" hidden="1">EvReport!$A$4:$Q$200</definedName>
    <definedName name="Z_74B827D9_618E_407A_9EB0_296DC66B387F_.wvu.FilterData" localSheetId="7" hidden="1">EvReport!$A$4:$Q$200</definedName>
    <definedName name="Z_74D56796_31F8_4D8B_A06D_38765791DD4C_.wvu.FilterData" localSheetId="7" hidden="1">EvReport!$A$4:$Q$200</definedName>
    <definedName name="Z_74E0352B_BA9D_48A0_AA77_9BC41391693F_.wvu.FilterData" localSheetId="7" hidden="1">EvReport!$A$4:$Q$200</definedName>
    <definedName name="Z_74F39E59_BBD1_4302_9C4E_486D91722945_.wvu.FilterData" localSheetId="7" hidden="1">EvReport!$A$4:$Q$200</definedName>
    <definedName name="Z_751D391F_C74F_4B53_B5B5_25E01AC12EA4_.wvu.FilterData" localSheetId="7" hidden="1">EvReport!$A$4:$Q$200</definedName>
    <definedName name="Z_751D391F_C74F_4B53_B5B5_25E01AC12EA4_.wvu.PrintArea" localSheetId="4" hidden="1">Ch!$A$1:$J$58</definedName>
    <definedName name="Z_751D391F_C74F_4B53_B5B5_25E01AC12EA4_.wvu.PrintArea" localSheetId="9" hidden="1">DGFI!$A$1:$F$52</definedName>
    <definedName name="Z_751D391F_C74F_4B53_B5B5_25E01AC12EA4_.wvu.PrintArea" localSheetId="17" hidden="1">'En-Curve'!$P$2:$Z$64</definedName>
    <definedName name="Z_751D391F_C74F_4B53_B5B5_25E01AC12EA4_.wvu.PrintArea" localSheetId="26" hidden="1">EnReport!$C$5:$F$38</definedName>
    <definedName name="Z_751D391F_C74F_4B53_B5B5_25E01AC12EA4_.wvu.PrintArea" localSheetId="8" hidden="1">EvBangla!$A$1:$M$32</definedName>
    <definedName name="Z_751D391F_C74F_4B53_B5B5_25E01AC12EA4_.wvu.PrintArea" localSheetId="7" hidden="1">EvReport!$B$1:$L$207</definedName>
    <definedName name="Z_751D391F_C74F_4B53_B5B5_25E01AC12EA4_.wvu.PrintArea" localSheetId="3" hidden="1">Forecast!$B$1:$R$222</definedName>
    <definedName name="Z_751D391F_C74F_4B53_B5B5_25E01AC12EA4_.wvu.PrintArea" localSheetId="1" hidden="1">FWise!$B$2:$L$42</definedName>
    <definedName name="Z_751D391F_C74F_4B53_B5B5_25E01AC12EA4_.wvu.PrintArea" localSheetId="6" hidden="1">Generation!$A$1:$AC$199</definedName>
    <definedName name="Z_751D391F_C74F_4B53_B5B5_25E01AC12EA4_.wvu.PrintArea" localSheetId="16" hidden="1">'L-Curve'!$H$3:$Q$49</definedName>
    <definedName name="Z_751D391F_C74F_4B53_B5B5_25E01AC12EA4_.wvu.PrintArea" localSheetId="11" hidden="1">'P1'!$A$1:$I$113</definedName>
    <definedName name="Z_751D391F_C74F_4B53_B5B5_25E01AC12EA4_.wvu.PrintArea" localSheetId="12" hidden="1">'P2'!$B$1:$J$192</definedName>
    <definedName name="Z_751D391F_C74F_4B53_B5B5_25E01AC12EA4_.wvu.PrintArea" localSheetId="13" hidden="1">'P3'!$B$1:$J$91</definedName>
    <definedName name="Z_751D391F_C74F_4B53_B5B5_25E01AC12EA4_.wvu.PrintArea" localSheetId="5" hidden="1">PM!$A$1:$G$22</definedName>
    <definedName name="Z_751D391F_C74F_4B53_B5B5_25E01AC12EA4_.wvu.PrintArea" localSheetId="14" hidden="1">Volt!$B$2:$K$115</definedName>
    <definedName name="Z_751D391F_C74F_4B53_B5B5_25E01AC12EA4_.wvu.PrintArea" localSheetId="22" hidden="1">YesterdayFWise!$B$2:$L$32</definedName>
    <definedName name="Z_751D391F_C74F_4B53_B5B5_25E01AC12EA4_.wvu.PrintArea" localSheetId="24" hidden="1">'Zone Wise Gen'!$A$3:$K$29</definedName>
    <definedName name="Z_751D391F_C74F_4B53_B5B5_25E01AC12EA4_.wvu.PrintTitles" localSheetId="7" hidden="1">EvReport!$7:$8</definedName>
    <definedName name="Z_751D391F_C74F_4B53_B5B5_25E01AC12EA4_.wvu.PrintTitles" localSheetId="3" hidden="1">Forecast!$4:$8</definedName>
    <definedName name="Z_751D391F_C74F_4B53_B5B5_25E01AC12EA4_.wvu.PrintTitles" localSheetId="12" hidden="1">'P2'!$5:$8</definedName>
    <definedName name="Z_751D391F_C74F_4B53_B5B5_25E01AC12EA4_.wvu.Rows" localSheetId="1" hidden="1">FWise!$24:$24</definedName>
    <definedName name="Z_751D391F_C74F_4B53_B5B5_25E01AC12EA4_.wvu.Rows" localSheetId="11" hidden="1">'P1'!$106:$106,'P1'!$120:$121</definedName>
    <definedName name="Z_752DFCFB_7ED3_4A80_8183_75B2A94645A6_.wvu.FilterData" localSheetId="7" hidden="1">EvReport!$A$4:$Q$200</definedName>
    <definedName name="Z_7561FE66_CDFD_4F2D_9BAE_316A04E4A0CC_.wvu.FilterData" localSheetId="7" hidden="1">EvReport!$A$4:$Q$200</definedName>
    <definedName name="Z_75982CD0_59AF_46A2_B6A5_26243A53D04D_.wvu.FilterData" localSheetId="7" hidden="1">EvReport!$A$4:$Q$200</definedName>
    <definedName name="Z_7631CAE9_70A8_4B9A_B474_8230F72AAA5F_.wvu.FilterData" localSheetId="7" hidden="1">EvReport!$A$4:$Q$200</definedName>
    <definedName name="Z_76396472_E2BF_4C26_A8EB_98F919692884_.wvu.FilterData" localSheetId="7" hidden="1">EvReport!$A$4:$Q$200</definedName>
    <definedName name="Z_768A68B0_B6EA_4372_8828_FA7B27379E0C_.wvu.FilterData" localSheetId="7" hidden="1">EvReport!$A$4:$Q$200</definedName>
    <definedName name="Z_77D832E0_2732_4112_A698_C3CF5D6DC2ED_.wvu.FilterData" localSheetId="7" hidden="1">EvReport!$A$4:$Q$200</definedName>
    <definedName name="Z_77FB52E2_3896_4405_97AF_7958C2646BD1_.wvu.FilterData" localSheetId="7" hidden="1">EvReport!$A$4:$Q$200</definedName>
    <definedName name="Z_780FE9CE_DE45_4792_B20E_B36C349BB0D2_.wvu.FilterData" localSheetId="7" hidden="1">EvReport!$A$4:$Q$200</definedName>
    <definedName name="Z_783F7C75_F06F_4E93_9E67_A28F82CA16BD_.wvu.FilterData" localSheetId="7" hidden="1">EvReport!$A$4:$Q$200</definedName>
    <definedName name="Z_7893D693_B4B4_41E9_B516_7E8EC38BAC8E_.wvu.FilterData" localSheetId="7" hidden="1">EvReport!$A$4:$Q$200</definedName>
    <definedName name="Z_78E5A794_F250_4E09_8C5C_A2F2B1A42A2C_.wvu.FilterData" localSheetId="7" hidden="1">EvReport!$A$4:$Q$200</definedName>
    <definedName name="Z_791EA664_3025_4C38_954B_0DFE5DF4C82A_.wvu.FilterData" localSheetId="7" hidden="1">EvReport!$A$4:$Q$200</definedName>
    <definedName name="Z_79526332_CEFC_4FFB_99DC_03BE20787EFF_.wvu.FilterData" localSheetId="7" hidden="1">EvReport!$A$4:$Q$200</definedName>
    <definedName name="Z_7981556B_088D_4FD5_BCEF_523EACC6BE42_.wvu.FilterData" localSheetId="7" hidden="1">EvReport!$A$4:$Q$200</definedName>
    <definedName name="Z_7B5B39A1_6841_4D84_AD97_1181A766C5E5_.wvu.FilterData" localSheetId="7" hidden="1">EvReport!$A$4:$Q$200</definedName>
    <definedName name="Z_7B65F774_ED32_4856_927D_E1E6D7EF3761_.wvu.FilterData" localSheetId="7" hidden="1">EvReport!$A$4:$Q$200</definedName>
    <definedName name="Z_7BC70958_44AC_4C56_ADFC_59AE9041159F_.wvu.FilterData" localSheetId="7" hidden="1">EvReport!$A$4:$Q$200</definedName>
    <definedName name="Z_7BF55688_6E9B_4984_B954_B76E39EB706B_.wvu.FilterData" localSheetId="7" hidden="1">EvReport!$A$4:$Q$200</definedName>
    <definedName name="Z_7C1C4EDC_CE7F_419A_A8A8_7719944DC360_.wvu.FilterData" localSheetId="7" hidden="1">EvReport!$A$4:$Q$200</definedName>
    <definedName name="Z_7C67784F_E055_43AB_BF10_8B4EB8E661A2_.wvu.FilterData" localSheetId="7" hidden="1">EvReport!$A$4:$Q$200</definedName>
    <definedName name="Z_7C71EF2A_5ADA_494C_8F58_DDA71753DD90_.wvu.FilterData" localSheetId="7" hidden="1">EvReport!$A$4:$Q$200</definedName>
    <definedName name="Z_7C71EF2A_5ADA_494C_8F58_DDA71753DD90_.wvu.PrintArea" localSheetId="4" hidden="1">Ch!$A$1:$J$58</definedName>
    <definedName name="Z_7C71EF2A_5ADA_494C_8F58_DDA71753DD90_.wvu.PrintArea" localSheetId="9" hidden="1">DGFI!$A$1:$F$52</definedName>
    <definedName name="Z_7C71EF2A_5ADA_494C_8F58_DDA71753DD90_.wvu.PrintArea" localSheetId="26" hidden="1">EnReport!$B$3:$H$28</definedName>
    <definedName name="Z_7C71EF2A_5ADA_494C_8F58_DDA71753DD90_.wvu.PrintArea" localSheetId="8" hidden="1">EvBangla!$A$1:$M$32</definedName>
    <definedName name="Z_7C71EF2A_5ADA_494C_8F58_DDA71753DD90_.wvu.PrintArea" localSheetId="7" hidden="1">EvReport!$B$1:$L$207</definedName>
    <definedName name="Z_7C71EF2A_5ADA_494C_8F58_DDA71753DD90_.wvu.PrintArea" localSheetId="3" hidden="1">Forecast!$B$1:$R$222</definedName>
    <definedName name="Z_7C71EF2A_5ADA_494C_8F58_DDA71753DD90_.wvu.PrintArea" localSheetId="1" hidden="1">FWise!$B$1:$L$37</definedName>
    <definedName name="Z_7C71EF2A_5ADA_494C_8F58_DDA71753DD90_.wvu.PrintArea" localSheetId="6" hidden="1">Generation!$A$1:$AC$199</definedName>
    <definedName name="Z_7C71EF2A_5ADA_494C_8F58_DDA71753DD90_.wvu.PrintArea" localSheetId="16" hidden="1">'L-Curve'!$H$3:$Q$49</definedName>
    <definedName name="Z_7C71EF2A_5ADA_494C_8F58_DDA71753DD90_.wvu.PrintArea" localSheetId="11" hidden="1">'P1'!$A$1:$I$125</definedName>
    <definedName name="Z_7C71EF2A_5ADA_494C_8F58_DDA71753DD90_.wvu.PrintArea" localSheetId="12" hidden="1">'P2'!$B$1:$J$192</definedName>
    <definedName name="Z_7C71EF2A_5ADA_494C_8F58_DDA71753DD90_.wvu.PrintArea" localSheetId="13" hidden="1">'P3'!$A$1:$J$84</definedName>
    <definedName name="Z_7C71EF2A_5ADA_494C_8F58_DDA71753DD90_.wvu.PrintArea" localSheetId="5" hidden="1">PM!$A$1:$G$22</definedName>
    <definedName name="Z_7C71EF2A_5ADA_494C_8F58_DDA71753DD90_.wvu.PrintArea" localSheetId="14" hidden="1">Volt!$B$1:$K$107</definedName>
    <definedName name="Z_7C71EF2A_5ADA_494C_8F58_DDA71753DD90_.wvu.PrintArea" localSheetId="22" hidden="1">YesterdayFWise!$B$1:$M$38</definedName>
    <definedName name="Z_7C71EF2A_5ADA_494C_8F58_DDA71753DD90_.wvu.PrintTitles" localSheetId="7" hidden="1">EvReport!$7:$8</definedName>
    <definedName name="Z_7C71EF2A_5ADA_494C_8F58_DDA71753DD90_.wvu.PrintTitles" localSheetId="3" hidden="1">Forecast!$4:$8</definedName>
    <definedName name="Z_7C71EF2A_5ADA_494C_8F58_DDA71753DD90_.wvu.PrintTitles" localSheetId="12" hidden="1">'P2'!$5:$8</definedName>
    <definedName name="Z_7C71EF2A_5ADA_494C_8F58_DDA71753DD90_.wvu.Rows" localSheetId="1" hidden="1">FWise!$24:$24</definedName>
    <definedName name="Z_7C8229CA_1063_4F46_A47B_306669242C66_.wvu.FilterData" localSheetId="7" hidden="1">EvReport!$A$4:$Q$200</definedName>
    <definedName name="Z_7CD38274_66FA_4167_8F2B_A77B01813C27_.wvu.FilterData" localSheetId="7" hidden="1">EvReport!$A$4:$Q$200</definedName>
    <definedName name="Z_7D15C21D_6A7A_4B79_8FB0_A96C7BA6358E_.wvu.FilterData" localSheetId="7" hidden="1">EvReport!$A$4:$Q$200</definedName>
    <definedName name="Z_7D2B8459_C081_4B61_BEFF_C32D1B3775E1_.wvu.FilterData" localSheetId="7" hidden="1">EvReport!$A$4:$Q$200</definedName>
    <definedName name="Z_7D532D95_9297_4A1B_88A0_1E6A5858D531_.wvu.FilterData" localSheetId="7" hidden="1">EvReport!$A$4:$Q$200</definedName>
    <definedName name="Z_7D642FE6_8466_42B2_BAF8_D5C397BBCE5D_.wvu.FilterData" localSheetId="7" hidden="1">EvReport!$A$4:$Q$200</definedName>
    <definedName name="Z_7D983E34_49D0_43C5_AEA2_C69D08639841_.wvu.FilterData" localSheetId="7" hidden="1">EvReport!$A$4:$Q$200</definedName>
    <definedName name="Z_7DC4011A_42D9_4D1C_A5F9_E05240959DE8_.wvu.FilterData" localSheetId="7" hidden="1">EvReport!$A$4:$Q$200</definedName>
    <definedName name="Z_7E639DCE_B97C_4130_93C2_D3F8184F03B3_.wvu.FilterData" localSheetId="7" hidden="1">EvReport!$A$4:$Q$200</definedName>
    <definedName name="Z_7E6EC193_1EE8_4400_9CC4_6C44A1B2DC6B_.wvu.FilterData" localSheetId="7" hidden="1">EvReport!$A$4:$Q$200</definedName>
    <definedName name="Z_7E86CAA2_1147_49DA_9178_79283A3CC2E4_.wvu.FilterData" localSheetId="7" hidden="1">EvReport!$A$4:$Q$200</definedName>
    <definedName name="Z_7E889453_2943_40BC_ADEF_8950955B135A_.wvu.FilterData" localSheetId="7" hidden="1">EvReport!$A$4:$Q$200</definedName>
    <definedName name="Z_7EF6E0DD_BD8F_4D96_AFD7_6CF1AABED193_.wvu.FilterData" localSheetId="7" hidden="1">EvReport!$A$4:$Q$200</definedName>
    <definedName name="Z_7F0686C3_4DE1_413B_AD7C_44FF8326AC08_.wvu.FilterData" localSheetId="7" hidden="1">EvReport!$A$4:$Q$200</definedName>
    <definedName name="Z_7F76D03E_2FCF_4DB5_89A6_FF63A0B52D73_.wvu.FilterData" localSheetId="7" hidden="1">EvReport!$A$4:$Q$200</definedName>
    <definedName name="Z_802D5354_B378_4A9E_B611_D1C8EB16273A_.wvu.FilterData" localSheetId="7" hidden="1">EvReport!$A$4:$Q$200</definedName>
    <definedName name="Z_804A9314_BE0F_406F_941F_E26EC0024F6B_.wvu.FilterData" localSheetId="7" hidden="1">EvReport!$A$4:$Q$200</definedName>
    <definedName name="Z_804DA9EA_72B7_416C_A215_9EE92E484E95_.wvu.FilterData" localSheetId="7" hidden="1">EvReport!$A$4:$Q$200</definedName>
    <definedName name="Z_80701379_1FF6_4C09_8DE8_6D84E1DAC7B5_.wvu.FilterData" localSheetId="7" hidden="1">EvReport!$A$4:$Q$200</definedName>
    <definedName name="Z_80DA6A29_A124_4116_BC9C_AFAA0904621D_.wvu.FilterData" localSheetId="7" hidden="1">EvReport!$A$4:$Q$200</definedName>
    <definedName name="Z_8119CE4E_F8C6_465B_8D91_BED2ED9DC765_.wvu.FilterData" localSheetId="7" hidden="1">EvReport!$A$4:$Q$200</definedName>
    <definedName name="Z_81988995_4EB7_4205_9473_7C815D637B57_.wvu.FilterData" localSheetId="7" hidden="1">EvReport!$A$4:$Q$200</definedName>
    <definedName name="Z_8256DCB1_6452_4F65_9FE9_90C7562C393E_.wvu.FilterData" localSheetId="7" hidden="1">EvReport!$A$4:$Q$200</definedName>
    <definedName name="Z_82F8300F_C99C_4EF0_9C9D_D6C7BD92A177_.wvu.FilterData" localSheetId="7" hidden="1">EvReport!$A$4:$Q$200</definedName>
    <definedName name="Z_835DE0B5_7441_4795_868F_B79F9A78EE6B_.wvu.FilterData" localSheetId="7" hidden="1">EvReport!$A$4:$Q$200</definedName>
    <definedName name="Z_837EFD09_9FCC_404A_BC1E_11EBE528C53A_.wvu.FilterData" localSheetId="7" hidden="1">EvReport!$A$4:$Q$200</definedName>
    <definedName name="Z_83ABE26F_4D86_43BF_A641_531E389F3541_.wvu.FilterData" localSheetId="7" hidden="1">EvReport!$A$4:$Q$200</definedName>
    <definedName name="Z_840243AA_1325_4F53_BB96_5394D09DF247_.wvu.FilterData" localSheetId="7" hidden="1">EvReport!$A$4:$Q$200</definedName>
    <definedName name="Z_8417E524_A593_4BEF_AE0F_6E17E970BA6B_.wvu.FilterData" localSheetId="7" hidden="1">EvReport!$A$4:$Q$200</definedName>
    <definedName name="Z_85965E73_2F7B_4114_B2BD_2C4C845F007E_.wvu.FilterData" localSheetId="7" hidden="1">EvReport!$A$4:$Q$200</definedName>
    <definedName name="Z_85DB7C5B_3E59_4A2D_B55C_4E41088FE1DE_.wvu.FilterData" localSheetId="7" hidden="1">EvReport!$A$4:$Q$200</definedName>
    <definedName name="Z_85E85573_D8BD_45C2_A3CA_9C08E5462B54_.wvu.FilterData" localSheetId="7" hidden="1">EvReport!$A$4:$Q$200</definedName>
    <definedName name="Z_85F9DFB7_CD3E_4D75_9B94_AAF080B59483_.wvu.FilterData" localSheetId="7" hidden="1">EvReport!$A$4:$Q$200</definedName>
    <definedName name="Z_8669581B_633C_4AAA_B21B_40201C411A52_.wvu.FilterData" localSheetId="7" hidden="1">EvReport!$A$4:$Q$200</definedName>
    <definedName name="Z_868D96EB_9892_4375_B5E0_E28F58AD20A9_.wvu.FilterData" localSheetId="7" hidden="1">EvReport!$A$4:$Q$200</definedName>
    <definedName name="Z_8726354C_FCAD_41C5_9E5D_9E2DF1480268_.wvu.FilterData" localSheetId="7" hidden="1">EvReport!$A$4:$Q$200</definedName>
    <definedName name="Z_8748E18C_D90E_4D17_B754_8D79B8C1F374_.wvu.FilterData" localSheetId="7" hidden="1">EvReport!$A$4:$Q$200</definedName>
    <definedName name="Z_8778B1E8_8B08_4D99_A808_AADE35FEB26A_.wvu.FilterData" localSheetId="7" hidden="1">EvReport!$A$4:$Q$200</definedName>
    <definedName name="Z_87825ACD_5ED4_4328_8B06_D63EC69BAE82_.wvu.FilterData" localSheetId="7" hidden="1">EvReport!$A$4:$Q$200</definedName>
    <definedName name="Z_879343E5_E115_4956_BE77_D7E902C73B44_.wvu.FilterData" localSheetId="7" hidden="1">EvReport!$A$4:$Q$200</definedName>
    <definedName name="Z_87A46157_0D0B_4AD2_94B8_4B33267C8697_.wvu.FilterData" localSheetId="7" hidden="1">EvReport!$A$4:$Q$200</definedName>
    <definedName name="Z_885D827F_F29C_4C33_82E7_0FB3C53F25AC_.wvu.FilterData" localSheetId="7" hidden="1">EvReport!$A$4:$Q$200</definedName>
    <definedName name="Z_887FD46F_3E77_43D2_A4B0_A196F7EF7FC1_.wvu.FilterData" localSheetId="7" hidden="1">EvReport!$A$4:$Q$200</definedName>
    <definedName name="Z_88A86E76_9513_4BA0_A3F9_E6100F6B62E4_.wvu.FilterData" localSheetId="7" hidden="1">EvReport!$A$4:$Q$200</definedName>
    <definedName name="Z_88B372AF_EE8A_411B_9FDF_50DDB2EAB86F_.wvu.FilterData" localSheetId="7" hidden="1">EvReport!$A$4:$Q$200</definedName>
    <definedName name="Z_8932F1C7_3DDC_4B12_854D_02F6CED9384C_.wvu.FilterData" localSheetId="7" hidden="1">EvReport!$A$4:$Q$200</definedName>
    <definedName name="Z_89577D84_B140_422C_8407_15C98E628999_.wvu.FilterData" localSheetId="7" hidden="1">EvReport!$A$4:$Q$200</definedName>
    <definedName name="Z_898D54B5_051B_413E_9153_2B9CB8527C57_.wvu.FilterData" localSheetId="7" hidden="1">EvReport!$A$4:$Q$200</definedName>
    <definedName name="Z_899DF5FC_47E8_4155_90E4_0EDB4005A5EB_.wvu.FilterData" localSheetId="7" hidden="1">EvReport!$A$4:$Q$200</definedName>
    <definedName name="Z_8A2478BF_BF4B_44BC_8449_3F968C89E6E9_.wvu.FilterData" localSheetId="7" hidden="1">EvReport!$A$4:$Q$200</definedName>
    <definedName name="Z_8A7D048A_23E8_4C84_999F_DC920BB58BD0_.wvu.FilterData" localSheetId="7" hidden="1">EvReport!$A$4:$Q$200</definedName>
    <definedName name="Z_8A7DD7EF_B60F_462E_A1BD_D33612E3FCC5_.wvu.FilterData" localSheetId="7" hidden="1">EvReport!$A$4:$Q$200</definedName>
    <definedName name="Z_8A9831E1_71BB_434B_94E1_9854ABE5E64D_.wvu.FilterData" localSheetId="7" hidden="1">EvReport!$A$4:$Q$200</definedName>
    <definedName name="Z_8A9E8EB6_B065_49AE_B37F_EC8D33C38FDB_.wvu.FilterData" localSheetId="7" hidden="1">EvReport!$A$4:$Q$200</definedName>
    <definedName name="Z_8B133972_7AE0_4980_8F13_19A3A68BDB79_.wvu.FilterData" localSheetId="7" hidden="1">EvReport!$A$4:$Q$200</definedName>
    <definedName name="Z_8C1F8B12_953D_443A_B615_DC1B6D340B76_.wvu.FilterData" localSheetId="7" hidden="1">EvReport!$A$4:$Q$200</definedName>
    <definedName name="Z_8D49E855_502B_4753_B8F5_77091B5AA431_.wvu.FilterData" localSheetId="7" hidden="1">EvReport!$A$4:$Q$200</definedName>
    <definedName name="Z_8D541C6B_FB70_4409_ACE9_51439A0FDA5D_.wvu.FilterData" localSheetId="7" hidden="1">EvReport!$A$4:$Q$200</definedName>
    <definedName name="Z_8D67856B_CB41_4644_B053_3ABAA64B77AE_.wvu.FilterData" localSheetId="7" hidden="1">EvReport!$A$4:$Q$200</definedName>
    <definedName name="Z_8D72C783_B770_4BAE_A640_13335455C8BA_.wvu.FilterData" localSheetId="7" hidden="1">EvReport!$A$4:$Q$200</definedName>
    <definedName name="Z_8D879D4C_090F_42CF_BC60_D579164091E4_.wvu.FilterData" localSheetId="7" hidden="1">EvReport!$A$4:$Q$200</definedName>
    <definedName name="Z_8D997BB1_4012_4157_BF83_C46FCBEA99D9_.wvu.FilterData" localSheetId="7" hidden="1">EvReport!$A$4:$Q$200</definedName>
    <definedName name="Z_8DB8CB3F_9166_44F1_8834_BADB00C3D2EB_.wvu.FilterData" localSheetId="7" hidden="1">EvReport!$A$4:$Q$200</definedName>
    <definedName name="Z_8E7F3328_970E_4F12_8A0E_81B9D1081BB1_.wvu.FilterData" localSheetId="7" hidden="1">EvReport!$A$4:$Q$200</definedName>
    <definedName name="Z_8EABB946_418F_437C_B180_93D049776341_.wvu.FilterData" localSheetId="7" hidden="1">EvReport!$A$4:$Q$200</definedName>
    <definedName name="Z_8EF9E854_153D_4273_8793_A8B929C908F9_.wvu.FilterData" localSheetId="7" hidden="1">EvReport!$A$4:$Q$200</definedName>
    <definedName name="Z_8F10DD2B_B293_467B_8F90_DAF3A871813A_.wvu.FilterData" localSheetId="7" hidden="1">EvReport!$A$4:$Q$200</definedName>
    <definedName name="Z_8F18503B_C40A_4662_BB21_969BE8B2206D_.wvu.FilterData" localSheetId="7" hidden="1">EvReport!$A$4:$Q$200</definedName>
    <definedName name="Z_8FB25013_84AE_474F_8D7A_041E151A2260_.wvu.FilterData" localSheetId="7" hidden="1">EvReport!$A$4:$Q$200</definedName>
    <definedName name="Z_8FB527C7_32B4_4DFC_A514_DF1D5E6F2D44_.wvu.FilterData" localSheetId="7" hidden="1">EvReport!$A$4:$Q$200</definedName>
    <definedName name="Z_8FB94424_B042_41B8_AAF4_D729E31826A6_.wvu.FilterData" localSheetId="7" hidden="1">EvReport!$A$4:$Q$200</definedName>
    <definedName name="Z_8FC836A1_8334_4033_933B_CE9454E38D45_.wvu.FilterData" localSheetId="7" hidden="1">EvReport!$A$4:$Q$200</definedName>
    <definedName name="Z_902B9F15_4660_4690_A198_6C64F6399434_.wvu.FilterData" localSheetId="7" hidden="1">EvReport!$A$4:$Q$200</definedName>
    <definedName name="Z_9069EE3E_7D57_4EC0_AD03_27B5873F593A_.wvu.FilterData" localSheetId="7" hidden="1">EvReport!$A$4:$Q$200</definedName>
    <definedName name="Z_90A47383_6A95_424A_920D_514F805CEF44_.wvu.FilterData" localSheetId="7" hidden="1">EvReport!$A$4:$Q$200</definedName>
    <definedName name="Z_90F8FF3C_506E_4757_97A3_D4E0242245E8_.wvu.FilterData" localSheetId="7" hidden="1">EvReport!$A$4:$Q$200</definedName>
    <definedName name="Z_917057C8_5E5F_4164_B84C_85103677A2E5_.wvu.PrintArea" localSheetId="4" hidden="1">Ch!$A$1:$J$59</definedName>
    <definedName name="Z_917057C8_5E5F_4164_B84C_85103677A2E5_.wvu.PrintArea" localSheetId="21" hidden="1">Demand!$B$9:$G$25</definedName>
    <definedName name="Z_917057C8_5E5F_4164_B84C_85103677A2E5_.wvu.PrintArea" localSheetId="9" hidden="1">DGFI!$A$1:$F$36</definedName>
    <definedName name="Z_917057C8_5E5F_4164_B84C_85103677A2E5_.wvu.PrintArea" localSheetId="17" hidden="1">'En-Curve'!$P$1:$AA$62</definedName>
    <definedName name="Z_917057C8_5E5F_4164_B84C_85103677A2E5_.wvu.PrintArea" localSheetId="8" hidden="1">EvBangla!$A$1:$L$33</definedName>
    <definedName name="Z_917057C8_5E5F_4164_B84C_85103677A2E5_.wvu.PrintArea" localSheetId="7" hidden="1">EvReport!$B$4:$L$206</definedName>
    <definedName name="Z_917057C8_5E5F_4164_B84C_85103677A2E5_.wvu.PrintArea" localSheetId="3" hidden="1">Forecast!$B$1:$R$222</definedName>
    <definedName name="Z_917057C8_5E5F_4164_B84C_85103677A2E5_.wvu.PrintArea" localSheetId="1" hidden="1">FWise!$B$1:$L$32</definedName>
    <definedName name="Z_917057C8_5E5F_4164_B84C_85103677A2E5_.wvu.PrintArea" localSheetId="6" hidden="1">Generation!$A$1:$AC$194</definedName>
    <definedName name="Z_917057C8_5E5F_4164_B84C_85103677A2E5_.wvu.PrintArea" localSheetId="0" hidden="1">GEntry!$A$2:$GK$30</definedName>
    <definedName name="Z_917057C8_5E5F_4164_B84C_85103677A2E5_.wvu.PrintArea" localSheetId="16" hidden="1">'L-Curve'!$H$2:$R$48</definedName>
    <definedName name="Z_917057C8_5E5F_4164_B84C_85103677A2E5_.wvu.PrintArea" localSheetId="23" hidden="1">Master!$A$3:$GG$40</definedName>
    <definedName name="Z_917057C8_5E5F_4164_B84C_85103677A2E5_.wvu.PrintArea" localSheetId="19" hidden="1">'NSI Reading'!$D$1:$F$24</definedName>
    <definedName name="Z_917057C8_5E5F_4164_B84C_85103677A2E5_.wvu.PrintArea" localSheetId="11" hidden="1">'P1'!$A$1:$I$125</definedName>
    <definedName name="Z_917057C8_5E5F_4164_B84C_85103677A2E5_.wvu.PrintArea" localSheetId="12" hidden="1">'P2'!$B$2:$J$190</definedName>
    <definedName name="Z_917057C8_5E5F_4164_B84C_85103677A2E5_.wvu.PrintArea" localSheetId="13" hidden="1">'P3'!$A$2:$J$82</definedName>
    <definedName name="Z_917057C8_5E5F_4164_B84C_85103677A2E5_.wvu.PrintArea" localSheetId="5" hidden="1">PM!$A$1:$G$22</definedName>
    <definedName name="Z_917057C8_5E5F_4164_B84C_85103677A2E5_.wvu.PrintArea" localSheetId="20" hidden="1">'P-Sum'!$A$1:$G$28</definedName>
    <definedName name="Z_917057C8_5E5F_4164_B84C_85103677A2E5_.wvu.PrintArea" localSheetId="14" hidden="1">Volt!$A$2:$K$103</definedName>
    <definedName name="Z_917057C8_5E5F_4164_B84C_85103677A2E5_.wvu.PrintArea" localSheetId="22" hidden="1">YesterdayFWise!$B$1:$L$33</definedName>
    <definedName name="Z_917057C8_5E5F_4164_B84C_85103677A2E5_.wvu.PrintArea" localSheetId="15" hidden="1">YesterdayGen!$A$1:$HV$46</definedName>
    <definedName name="Z_917057C8_5E5F_4164_B84C_85103677A2E5_.wvu.PrintTitles" localSheetId="7" hidden="1">EvReport!$7:$8</definedName>
    <definedName name="Z_917057C8_5E5F_4164_B84C_85103677A2E5_.wvu.PrintTitles" localSheetId="3" hidden="1">Forecast!$4:$8</definedName>
    <definedName name="Z_917057C8_5E5F_4164_B84C_85103677A2E5_.wvu.PrintTitles" localSheetId="12" hidden="1">'P2'!$5:$8</definedName>
    <definedName name="Z_91D012FF_65C6_4BCB_BBC5_1EF6E5D5C868_.wvu.FilterData" localSheetId="7" hidden="1">EvReport!$A$4:$Q$200</definedName>
    <definedName name="Z_9275872C_1A3B_4AE5_9781_92D6FEBF723D_.wvu.FilterData" localSheetId="7" hidden="1">EvReport!$A$4:$Q$200</definedName>
    <definedName name="Z_927695B8_DEDC_438B_BD99_80FCA5F18142_.wvu.FilterData" localSheetId="7" hidden="1">EvReport!$A$4:$Q$200</definedName>
    <definedName name="Z_92BB1A14_98D7_4FE8_868E_EF37330B751D_.wvu.FilterData" localSheetId="7" hidden="1">EvReport!$A$4:$Q$200</definedName>
    <definedName name="Z_9330E852_6803_440C_A542_E6913FBEB0F6_.wvu.FilterData" localSheetId="7" hidden="1">EvReport!$A$4:$Q$200</definedName>
    <definedName name="Z_93445565_A851_4CC4_A0DF_F46723DB1B7D_.wvu.FilterData" localSheetId="7" hidden="1">EvReport!$A$4:$Q$200</definedName>
    <definedName name="Z_93837E07_F8E4_4A12_8D83_A0FEF1F02B2F_.wvu.FilterData" localSheetId="7" hidden="1">EvReport!$A$4:$Q$200</definedName>
    <definedName name="Z_93FEA45A_891E_4F5A_9D17_FAC1F9482B09_.wvu.FilterData" localSheetId="7" hidden="1">EvReport!$A$4:$Q$200</definedName>
    <definedName name="Z_941559FD_F8A5_4E6E_AFCA_7BA38D2B122B_.wvu.FilterData" localSheetId="7" hidden="1">EvReport!$A$4:$Q$200</definedName>
    <definedName name="Z_9434DFF6_0400_4C22_80DD_F2B6DFDF3671_.wvu.FilterData" localSheetId="7" hidden="1">EvReport!$A$4:$Q$200</definedName>
    <definedName name="Z_9456E8AC_5835_4E6C_9EC7_713ECA3F3B1B_.wvu.FilterData" localSheetId="7" hidden="1">EvReport!$A$4:$Q$200</definedName>
    <definedName name="Z_94BAA395_B188_449A_A0AF_6C38555D75BB_.wvu.FilterData" localSheetId="7" hidden="1">EvReport!$A$4:$Q$200</definedName>
    <definedName name="Z_94D74BD5_8ADF_428D_A777_DC45E3D56625_.wvu.FilterData" localSheetId="7" hidden="1">EvReport!$A$4:$Q$200</definedName>
    <definedName name="Z_94F436DC_7848_440C_BFA0_5243FDABF8D5_.wvu.FilterData" localSheetId="7" hidden="1">EvReport!$A$4:$Q$200</definedName>
    <definedName name="Z_95D39DEB_A4B1_455E_935E_D38701EC0AD5_.wvu.FilterData" localSheetId="7" hidden="1">EvReport!$A$4:$Q$200</definedName>
    <definedName name="Z_9643B313_B6C6_4373_9641_EA38508456CF_.wvu.FilterData" localSheetId="7" hidden="1">EvReport!$A$4:$Q$200</definedName>
    <definedName name="Z_96499D43_7496_45C5_90AE_6D2DF3116600_.wvu.FilterData" localSheetId="7" hidden="1">EvReport!$A$4:$Q$200</definedName>
    <definedName name="Z_96639DE8_4552_492E_B4D5_4A482C813501_.wvu.FilterData" localSheetId="7" hidden="1">EvReport!$A$4:$Q$200</definedName>
    <definedName name="Z_96666334_0903_4BD4_A7A2_1A7B4E74BD9E_.wvu.FilterData" localSheetId="7" hidden="1">EvReport!$A$4:$Q$200</definedName>
    <definedName name="Z_96678584_BBB2_4B48_AD17_C9EA97F11FCB_.wvu.FilterData" localSheetId="7" hidden="1">EvReport!$A$4:$Q$200</definedName>
    <definedName name="Z_967B53B5_9E53_41BA_95CC_2537254C7A0F_.wvu.FilterData" localSheetId="7" hidden="1">EvReport!$A$4:$Q$200</definedName>
    <definedName name="Z_9698D300_8173_43A1_889D_67E6B0FD741A_.wvu.FilterData" localSheetId="7" hidden="1">EvReport!$A$4:$Q$200</definedName>
    <definedName name="Z_96C8BBEC_508D_4E99_8612_6CF0C87B43AE_.wvu.FilterData" localSheetId="7" hidden="1">EvReport!$A$4:$Q$200</definedName>
    <definedName name="Z_97355FD3_51B2_4378_A9D1_9F8B4D49AEF0_.wvu.FilterData" localSheetId="7" hidden="1">EvReport!$A$4:$Q$200</definedName>
    <definedName name="Z_9760A81E_0FE4_4BC8_B575_291BDE74B187_.wvu.FilterData" localSheetId="7" hidden="1">EvReport!$A$4:$Q$200</definedName>
    <definedName name="Z_97CF6DF8_4BA3_43F6_8898_6F94CAE537D5_.wvu.FilterData" localSheetId="7" hidden="1">EvReport!$A$4:$Q$200</definedName>
    <definedName name="Z_98202BE3_C1CB_4EEB_AB51_5A4201ECE734_.wvu.FilterData" localSheetId="7" hidden="1">EvReport!$A$4:$Q$200</definedName>
    <definedName name="Z_9899F5A4_E8F6_42EE_A011_F7D286B8CAA9_.wvu.FilterData" localSheetId="7" hidden="1">EvReport!$A$4:$Q$200</definedName>
    <definedName name="Z_996EF971_309E_41AB_8EE9_7E8B509CED5C_.wvu.FilterData" localSheetId="7" hidden="1">EvReport!$A$4:$Q$200</definedName>
    <definedName name="Z_999BDCD1_4B9E_4E94_BD46_C229995D473E_.wvu.FilterData" localSheetId="7" hidden="1">EvReport!$A$4:$Q$200</definedName>
    <definedName name="Z_9A208796_F23F_4A3B_A5F3_F2CE65DE1A52_.wvu.FilterData" localSheetId="7" hidden="1">EvReport!$A$4:$Q$200</definedName>
    <definedName name="Z_9A4899EC_629E_492A_A3DD_9AF66932899D_.wvu.FilterData" localSheetId="7" hidden="1">EvReport!$A$4:$Q$200</definedName>
    <definedName name="Z_9A8BDC15_3B17_495D_BF7B_42A4243E0A07_.wvu.FilterData" localSheetId="7" hidden="1">EvReport!$A$4:$Q$200</definedName>
    <definedName name="Z_9B23FF12_8115_442B_8E20_C13E6A1CBFD6_.wvu.FilterData" localSheetId="7" hidden="1">EvReport!$A$4:$Q$200</definedName>
    <definedName name="Z_9B271F4B_B51F_4B0E_9911_108748DD124F_.wvu.FilterData" localSheetId="7" hidden="1">EvReport!$A$4:$Q$200</definedName>
    <definedName name="Z_9B2A75E5_1D9D_425C_B7C1_82038CC7020A_.wvu.FilterData" localSheetId="7" hidden="1">EvReport!$A$4:$Q$200</definedName>
    <definedName name="Z_9B33649C_C24E_46DA_B3CA_D0302E8B6E86_.wvu.FilterData" localSheetId="7" hidden="1">EvReport!$A$4:$Q$200</definedName>
    <definedName name="Z_9B8329D1_F0F3_4D12_9DA1_E3A76F178708_.wvu.FilterData" localSheetId="7" hidden="1">EvReport!$A$4:$Q$200</definedName>
    <definedName name="Z_9BAB3331_CB95_4BEC_8CA1_42E25C72EEFC_.wvu.FilterData" localSheetId="7" hidden="1">EvReport!$A$4:$Q$200</definedName>
    <definedName name="Z_9BF0B828_7B50_468A_91D4_8F03F601BFDB_.wvu.FilterData" localSheetId="7" hidden="1">EvReport!$A$4:$Q$200</definedName>
    <definedName name="Z_9C052C4D_69FA_4B53_83A8_179860DB3EE7_.wvu.FilterData" localSheetId="7" hidden="1">EvReport!$A$4:$Q$200</definedName>
    <definedName name="Z_9C483A79_CB70_4C5F_A74A_E1C4AA445B2A_.wvu.FilterData" localSheetId="7" hidden="1">EvReport!$A$4:$Q$200</definedName>
    <definedName name="Z_9C9A88FC_60AA_4E46_985E_6B93E0C31673_.wvu.FilterData" localSheetId="7" hidden="1">EvReport!$A$4:$Q$200</definedName>
    <definedName name="Z_9CA7DB77_3767_42F6_ABD7_635CFBA23957_.wvu.FilterData" localSheetId="7" hidden="1">EvReport!$A$4:$Q$200</definedName>
    <definedName name="Z_9CE4A35A_F3EC_4A7D_B21F_DCA2D491286B_.wvu.FilterData" localSheetId="7" hidden="1">EvReport!$A$4:$Q$200</definedName>
    <definedName name="Z_9D198CC2_7808_4B0C_B5C0_B5C3C956AE10_.wvu.FilterData" localSheetId="7" hidden="1">EvReport!$A$4:$Q$200</definedName>
    <definedName name="Z_9D1A8B00_30C7_4F31_B483_5B93F67FABD1_.wvu.FilterData" localSheetId="7" hidden="1">EvReport!$A$4:$Q$200</definedName>
    <definedName name="Z_9D838B38_9944_4187_B8E5_3E026338382D_.wvu.FilterData" localSheetId="7" hidden="1">EvReport!$A$4:$Q$200</definedName>
    <definedName name="Z_9D98A0D4_37E6_4C67_8F9D_3573EC128349_.wvu.FilterData" localSheetId="7" hidden="1">EvReport!$A$4:$Q$200</definedName>
    <definedName name="Z_9DA07C6E_CA11_4B44_A534_66EC28FAACD2_.wvu.FilterData" localSheetId="7" hidden="1">EvReport!$A$4:$Q$200</definedName>
    <definedName name="Z_9DB0A8CB_2826_4428_A8A8_C56D0B267243_.wvu.FilterData" localSheetId="7" hidden="1">EvReport!$A$4:$Q$200</definedName>
    <definedName name="Z_9E37EE29_228E_4B93_87AE_BB91C7647A13_.wvu.FilterData" localSheetId="7" hidden="1">EvReport!$A$4:$Q$200</definedName>
    <definedName name="Z_9E3C4919_F66B_4D38_A143_2ADA48987AAD_.wvu.FilterData" localSheetId="7" hidden="1">EvReport!$A$4:$Q$200</definedName>
    <definedName name="Z_9F09C159_AC63_42D0_96A5_3C8EE6F62DE0_.wvu.FilterData" localSheetId="7" hidden="1">EvReport!$A$4:$Q$200</definedName>
    <definedName name="Z_A0618D45_83BB_4AE2_A54D_9F73359E1D80_.wvu.FilterData" localSheetId="7" hidden="1">EvReport!$A$4:$Q$200</definedName>
    <definedName name="Z_A0924AFA_E8E0_4218_9674_6D89CCA57CD5_.wvu.FilterData" localSheetId="7" hidden="1">EvReport!$A$4:$Q$200</definedName>
    <definedName name="Z_A09EC2C1_ED1D_4A17_B3BF_1DFA312E3F77_.wvu.FilterData" localSheetId="7" hidden="1">EvReport!$A$4:$Q$200</definedName>
    <definedName name="Z_A0A98947_7314_4325_AE81_ED5BCF6FD7D8_.wvu.FilterData" localSheetId="7" hidden="1">EvReport!$A$4:$Q$200</definedName>
    <definedName name="Z_A0ACEF04_C3CC_4E73_9432_384BC01C3DA5_.wvu.FilterData" localSheetId="7" hidden="1">EvReport!$A$4:$Q$200</definedName>
    <definedName name="Z_A0C98DEC_E5A3_45BA_887F_6344512A8B15_.wvu.FilterData" localSheetId="7" hidden="1">EvReport!$A$4:$Q$200</definedName>
    <definedName name="Z_A150F9A8_4E57_429D_A1D6_86D7DB3E4A85_.wvu.FilterData" localSheetId="7" hidden="1">EvReport!$A$4:$Q$200</definedName>
    <definedName name="Z_A19EFBFC_E3D5_4E23_8FDC_D8FF3AF9CC29_.wvu.FilterData" localSheetId="7" hidden="1">EvReport!$A$4:$Q$200</definedName>
    <definedName name="Z_A1D70F80_373F_404D_9A3A_0616E1FE7B1E_.wvu.FilterData" localSheetId="7" hidden="1">EvReport!$A$4:$Q$200</definedName>
    <definedName name="Z_A1E69751_CCEA_4509_A0BD_08871405B426_.wvu.FilterData" localSheetId="7" hidden="1">EvReport!$A$4:$Q$200</definedName>
    <definedName name="Z_A1F27188_873C_4347_9D05_661ACD433009_.wvu.FilterData" localSheetId="7" hidden="1">EvReport!$A$4:$Q$200</definedName>
    <definedName name="Z_A2448B1A_9CB5_4937_B910_7762B6980EE9_.wvu.FilterData" localSheetId="7" hidden="1">EvReport!$A$4:$Q$200</definedName>
    <definedName name="Z_A28E71AF_1292_4CC9_8A12_45DB6FB8B679_.wvu.FilterData" localSheetId="7" hidden="1">EvReport!$A$4:$Q$200</definedName>
    <definedName name="Z_A292A451_6415_4FC8_B05B_04655DCB6C59_.wvu.FilterData" localSheetId="7" hidden="1">EvReport!$A$4:$Q$200</definedName>
    <definedName name="Z_A2E99FDC_CE69_4D1B_A451_11245FDDA70E_.wvu.FilterData" localSheetId="7" hidden="1">EvReport!$A$4:$Q$200</definedName>
    <definedName name="Z_A3273F7B_29BF_4A7F_9F93_AD0FBAB2822E_.wvu.FilterData" localSheetId="7" hidden="1">EvReport!$A$4:$Q$200</definedName>
    <definedName name="Z_A3B342B0_A253_4889_88B0_61DAA62138EB_.wvu.FilterData" localSheetId="7" hidden="1">EvReport!$A$4:$Q$200</definedName>
    <definedName name="Z_A3E88BE3_B6AE_4E26_A377_668F3066195F_.wvu.FilterData" localSheetId="7" hidden="1">EvReport!$A$4:$Q$200</definedName>
    <definedName name="Z_A3F1EC42_BEBF_4653_A5AC_0088CBB23120_.wvu.FilterData" localSheetId="7" hidden="1">EvReport!$A$4:$Q$200</definedName>
    <definedName name="Z_A421DE65_83B0_4174_B275_B52CAE26C358_.wvu.FilterData" localSheetId="7" hidden="1">EvReport!$A$4:$Q$200</definedName>
    <definedName name="Z_A491101E_9CA8_45D9_8846_F4E1F984E48F_.wvu.FilterData" localSheetId="7" hidden="1">EvReport!$A$4:$Q$200</definedName>
    <definedName name="Z_A586472D_117F_4AFE_9640_DAC874473B0F_.wvu.FilterData" localSheetId="7" hidden="1">EvReport!$A$4:$Q$200</definedName>
    <definedName name="Z_A59B04BC_0DC0_434A_AB74_4BE405D60615_.wvu.FilterData" localSheetId="7" hidden="1">EvReport!$A$4:$Q$200</definedName>
    <definedName name="Z_A5B2BFF0_FA6D_4D5B_91ED_8F21E3DFA52A_.wvu.FilterData" localSheetId="7" hidden="1">EvReport!$A$4:$Q$200</definedName>
    <definedName name="Z_A63AA4B0_7943_4348_8304_125E448D8055_.wvu.FilterData" localSheetId="7" hidden="1">EvReport!$A$4:$Q$200</definedName>
    <definedName name="Z_A695FE56_5126_4FD3_A378_40928EBAC1A7_.wvu.FilterData" localSheetId="7" hidden="1">EvReport!$A$4:$Q$200</definedName>
    <definedName name="Z_A6B09E7E_11CE_460E_9E9B_B60E7F9231EB_.wvu.FilterData" localSheetId="7" hidden="1">EvReport!$A$4:$Q$200</definedName>
    <definedName name="Z_A6B0E2D7_A944_4C15_97D0_A684A4D32705_.wvu.FilterData" localSheetId="7" hidden="1">EvReport!$A$4:$Q$200</definedName>
    <definedName name="Z_A6B2FEA4_E08C_4A73_A1E2_341CC1162694_.wvu.FilterData" localSheetId="7" hidden="1">EvReport!$A$4:$Q$200</definedName>
    <definedName name="Z_A709628D_8F48_4838_811C_AA7B9E3FAE2B_.wvu.FilterData" localSheetId="7" hidden="1">EvReport!$A$4:$Q$200</definedName>
    <definedName name="Z_A8135EAF_3A8A_41DB_945D_9277A751FD46_.wvu.FilterData" localSheetId="7" hidden="1">EvReport!$A$4:$Q$200</definedName>
    <definedName name="Z_A8E6BBAC_763A_4E8F_B398_907D49E5B7C7_.wvu.FilterData" localSheetId="7" hidden="1">EvReport!$A$4:$Q$200</definedName>
    <definedName name="Z_A905276D_FBF1_4F96_80B3_43161D40DEC7_.wvu.FilterData" localSheetId="7" hidden="1">EvReport!$A$4:$Q$200</definedName>
    <definedName name="Z_A9054712_F70D_492B_97D6_EF09911EFFB4_.wvu.FilterData" localSheetId="7" hidden="1">EvReport!$A$4:$Q$200</definedName>
    <definedName name="Z_A958F141_A335_4FDB_9213_98B2CAED95AF_.wvu.FilterData" localSheetId="7" hidden="1">EvReport!$A$4:$Q$200</definedName>
    <definedName name="Z_A96D5FAC_A843_462B_8840_E945462B3883_.wvu.FilterData" localSheetId="7" hidden="1">EvReport!$A$4:$Q$200</definedName>
    <definedName name="Z_A973B3BA_95D0_4EB1_ACBE_B526F561CA2A_.wvu.FilterData" localSheetId="7" hidden="1">EvReport!$A$4:$Q$200</definedName>
    <definedName name="Z_AA610245_7E1B_4F00_AE52_1165F4413413_.wvu.FilterData" localSheetId="7" hidden="1">EvReport!$A$4:$Q$200</definedName>
    <definedName name="Z_AAB58287_77A2_406C_9849_D960DC6AA5AF_.wvu.FilterData" localSheetId="7" hidden="1">EvReport!$A$4:$Q$200</definedName>
    <definedName name="Z_AACE9870_B22A_4963_9593_8D5A42D81A86_.wvu.FilterData" localSheetId="7" hidden="1">EvReport!$A$4:$Q$200</definedName>
    <definedName name="Z_AAF8737E_1F12_4C3C_B2B2_8701D3DC519F_.wvu.FilterData" localSheetId="7" hidden="1">EvReport!$A$4:$Q$200</definedName>
    <definedName name="Z_AB0DC3D1_5078_4B27_8211_36F4399FFAEE_.wvu.FilterData" localSheetId="7" hidden="1">EvReport!$A$4:$Q$200</definedName>
    <definedName name="Z_AB17510E_FC17_42E4_B62A_97ECDC0D0E7E_.wvu.FilterData" localSheetId="7" hidden="1">EvReport!$A$4:$Q$200</definedName>
    <definedName name="Z_AB2A0688_3AC3_422A_AAF9_872D87481A60_.wvu.FilterData" localSheetId="7" hidden="1">EvReport!$A$4:$Q$200</definedName>
    <definedName name="Z_AB466C7A_01C1_42EC_A00D_14885FC6691C_.wvu.FilterData" localSheetId="7" hidden="1">EvReport!$A$4:$Q$200</definedName>
    <definedName name="Z_ABCCFD2D_9AFB_49CA_92DD_EBCFF4FA5E0F_.wvu.FilterData" localSheetId="7" hidden="1">EvReport!$A$4:$Q$200</definedName>
    <definedName name="Z_ABD9E513_B9B1_4388_AD3A_8BD318B178C4_.wvu.FilterData" localSheetId="7" hidden="1">EvReport!$A$4:$Q$200</definedName>
    <definedName name="Z_AC7B16C6_609E_4363_973C_578523B1B9DA_.wvu.FilterData" localSheetId="7" hidden="1">EvReport!$A$4:$Q$200</definedName>
    <definedName name="Z_ACB581C4_02AC_4186_B3B2_D4AF71C9D531_.wvu.FilterData" localSheetId="7" hidden="1">EvReport!$A$4:$Q$200</definedName>
    <definedName name="Z_ACD36536_BDC8_4DB4_8B12_AA0ECBD4C557_.wvu.FilterData" localSheetId="7" hidden="1">EvReport!$A$4:$Q$200</definedName>
    <definedName name="Z_ACED769C_0557_4CCD_A629_7C751EFE487F_.wvu.FilterData" localSheetId="7" hidden="1">EvReport!$A$4:$Q$200</definedName>
    <definedName name="Z_ACEFFB5E_5EDF_4FCF_9E86_83C27B769A4F_.wvu.FilterData" localSheetId="7" hidden="1">EvReport!$A$4:$Q$200</definedName>
    <definedName name="Z_AD465622_22B0_4988_A132_20C3B988DF44_.wvu.FilterData" localSheetId="7" hidden="1">EvReport!$A$4:$Q$200</definedName>
    <definedName name="Z_ADA9380C_E104_4FD9_A353_5276EDD092E0_.wvu.FilterData" localSheetId="7" hidden="1">EvReport!$A$4:$Q$200</definedName>
    <definedName name="Z_AE0A3B38_1253_4326_962C_502D5145B0C5_.wvu.FilterData" localSheetId="7" hidden="1">EvReport!$A$4:$Q$200</definedName>
    <definedName name="Z_AE9A17FF_CF59_4219_82DE_57023ACF5EAA_.wvu.FilterData" localSheetId="7" hidden="1">EvReport!$A$4:$Q$200</definedName>
    <definedName name="Z_AF4F1F2C_A1BE_4485_A9AC_BC461E983C3F_.wvu.FilterData" localSheetId="7" hidden="1">EvReport!$A$4:$Q$200</definedName>
    <definedName name="Z_AF708513_42F3_4687_BAB2_7E1B43B70203_.wvu.FilterData" localSheetId="7" hidden="1">EvReport!$A$4:$Q$200</definedName>
    <definedName name="Z_AF7C7599_EA49_46F0_9AC4_C327C7F33E44_.wvu.FilterData" localSheetId="7" hidden="1">EvReport!$A$4:$Q$200</definedName>
    <definedName name="Z_AFA7AD51_0687_4A68_B5B8_54D6A5FE49E0_.wvu.FilterData" localSheetId="7" hidden="1">EvReport!$A$4:$Q$200</definedName>
    <definedName name="Z_AFC7B62F_5437_43FA_8FB2_82ED72BAACBB_.wvu.FilterData" localSheetId="7" hidden="1">EvReport!$A$4:$Q$200</definedName>
    <definedName name="Z_B0793BF3_3CC9_450D_8C40_D6D93E378B73_.wvu.FilterData" localSheetId="7" hidden="1">EvReport!$A$4:$Q$200</definedName>
    <definedName name="Z_B08DF3CD_5A12_46C5_B194_2308419B4826_.wvu.FilterData" localSheetId="7" hidden="1">EvReport!$A$4:$Q$200</definedName>
    <definedName name="Z_B128734F_CF57_4DC8_8EEC_B3C3FA610058_.wvu.FilterData" localSheetId="7" hidden="1">EvReport!$A$4:$Q$200</definedName>
    <definedName name="Z_B1FE821F_C58B_4A4F_9B17_6B2650EF358C_.wvu.FilterData" localSheetId="7" hidden="1">EvReport!$A$4:$Q$200</definedName>
    <definedName name="Z_B260686E_199F_424C_923A_91E7A862BC57_.wvu.FilterData" localSheetId="7" hidden="1">EvReport!$A$4:$Q$200</definedName>
    <definedName name="Z_B26F852E_5C06_47F6_A5A1_F28630B4E41B_.wvu.FilterData" localSheetId="7" hidden="1">EvReport!$A$4:$Q$200</definedName>
    <definedName name="Z_B277AC2F_7DE7_45A7_AA72_93ADAB65FB60_.wvu.FilterData" localSheetId="7" hidden="1">EvReport!$A$4:$Q$200</definedName>
    <definedName name="Z_B284709F_D2B5_4617_B433_C8CF4F3CDC79_.wvu.FilterData" localSheetId="7" hidden="1">EvReport!$A$4:$Q$200</definedName>
    <definedName name="Z_B2A3E4CE_99E2_4B85_A127_EEAA98BABC8A_.wvu.FilterData" localSheetId="7" hidden="1">EvReport!$A$4:$Q$200</definedName>
    <definedName name="Z_B2E9E869_3745_4AA5_89C9_86D4530511DF_.wvu.FilterData" localSheetId="7" hidden="1">EvReport!$A$4:$Q$200</definedName>
    <definedName name="Z_B3143AC0_73B6_4272_B301_8A4A8BE2F97C_.wvu.FilterData" localSheetId="7" hidden="1">EvReport!$A$4:$Q$200</definedName>
    <definedName name="Z_B34D7CE2_29AE_4F2F_B666_9D73C59BED3A_.wvu.FilterData" localSheetId="7" hidden="1">EvReport!$A$4:$Q$200</definedName>
    <definedName name="Z_B35C484C_D9D1_4975_A92F_94CBD16F9FEC_.wvu.FilterData" localSheetId="7" hidden="1">EvReport!$A$4:$Q$200</definedName>
    <definedName name="Z_B368E3A0_A659_4C81_A819_ABEE9A38023E_.wvu.FilterData" localSheetId="7" hidden="1">EvReport!$A$4:$Q$200</definedName>
    <definedName name="Z_B3936CFC_FF32_4F72_8022_B2E242E848E5_.wvu.FilterData" localSheetId="7" hidden="1">EvReport!$A$4:$Q$200</definedName>
    <definedName name="Z_B3A2EBE4_E25D_47D5_A791_3FFD4B0249BC_.wvu.FilterData" localSheetId="7" hidden="1">EvReport!$A$4:$Q$200</definedName>
    <definedName name="Z_B3C4446F_8E19_4494_A5DE_91F22DA2D321_.wvu.FilterData" localSheetId="7" hidden="1">EvReport!$A$4:$Q$200</definedName>
    <definedName name="Z_B3CF3BDC_96FD_4C6B_9DC9_0F20B77F3595_.wvu.FilterData" localSheetId="7" hidden="1">EvReport!$A$4:$Q$200</definedName>
    <definedName name="Z_B43A3C70_7AC5_41D3_92D8_976DA082A0AC_.wvu.FilterData" localSheetId="7" hidden="1">EvReport!$A$4:$Q$200</definedName>
    <definedName name="Z_B44255D8_B6C9_4039_97A2_C52550ECD07A_.wvu.FilterData" localSheetId="7" hidden="1">EvReport!$A$4:$Q$200</definedName>
    <definedName name="Z_B4765FD7_84A1_44FC_8D9B_590097ABA9A5_.wvu.FilterData" localSheetId="7" hidden="1">EvReport!$A$4:$Q$200</definedName>
    <definedName name="Z_B4B0DFB6_10D1_4098_94C6_B9BC6DE560B2_.wvu.FilterData" localSheetId="7" hidden="1">EvReport!$A$4:$Q$200</definedName>
    <definedName name="Z_B4F3971A_4C8D_4CB2_AC3A_67698898F9ED_.wvu.FilterData" localSheetId="7" hidden="1">EvReport!$A$4:$Q$200</definedName>
    <definedName name="Z_B538537E_E15F_4DDC_9477_0EDE5519E236_.wvu.FilterData" localSheetId="7" hidden="1">EvReport!$A$4:$Q$200</definedName>
    <definedName name="Z_B5833C02_8B08_467F_B079_36D27569E92D_.wvu.FilterData" localSheetId="7" hidden="1">EvReport!$A$4:$Q$200</definedName>
    <definedName name="Z_B5ADF263_57E2_4D4E_A0A9_D35993BE59B0_.wvu.FilterData" localSheetId="7" hidden="1">EvReport!$A$4:$Q$200</definedName>
    <definedName name="Z_B6234BE6_87CF_4A59_889F_D569EFEFD81B_.wvu.FilterData" localSheetId="7" hidden="1">EvReport!$A$4:$Q$200</definedName>
    <definedName name="Z_B65B9F6D_97E4_4373_8FB9_21C66AF3DCB4_.wvu.FilterData" localSheetId="7" hidden="1">EvReport!$A$4:$Q$200</definedName>
    <definedName name="Z_B7277E79_9A65_4F13_A66E_55F27325D9E7_.wvu.FilterData" localSheetId="7" hidden="1">EvReport!$A$4:$Q$200</definedName>
    <definedName name="Z_B778119E_0628_4A5E_9FC9_CE223FBCEAEE_.wvu.FilterData" localSheetId="7" hidden="1">EvReport!$A$4:$Q$200</definedName>
    <definedName name="Z_B7C3FE63_1E52_409D_BFC7_D9D511AAAB97_.wvu.FilterData" localSheetId="7" hidden="1">EvReport!$A$4:$Q$200</definedName>
    <definedName name="Z_B7D7A536_D5EC_43FD_B675_CD7A44DF32C8_.wvu.FilterData" localSheetId="7" hidden="1">EvReport!$A$4:$Q$200</definedName>
    <definedName name="Z_B7EE2778_28D8_4D08_95DB_730EC0311173_.wvu.FilterData" localSheetId="7" hidden="1">EvReport!$A$4:$Q$200</definedName>
    <definedName name="Z_B871839A_FBBE_45EC_8B20_12E8ED40200A_.wvu.FilterData" localSheetId="7" hidden="1">EvReport!$A$4:$Q$200</definedName>
    <definedName name="Z_B886F371_7F15_4F56_97E9_05A5AC0576FA_.wvu.FilterData" localSheetId="7" hidden="1">EvReport!$A$4:$Q$200</definedName>
    <definedName name="Z_B8D38A36_57F7_4A59_92CD_8AE20C89528C_.wvu.FilterData" localSheetId="7" hidden="1">EvReport!$A$4:$Q$200</definedName>
    <definedName name="Z_B8F67C72_50AE_4791_9816_4CAEE5CAD344_.wvu.FilterData" localSheetId="7" hidden="1">EvReport!$A$4:$Q$200</definedName>
    <definedName name="Z_B91C2E87_5EDA_40AE_AC27_0E2C17E803CE_.wvu.Cols" localSheetId="4" hidden="1">Ch!$B:$B,Ch!$L:$N</definedName>
    <definedName name="Z_B91C2E87_5EDA_40AE_AC27_0E2C17E803CE_.wvu.Cols" localSheetId="6" hidden="1">Generation!$U:$U</definedName>
    <definedName name="Z_B91C2E87_5EDA_40AE_AC27_0E2C17E803CE_.wvu.Cols" localSheetId="16" hidden="1">'L-Curve'!$R:$R</definedName>
    <definedName name="Z_B91C2E87_5EDA_40AE_AC27_0E2C17E803CE_.wvu.Cols" localSheetId="11" hidden="1">'P1'!$J:$J</definedName>
    <definedName name="Z_B91C2E87_5EDA_40AE_AC27_0E2C17E803CE_.wvu.PrintArea" localSheetId="4" hidden="1">Ch!$A$1:$J$59</definedName>
    <definedName name="Z_B91C2E87_5EDA_40AE_AC27_0E2C17E803CE_.wvu.PrintArea" localSheetId="21" hidden="1">Demand!$B$9:$G$25</definedName>
    <definedName name="Z_B91C2E87_5EDA_40AE_AC27_0E2C17E803CE_.wvu.PrintArea" localSheetId="9" hidden="1">DGFI!$A$1:$F$52</definedName>
    <definedName name="Z_B91C2E87_5EDA_40AE_AC27_0E2C17E803CE_.wvu.PrintArea" localSheetId="17" hidden="1">'En-Curve'!$P$1:$AA$55</definedName>
    <definedName name="Z_B91C2E87_5EDA_40AE_AC27_0E2C17E803CE_.wvu.PrintArea" localSheetId="26" hidden="1">EnReport!$C$3:$H$28</definedName>
    <definedName name="Z_B91C2E87_5EDA_40AE_AC27_0E2C17E803CE_.wvu.PrintArea" localSheetId="8" hidden="1">EvBangla!$A$1:$L$33</definedName>
    <definedName name="Z_B91C2E87_5EDA_40AE_AC27_0E2C17E803CE_.wvu.PrintArea" localSheetId="7" hidden="1">EvReport!$B$4:$L$206</definedName>
    <definedName name="Z_B91C2E87_5EDA_40AE_AC27_0E2C17E803CE_.wvu.PrintArea" localSheetId="3" hidden="1">Forecast!$B$1:$R$222</definedName>
    <definedName name="Z_B91C2E87_5EDA_40AE_AC27_0E2C17E803CE_.wvu.PrintArea" localSheetId="1" hidden="1">FWise!$B$1:$L$32</definedName>
    <definedName name="Z_B91C2E87_5EDA_40AE_AC27_0E2C17E803CE_.wvu.PrintArea" localSheetId="6" hidden="1">Generation!$A$1:$AC$194</definedName>
    <definedName name="Z_B91C2E87_5EDA_40AE_AC27_0E2C17E803CE_.wvu.PrintArea" localSheetId="0" hidden="1">GEntry!$A$2:$GK$30</definedName>
    <definedName name="Z_B91C2E87_5EDA_40AE_AC27_0E2C17E803CE_.wvu.PrintArea" localSheetId="16" hidden="1">'L-Curve'!$H$1:$Q$48</definedName>
    <definedName name="Z_B91C2E87_5EDA_40AE_AC27_0E2C17E803CE_.wvu.PrintArea" localSheetId="23" hidden="1">Master!$A$3:$GG$40</definedName>
    <definedName name="Z_B91C2E87_5EDA_40AE_AC27_0E2C17E803CE_.wvu.PrintArea" localSheetId="19" hidden="1">'NSI Reading'!$D$1:$F$24</definedName>
    <definedName name="Z_B91C2E87_5EDA_40AE_AC27_0E2C17E803CE_.wvu.PrintArea" localSheetId="11" hidden="1">'P1'!$A$1:$I$125</definedName>
    <definedName name="Z_B91C2E87_5EDA_40AE_AC27_0E2C17E803CE_.wvu.PrintArea" localSheetId="12" hidden="1">'P2'!$A$1:$J$192</definedName>
    <definedName name="Z_B91C2E87_5EDA_40AE_AC27_0E2C17E803CE_.wvu.PrintArea" localSheetId="13" hidden="1">'P3'!$A$2:$J$81</definedName>
    <definedName name="Z_B91C2E87_5EDA_40AE_AC27_0E2C17E803CE_.wvu.PrintArea" localSheetId="5" hidden="1">PM!$A$1:$G$22</definedName>
    <definedName name="Z_B91C2E87_5EDA_40AE_AC27_0E2C17E803CE_.wvu.PrintArea" localSheetId="20" hidden="1">'P-Sum'!$A$1:$G$28</definedName>
    <definedName name="Z_B91C2E87_5EDA_40AE_AC27_0E2C17E803CE_.wvu.PrintArea" localSheetId="25" hidden="1">solar!$B$2:$H$27</definedName>
    <definedName name="Z_B91C2E87_5EDA_40AE_AC27_0E2C17E803CE_.wvu.PrintArea" localSheetId="14" hidden="1">Volt!$B$1:$L$104</definedName>
    <definedName name="Z_B91C2E87_5EDA_40AE_AC27_0E2C17E803CE_.wvu.PrintArea" localSheetId="22" hidden="1">YesterdayFWise!$B$1:$L$33</definedName>
    <definedName name="Z_B91C2E87_5EDA_40AE_AC27_0E2C17E803CE_.wvu.PrintArea" localSheetId="15" hidden="1">YesterdayGen!$A$1:$HV$46</definedName>
    <definedName name="Z_B91C2E87_5EDA_40AE_AC27_0E2C17E803CE_.wvu.PrintTitles" localSheetId="7" hidden="1">EvReport!$7:$8</definedName>
    <definedName name="Z_B91C2E87_5EDA_40AE_AC27_0E2C17E803CE_.wvu.PrintTitles" localSheetId="3" hidden="1">Forecast!$4:$8</definedName>
    <definedName name="Z_B91C2E87_5EDA_40AE_AC27_0E2C17E803CE_.wvu.PrintTitles" localSheetId="12" hidden="1">'P2'!$5:$8</definedName>
    <definedName name="Z_B91C2E87_5EDA_40AE_AC27_0E2C17E803CE_.wvu.Rows" localSheetId="9" hidden="1">DGFI!$25:$25,DGFI!$28:$28</definedName>
    <definedName name="Z_B91C2E87_5EDA_40AE_AC27_0E2C17E803CE_.wvu.Rows" localSheetId="1" hidden="1">FWise!$24:$24</definedName>
    <definedName name="Z_B91C2E87_5EDA_40AE_AC27_0E2C17E803CE_.wvu.Rows" localSheetId="23" hidden="1">Master!$32:$32</definedName>
    <definedName name="Z_B91C2E87_5EDA_40AE_AC27_0E2C17E803CE_.wvu.Rows" localSheetId="11" hidden="1">'P1'!$26:$26,'P1'!$42:$42,'P1'!$50:$52,'P1'!$54:$54,'P1'!$56:$56,'P1'!$134:$138</definedName>
    <definedName name="Z_B91C2E87_5EDA_40AE_AC27_0E2C17E803CE_.wvu.Rows" localSheetId="22" hidden="1">YesterdayFWise!$24:$24</definedName>
    <definedName name="Z_B91C2E87_5EDA_40AE_AC27_0E2C17E803CE_.wvu.Rows" localSheetId="15" hidden="1">YesterdayGen!$23:$23</definedName>
    <definedName name="Z_B954CDB9_FC41_4DB2_8DED_446A247B43F6_.wvu.FilterData" localSheetId="7" hidden="1">EvReport!$A$4:$Q$200</definedName>
    <definedName name="Z_B95A6B5B_7E6E_408E_8BD0_810061F0F00F_.wvu.FilterData" localSheetId="7" hidden="1">EvReport!$A$4:$Q$200</definedName>
    <definedName name="Z_B9A4030F_1DBE_434F_AA9D_B6BF4911FD99_.wvu.FilterData" localSheetId="7" hidden="1">EvReport!$A$4:$Q$200</definedName>
    <definedName name="Z_B9AE2664_834B_45E3_8DE9_79567FDDC85F_.wvu.FilterData" localSheetId="7" hidden="1">EvReport!$A$4:$Q$200</definedName>
    <definedName name="Z_BA5E1342_4E48_4300_82F6_4339E9EBD574_.wvu.FilterData" localSheetId="7" hidden="1">EvReport!$A$4:$Q$200</definedName>
    <definedName name="Z_BA605D08_9A59_423E_8BA6_324D1CCFB6B6_.wvu.FilterData" localSheetId="7" hidden="1">EvReport!$A$4:$Q$200</definedName>
    <definedName name="Z_BAC9CAAD_C016_4440_B1E3_99A1188750D0_.wvu.FilterData" localSheetId="7" hidden="1">EvReport!$A$4:$Q$200</definedName>
    <definedName name="Z_BB3118A1_9A43_40AD_9D7B_7612C8E57BB5_.wvu.FilterData" localSheetId="7" hidden="1">EvReport!$A$4:$Q$200</definedName>
    <definedName name="Z_BB68A19B_8E46_4298_B198_A309ADA284CC_.wvu.FilterData" localSheetId="7" hidden="1">EvReport!$A$4:$Q$200</definedName>
    <definedName name="Z_BBB167F4_8895_4273_AE29_C1DA960024B7_.wvu.FilterData" localSheetId="7" hidden="1">EvReport!$A$4:$Q$200</definedName>
    <definedName name="Z_BBBF342C_B6DF_4538_92F6_A2561A452703_.wvu.FilterData" localSheetId="7" hidden="1">EvReport!$A$4:$Q$200</definedName>
    <definedName name="Z_BBF2F5F2_7A30_456A_BD78_2C2CC41913FB_.wvu.FilterData" localSheetId="7" hidden="1">EvReport!$A$4:$Q$200</definedName>
    <definedName name="Z_BC2E1799_4173_419B_8439_5716823D6636_.wvu.FilterData" localSheetId="7" hidden="1">EvReport!$A$4:$Q$200</definedName>
    <definedName name="Z_BC9CBA7B_85CD_4B5A_8BEB_0FA8BED207BA_.wvu.FilterData" localSheetId="7" hidden="1">EvReport!$A$4:$Q$200</definedName>
    <definedName name="Z_BCE4A677_E8AC_443C_868D_30264E0E2E7C_.wvu.FilterData" localSheetId="7" hidden="1">EvReport!$A$4:$Q$200</definedName>
    <definedName name="Z_BDB6C148_0600_45D3_B2A5_A400B2DAC388_.wvu.FilterData" localSheetId="7" hidden="1">EvReport!$A$4:$Q$200</definedName>
    <definedName name="Z_BDD5248F_0238_4381_AB1B_05FB36882601_.wvu.FilterData" localSheetId="7" hidden="1">EvReport!$A$4:$Q$200</definedName>
    <definedName name="Z_BE8E9A4B_98C4_4C32_93DA_7C81BBCBFE8B_.wvu.FilterData" localSheetId="7" hidden="1">EvReport!$A$4:$Q$200</definedName>
    <definedName name="Z_BE991C4D_4B3D_428E_A9F3_450E6D546BF5_.wvu.FilterData" localSheetId="7" hidden="1">EvReport!$A$4:$Q$200</definedName>
    <definedName name="Z_BEC6E58A_2DB1_42A1_9DEB_73372CFDE6C8_.wvu.FilterData" localSheetId="7" hidden="1">EvReport!$A$4:$Q$200</definedName>
    <definedName name="Z_BF11B58B_0C5A_4B6E_99DE_582B71EE7FFB_.wvu.FilterData" localSheetId="7" hidden="1">EvReport!$A$4:$Q$200</definedName>
    <definedName name="Z_BF44C998_A672_4776_A291_75F577F2B219_.wvu.FilterData" localSheetId="7" hidden="1">EvReport!$A$4:$Q$200</definedName>
    <definedName name="Z_BF4803BC_2E53_4910_86FA_ACD2543DE245_.wvu.FilterData" localSheetId="7" hidden="1">EvReport!$A$4:$Q$200</definedName>
    <definedName name="Z_BF8239A4_187A_41B9_B421_6A711D98B257_.wvu.FilterData" localSheetId="7" hidden="1">EvReport!$A$4:$Q$200</definedName>
    <definedName name="Z_BF8593D8_DC0C_45CE_8E0A_E76D4ED25777_.wvu.FilterData" localSheetId="7" hidden="1">EvReport!$A$4:$Q$200</definedName>
    <definedName name="Z_BF94EE06_FF3C_45CA_BEAA_D78D33D9076B_.wvu.FilterData" localSheetId="7" hidden="1">EvReport!$A$4:$Q$200</definedName>
    <definedName name="Z_BFBDD375_5966_4C78_B941_990F9EDFD6DD_.wvu.FilterData" localSheetId="7" hidden="1">EvReport!$A$4:$Q$200</definedName>
    <definedName name="Z_C08722AB_1D14_4C81_8EE1_515736539C3C_.wvu.FilterData" localSheetId="7" hidden="1">EvReport!$A$4:$Q$200</definedName>
    <definedName name="Z_C121E6BC_29E4_4370_806A_4C680624D3B0_.wvu.FilterData" localSheetId="7" hidden="1">EvReport!$A$4:$Q$200</definedName>
    <definedName name="Z_C192BBE6_202E_47CC_87B6_EBCA3BC4A434_.wvu.FilterData" localSheetId="7" hidden="1">EvReport!$A$4:$Q$200</definedName>
    <definedName name="Z_C1B78DBC_2D71_4B88_BCC5_D0BB5FC9EDCA_.wvu.FilterData" localSheetId="7" hidden="1">EvReport!$A$4:$Q$200</definedName>
    <definedName name="Z_C1BEBFDD_E9CB_4A74_AAF2_51C47213ADFD_.wvu.FilterData" localSheetId="7" hidden="1">EvReport!$A$4:$Q$200</definedName>
    <definedName name="Z_C1C6392D_05F7_4953_A512_2741A0076CFD_.wvu.FilterData" localSheetId="7" hidden="1">EvReport!$A$4:$Q$200</definedName>
    <definedName name="Z_C22F838D_868C_4417_BB91_1AAE1227451B_.wvu.FilterData" localSheetId="7" hidden="1">EvReport!$A$4:$Q$200</definedName>
    <definedName name="Z_C29BF4A7_AD30_4A91_8F68_9C6F87BFFC7F_.wvu.FilterData" localSheetId="7" hidden="1">EvReport!$A$4:$Q$200</definedName>
    <definedName name="Z_C2D8599C_DB20_416A_B49D_269C0FEBA52A_.wvu.FilterData" localSheetId="7" hidden="1">EvReport!$A$4:$Q$200</definedName>
    <definedName name="Z_C2EFE031_FA4D_4042_93B1_D6D261722090_.wvu.FilterData" localSheetId="7" hidden="1">EvReport!$A$4:$Q$200</definedName>
    <definedName name="Z_C3348F62_02F2_4500_9BF2_19F2DEA57A8D_.wvu.FilterData" localSheetId="7" hidden="1">EvReport!$A$4:$Q$200</definedName>
    <definedName name="Z_C3348F62_02F2_4500_9BF2_19F2DEA57A8D_.wvu.PrintArea" localSheetId="4" hidden="1">Ch!$A$1:$J$58</definedName>
    <definedName name="Z_C3348F62_02F2_4500_9BF2_19F2DEA57A8D_.wvu.PrintArea" localSheetId="9" hidden="1">DGFI!$A$1:$F$52</definedName>
    <definedName name="Z_C3348F62_02F2_4500_9BF2_19F2DEA57A8D_.wvu.PrintArea" localSheetId="17" hidden="1">'En-Curve'!$P$2:$Z$64</definedName>
    <definedName name="Z_C3348F62_02F2_4500_9BF2_19F2DEA57A8D_.wvu.PrintArea" localSheetId="26" hidden="1">EnReport!$C$5:$F$38</definedName>
    <definedName name="Z_C3348F62_02F2_4500_9BF2_19F2DEA57A8D_.wvu.PrintArea" localSheetId="8" hidden="1">EvBangla!$A$1:$M$32</definedName>
    <definedName name="Z_C3348F62_02F2_4500_9BF2_19F2DEA57A8D_.wvu.PrintArea" localSheetId="7" hidden="1">EvReport!$B$1:$L$207</definedName>
    <definedName name="Z_C3348F62_02F2_4500_9BF2_19F2DEA57A8D_.wvu.PrintArea" localSheetId="3" hidden="1">Forecast!$B$1:$R$222</definedName>
    <definedName name="Z_C3348F62_02F2_4500_9BF2_19F2DEA57A8D_.wvu.PrintArea" localSheetId="1" hidden="1">FWise!$B$2:$L$42</definedName>
    <definedName name="Z_C3348F62_02F2_4500_9BF2_19F2DEA57A8D_.wvu.PrintArea" localSheetId="6" hidden="1">Generation!$A$1:$AC$199</definedName>
    <definedName name="Z_C3348F62_02F2_4500_9BF2_19F2DEA57A8D_.wvu.PrintArea" localSheetId="16" hidden="1">'L-Curve'!$H$3:$Q$49</definedName>
    <definedName name="Z_C3348F62_02F2_4500_9BF2_19F2DEA57A8D_.wvu.PrintArea" localSheetId="11" hidden="1">'P1'!$A$1:$I$113</definedName>
    <definedName name="Z_C3348F62_02F2_4500_9BF2_19F2DEA57A8D_.wvu.PrintArea" localSheetId="12" hidden="1">'P2'!$B$1:$J$192</definedName>
    <definedName name="Z_C3348F62_02F2_4500_9BF2_19F2DEA57A8D_.wvu.PrintArea" localSheetId="13" hidden="1">'P3'!$B$1:$J$91</definedName>
    <definedName name="Z_C3348F62_02F2_4500_9BF2_19F2DEA57A8D_.wvu.PrintArea" localSheetId="5" hidden="1">PM!$A$1:$G$22</definedName>
    <definedName name="Z_C3348F62_02F2_4500_9BF2_19F2DEA57A8D_.wvu.PrintArea" localSheetId="14" hidden="1">Volt!$B$2:$K$115</definedName>
    <definedName name="Z_C3348F62_02F2_4500_9BF2_19F2DEA57A8D_.wvu.PrintArea" localSheetId="22" hidden="1">YesterdayFWise!$B$2:$L$32</definedName>
    <definedName name="Z_C3348F62_02F2_4500_9BF2_19F2DEA57A8D_.wvu.PrintArea" localSheetId="24" hidden="1">'Zone Wise Gen'!$A$3:$K$29</definedName>
    <definedName name="Z_C3348F62_02F2_4500_9BF2_19F2DEA57A8D_.wvu.PrintTitles" localSheetId="7" hidden="1">EvReport!$7:$8</definedName>
    <definedName name="Z_C3348F62_02F2_4500_9BF2_19F2DEA57A8D_.wvu.PrintTitles" localSheetId="3" hidden="1">Forecast!$4:$8</definedName>
    <definedName name="Z_C3348F62_02F2_4500_9BF2_19F2DEA57A8D_.wvu.PrintTitles" localSheetId="12" hidden="1">'P2'!$5:$8</definedName>
    <definedName name="Z_C3348F62_02F2_4500_9BF2_19F2DEA57A8D_.wvu.Rows" localSheetId="1" hidden="1">FWise!$24:$24</definedName>
    <definedName name="Z_C3348F62_02F2_4500_9BF2_19F2DEA57A8D_.wvu.Rows" localSheetId="11" hidden="1">'P1'!$106:$106,'P1'!$120:$121</definedName>
    <definedName name="Z_C37F72D5_17C9_4FFB_8F77_04812E776A13_.wvu.FilterData" localSheetId="7" hidden="1">EvReport!$A$4:$Q$200</definedName>
    <definedName name="Z_C3953A80_ECDF_4065_A777_6658619E9C39_.wvu.FilterData" localSheetId="7" hidden="1">EvReport!$A$4:$Q$200</definedName>
    <definedName name="Z_C397AE3D_4F8D_4758_AD4D_22601CDD18E8_.wvu.FilterData" localSheetId="7" hidden="1">EvReport!$A$4:$Q$200</definedName>
    <definedName name="Z_C443BD29_A127_453D_B12F_A5CE206E4276_.wvu.FilterData" localSheetId="7" hidden="1">EvReport!$A$4:$Q$200</definedName>
    <definedName name="Z_C4487D6B_D663_41B5_A04D_B1AE8107E5BC_.wvu.FilterData" localSheetId="7" hidden="1">EvReport!$A$4:$Q$200</definedName>
    <definedName name="Z_C577C2B2_3F6E_48F4_9059_9E8CC1EA1F20_.wvu.FilterData" localSheetId="7" hidden="1">EvReport!$A$4:$Q$200</definedName>
    <definedName name="Z_C62B7688_CEAC_4100_81D5_84EA3737F681_.wvu.FilterData" localSheetId="7" hidden="1">EvReport!$A$4:$Q$200</definedName>
    <definedName name="Z_C66941F6_D5B4_4087_BD70_E9EB72C48AA5_.wvu.FilterData" localSheetId="7" hidden="1">EvReport!$A$4:$Q$200</definedName>
    <definedName name="Z_C66A0B6B_9D28_435E_9488_E7AE1556AD41_.wvu.FilterData" localSheetId="7" hidden="1">EvReport!$A$4:$Q$200</definedName>
    <definedName name="Z_C68B123B_33C3_490C_898C_871DC51C2BCA_.wvu.FilterData" localSheetId="7" hidden="1">EvReport!$A$4:$Q$200</definedName>
    <definedName name="Z_C6B07B13_98B2_4417_81BC_FD456EF9D2A0_.wvu.FilterData" localSheetId="7" hidden="1">EvReport!$A$4:$Q$200</definedName>
    <definedName name="Z_C7227216_3D0E_4FC5_B641_EF6787F75FBC_.wvu.FilterData" localSheetId="7" hidden="1">EvReport!$A$4:$Q$200</definedName>
    <definedName name="Z_C76AE565_49B6_4E0E_950D_E9561DE0751C_.wvu.FilterData" localSheetId="7" hidden="1">EvReport!$A$4:$Q$200</definedName>
    <definedName name="Z_C818A49B_982A_426F_9546_74B42FCDDE0C_.wvu.FilterData" localSheetId="7" hidden="1">EvReport!$A$4:$Q$200</definedName>
    <definedName name="Z_C888744D_65CA_49B8_9843_C9F1C935A678_.wvu.FilterData" localSheetId="7" hidden="1">EvReport!$A$4:$Q$200</definedName>
    <definedName name="Z_C898CFCF_9DDB_4C07_8004_1CCD8175CCA5_.wvu.FilterData" localSheetId="7" hidden="1">EvReport!$A$4:$Q$200</definedName>
    <definedName name="Z_C8A4D6A5_F176_438F_AB31_1C9F1431D5DE_.wvu.FilterData" localSheetId="7" hidden="1">EvReport!$A$4:$Q$200</definedName>
    <definedName name="Z_C923A397_2DF6_423B_9B62_52FCE9884AE9_.wvu.FilterData" localSheetId="7" hidden="1">EvReport!$A$4:$Q$200</definedName>
    <definedName name="Z_C9EC096B_1D64_449E_8BF5_3A126EFE1052_.wvu.FilterData" localSheetId="7" hidden="1">EvReport!$A$4:$Q$200</definedName>
    <definedName name="Z_CA092FA6_8750_46C6_8652_AF86EC37E9BE_.wvu.FilterData" localSheetId="7" hidden="1">EvReport!$A$4:$Q$200</definedName>
    <definedName name="Z_CA434C27_162F_45FD_850B_90E2A659A055_.wvu.FilterData" localSheetId="7" hidden="1">EvReport!$A$4:$Q$200</definedName>
    <definedName name="Z_CA55C48D_B5BF_4090_B21A_F8456C24C950_.wvu.FilterData" localSheetId="7" hidden="1">EvReport!$A$4:$Q$200</definedName>
    <definedName name="Z_CA994846_65A9_42B0_A939_3170B495379F_.wvu.FilterData" localSheetId="7" hidden="1">EvReport!$A$4:$Q$200</definedName>
    <definedName name="Z_CAA4E222_6E0F_407A_A2D0_954857CCF8D5_.wvu.FilterData" localSheetId="7" hidden="1">EvReport!$A$4:$Q$200</definedName>
    <definedName name="Z_CAC8A437_C4DF_4FE1_B8CB_A86F3D66B361_.wvu.FilterData" localSheetId="7" hidden="1">EvReport!$A$4:$Q$200</definedName>
    <definedName name="Z_CB58F875_D8B2_4E29_8791_400199998592_.wvu.FilterData" localSheetId="7" hidden="1">EvReport!$A$4:$Q$200</definedName>
    <definedName name="Z_CBBF0871_A4B4_4A9B_9DA4_15F0ABE52DE3_.wvu.FilterData" localSheetId="7" hidden="1">EvReport!$A$4:$Q$200</definedName>
    <definedName name="Z_CC064239_3357_44FD_BAE2_20946612EDDD_.wvu.FilterData" localSheetId="7" hidden="1">EvReport!$A$4:$Q$200</definedName>
    <definedName name="Z_CC0B67BC_4950_4356_81A0_0F26B900E47F_.wvu.FilterData" localSheetId="7" hidden="1">EvReport!$A$4:$Q$200</definedName>
    <definedName name="Z_CC4ACC35_87E8_447C_8F6E_4EAF910C4E0E_.wvu.FilterData" localSheetId="7" hidden="1">EvReport!$A$4:$Q$200</definedName>
    <definedName name="Z_CC688D01_4807_4ADE_90D1_4DE4FEE50790_.wvu.FilterData" localSheetId="7" hidden="1">EvReport!$A$4:$Q$200</definedName>
    <definedName name="Z_CCCE29BA_B600_4A09_807B_9DB0E7D34856_.wvu.FilterData" localSheetId="7" hidden="1">EvReport!$A$4:$Q$200</definedName>
    <definedName name="Z_CCDFF867_3C22_47DF_9DAC_557B107D4AB0_.wvu.FilterData" localSheetId="7" hidden="1">EvReport!$A$4:$Q$200</definedName>
    <definedName name="Z_CCE4A10F_F06D_4A95_9C59_5C1DA2C68D81_.wvu.FilterData" localSheetId="7" hidden="1">EvReport!$A$4:$Q$200</definedName>
    <definedName name="Z_CCFBDE61_73FA_4402_B778_7E0B439B8CED_.wvu.FilterData" localSheetId="7" hidden="1">EvReport!$A$4:$Q$200</definedName>
    <definedName name="Z_CD28BA96_21A9_4753_ABD4_D4506BBA3C0A_.wvu.FilterData" localSheetId="7" hidden="1">EvReport!$A$4:$Q$200</definedName>
    <definedName name="Z_CD5BDBDF_EA25_4F49_8CA0_17253E22665E_.wvu.FilterData" localSheetId="7" hidden="1">EvReport!$A$4:$Q$200</definedName>
    <definedName name="Z_CDCA54C9_B394_407B_ADA0_C7945B9EDC57_.wvu.FilterData" localSheetId="7" hidden="1">EvReport!$A$4:$Q$200</definedName>
    <definedName name="Z_CE2D27B0_9405_43E2_9EB3_20DFA17217EC_.wvu.FilterData" localSheetId="7" hidden="1">EvReport!$A$4:$Q$200</definedName>
    <definedName name="Z_CED42E1B_51B3_4A6E_A6AA_D1198A49ECB3_.wvu.FilterData" localSheetId="7" hidden="1">EvReport!$A$4:$Q$200</definedName>
    <definedName name="Z_CF2262FA_9D65_400A_9A9F_E1045F1DA35F_.wvu.FilterData" localSheetId="7" hidden="1">EvReport!$A$4:$Q$200</definedName>
    <definedName name="Z_CF4AB0FA_7045_4700_A0D2_195E1CC193B7_.wvu.FilterData" localSheetId="7" hidden="1">EvReport!$A$4:$Q$200</definedName>
    <definedName name="Z_CFC02B5C_8790_40CE_9489_AD5CE4A505D1_.wvu.FilterData" localSheetId="7" hidden="1">EvReport!$A$4:$Q$200</definedName>
    <definedName name="Z_D0341367_0D09_4945_8768_F6128FEDC696_.wvu.FilterData" localSheetId="7" hidden="1">EvReport!$A$4:$Q$200</definedName>
    <definedName name="Z_D0C2495B_305C_4624_90D7_DFF54AB56385_.wvu.FilterData" localSheetId="7" hidden="1">EvReport!$A$4:$Q$200</definedName>
    <definedName name="Z_D0E1DD42_AEB3_4CC5_8290_D75994B981D8_.wvu.FilterData" localSheetId="7" hidden="1">EvReport!$A$4:$Q$200</definedName>
    <definedName name="Z_D1124AA2_9FF3_4A28_A55F_AF66945FF72D_.wvu.FilterData" localSheetId="7" hidden="1">EvReport!$A$4:$Q$200</definedName>
    <definedName name="Z_D116B352_61B1_48ED_8F61_BB5BC0A2DB1B_.wvu.FilterData" localSheetId="7" hidden="1">EvReport!$A$4:$Q$200</definedName>
    <definedName name="Z_D16CA067_A17B_4259_8A22_DA00A502A027_.wvu.FilterData" localSheetId="7" hidden="1">EvReport!$A$4:$Q$200</definedName>
    <definedName name="Z_D1D1E152_95AB_45D3_AC07_4EC0834D3E0C_.wvu.FilterData" localSheetId="7" hidden="1">EvReport!$A$4:$Q$200</definedName>
    <definedName name="Z_D1D1E152_95AB_45D3_AC07_4EC0834D3E0C_.wvu.PrintArea" localSheetId="4" hidden="1">Ch!$A$1:$J$58</definedName>
    <definedName name="Z_D1D1E152_95AB_45D3_AC07_4EC0834D3E0C_.wvu.PrintArea" localSheetId="9" hidden="1">DGFI!$A$1:$F$52</definedName>
    <definedName name="Z_D1D1E152_95AB_45D3_AC07_4EC0834D3E0C_.wvu.PrintArea" localSheetId="17" hidden="1">'En-Curve'!$P$2:$Z$64</definedName>
    <definedName name="Z_D1D1E152_95AB_45D3_AC07_4EC0834D3E0C_.wvu.PrintArea" localSheetId="26" hidden="1">EnReport!$C$5:$F$38</definedName>
    <definedName name="Z_D1D1E152_95AB_45D3_AC07_4EC0834D3E0C_.wvu.PrintArea" localSheetId="8" hidden="1">EvBangla!$A$1:$M$32</definedName>
    <definedName name="Z_D1D1E152_95AB_45D3_AC07_4EC0834D3E0C_.wvu.PrintArea" localSheetId="7" hidden="1">EvReport!$B$1:$L$207</definedName>
    <definedName name="Z_D1D1E152_95AB_45D3_AC07_4EC0834D3E0C_.wvu.PrintArea" localSheetId="3" hidden="1">Forecast!$B$1:$R$222</definedName>
    <definedName name="Z_D1D1E152_95AB_45D3_AC07_4EC0834D3E0C_.wvu.PrintArea" localSheetId="1" hidden="1">FWise!$B$2:$L$42</definedName>
    <definedName name="Z_D1D1E152_95AB_45D3_AC07_4EC0834D3E0C_.wvu.PrintArea" localSheetId="6" hidden="1">Generation!$A$1:$AC$198</definedName>
    <definedName name="Z_D1D1E152_95AB_45D3_AC07_4EC0834D3E0C_.wvu.PrintArea" localSheetId="16" hidden="1">'L-Curve'!$H$3:$Q$49</definedName>
    <definedName name="Z_D1D1E152_95AB_45D3_AC07_4EC0834D3E0C_.wvu.PrintArea" localSheetId="11" hidden="1">'P1'!$A$1:$I$113</definedName>
    <definedName name="Z_D1D1E152_95AB_45D3_AC07_4EC0834D3E0C_.wvu.PrintArea" localSheetId="12" hidden="1">'P2'!$B$1:$J$192</definedName>
    <definedName name="Z_D1D1E152_95AB_45D3_AC07_4EC0834D3E0C_.wvu.PrintArea" localSheetId="13" hidden="1">'P3'!$B$1:$J$91</definedName>
    <definedName name="Z_D1D1E152_95AB_45D3_AC07_4EC0834D3E0C_.wvu.PrintArea" localSheetId="5" hidden="1">PM!$A$1:$G$22</definedName>
    <definedName name="Z_D1D1E152_95AB_45D3_AC07_4EC0834D3E0C_.wvu.PrintArea" localSheetId="14" hidden="1">Volt!$B$2:$K$115</definedName>
    <definedName name="Z_D1D1E152_95AB_45D3_AC07_4EC0834D3E0C_.wvu.PrintArea" localSheetId="22" hidden="1">YesterdayFWise!$B$2:$L$32</definedName>
    <definedName name="Z_D1D1E152_95AB_45D3_AC07_4EC0834D3E0C_.wvu.PrintArea" localSheetId="24" hidden="1">'Zone Wise Gen'!$A$3:$K$29</definedName>
    <definedName name="Z_D1D1E152_95AB_45D3_AC07_4EC0834D3E0C_.wvu.PrintTitles" localSheetId="7" hidden="1">EvReport!$7:$8</definedName>
    <definedName name="Z_D1D1E152_95AB_45D3_AC07_4EC0834D3E0C_.wvu.PrintTitles" localSheetId="3" hidden="1">Forecast!$4:$8</definedName>
    <definedName name="Z_D1D1E152_95AB_45D3_AC07_4EC0834D3E0C_.wvu.PrintTitles" localSheetId="12" hidden="1">'P2'!$5:$8</definedName>
    <definedName name="Z_D1D1E152_95AB_45D3_AC07_4EC0834D3E0C_.wvu.Rows" localSheetId="1" hidden="1">FWise!$24:$24</definedName>
    <definedName name="Z_D1D1E152_95AB_45D3_AC07_4EC0834D3E0C_.wvu.Rows" localSheetId="11" hidden="1">'P1'!$106:$106,'P1'!$120:$121</definedName>
    <definedName name="Z_D1D1E152_95AB_45D3_AC07_4EC0834D3E0C_.wvu.Rows" localSheetId="24" hidden="1">'Zone Wise Gen'!$22:$22</definedName>
    <definedName name="Z_D234F597_DF4A_4548_9AE7_8D2259780E1A_.wvu.FilterData" localSheetId="7" hidden="1">EvReport!$A$4:$Q$200</definedName>
    <definedName name="Z_D2890D78_89BA_43EF_A993_45A64DD19B53_.wvu.FilterData" localSheetId="7" hidden="1">EvReport!$A$4:$Q$200</definedName>
    <definedName name="Z_D2A9DB95_8C5F_47C9_99F1_2680CC82A126_.wvu.FilterData" localSheetId="7" hidden="1">EvReport!$A$4:$Q$200</definedName>
    <definedName name="Z_D395ACED_4980_4199_A773_41E831A5291B_.wvu.FilterData" localSheetId="7" hidden="1">EvReport!$A$4:$Q$200</definedName>
    <definedName name="Z_D424AAEB_9DC9_4F47_B899_B8ECEF5CD769_.wvu.FilterData" localSheetId="7" hidden="1">EvReport!$A$4:$Q$200</definedName>
    <definedName name="Z_D4376D1B_790C_41E9_838B_AAC8DA8CC9B4_.wvu.FilterData" localSheetId="7" hidden="1">EvReport!$A$4:$Q$200</definedName>
    <definedName name="Z_D4571FAC_7883_4566_BA83_251BDFAAB5D0_.wvu.FilterData" localSheetId="7" hidden="1">EvReport!$A$4:$Q$200</definedName>
    <definedName name="Z_D479E827_E306_4B80_A073_55F51C340BC6_.wvu.FilterData" localSheetId="7" hidden="1">EvReport!$A$4:$Q$200</definedName>
    <definedName name="Z_D508E739_D963_40EC_91B6_F45896EB6B75_.wvu.FilterData" localSheetId="7" hidden="1">EvReport!$A$4:$Q$200</definedName>
    <definedName name="Z_D517D13A_D403_4A18_AB9A_61C629092DD8_.wvu.FilterData" localSheetId="7" hidden="1">EvReport!$A$4:$Q$200</definedName>
    <definedName name="Z_D5395775_621D_4BEB_8151_A4ED458B1133_.wvu.FilterData" localSheetId="7" hidden="1">EvReport!$A$4:$Q$200</definedName>
    <definedName name="Z_D582852A_AB54_4FA7_8DA4_D6CFE51483CE_.wvu.FilterData" localSheetId="7" hidden="1">EvReport!$A$4:$Q$200</definedName>
    <definedName name="Z_D5C67E97_A228_4271_B48A_86C88049922C_.wvu.FilterData" localSheetId="7" hidden="1">EvReport!$A$4:$Q$200</definedName>
    <definedName name="Z_D5D5E797_9CD4_46C3_808A_9FAF9519FE13_.wvu.FilterData" localSheetId="7" hidden="1">EvReport!$A$4:$Q$200</definedName>
    <definedName name="Z_D61F7C82_48C4_4981_AB78_9C85CB654A83_.wvu.FilterData" localSheetId="7" hidden="1">EvReport!$A$4:$Q$200</definedName>
    <definedName name="Z_D62009DD_9B7C_4461_B66B_0E7324E57C82_.wvu.FilterData" localSheetId="7" hidden="1">EvReport!$A$4:$Q$200</definedName>
    <definedName name="Z_D645FE15_CE85_4AA9_816B_76055CFF8ED0_.wvu.FilterData" localSheetId="7" hidden="1">EvReport!$A$4:$Q$200</definedName>
    <definedName name="Z_D6586E18_FD16_4E92_B9FB_91C40CEEC5BF_.wvu.FilterData" localSheetId="7" hidden="1">EvReport!$A$4:$Q$200</definedName>
    <definedName name="Z_D66014F2_3EC2_4787_AA4F_6F85BC06E822_.wvu.FilterData" localSheetId="7" hidden="1">EvReport!$A$4:$Q$200</definedName>
    <definedName name="Z_D68221A5_1646_4229_B705_8424EE943A77_.wvu.FilterData" localSheetId="7" hidden="1">EvReport!$A$4:$Q$200</definedName>
    <definedName name="Z_D739EE34_D8B7_4ACE_8D48_E8699E2836B2_.wvu.FilterData" localSheetId="7" hidden="1">EvReport!$A$4:$Q$200</definedName>
    <definedName name="Z_D73A5B3E_B276_4351_A32C_4BF82CF46B38_.wvu.FilterData" localSheetId="7" hidden="1">EvReport!$A$4:$Q$200</definedName>
    <definedName name="Z_D80395CE_A843_4233_8F13_A2455CD681D1_.wvu.FilterData" localSheetId="7" hidden="1">EvReport!$A$4:$Q$200</definedName>
    <definedName name="Z_D84E4EA0_374A_4D56_99FA_22742E273F5B_.wvu.FilterData" localSheetId="7" hidden="1">EvReport!$A$4:$Q$200</definedName>
    <definedName name="Z_D88184D4_CA8E_4188_BF58_699095968EF9_.wvu.FilterData" localSheetId="7" hidden="1">EvReport!$A$4:$Q$200</definedName>
    <definedName name="Z_D8F5E682_065B_4C9D_B5F6_390FE1C96944_.wvu.FilterData" localSheetId="7" hidden="1">EvReport!$A$4:$Q$200</definedName>
    <definedName name="Z_D901F4AC_51D4_4D28_A2CE_421103E32749_.wvu.FilterData" localSheetId="7" hidden="1">EvReport!$A$4:$Q$200</definedName>
    <definedName name="Z_D90BABB5_8EFC_4E7B_B6D3_A0E90F609AA2_.wvu.FilterData" localSheetId="7" hidden="1">EvReport!$A$4:$Q$200</definedName>
    <definedName name="Z_D94A9067_2187_42FB_A14E_FBC1F0118DE3_.wvu.FilterData" localSheetId="7" hidden="1">EvReport!$A$4:$Q$200</definedName>
    <definedName name="Z_D95F6B61_984B_4718_9058_EC25C1DBD833_.wvu.FilterData" localSheetId="7" hidden="1">EvReport!$A$4:$Q$200</definedName>
    <definedName name="Z_D961783B_6FDB_4F46_9EDC_CFB8D0D5F0F9_.wvu.FilterData" localSheetId="7" hidden="1">EvReport!$A$4:$Q$200</definedName>
    <definedName name="Z_D962A337_55F5_4123_AA2B_078CEC5349CE_.wvu.FilterData" localSheetId="7" hidden="1">EvReport!$A$4:$Q$200</definedName>
    <definedName name="Z_D98D7BAC_5C59_481B_B4D1_1C87F5BA9E55_.wvu.FilterData" localSheetId="7" hidden="1">EvReport!$A$4:$Q$200</definedName>
    <definedName name="Z_D9D80567_356B_43BB_922A_7487752F37D4_.wvu.FilterData" localSheetId="7" hidden="1">EvReport!$A$4:$Q$200</definedName>
    <definedName name="Z_DA983927_968F_42D0_8F19_62B62078AB4D_.wvu.FilterData" localSheetId="7" hidden="1">EvReport!$A$4:$Q$200</definedName>
    <definedName name="Z_DAA70A19_A955_4DCF_A301_B6F8F618A02F_.wvu.FilterData" localSheetId="7" hidden="1">EvReport!$A$4:$Q$200</definedName>
    <definedName name="Z_DB8B43A6_F8B0_4A09_BA84_A6131B490D60_.wvu.FilterData" localSheetId="7" hidden="1">EvReport!$A$4:$Q$200</definedName>
    <definedName name="Z_DB9D6A0B_F0B1_4833_BD35_9D892FDF53EE_.wvu.FilterData" localSheetId="7" hidden="1">EvReport!$A$4:$Q$200</definedName>
    <definedName name="Z_DC232D62_7692_42CF_B44C_7A96302466D7_.wvu.FilterData" localSheetId="7" hidden="1">EvReport!$A$4:$Q$200</definedName>
    <definedName name="Z_DC23E426_26D3_4428_89C0_E618A09E4A65_.wvu.FilterData" localSheetId="7" hidden="1">EvReport!$A$4:$Q$200</definedName>
    <definedName name="Z_DC72D02F_67E3_4509_BB4A_4225309E4942_.wvu.FilterData" localSheetId="7" hidden="1">EvReport!$A$4:$Q$200</definedName>
    <definedName name="Z_DCA8504D_04EF_48E3_A2E4_173C6729C45B_.wvu.FilterData" localSheetId="7" hidden="1">EvReport!$A$4:$Q$200</definedName>
    <definedName name="Z_DCDADADE_FABA_4ECE_BF13_F803D42B6FC6_.wvu.FilterData" localSheetId="7" hidden="1">EvReport!$A$4:$Q$200</definedName>
    <definedName name="Z_DDAF299B_F0A2_4927_9A6C_CAF1294B291B_.wvu.FilterData" localSheetId="7" hidden="1">EvReport!$A$4:$Q$200</definedName>
    <definedName name="Z_DE558BDD_7D25_4B96_B304_2B9F3C100002_.wvu.FilterData" localSheetId="7" hidden="1">EvReport!$A$4:$Q$200</definedName>
    <definedName name="Z_DEF61CF2_2C3B_4FDA_A449_787594F52533_.wvu.FilterData" localSheetId="7" hidden="1">EvReport!$A$4:$Q$200</definedName>
    <definedName name="Z_DF0AC901_BBA8_4A12_93EB_6F2EE3C528BA_.wvu.FilterData" localSheetId="7" hidden="1">EvReport!$A$4:$Q$200</definedName>
    <definedName name="Z_DFA5A853_C391_4975_85D9_113B07A0534C_.wvu.FilterData" localSheetId="7" hidden="1">EvReport!$A$4:$Q$200</definedName>
    <definedName name="Z_DFD58166_E77B_4693_9B70_5CA037366F65_.wvu.FilterData" localSheetId="7" hidden="1">EvReport!$A$4:$Q$200</definedName>
    <definedName name="Z_DFFAE5B4_08CB_4E20_B097_18A436F259DD_.wvu.FilterData" localSheetId="7" hidden="1">EvReport!$A$4:$Q$200</definedName>
    <definedName name="Z_E04A5B11_DAD7_4AB3_A816_E213A419014B_.wvu.FilterData" localSheetId="7" hidden="1">EvReport!$A$4:$Q$200</definedName>
    <definedName name="Z_E07715EE_154E_4C13_80BD_7A75FCBC02DA_.wvu.FilterData" localSheetId="7" hidden="1">EvReport!$A$4:$Q$200</definedName>
    <definedName name="Z_E0AC80FA_42FD_433A_B979_328431F30833_.wvu.FilterData" localSheetId="7" hidden="1">EvReport!$A$4:$Q$200</definedName>
    <definedName name="Z_E0B5A1F0_4BFE_4697_B1D0_E19C5CC3E084_.wvu.FilterData" localSheetId="7" hidden="1">EvReport!$A$4:$Q$200</definedName>
    <definedName name="Z_E1184CF9_3F43_4D28_BE1D_F7B9A37D5B38_.wvu.FilterData" localSheetId="7" hidden="1">EvReport!$A$4:$Q$200</definedName>
    <definedName name="Z_E149DDA5_C1C2_40C8_9816_CC704E73F29C_.wvu.FilterData" localSheetId="7" hidden="1">EvReport!$A$4:$Q$200</definedName>
    <definedName name="Z_E1905705_3418_4C53_B157_62C7D9470682_.wvu.FilterData" localSheetId="7" hidden="1">EvReport!$A$4:$Q$200</definedName>
    <definedName name="Z_E1C80802_B2C0_4A97_B71D_D6241F1628B0_.wvu.FilterData" localSheetId="7" hidden="1">EvReport!$A$4:$Q$200</definedName>
    <definedName name="Z_E244DD59_740A_4DD5_B82D_13C763EC3C1B_.wvu.FilterData" localSheetId="7" hidden="1">EvReport!$A$4:$Q$200</definedName>
    <definedName name="Z_E2636547_A9AF_421B_9C87_A49879792FE5_.wvu.FilterData" localSheetId="7" hidden="1">EvReport!$A$4:$Q$200</definedName>
    <definedName name="Z_E319C463_D454_463D_A3A9_5E977401B752_.wvu.FilterData" localSheetId="7" hidden="1">EvReport!$A$4:$Q$200</definedName>
    <definedName name="Z_E376B8E1_99E1_4062_B6FA_D49F5FA97095_.wvu.FilterData" localSheetId="7" hidden="1">EvReport!$A$4:$Q$200</definedName>
    <definedName name="Z_E3BB0929_9CBE_4C59_8D7F_B5F00F3FECFB_.wvu.FilterData" localSheetId="7" hidden="1">EvReport!$A$4:$Q$200</definedName>
    <definedName name="Z_E3E8C429_B477_448E_9AF3_837A86816C1E_.wvu.FilterData" localSheetId="7" hidden="1">EvReport!$A$4:$Q$200</definedName>
    <definedName name="Z_E403BD67_5F84_4C20_B0A4_2EFAF759105D_.wvu.FilterData" localSheetId="7" hidden="1">EvReport!$A$4:$Q$200</definedName>
    <definedName name="Z_E4817A4D_EF5C_4CF8_AE6C_5BEA2220C4A0_.wvu.FilterData" localSheetId="7" hidden="1">EvReport!$A$4:$Q$200</definedName>
    <definedName name="Z_E48336A8_393B_4A74_B22C_6D5ED8685D14_.wvu.FilterData" localSheetId="7" hidden="1">EvReport!$A$4:$Q$200</definedName>
    <definedName name="Z_E4DB0170_78EE_464D_A7AF_259B0DC357E8_.wvu.FilterData" localSheetId="7" hidden="1">EvReport!$A$4:$Q$200</definedName>
    <definedName name="Z_E51B59B8_8BBF_43DF_897E_47DF83F77845_.wvu.FilterData" localSheetId="7" hidden="1">EvReport!$A$4:$Q$200</definedName>
    <definedName name="Z_E51DCB06_86CE_489F_AFC8_8E576C174023_.wvu.FilterData" localSheetId="7" hidden="1">EvReport!$A$4:$Q$200</definedName>
    <definedName name="Z_E53D3C2C_82E5_457F_8523_904125D8861F_.wvu.FilterData" localSheetId="7" hidden="1">EvReport!$A$4:$Q$200</definedName>
    <definedName name="Z_E541F922_FC60_4150_A0FC_11F61124579A_.wvu.FilterData" localSheetId="7" hidden="1">EvReport!$A$4:$Q$200</definedName>
    <definedName name="Z_E5B8B869_D853_4098_BFA0_2CF0121BF086_.wvu.FilterData" localSheetId="7" hidden="1">EvReport!$A$4:$Q$200</definedName>
    <definedName name="Z_E63D5373_EDDA_41FB_9A12_0EB4773BC7DA_.wvu.FilterData" localSheetId="7" hidden="1">EvReport!$A$4:$Q$200</definedName>
    <definedName name="Z_E64F2694_DBD6_4A60_990C_2F83EC0394B8_.wvu.FilterData" localSheetId="7" hidden="1">EvReport!$A$4:$Q$200</definedName>
    <definedName name="Z_E69366B4_9F77_470A_91CE_7BE76F1B3092_.wvu.FilterData" localSheetId="7" hidden="1">EvReport!$A$4:$Q$200</definedName>
    <definedName name="Z_E6F14C67_C7E9_4979_989A_E4052D3B22AA_.wvu.FilterData" localSheetId="7" hidden="1">EvReport!$A$4:$Q$200</definedName>
    <definedName name="Z_E71E6D59_3494_4C68_B7C6_6A823CFD4208_.wvu.FilterData" localSheetId="7" hidden="1">EvReport!$A$4:$Q$200</definedName>
    <definedName name="Z_E7C3012D_2EB3_4615_AB18_8183AEA8F505_.wvu.FilterData" localSheetId="7" hidden="1">EvReport!$A$4:$Q$200</definedName>
    <definedName name="Z_E7CFB922_19F6_47A9_8673_BC0F08AA43D2_.wvu.FilterData" localSheetId="7" hidden="1">EvReport!$A$4:$Q$200</definedName>
    <definedName name="Z_E8049896_42FA_40BE_8232_C5D91A8E5124_.wvu.FilterData" localSheetId="7" hidden="1">EvReport!$A$4:$Q$200</definedName>
    <definedName name="Z_E81C3CC4_71F5_4907_B5B0_472484585D71_.wvu.FilterData" localSheetId="7" hidden="1">EvReport!$A$4:$Q$200</definedName>
    <definedName name="Z_E82B78B6_FEEE_415A_8177_CE49FADF3EEB_.wvu.FilterData" localSheetId="7" hidden="1">EvReport!$A$4:$Q$200</definedName>
    <definedName name="Z_E83268D9_7E00_44FA_B461_23B04BE3F625_.wvu.FilterData" localSheetId="7" hidden="1">EvReport!$A$4:$Q$200</definedName>
    <definedName name="Z_E8A8F0D1_9AF1_4719_8B0B_EE70A0E736B7_.wvu.FilterData" localSheetId="7" hidden="1">EvReport!$A$4:$Q$200</definedName>
    <definedName name="Z_E8D169F9_670E_4153_BBE5_635FE2495EBD_.wvu.FilterData" localSheetId="7" hidden="1">EvReport!$A$4:$Q$200</definedName>
    <definedName name="Z_E8E5259F_C984_4E5E_9031_8EFB25533EFE_.wvu.FilterData" localSheetId="7" hidden="1">EvReport!$A$4:$Q$200</definedName>
    <definedName name="Z_E9081533_DA6E_432B_8461_520FB2697845_.wvu.FilterData" localSheetId="7" hidden="1">EvReport!$A$4:$Q$200</definedName>
    <definedName name="Z_E9276E5D_C2C5_43F3_A637_12F0B611BA88_.wvu.FilterData" localSheetId="7" hidden="1">EvReport!$A$4:$Q$200</definedName>
    <definedName name="Z_E937E6CB_F2E1_4B70_8F60_A2AA4709BA54_.wvu.FilterData" localSheetId="7" hidden="1">EvReport!$A$4:$Q$200</definedName>
    <definedName name="Z_E952609F_B2AB_40CB_A25E_6EAAB5B1E075_.wvu.FilterData" localSheetId="7" hidden="1">EvReport!$A$4:$Q$200</definedName>
    <definedName name="Z_E96899BF_D358_4E59_9F1B_33464707C073_.wvu.FilterData" localSheetId="7" hidden="1">EvReport!$A$4:$Q$200</definedName>
    <definedName name="Z_E9C3F004_49DA_458C_8686_6B93839B59D6_.wvu.FilterData" localSheetId="7" hidden="1">EvReport!$A$4:$Q$200</definedName>
    <definedName name="Z_E9D767B1_B135_4588_A4C2_7835A68345F7_.wvu.FilterData" localSheetId="7" hidden="1">EvReport!$A$4:$Q$200</definedName>
    <definedName name="Z_E9DB239D_EE1A_47F5_8DC9_8327F82A35DA_.wvu.FilterData" localSheetId="7" hidden="1">EvReport!$A$4:$Q$200</definedName>
    <definedName name="Z_EA190098_C47A_4AE5_8C6B_32F4C570066E_.wvu.FilterData" localSheetId="7" hidden="1">EvReport!$A$4:$Q$200</definedName>
    <definedName name="Z_EA234AD5_6CA4_4244_9EB4_BF869E62438B_.wvu.FilterData" localSheetId="7" hidden="1">EvReport!$A$4:$Q$200</definedName>
    <definedName name="Z_EA8AE7AC_DEB6_4A62_916F_068E334DEC58_.wvu.FilterData" localSheetId="7" hidden="1">EvReport!$A$4:$Q$200</definedName>
    <definedName name="Z_EA8B97AD_4364_4F77_BED6_FDA699E0AB56_.wvu.FilterData" localSheetId="7" hidden="1">EvReport!$A$4:$Q$200</definedName>
    <definedName name="Z_EACA7E23_063E_427B_9BC5_7FBC23729E2E_.wvu.FilterData" localSheetId="7" hidden="1">EvReport!$A$4:$Q$200</definedName>
    <definedName name="Z_EB0B5FE1_BDF5_459F_9876_2652C9C0B7D4_.wvu.FilterData" localSheetId="7" hidden="1">EvReport!$A$4:$Q$200</definedName>
    <definedName name="Z_EB1E7655_0508_4BA3_8F56_F03F98C822A4_.wvu.FilterData" localSheetId="7" hidden="1">EvReport!$A$4:$Q$200</definedName>
    <definedName name="Z_EB20AD35_6EDD_4DF9_9E85_784F88B67B2B_.wvu.FilterData" localSheetId="7" hidden="1">EvReport!$A$4:$Q$200</definedName>
    <definedName name="Z_EB361952_4FEC_4D14_9EB9_15CBA2C1F19F_.wvu.FilterData" localSheetId="7" hidden="1">EvReport!$A$4:$Q$200</definedName>
    <definedName name="Z_EB877857_1DF9_44BC_BED7_EBACC7AFACF7_.wvu.FilterData" localSheetId="7" hidden="1">EvReport!$A$4:$Q$200</definedName>
    <definedName name="Z_ECA6F238_A3D5_434A_82AD_EAD568B9BDEC_.wvu.FilterData" localSheetId="7" hidden="1">EvReport!$A$4:$Q$200</definedName>
    <definedName name="Z_ED872469_26BE_4A79_B3C1_9C9D52BB2F6F_.wvu.FilterData" localSheetId="7" hidden="1">EvReport!$A$4:$Q$200</definedName>
    <definedName name="Z_ED880703_5EC9_4B68_84D5_67BF9A4DF2A4_.wvu.FilterData" localSheetId="7" hidden="1">EvReport!$A$4:$Q$200</definedName>
    <definedName name="Z_EDD915B8_B05C_488B_87F8_2AEA8AA2B724_.wvu.FilterData" localSheetId="7" hidden="1">EvReport!$A$4:$Q$200</definedName>
    <definedName name="Z_EE28E329_6DDC_47C7_BBF4_86CA6B995D07_.wvu.FilterData" localSheetId="7" hidden="1">EvReport!$A$4:$Q$200</definedName>
    <definedName name="Z_EED0E7A8_27A3_40DE_86CE_DD3B9187CBB1_.wvu.FilterData" localSheetId="7" hidden="1">EvReport!$A$4:$Q$200</definedName>
    <definedName name="Z_EEE5937E_4170_4468_BAC4_4885DC558465_.wvu.FilterData" localSheetId="7" hidden="1">EvReport!$A$4:$Q$200</definedName>
    <definedName name="Z_EEF2A856_8645_4A03_AA8B_B51B5F7F8E1B_.wvu.FilterData" localSheetId="7" hidden="1">EvReport!$A$4:$Q$200</definedName>
    <definedName name="Z_EEF68CF6_721E_49EB_8FA1_40EBCFCCE64D_.wvu.FilterData" localSheetId="7" hidden="1">EvReport!$A$4:$Q$200</definedName>
    <definedName name="Z_EF0D6470_4663_4A0F_A36E_A491D99B8DF8_.wvu.FilterData" localSheetId="7" hidden="1">EvReport!$A$4:$Q$200</definedName>
    <definedName name="Z_F015A8BC_992A_45F7_AED2_170FED63DB1F_.wvu.FilterData" localSheetId="7" hidden="1">EvReport!$A$4:$Q$200</definedName>
    <definedName name="Z_F05E9840_793E_4342_8025_9A237EC7FC8C_.wvu.FilterData" localSheetId="7" hidden="1">EvReport!$A$4:$Q$200</definedName>
    <definedName name="Z_F067B501_A4FA_4E96_A4B3_5263022758B3_.wvu.FilterData" localSheetId="7" hidden="1">EvReport!$A$4:$Q$200</definedName>
    <definedName name="Z_F076060B_F46E_4623_8A02_C0EFCEAD2C04_.wvu.FilterData" localSheetId="7" hidden="1">EvReport!$A$4:$Q$200</definedName>
    <definedName name="Z_F07DD3B9_B227_4C5D_98A4_FD006F29CAC6_.wvu.FilterData" localSheetId="7" hidden="1">EvReport!$A$4:$Q$200</definedName>
    <definedName name="Z_F0EEDFF1_A337_42B9_8B7A_F9BE66FB6D0E_.wvu.FilterData" localSheetId="7" hidden="1">EvReport!$A$4:$Q$200</definedName>
    <definedName name="Z_F196495D_600C_43A4_83EE_0FCA89C6855F_.wvu.FilterData" localSheetId="7" hidden="1">EvReport!$A$4:$Q$200</definedName>
    <definedName name="Z_F1B1063C_CE81_459C_80A4_6D632C27C0A2_.wvu.FilterData" localSheetId="7" hidden="1">EvReport!$A$4:$Q$200</definedName>
    <definedName name="Z_F1CDA1B3_9839_4E49_9A5B_B01DA881A299_.wvu.FilterData" localSheetId="7" hidden="1">EvReport!$A$4:$Q$200</definedName>
    <definedName name="Z_F213790C_DBDD_4145_AD23_F9A8ED3AB298_.wvu.FilterData" localSheetId="7" hidden="1">EvReport!$A$4:$Q$200</definedName>
    <definedName name="Z_F2C62B47_137A_4B46_B43D_91C878AECA0F_.wvu.FilterData" localSheetId="7" hidden="1">EvReport!$A$4:$Q$200</definedName>
    <definedName name="Z_F2ECB571_2CEB_4F25_A22E_270FE21FABCD_.wvu.FilterData" localSheetId="7" hidden="1">EvReport!$A$4:$Q$200</definedName>
    <definedName name="Z_F32C54E4_971F_4DF8_A93C_9FAA4C6D3D6F_.wvu.FilterData" localSheetId="7" hidden="1">EvReport!$A$4:$Q$200</definedName>
    <definedName name="Z_F3540F6E_E261_470C_BEDB_8D71EA12366E_.wvu.FilterData" localSheetId="7" hidden="1">EvReport!$A$4:$Q$200</definedName>
    <definedName name="Z_F3860636_A477_479E_AA7A_C65B07999163_.wvu.FilterData" localSheetId="7" hidden="1">EvReport!$A$4:$Q$200</definedName>
    <definedName name="Z_F401B86E_5E73_40E2_B596_A5B1E5961AB7_.wvu.FilterData" localSheetId="7" hidden="1">EvReport!$A$4:$Q$200</definedName>
    <definedName name="Z_F45262AE_994F_4A95_B4E0_644CD0E2FC72_.wvu.FilterData" localSheetId="7" hidden="1">EvReport!$A$4:$Q$200</definedName>
    <definedName name="Z_F50AA671_590A_4F4C_8783_86F9CFFFA7F5_.wvu.FilterData" localSheetId="7" hidden="1">EvReport!$A$4:$Q$200</definedName>
    <definedName name="Z_F5B273D4_6DA7_45EB_86E1_129B964B2F84_.wvu.FilterData" localSheetId="7" hidden="1">EvReport!$A$4:$Q$200</definedName>
    <definedName name="Z_F5E0D49B_A96B_47F1_93B1_231A17A60755_.wvu.FilterData" localSheetId="7" hidden="1">EvReport!$A$4:$Q$200</definedName>
    <definedName name="Z_F5F08860_D78E_4AC1_AFD4_7E8689EDC2D2_.wvu.FilterData" localSheetId="7" hidden="1">EvReport!$A$4:$Q$200</definedName>
    <definedName name="Z_F61147F9_75FA_47E3_9910_B1F8371F7E0C_.wvu.FilterData" localSheetId="7" hidden="1">EvReport!$A$4:$Q$200</definedName>
    <definedName name="Z_F6681A58_FD25_4E3D_AD2C_0D9B26EFC25D_.wvu.FilterData" localSheetId="7" hidden="1">EvReport!$A$4:$Q$200</definedName>
    <definedName name="Z_F6A6B1B3_5504_4668_839D_724BCE92690A_.wvu.FilterData" localSheetId="7" hidden="1">EvReport!$A$4:$Q$200</definedName>
    <definedName name="Z_F7254CE7_AE95_463C_95E9_58E372B36118_.wvu.FilterData" localSheetId="7" hidden="1">EvReport!$A$4:$Q$200</definedName>
    <definedName name="Z_F7590E5A_ACB2_408A_9A2C_0FAD0DAA9646_.wvu.FilterData" localSheetId="7" hidden="1">EvReport!$A$4:$Q$200</definedName>
    <definedName name="Z_F78F2615_232E_4330_8188_2129F805D50C_.wvu.FilterData" localSheetId="7" hidden="1">EvReport!$A$4:$Q$200</definedName>
    <definedName name="Z_F7F15848_6D93_420F_9A21_EE606DE3C5BF_.wvu.FilterData" localSheetId="7" hidden="1">EvReport!$A$4:$Q$200</definedName>
    <definedName name="Z_F7F300CC_2543_4C6D_842E_BE667CC3AD57_.wvu.FilterData" localSheetId="7" hidden="1">EvReport!$A$4:$Q$200</definedName>
    <definedName name="Z_F8270393_995D_4A62_B6D7_FEB709F07DFD_.wvu.FilterData" localSheetId="7" hidden="1">EvReport!$A$4:$Q$200</definedName>
    <definedName name="Z_F87D5146_51A9_4937_90E5_B829E388A88B_.wvu.FilterData" localSheetId="7" hidden="1">EvReport!$A$4:$Q$200</definedName>
    <definedName name="Z_F8BD5072_052C_455C_B41D_560133E6073B_.wvu.FilterData" localSheetId="7" hidden="1">EvReport!$A$4:$Q$200</definedName>
    <definedName name="Z_F8BEBE10_3DF1_4E73_9AED_A1200B350F39_.wvu.FilterData" localSheetId="7" hidden="1">EvReport!$A$4:$Q$200</definedName>
    <definedName name="Z_F9CDCEC3_BD6D_4FF8_838A_15768B771035_.wvu.FilterData" localSheetId="7" hidden="1">EvReport!$A$4:$Q$200</definedName>
    <definedName name="Z_FA057342_C44C_41E6_BC30_8D3B7C97EF9E_.wvu.FilterData" localSheetId="7" hidden="1">EvReport!$A$4:$Q$200</definedName>
    <definedName name="Z_FA3EFEC4_AA45_4592_9C93_32CD59590CF1_.wvu.FilterData" localSheetId="7" hidden="1">EvReport!$A$4:$Q$200</definedName>
    <definedName name="Z_FA5E8E85_E68F_414A_9463_63D121E298B7_.wvu.FilterData" localSheetId="7" hidden="1">EvReport!$A$4:$Q$200</definedName>
    <definedName name="Z_FB215F45_D2D1_42AB_897D_53C951547B3A_.wvu.FilterData" localSheetId="7" hidden="1">EvReport!$A$4:$Q$200</definedName>
    <definedName name="Z_FBBC346B_0A5F_4D14_807D_D3DA7D9CB01D_.wvu.FilterData" localSheetId="7" hidden="1">EvReport!$A$4:$Q$200</definedName>
    <definedName name="Z_FBEA42A0_3DAD_4BC1_BD2E_1070DD319D66_.wvu.FilterData" localSheetId="7" hidden="1">EvReport!$A$4:$Q$200</definedName>
    <definedName name="Z_FC44FA1A_BE58_4EEB_B726_6706F51D292C_.wvu.FilterData" localSheetId="7" hidden="1">EvReport!$A$4:$Q$200</definedName>
    <definedName name="Z_FC4FB04A_4A1A_4AB0_AC79_4327AE25D37E_.wvu.FilterData" localSheetId="7" hidden="1">EvReport!$A$4:$Q$200</definedName>
    <definedName name="Z_FC5B41A5_5F5A_4998_A0D6_C87322FBECAF_.wvu.FilterData" localSheetId="7" hidden="1">EvReport!$A$4:$Q$200</definedName>
    <definedName name="Z_FC8BA8CF_65D3_4772_B69B_2705DCB4CA9A_.wvu.FilterData" localSheetId="7" hidden="1">EvReport!$A$4:$Q$200</definedName>
    <definedName name="Z_FCDA2B55_3757_4EE8_AA37_8009BCC6F4F2_.wvu.FilterData" localSheetId="7" hidden="1">EvReport!$A$4:$Q$200</definedName>
    <definedName name="Z_FD478460_B55E_44CE_BD3B_2483083D407D_.wvu.FilterData" localSheetId="7" hidden="1">EvReport!$A$4:$Q$200</definedName>
    <definedName name="Z_FD6068B5_4018_4C3C_8816_B6BCD386730F_.wvu.FilterData" localSheetId="7" hidden="1">EvReport!$A$4:$Q$200</definedName>
    <definedName name="Z_FD743483_A33C_42EE_AB0F_92A1C2E0E37B_.wvu.FilterData" localSheetId="7" hidden="1">EvReport!$A$4:$Q$200</definedName>
    <definedName name="Z_FD9244E3_A495_4423_A892_AF2166B17444_.wvu.FilterData" localSheetId="7" hidden="1">EvReport!$A$4:$Q$200</definedName>
    <definedName name="Z_FDA786EB_99F6_4C86_9527_7EC2A6C351DF_.wvu.FilterData" localSheetId="7" hidden="1">EvReport!$A$4:$Q$200</definedName>
    <definedName name="Z_FDADD7CF_2EE0_4A65_AABE_F3A8A3E7B6CC_.wvu.FilterData" localSheetId="7" hidden="1">EvReport!$A$4:$Q$200</definedName>
    <definedName name="Z_FDB084F3_2B11_47E3_8C32_79224277EB9C_.wvu.FilterData" localSheetId="7" hidden="1">EvReport!$A$4:$Q$200</definedName>
    <definedName name="Z_FDC3AA01_43C6_4B40_8BBF_DE48E48FA92B_.wvu.FilterData" localSheetId="7" hidden="1">EvReport!$A$4:$Q$200</definedName>
    <definedName name="Z_FE283D44_81A0_4BAA_A5D2_C09B68A6A278_.wvu.FilterData" localSheetId="7" hidden="1">EvReport!$A$4:$Q$200</definedName>
    <definedName name="Z_FF12D64C_B5F6_4D68_A4BC_F5DB3D326762_.wvu.FilterData" localSheetId="7" hidden="1">EvReport!$A$4:$Q$200</definedName>
    <definedName name="Z_FF4312C4_84BF_4700_AC55_95646F00FA6D_.wvu.FilterData" localSheetId="7" hidden="1">EvReport!$A$4:$Q$200</definedName>
    <definedName name="Z_FF592724_ECB3_4B4D_81C0_0D793AD4DD15_.wvu.FilterData" localSheetId="7" hidden="1">EvReport!$A$4:$Q$200</definedName>
    <definedName name="Z_FF5F06A8_FF97_4366_901D_727B02358156_.wvu.FilterData" localSheetId="7" hidden="1">EvReport!$A$4:$Q$200</definedName>
  </definedNames>
  <calcPr calcId="124519"/>
  <customWorkbookViews>
    <customWorkbookView name="Generation - Personal View" guid="{7C71EF2A-5ADA-494C-8F58-DDA71753DD90}" mergeInterval="0" personalView="1" maximized="1" xWindow="1" yWindow="1" windowWidth="1920" windowHeight="829" tabRatio="774" activeSheetId="1"/>
    <customWorkbookView name="NLDC - Personal View" guid="{B91C2E87-5EDA-40AE-AC27-0E2C17E803CE}" mergeInterval="0" personalView="1" maximized="1" xWindow="1" yWindow="1" windowWidth="1920" windowHeight="804" tabRatio="919" activeSheetId="4" showComments="commIndAndComment"/>
    <customWorkbookView name="AE_Shift - Personal View" guid="{23F4DC00-BC97-4745-AA5C-F05D469CB1EF}" mergeInterval="0" personalView="1" maximized="1" xWindow="1" yWindow="1" windowWidth="1366" windowHeight="548" tabRatio="187" activeSheetId="19"/>
    <customWorkbookView name="KzamaN - Personal View" guid="{4593F3EE-0998-4E0E-994A-E02D6BAF3A4B}" mergeInterval="0" personalView="1" maximized="1" xWindow="1" yWindow="1" windowWidth="1366" windowHeight="538" tabRatio="876" activeSheetId="1"/>
    <customWorkbookView name="Microsoft - Personal View" guid="{917057C8-5E5F-4164-B84C-85103677A2E5}" mergeInterval="0" personalView="1" maximized="1" xWindow="1" yWindow="1" windowWidth="1366" windowHeight="629" tabRatio="803" activeSheetId="1"/>
    <customWorkbookView name="User - Personal View" guid="{5A803268-F6C5-4035-B3E1-A94CB9AA8994}" mergeInterval="0" personalView="1" maximized="1" xWindow="1" yWindow="1" windowWidth="1366" windowHeight="629" tabRatio="884" activeSheetId="25"/>
    <customWorkbookView name="NLDC XEN PC - Personal View" guid="{751D391F-C74F-4B53-B5B5-25E01AC12EA4}" mergeInterval="0" personalView="1" maximized="1" xWindow="1" yWindow="1" windowWidth="1366" windowHeight="629" tabRatio="902" activeSheetId="1"/>
    <customWorkbookView name="SAE(Gen) - Personal View" guid="{D1D1E152-95AB-45D3-AC07-4EC0834D3E0C}" mergeInterval="0" personalView="1" maximized="1" xWindow="1" yWindow="1" windowWidth="1904" windowHeight="838" tabRatio="867" activeSheetId="1"/>
    <customWorkbookView name="Windows User - Personal View" guid="{4DB6C640-CE65-4513-9E5A-F6CDD1F4B8AF}" mergeInterval="0" personalView="1" maximized="1" xWindow="1" yWindow="1" windowWidth="1454" windowHeight="735" tabRatio="905" activeSheetId="19"/>
    <customWorkbookView name="cv - Personal View" guid="{C3348F62-02F2-4500-9BF2-19F2DEA57A8D}" mergeInterval="0" personalView="1" maximized="1" xWindow="1" yWindow="1" windowWidth="1920" windowHeight="809" tabRatio="953" activeSheetId="1"/>
  </customWorkbookViews>
</workbook>
</file>

<file path=xl/calcChain.xml><?xml version="1.0" encoding="utf-8"?>
<calcChain xmlns="http://schemas.openxmlformats.org/spreadsheetml/2006/main">
  <c r="GK14" i="1"/>
  <c r="GJ14"/>
  <c r="DY14"/>
  <c r="GK13" l="1"/>
  <c r="GJ13"/>
  <c r="DY13"/>
  <c r="GK12"/>
  <c r="GJ12"/>
  <c r="DY12"/>
  <c r="GK11"/>
  <c r="GJ11"/>
  <c r="DY11"/>
  <c r="GK10"/>
  <c r="GJ10"/>
  <c r="DY10"/>
  <c r="GK9"/>
  <c r="GJ9"/>
  <c r="DY9"/>
  <c r="GK8"/>
  <c r="GJ8"/>
  <c r="DY8"/>
  <c r="GK7"/>
  <c r="GJ7"/>
  <c r="DY7"/>
  <c r="GK6"/>
  <c r="GJ6"/>
  <c r="DY6"/>
  <c r="GK5"/>
  <c r="GJ5"/>
  <c r="DY5"/>
  <c r="GK4"/>
  <c r="GJ4"/>
  <c r="DY4"/>
  <c r="GK30"/>
  <c r="GJ30"/>
  <c r="DY30"/>
  <c r="GK29"/>
  <c r="GJ29"/>
  <c r="DY29"/>
  <c r="GK28"/>
  <c r="GJ28"/>
  <c r="DY28"/>
  <c r="GK27"/>
  <c r="GJ27"/>
  <c r="DY27"/>
  <c r="GK26"/>
  <c r="GJ26"/>
  <c r="DY26"/>
  <c r="GK25"/>
  <c r="GJ25"/>
  <c r="DY25"/>
  <c r="GK24"/>
  <c r="GJ24"/>
  <c r="DY24"/>
  <c r="DY23"/>
  <c r="GJ23"/>
  <c r="GK23"/>
  <c r="DY21" l="1"/>
  <c r="GJ21"/>
  <c r="GK21"/>
  <c r="DY20"/>
  <c r="GJ20"/>
  <c r="GK20"/>
  <c r="DY19"/>
  <c r="GJ19"/>
  <c r="GK19"/>
  <c r="DY18"/>
  <c r="GJ18"/>
  <c r="GK18"/>
  <c r="DY17"/>
  <c r="GJ17"/>
  <c r="GK17"/>
  <c r="DY16"/>
  <c r="DY15"/>
  <c r="Q30" i="2"/>
  <c r="GJ16" i="1"/>
  <c r="GK16"/>
  <c r="GJ15"/>
  <c r="GK15"/>
  <c r="S33" i="2" l="1"/>
  <c r="C179" i="4" l="1"/>
  <c r="J179" i="13"/>
  <c r="I179"/>
  <c r="H179"/>
  <c r="G179"/>
  <c r="F179"/>
  <c r="E179"/>
  <c r="C179"/>
  <c r="I179" i="8"/>
  <c r="G179"/>
  <c r="F179"/>
  <c r="E179"/>
  <c r="D179"/>
  <c r="C179"/>
  <c r="M179" i="4"/>
  <c r="H179" i="8" s="1"/>
  <c r="L179" i="4"/>
  <c r="K179"/>
  <c r="J179"/>
  <c r="I179"/>
  <c r="H179"/>
  <c r="G179"/>
  <c r="F179"/>
  <c r="E179"/>
  <c r="GC15" i="24"/>
  <c r="GC16"/>
  <c r="GC17"/>
  <c r="GC18"/>
  <c r="GC19"/>
  <c r="GC20"/>
  <c r="GC21"/>
  <c r="GC37" i="16" s="1"/>
  <c r="GC22" i="24"/>
  <c r="GC23"/>
  <c r="GC24"/>
  <c r="GC25"/>
  <c r="GC26"/>
  <c r="GC27"/>
  <c r="GC28"/>
  <c r="GC29"/>
  <c r="GC30"/>
  <c r="GC31"/>
  <c r="GC32"/>
  <c r="GC33"/>
  <c r="GC34"/>
  <c r="GC35"/>
  <c r="GC36"/>
  <c r="GC37"/>
  <c r="GC38"/>
  <c r="GC39"/>
  <c r="GC40"/>
  <c r="GC41" s="1"/>
  <c r="GC14"/>
  <c r="GH3" i="1"/>
  <c r="T33" i="2"/>
  <c r="R200" i="4"/>
  <c r="R199"/>
  <c r="R198"/>
  <c r="R197"/>
  <c r="R196"/>
  <c r="R195"/>
  <c r="R194"/>
  <c r="R193"/>
  <c r="O19" i="15"/>
  <c r="J140" i="13"/>
  <c r="I140"/>
  <c r="H140"/>
  <c r="G140"/>
  <c r="F140"/>
  <c r="E140"/>
  <c r="C140"/>
  <c r="I140" i="8"/>
  <c r="G140"/>
  <c r="F140"/>
  <c r="E140"/>
  <c r="D140"/>
  <c r="C140"/>
  <c r="M140" i="4"/>
  <c r="H140" i="8" s="1"/>
  <c r="L140" i="4"/>
  <c r="K140"/>
  <c r="J140"/>
  <c r="I140"/>
  <c r="H140"/>
  <c r="G140"/>
  <c r="F140"/>
  <c r="E140"/>
  <c r="C140"/>
  <c r="K179" i="8" l="1"/>
  <c r="J179"/>
  <c r="J140"/>
  <c r="K140"/>
  <c r="GB15" i="24"/>
  <c r="GB16"/>
  <c r="GB17"/>
  <c r="GB18"/>
  <c r="GB19"/>
  <c r="GB20"/>
  <c r="GB21"/>
  <c r="GB37" i="16" s="1"/>
  <c r="GB22" i="24"/>
  <c r="GB23"/>
  <c r="GB24"/>
  <c r="GB25"/>
  <c r="GB26"/>
  <c r="GB27"/>
  <c r="GB28"/>
  <c r="GB29"/>
  <c r="GB30"/>
  <c r="GB31"/>
  <c r="GB32"/>
  <c r="GB33"/>
  <c r="GB34"/>
  <c r="GB35"/>
  <c r="GB36"/>
  <c r="GB37"/>
  <c r="GB38"/>
  <c r="GB39"/>
  <c r="GB40"/>
  <c r="GB41" s="1"/>
  <c r="GB14"/>
  <c r="EI3" i="1"/>
  <c r="FI31" i="24"/>
  <c r="FI32"/>
  <c r="FI33"/>
  <c r="FI34"/>
  <c r="FI35"/>
  <c r="FI36"/>
  <c r="FI37"/>
  <c r="FI38"/>
  <c r="FI39"/>
  <c r="FH31"/>
  <c r="FH32"/>
  <c r="FH33"/>
  <c r="FH34"/>
  <c r="FH35"/>
  <c r="FH36"/>
  <c r="FH37"/>
  <c r="FH38"/>
  <c r="FH39"/>
  <c r="M50" i="4" l="1"/>
  <c r="L50"/>
  <c r="K50"/>
  <c r="J50"/>
  <c r="I50"/>
  <c r="H50"/>
  <c r="G50"/>
  <c r="F50"/>
  <c r="E50"/>
  <c r="C50"/>
  <c r="M49"/>
  <c r="L49"/>
  <c r="K49"/>
  <c r="J49"/>
  <c r="I49"/>
  <c r="H49"/>
  <c r="G49"/>
  <c r="F49"/>
  <c r="E49"/>
  <c r="C49"/>
  <c r="DX37" i="16" l="1"/>
  <c r="AU37"/>
  <c r="K37"/>
  <c r="F37" i="27" l="1"/>
  <c r="D10" i="15" l="1"/>
  <c r="I9"/>
  <c r="DX3" i="1" l="1"/>
  <c r="J50" i="13"/>
  <c r="I50"/>
  <c r="H50"/>
  <c r="G50"/>
  <c r="F50"/>
  <c r="E50"/>
  <c r="C50"/>
  <c r="I50" i="8"/>
  <c r="G50"/>
  <c r="F50"/>
  <c r="E50"/>
  <c r="D50"/>
  <c r="C50"/>
  <c r="H50"/>
  <c r="DW40" i="24"/>
  <c r="DW41" s="1"/>
  <c r="DW39"/>
  <c r="DW38"/>
  <c r="DW37"/>
  <c r="DW36"/>
  <c r="DW35"/>
  <c r="DW34"/>
  <c r="DW33"/>
  <c r="DW32"/>
  <c r="DW31"/>
  <c r="DW30"/>
  <c r="DW29"/>
  <c r="DW28"/>
  <c r="DW27"/>
  <c r="DW26"/>
  <c r="DW25"/>
  <c r="DW24"/>
  <c r="DW23"/>
  <c r="DW22"/>
  <c r="DW21"/>
  <c r="DW37" i="16" s="1"/>
  <c r="DW20" i="24"/>
  <c r="DW19"/>
  <c r="DW18"/>
  <c r="DW17"/>
  <c r="DW16"/>
  <c r="DW15"/>
  <c r="DW14"/>
  <c r="J50" i="8" l="1"/>
  <c r="K50"/>
  <c r="J99" i="13"/>
  <c r="I99"/>
  <c r="H99"/>
  <c r="G99"/>
  <c r="F99"/>
  <c r="E99"/>
  <c r="C99"/>
  <c r="I99" i="8"/>
  <c r="G99"/>
  <c r="F99"/>
  <c r="E99"/>
  <c r="D99"/>
  <c r="C99"/>
  <c r="M99" i="4"/>
  <c r="H99" i="8" s="1"/>
  <c r="L99" i="4"/>
  <c r="K99"/>
  <c r="J99"/>
  <c r="I99"/>
  <c r="H99"/>
  <c r="G99"/>
  <c r="F99"/>
  <c r="E99"/>
  <c r="C99"/>
  <c r="DV40" i="24"/>
  <c r="DV41" s="1"/>
  <c r="DV39"/>
  <c r="DV38"/>
  <c r="DV37"/>
  <c r="DV36"/>
  <c r="DV35"/>
  <c r="DV34"/>
  <c r="DV33"/>
  <c r="DV32"/>
  <c r="DV31"/>
  <c r="DV30"/>
  <c r="DV29"/>
  <c r="DV28"/>
  <c r="DV27"/>
  <c r="DV26"/>
  <c r="DV25"/>
  <c r="DV24"/>
  <c r="DV23"/>
  <c r="DV22"/>
  <c r="DV21"/>
  <c r="DV37" i="16" s="1"/>
  <c r="DV20" i="24"/>
  <c r="DV19"/>
  <c r="DV18"/>
  <c r="DV17"/>
  <c r="DV16"/>
  <c r="DV15"/>
  <c r="DV14"/>
  <c r="DW3" i="1"/>
  <c r="K99" i="8" l="1"/>
  <c r="J99"/>
  <c r="BM40" i="24" l="1"/>
  <c r="K28" i="15" l="1"/>
  <c r="J28"/>
  <c r="I28"/>
  <c r="H28"/>
  <c r="F28"/>
  <c r="E28"/>
  <c r="D28"/>
  <c r="C28"/>
  <c r="K27"/>
  <c r="J27"/>
  <c r="I27"/>
  <c r="H27"/>
  <c r="F27"/>
  <c r="E27"/>
  <c r="D27"/>
  <c r="C27"/>
  <c r="K26"/>
  <c r="J26"/>
  <c r="I26"/>
  <c r="H26"/>
  <c r="E26"/>
  <c r="C26"/>
  <c r="K25"/>
  <c r="J25"/>
  <c r="I25"/>
  <c r="H25"/>
  <c r="F25"/>
  <c r="E25"/>
  <c r="D25"/>
  <c r="C25"/>
  <c r="K24"/>
  <c r="J24"/>
  <c r="I24"/>
  <c r="H24"/>
  <c r="F24"/>
  <c r="E24"/>
  <c r="D24"/>
  <c r="C24"/>
  <c r="K23"/>
  <c r="J23"/>
  <c r="I23"/>
  <c r="H23"/>
  <c r="F23"/>
  <c r="E23"/>
  <c r="D23"/>
  <c r="C23"/>
  <c r="R22"/>
  <c r="Q22"/>
  <c r="K22"/>
  <c r="J22"/>
  <c r="I22"/>
  <c r="H22"/>
  <c r="F22"/>
  <c r="E22"/>
  <c r="D22"/>
  <c r="C22"/>
  <c r="AL21"/>
  <c r="R21"/>
  <c r="Q21"/>
  <c r="K21"/>
  <c r="J21"/>
  <c r="I21"/>
  <c r="H21"/>
  <c r="F21"/>
  <c r="E21"/>
  <c r="D21"/>
  <c r="C21"/>
  <c r="K20"/>
  <c r="J20"/>
  <c r="I20"/>
  <c r="H20"/>
  <c r="F20"/>
  <c r="E20"/>
  <c r="D20"/>
  <c r="C20"/>
  <c r="K19"/>
  <c r="J19"/>
  <c r="I19"/>
  <c r="H19"/>
  <c r="F19"/>
  <c r="E19"/>
  <c r="D19"/>
  <c r="C19"/>
  <c r="O18"/>
  <c r="K18"/>
  <c r="J18"/>
  <c r="I18"/>
  <c r="H18"/>
  <c r="F18"/>
  <c r="E18"/>
  <c r="D18"/>
  <c r="C18"/>
  <c r="K17"/>
  <c r="J17"/>
  <c r="I17"/>
  <c r="H17"/>
  <c r="F17"/>
  <c r="E17"/>
  <c r="D17"/>
  <c r="C17"/>
  <c r="K16"/>
  <c r="J16"/>
  <c r="I16"/>
  <c r="H16"/>
  <c r="F16"/>
  <c r="E16"/>
  <c r="D16"/>
  <c r="C16"/>
  <c r="K15"/>
  <c r="J15"/>
  <c r="I15"/>
  <c r="H15"/>
  <c r="F15"/>
  <c r="E15"/>
  <c r="D15"/>
  <c r="C15"/>
  <c r="K14"/>
  <c r="J14"/>
  <c r="I14"/>
  <c r="H14"/>
  <c r="F14"/>
  <c r="E14"/>
  <c r="D14"/>
  <c r="C14"/>
  <c r="K13"/>
  <c r="J13"/>
  <c r="I13"/>
  <c r="H13"/>
  <c r="F13"/>
  <c r="E13"/>
  <c r="D13"/>
  <c r="C13"/>
  <c r="E11"/>
  <c r="D11"/>
  <c r="C11"/>
  <c r="K10"/>
  <c r="J10"/>
  <c r="H10"/>
  <c r="F10"/>
  <c r="E10"/>
  <c r="C10"/>
  <c r="K9"/>
  <c r="J9"/>
  <c r="H9"/>
  <c r="F9"/>
  <c r="E9"/>
  <c r="D9"/>
  <c r="C9"/>
  <c r="K8"/>
  <c r="J8"/>
  <c r="I8"/>
  <c r="H8"/>
  <c r="F8"/>
  <c r="E8"/>
  <c r="D8"/>
  <c r="C8"/>
  <c r="O21" l="1"/>
  <c r="O22"/>
  <c r="H34" i="24" l="1"/>
  <c r="C172" i="8" l="1"/>
  <c r="H214" i="4" l="1"/>
  <c r="H212"/>
  <c r="I196"/>
  <c r="F197"/>
  <c r="H191"/>
  <c r="H190"/>
  <c r="H189"/>
  <c r="D191"/>
  <c r="K50" i="18"/>
  <c r="K38"/>
  <c r="K34"/>
  <c r="K32"/>
  <c r="K30"/>
  <c r="K48"/>
  <c r="F34"/>
  <c r="E34"/>
  <c r="M54"/>
  <c r="M52"/>
  <c r="M50"/>
  <c r="M48"/>
  <c r="M46"/>
  <c r="M45"/>
  <c r="M44"/>
  <c r="M42"/>
  <c r="M40"/>
  <c r="M38"/>
  <c r="M36"/>
  <c r="M34"/>
  <c r="M32"/>
  <c r="M30"/>
  <c r="M28"/>
  <c r="M26"/>
  <c r="M24"/>
  <c r="M22"/>
  <c r="M20"/>
  <c r="M18"/>
  <c r="M16"/>
  <c r="M14"/>
  <c r="M12"/>
  <c r="M10"/>
  <c r="M8"/>
  <c r="M6"/>
  <c r="L54"/>
  <c r="L52"/>
  <c r="L50"/>
  <c r="L48"/>
  <c r="L46"/>
  <c r="L45"/>
  <c r="L44"/>
  <c r="L42"/>
  <c r="L40"/>
  <c r="L38"/>
  <c r="L36"/>
  <c r="L34"/>
  <c r="L32"/>
  <c r="L30"/>
  <c r="L28"/>
  <c r="L26"/>
  <c r="L24"/>
  <c r="L22"/>
  <c r="L20"/>
  <c r="L18"/>
  <c r="L16"/>
  <c r="L14"/>
  <c r="L12"/>
  <c r="L10"/>
  <c r="L8"/>
  <c r="L6"/>
  <c r="F54"/>
  <c r="E54"/>
  <c r="J54"/>
  <c r="J52"/>
  <c r="J50"/>
  <c r="J48"/>
  <c r="J46"/>
  <c r="J45"/>
  <c r="J44"/>
  <c r="J42"/>
  <c r="J40"/>
  <c r="J38"/>
  <c r="J36"/>
  <c r="J34"/>
  <c r="J32"/>
  <c r="J30"/>
  <c r="J28"/>
  <c r="J26"/>
  <c r="J24"/>
  <c r="J22"/>
  <c r="J20"/>
  <c r="J18"/>
  <c r="J16"/>
  <c r="J14"/>
  <c r="J12"/>
  <c r="J10"/>
  <c r="J8"/>
  <c r="J6"/>
  <c r="I54"/>
  <c r="I52"/>
  <c r="I50"/>
  <c r="I48"/>
  <c r="I46"/>
  <c r="I45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6"/>
  <c r="F6"/>
  <c r="E6"/>
  <c r="H54"/>
  <c r="H52"/>
  <c r="H50"/>
  <c r="H48"/>
  <c r="H46"/>
  <c r="H45"/>
  <c r="H44"/>
  <c r="H42"/>
  <c r="H40"/>
  <c r="H38"/>
  <c r="H36"/>
  <c r="H34"/>
  <c r="H32"/>
  <c r="H30"/>
  <c r="H28"/>
  <c r="H26"/>
  <c r="H24"/>
  <c r="H22"/>
  <c r="H20"/>
  <c r="H18"/>
  <c r="H16"/>
  <c r="H14"/>
  <c r="H12"/>
  <c r="H10"/>
  <c r="H8"/>
  <c r="H6"/>
  <c r="G54"/>
  <c r="G52"/>
  <c r="G50"/>
  <c r="G48"/>
  <c r="G46"/>
  <c r="G45"/>
  <c r="G44"/>
  <c r="G42"/>
  <c r="G40"/>
  <c r="G38"/>
  <c r="G36"/>
  <c r="G34"/>
  <c r="G32"/>
  <c r="G30"/>
  <c r="G28"/>
  <c r="G26"/>
  <c r="G24"/>
  <c r="G22"/>
  <c r="G20"/>
  <c r="G18"/>
  <c r="G16"/>
  <c r="G14"/>
  <c r="G12"/>
  <c r="G10"/>
  <c r="G8"/>
  <c r="G6"/>
  <c r="F52"/>
  <c r="F50"/>
  <c r="F48"/>
  <c r="F46"/>
  <c r="F45"/>
  <c r="F44"/>
  <c r="F42"/>
  <c r="F40"/>
  <c r="F38"/>
  <c r="F36"/>
  <c r="F32"/>
  <c r="F30"/>
  <c r="F28"/>
  <c r="F26"/>
  <c r="F24"/>
  <c r="F22"/>
  <c r="F20"/>
  <c r="F18"/>
  <c r="F16"/>
  <c r="F14"/>
  <c r="F12"/>
  <c r="F10"/>
  <c r="F8"/>
  <c r="E52"/>
  <c r="E50"/>
  <c r="E48"/>
  <c r="E46"/>
  <c r="E45"/>
  <c r="E44"/>
  <c r="E42"/>
  <c r="E40"/>
  <c r="E38"/>
  <c r="E36"/>
  <c r="E32"/>
  <c r="E30"/>
  <c r="E28"/>
  <c r="E26"/>
  <c r="E24"/>
  <c r="E22"/>
  <c r="E20"/>
  <c r="E18"/>
  <c r="E16"/>
  <c r="E14"/>
  <c r="E12"/>
  <c r="E10"/>
  <c r="E8"/>
  <c r="E9" l="1"/>
  <c r="E17"/>
  <c r="E53"/>
  <c r="J31"/>
  <c r="E25"/>
  <c r="I29"/>
  <c r="K49"/>
  <c r="I23"/>
  <c r="E15"/>
  <c r="E23"/>
  <c r="E31"/>
  <c r="E41"/>
  <c r="I17"/>
  <c r="E35"/>
  <c r="E47"/>
  <c r="I53"/>
  <c r="E43"/>
  <c r="E51"/>
  <c r="H51"/>
  <c r="E13"/>
  <c r="E21"/>
  <c r="E29"/>
  <c r="E39"/>
  <c r="E49"/>
  <c r="E11"/>
  <c r="E19"/>
  <c r="E27"/>
  <c r="E37"/>
  <c r="I51"/>
  <c r="E7"/>
  <c r="I25"/>
  <c r="E33"/>
  <c r="K33"/>
  <c r="K31"/>
  <c r="I49"/>
  <c r="I47"/>
  <c r="I43"/>
  <c r="I41"/>
  <c r="I37"/>
  <c r="I35"/>
  <c r="I31"/>
  <c r="I19"/>
  <c r="I13"/>
  <c r="I9"/>
  <c r="I7"/>
  <c r="I33"/>
  <c r="I15"/>
  <c r="I21"/>
  <c r="I27"/>
  <c r="I39"/>
  <c r="I11"/>
  <c r="C2" i="23" l="1"/>
  <c r="C9" i="8" l="1"/>
  <c r="E38" i="27" l="1"/>
  <c r="D38"/>
  <c r="M10" i="4" l="1"/>
  <c r="G122" i="8" l="1"/>
  <c r="F122"/>
  <c r="Q29" i="24" l="1"/>
  <c r="F136" i="4" l="1"/>
  <c r="E136"/>
  <c r="C136"/>
  <c r="M136" l="1"/>
  <c r="L136"/>
  <c r="K136"/>
  <c r="J136"/>
  <c r="I136"/>
  <c r="H136"/>
  <c r="G136"/>
  <c r="F11" i="20" l="1"/>
  <c r="C2" i="2" l="1"/>
  <c r="C137" i="8" l="1"/>
  <c r="P176" l="1"/>
  <c r="E199"/>
  <c r="E198"/>
  <c r="E197"/>
  <c r="E196"/>
  <c r="E195"/>
  <c r="E194"/>
  <c r="E193"/>
  <c r="E192"/>
  <c r="I170"/>
  <c r="G170"/>
  <c r="F170"/>
  <c r="E170"/>
  <c r="D170"/>
  <c r="C170"/>
  <c r="I169"/>
  <c r="G169"/>
  <c r="F169"/>
  <c r="E169"/>
  <c r="D169"/>
  <c r="C169"/>
  <c r="M170" i="4"/>
  <c r="H170" i="8" s="1"/>
  <c r="L170" i="4"/>
  <c r="K170"/>
  <c r="J170"/>
  <c r="I170"/>
  <c r="H170"/>
  <c r="G170"/>
  <c r="F170"/>
  <c r="E170"/>
  <c r="C170"/>
  <c r="M169"/>
  <c r="L169"/>
  <c r="K169"/>
  <c r="J169"/>
  <c r="I169"/>
  <c r="H169"/>
  <c r="G169"/>
  <c r="F169"/>
  <c r="E169"/>
  <c r="C169"/>
  <c r="J170" i="13"/>
  <c r="I170"/>
  <c r="H170"/>
  <c r="G170"/>
  <c r="F170"/>
  <c r="E170"/>
  <c r="C170"/>
  <c r="GA40" i="24"/>
  <c r="GA41" s="1"/>
  <c r="GA39"/>
  <c r="GA38"/>
  <c r="GA37"/>
  <c r="GA36"/>
  <c r="GA35"/>
  <c r="GA34"/>
  <c r="GA33"/>
  <c r="GA32"/>
  <c r="GA31"/>
  <c r="GA30"/>
  <c r="GA29"/>
  <c r="GA28"/>
  <c r="GA27"/>
  <c r="GA26"/>
  <c r="GA25"/>
  <c r="GA24"/>
  <c r="GA23"/>
  <c r="GA22"/>
  <c r="GA21"/>
  <c r="GA37" i="16" s="1"/>
  <c r="GA20" i="24"/>
  <c r="GA19"/>
  <c r="GA18"/>
  <c r="GA17"/>
  <c r="GA16"/>
  <c r="GA15"/>
  <c r="GA14"/>
  <c r="FH3" i="1"/>
  <c r="H169" i="8" l="1"/>
  <c r="J169" s="1"/>
  <c r="J170"/>
  <c r="K170"/>
  <c r="K169" l="1"/>
  <c r="K24" i="26" l="1"/>
  <c r="K23"/>
  <c r="K22"/>
  <c r="K21"/>
  <c r="K20"/>
  <c r="K19"/>
  <c r="K13" l="1"/>
  <c r="K12"/>
  <c r="K11"/>
  <c r="F7" i="27" l="1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8" l="1"/>
  <c r="F139" i="4" l="1"/>
  <c r="H192" i="8" l="1"/>
  <c r="J192" s="1"/>
  <c r="GT32" i="24" l="1"/>
  <c r="GS26"/>
  <c r="J108" i="13" l="1"/>
  <c r="J107"/>
  <c r="J106"/>
  <c r="J105"/>
  <c r="J104"/>
  <c r="J103"/>
  <c r="J169"/>
  <c r="I169"/>
  <c r="H169"/>
  <c r="G169"/>
  <c r="F169"/>
  <c r="E169"/>
  <c r="C169"/>
  <c r="J168"/>
  <c r="I168"/>
  <c r="H168"/>
  <c r="G168"/>
  <c r="F168"/>
  <c r="E168"/>
  <c r="C168"/>
  <c r="J167"/>
  <c r="I167"/>
  <c r="H167"/>
  <c r="G167"/>
  <c r="F167"/>
  <c r="E167"/>
  <c r="C167"/>
  <c r="J166"/>
  <c r="I166"/>
  <c r="H166"/>
  <c r="G166"/>
  <c r="F166"/>
  <c r="E166"/>
  <c r="C166"/>
  <c r="J148"/>
  <c r="I148"/>
  <c r="H148"/>
  <c r="G148"/>
  <c r="F148"/>
  <c r="E148"/>
  <c r="C148"/>
  <c r="J147"/>
  <c r="I147"/>
  <c r="H147"/>
  <c r="G147"/>
  <c r="F147"/>
  <c r="E147"/>
  <c r="J146"/>
  <c r="I146"/>
  <c r="H146"/>
  <c r="G146"/>
  <c r="F146"/>
  <c r="E146"/>
  <c r="C146"/>
  <c r="J145"/>
  <c r="I145"/>
  <c r="H145"/>
  <c r="G145"/>
  <c r="F145"/>
  <c r="E145"/>
  <c r="C145"/>
  <c r="J139"/>
  <c r="I139"/>
  <c r="H139"/>
  <c r="G139"/>
  <c r="F139"/>
  <c r="E139"/>
  <c r="C139"/>
  <c r="J138"/>
  <c r="I138"/>
  <c r="H138"/>
  <c r="G138"/>
  <c r="F138"/>
  <c r="E138"/>
  <c r="C138"/>
  <c r="J137"/>
  <c r="I137"/>
  <c r="H137"/>
  <c r="G137"/>
  <c r="F137"/>
  <c r="E137"/>
  <c r="C137"/>
  <c r="J136"/>
  <c r="I136"/>
  <c r="H136"/>
  <c r="G136"/>
  <c r="F136"/>
  <c r="E136"/>
  <c r="C136"/>
  <c r="J127"/>
  <c r="I127"/>
  <c r="H127"/>
  <c r="G127"/>
  <c r="F127"/>
  <c r="E127"/>
  <c r="C127"/>
  <c r="J126"/>
  <c r="I126"/>
  <c r="H126"/>
  <c r="G126"/>
  <c r="F126"/>
  <c r="E126"/>
  <c r="C126"/>
  <c r="J125"/>
  <c r="I125"/>
  <c r="H125"/>
  <c r="G125"/>
  <c r="F125"/>
  <c r="E125"/>
  <c r="C125"/>
  <c r="J124"/>
  <c r="I124"/>
  <c r="H124"/>
  <c r="G124"/>
  <c r="F124"/>
  <c r="E124"/>
  <c r="C124"/>
  <c r="I108"/>
  <c r="H108"/>
  <c r="G108"/>
  <c r="F108"/>
  <c r="E108"/>
  <c r="C108"/>
  <c r="I107"/>
  <c r="H107"/>
  <c r="G107"/>
  <c r="F107"/>
  <c r="E107"/>
  <c r="C107"/>
  <c r="I106"/>
  <c r="H106"/>
  <c r="G106"/>
  <c r="F106"/>
  <c r="E106"/>
  <c r="C106"/>
  <c r="I105"/>
  <c r="H105"/>
  <c r="G105"/>
  <c r="F105"/>
  <c r="E105"/>
  <c r="C105"/>
  <c r="J98"/>
  <c r="I98"/>
  <c r="H98"/>
  <c r="G98"/>
  <c r="F98"/>
  <c r="E98"/>
  <c r="C98"/>
  <c r="J97"/>
  <c r="I97"/>
  <c r="H97"/>
  <c r="G97"/>
  <c r="F97"/>
  <c r="E97"/>
  <c r="C97"/>
  <c r="J96"/>
  <c r="I96"/>
  <c r="H96"/>
  <c r="G96"/>
  <c r="F96"/>
  <c r="E96"/>
  <c r="C96"/>
  <c r="J95"/>
  <c r="I95"/>
  <c r="H95"/>
  <c r="G95"/>
  <c r="F95"/>
  <c r="E95"/>
  <c r="C95"/>
  <c r="J73"/>
  <c r="I73"/>
  <c r="H73"/>
  <c r="G73"/>
  <c r="F73"/>
  <c r="E73"/>
  <c r="C73"/>
  <c r="J72"/>
  <c r="I72"/>
  <c r="H72"/>
  <c r="G72"/>
  <c r="F72"/>
  <c r="E72"/>
  <c r="C72"/>
  <c r="J71"/>
  <c r="I71"/>
  <c r="H71"/>
  <c r="G71"/>
  <c r="F71"/>
  <c r="E71"/>
  <c r="C71"/>
  <c r="J70"/>
  <c r="I70"/>
  <c r="H70"/>
  <c r="G70"/>
  <c r="F70"/>
  <c r="E70"/>
  <c r="C70"/>
  <c r="C46"/>
  <c r="E46"/>
  <c r="F46"/>
  <c r="G46"/>
  <c r="H46"/>
  <c r="I46"/>
  <c r="J46"/>
  <c r="C47"/>
  <c r="E47"/>
  <c r="F47"/>
  <c r="G47"/>
  <c r="H47"/>
  <c r="I47"/>
  <c r="J47"/>
  <c r="C48"/>
  <c r="E48"/>
  <c r="F48"/>
  <c r="G48"/>
  <c r="H48"/>
  <c r="I48"/>
  <c r="J48"/>
  <c r="C49"/>
  <c r="E49"/>
  <c r="F49"/>
  <c r="G49"/>
  <c r="H49"/>
  <c r="I49"/>
  <c r="J49"/>
  <c r="C44"/>
  <c r="E44"/>
  <c r="F44"/>
  <c r="G44"/>
  <c r="H44"/>
  <c r="I44"/>
  <c r="J44"/>
  <c r="C45"/>
  <c r="E45"/>
  <c r="F45"/>
  <c r="G45"/>
  <c r="H45"/>
  <c r="I45"/>
  <c r="J45"/>
  <c r="BY34" i="24"/>
  <c r="DE40" l="1"/>
  <c r="DE41" s="1"/>
  <c r="GX77" i="1" l="1"/>
  <c r="GW77"/>
  <c r="GV77"/>
  <c r="GU77"/>
  <c r="GT77"/>
  <c r="GS77"/>
  <c r="GR77"/>
  <c r="GQ77"/>
  <c r="GP77"/>
  <c r="GO77"/>
  <c r="GN77"/>
  <c r="GM77"/>
  <c r="GL77"/>
  <c r="GI77"/>
  <c r="GH77"/>
  <c r="GG77"/>
  <c r="GF77"/>
  <c r="GE77"/>
  <c r="GD77"/>
  <c r="GC77"/>
  <c r="GB77"/>
  <c r="GA77"/>
  <c r="FZ77"/>
  <c r="FY77"/>
  <c r="FX77"/>
  <c r="FW77"/>
  <c r="FV77"/>
  <c r="FU77"/>
  <c r="FT77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GK76"/>
  <c r="GJ76"/>
  <c r="DY76"/>
  <c r="DY77" l="1"/>
  <c r="GK77" l="1"/>
  <c r="GJ77"/>
  <c r="H127" i="4" l="1"/>
  <c r="AG194" i="7" l="1"/>
  <c r="AG130"/>
  <c r="AG201" l="1"/>
  <c r="L4" i="9"/>
  <c r="AL38" i="24" l="1"/>
  <c r="GW7" l="1"/>
  <c r="GV7"/>
  <c r="C49" i="8" l="1"/>
  <c r="I49"/>
  <c r="G49"/>
  <c r="F49"/>
  <c r="E49"/>
  <c r="D49"/>
  <c r="H49"/>
  <c r="DU15" i="24"/>
  <c r="DU16"/>
  <c r="DU17"/>
  <c r="DU18"/>
  <c r="DU19"/>
  <c r="DU20"/>
  <c r="DU21"/>
  <c r="DU37" i="16" s="1"/>
  <c r="DU22" i="24"/>
  <c r="DU23"/>
  <c r="DU24"/>
  <c r="DU25"/>
  <c r="DU26"/>
  <c r="DU27"/>
  <c r="DU28"/>
  <c r="DU29"/>
  <c r="DU30"/>
  <c r="DU31"/>
  <c r="DU32"/>
  <c r="DU33"/>
  <c r="DU34"/>
  <c r="DU35"/>
  <c r="DU36"/>
  <c r="DU37"/>
  <c r="DU38"/>
  <c r="DU39"/>
  <c r="DU40"/>
  <c r="DU41" s="1"/>
  <c r="DU14"/>
  <c r="DV3" i="1"/>
  <c r="E191" i="8"/>
  <c r="E200" s="1"/>
  <c r="H196" l="1"/>
  <c r="J196" s="1"/>
  <c r="H199"/>
  <c r="J199" s="1"/>
  <c r="H193"/>
  <c r="J193" s="1"/>
  <c r="H198"/>
  <c r="J198" s="1"/>
  <c r="H194"/>
  <c r="J194" s="1"/>
  <c r="H197"/>
  <c r="J197" s="1"/>
  <c r="H191"/>
  <c r="J191" s="1"/>
  <c r="H195"/>
  <c r="J195" s="1"/>
  <c r="J49"/>
  <c r="K49"/>
  <c r="M98" i="4" l="1"/>
  <c r="L98"/>
  <c r="K98"/>
  <c r="J98"/>
  <c r="I98"/>
  <c r="H98"/>
  <c r="G98"/>
  <c r="F98"/>
  <c r="E98"/>
  <c r="C98"/>
  <c r="M97"/>
  <c r="L97"/>
  <c r="K97"/>
  <c r="J97"/>
  <c r="I97"/>
  <c r="H97"/>
  <c r="G97"/>
  <c r="F97"/>
  <c r="E97"/>
  <c r="C97"/>
  <c r="I98" i="8"/>
  <c r="G98"/>
  <c r="F98"/>
  <c r="E98"/>
  <c r="D98"/>
  <c r="C98"/>
  <c r="I97"/>
  <c r="G97"/>
  <c r="F97"/>
  <c r="E97"/>
  <c r="D97"/>
  <c r="C97"/>
  <c r="DT40" i="24"/>
  <c r="DT41" s="1"/>
  <c r="DT39"/>
  <c r="DT38"/>
  <c r="DT37"/>
  <c r="DT36"/>
  <c r="DT35"/>
  <c r="DT34"/>
  <c r="DT33"/>
  <c r="DT32"/>
  <c r="DT31"/>
  <c r="DT30"/>
  <c r="DT29"/>
  <c r="DT28"/>
  <c r="DT27"/>
  <c r="DT26"/>
  <c r="DT25"/>
  <c r="DT24"/>
  <c r="DT23"/>
  <c r="DT22"/>
  <c r="DT21"/>
  <c r="DT37" i="16" s="1"/>
  <c r="DT20" i="24"/>
  <c r="DT19"/>
  <c r="DT18"/>
  <c r="DT17"/>
  <c r="DT16"/>
  <c r="DT15"/>
  <c r="DT14"/>
  <c r="DU3" i="1"/>
  <c r="H97" i="8" l="1"/>
  <c r="J97" s="1"/>
  <c r="H98"/>
  <c r="K98" s="1"/>
  <c r="O98" i="4"/>
  <c r="K97" i="8" l="1"/>
  <c r="J98"/>
  <c r="G146"/>
  <c r="F146"/>
  <c r="I72" i="4" l="1"/>
  <c r="H72"/>
  <c r="N28" i="23" l="1"/>
  <c r="AL19" i="24" l="1"/>
  <c r="AL21" l="1"/>
  <c r="AL37" i="16" s="1"/>
  <c r="AM20" i="24"/>
  <c r="AM19"/>
  <c r="I11" i="2" s="1"/>
  <c r="AM18" i="24"/>
  <c r="AM17"/>
  <c r="AC195" i="7" l="1"/>
  <c r="S34" i="2" s="1"/>
  <c r="R6" i="9"/>
  <c r="N152" i="8"/>
  <c r="AB3" i="27" l="1"/>
  <c r="D45" i="8" l="1"/>
  <c r="G146" i="4" l="1"/>
  <c r="H19" l="1"/>
  <c r="C42" i="8" l="1"/>
  <c r="B1" i="25" l="1"/>
  <c r="M79" i="4" l="1"/>
  <c r="H200" i="8" l="1"/>
  <c r="M67" i="4"/>
  <c r="E17" i="8"/>
  <c r="J119" i="13"/>
  <c r="I119"/>
  <c r="H119"/>
  <c r="G119"/>
  <c r="F119"/>
  <c r="E119"/>
  <c r="C119"/>
  <c r="I119" i="8"/>
  <c r="G119"/>
  <c r="F119"/>
  <c r="E119"/>
  <c r="D119"/>
  <c r="C119"/>
  <c r="M119" i="4"/>
  <c r="L119"/>
  <c r="K119"/>
  <c r="J119"/>
  <c r="I119"/>
  <c r="H119"/>
  <c r="G119"/>
  <c r="F119"/>
  <c r="E119"/>
  <c r="C119"/>
  <c r="DS15" i="24"/>
  <c r="DS16"/>
  <c r="DS17"/>
  <c r="DS18"/>
  <c r="DS19"/>
  <c r="DS20"/>
  <c r="DS21"/>
  <c r="DS37" i="16" s="1"/>
  <c r="DS22" i="24"/>
  <c r="DS23"/>
  <c r="DS24"/>
  <c r="DS25"/>
  <c r="DS26"/>
  <c r="DS27"/>
  <c r="DS28"/>
  <c r="DS29"/>
  <c r="DS30"/>
  <c r="DS31"/>
  <c r="DS32"/>
  <c r="DS33"/>
  <c r="DS34"/>
  <c r="DS35"/>
  <c r="DS36"/>
  <c r="DS37"/>
  <c r="DS38"/>
  <c r="DS39"/>
  <c r="DS40"/>
  <c r="DS41" s="1"/>
  <c r="DS14"/>
  <c r="AY3" i="1"/>
  <c r="O119" i="4" l="1"/>
  <c r="H119" i="8"/>
  <c r="K119" s="1"/>
  <c r="J119" l="1"/>
  <c r="I108"/>
  <c r="G108"/>
  <c r="F108"/>
  <c r="E108"/>
  <c r="D108"/>
  <c r="C108"/>
  <c r="M108" i="4"/>
  <c r="H108" i="8" s="1"/>
  <c r="L108" i="4"/>
  <c r="K108"/>
  <c r="J108"/>
  <c r="I108"/>
  <c r="H108"/>
  <c r="G108"/>
  <c r="F108"/>
  <c r="E108"/>
  <c r="C108"/>
  <c r="K108" i="8" l="1"/>
  <c r="J108"/>
  <c r="M53" i="18" l="1"/>
  <c r="M37"/>
  <c r="M49"/>
  <c r="M43"/>
  <c r="M19"/>
  <c r="M51"/>
  <c r="M25"/>
  <c r="M41"/>
  <c r="M17"/>
  <c r="M27"/>
  <c r="M21"/>
  <c r="M31"/>
  <c r="M39"/>
  <c r="M7"/>
  <c r="M15"/>
  <c r="M33"/>
  <c r="M47"/>
  <c r="M13"/>
  <c r="M23"/>
  <c r="M29"/>
  <c r="M35"/>
  <c r="M9"/>
  <c r="M11"/>
  <c r="AD10" l="1"/>
  <c r="GT39" i="24"/>
  <c r="GT38"/>
  <c r="GT37"/>
  <c r="GT36"/>
  <c r="GT27"/>
  <c r="GT26"/>
  <c r="GT25"/>
  <c r="GT24"/>
  <c r="F68" i="8" l="1"/>
  <c r="G68"/>
  <c r="I68"/>
  <c r="F69"/>
  <c r="G69"/>
  <c r="I69"/>
  <c r="F70"/>
  <c r="G70"/>
  <c r="I70"/>
  <c r="F71"/>
  <c r="G71"/>
  <c r="I71"/>
  <c r="F72"/>
  <c r="G72"/>
  <c r="I72"/>
  <c r="I73"/>
  <c r="G73"/>
  <c r="F73"/>
  <c r="E73"/>
  <c r="D73"/>
  <c r="C73"/>
  <c r="M73" i="4"/>
  <c r="L73"/>
  <c r="K73"/>
  <c r="J73"/>
  <c r="I73"/>
  <c r="H73"/>
  <c r="G73"/>
  <c r="F73"/>
  <c r="E73"/>
  <c r="C73"/>
  <c r="DR15" i="24"/>
  <c r="DR16"/>
  <c r="DR17"/>
  <c r="DR18"/>
  <c r="DR19"/>
  <c r="DR20"/>
  <c r="DR21"/>
  <c r="DR37" i="16" s="1"/>
  <c r="DR22" i="24"/>
  <c r="DR23"/>
  <c r="DR24"/>
  <c r="DR25"/>
  <c r="DR26"/>
  <c r="DR27"/>
  <c r="DR28"/>
  <c r="DR29"/>
  <c r="DR30"/>
  <c r="DR31"/>
  <c r="DR32"/>
  <c r="DR33"/>
  <c r="DR34"/>
  <c r="DR35"/>
  <c r="DR36"/>
  <c r="DR37"/>
  <c r="DR38"/>
  <c r="DR39"/>
  <c r="DR40"/>
  <c r="DR41" s="1"/>
  <c r="DR14"/>
  <c r="DT3" i="1"/>
  <c r="H73" i="8" l="1"/>
  <c r="J73" s="1"/>
  <c r="K73" l="1"/>
  <c r="I148"/>
  <c r="G148"/>
  <c r="F148"/>
  <c r="E148"/>
  <c r="D148"/>
  <c r="C148"/>
  <c r="M148" i="4"/>
  <c r="L148"/>
  <c r="K148"/>
  <c r="J148"/>
  <c r="I148"/>
  <c r="H148"/>
  <c r="G148"/>
  <c r="F148"/>
  <c r="E148"/>
  <c r="C148"/>
  <c r="FZ15" i="24"/>
  <c r="FZ16"/>
  <c r="FZ17"/>
  <c r="FZ18"/>
  <c r="FZ19"/>
  <c r="FZ20"/>
  <c r="FZ21"/>
  <c r="FZ37" i="16" s="1"/>
  <c r="FZ22" i="24"/>
  <c r="FZ23"/>
  <c r="FZ24"/>
  <c r="FZ25"/>
  <c r="FZ26"/>
  <c r="FZ27"/>
  <c r="FZ28"/>
  <c r="FZ29"/>
  <c r="FZ30"/>
  <c r="FZ31"/>
  <c r="FZ32"/>
  <c r="FZ33"/>
  <c r="FZ34"/>
  <c r="FZ35"/>
  <c r="FZ36"/>
  <c r="FZ37"/>
  <c r="FZ38"/>
  <c r="FZ39"/>
  <c r="FZ40"/>
  <c r="FZ41" s="1"/>
  <c r="FZ14"/>
  <c r="EK3" i="1"/>
  <c r="H148" i="8" l="1"/>
  <c r="J148" s="1"/>
  <c r="K148" l="1"/>
  <c r="AV17" i="24"/>
  <c r="AV18"/>
  <c r="AV19"/>
  <c r="AV20"/>
  <c r="AW17"/>
  <c r="M163" i="4" l="1"/>
  <c r="L163"/>
  <c r="K163"/>
  <c r="J163"/>
  <c r="I163"/>
  <c r="H163"/>
  <c r="G163"/>
  <c r="F163"/>
  <c r="E163"/>
  <c r="C163"/>
  <c r="G22" i="8" l="1"/>
  <c r="I48" l="1"/>
  <c r="G48"/>
  <c r="F48"/>
  <c r="E48"/>
  <c r="D48"/>
  <c r="C48"/>
  <c r="M48" i="4"/>
  <c r="L48"/>
  <c r="K48"/>
  <c r="J48"/>
  <c r="I48"/>
  <c r="H48"/>
  <c r="G48"/>
  <c r="F48"/>
  <c r="E48"/>
  <c r="C48"/>
  <c r="DQ15" i="24"/>
  <c r="DQ16"/>
  <c r="DQ17"/>
  <c r="DQ18"/>
  <c r="DQ19"/>
  <c r="DQ20"/>
  <c r="DQ21"/>
  <c r="DQ37" i="16" s="1"/>
  <c r="DQ22" i="24"/>
  <c r="DQ23"/>
  <c r="DQ24"/>
  <c r="DQ25"/>
  <c r="DQ26"/>
  <c r="DQ27"/>
  <c r="DQ28"/>
  <c r="DQ29"/>
  <c r="DQ30"/>
  <c r="DQ31"/>
  <c r="DQ32"/>
  <c r="DQ33"/>
  <c r="DQ34"/>
  <c r="DQ35"/>
  <c r="DQ36"/>
  <c r="DQ37"/>
  <c r="DQ38"/>
  <c r="DQ39"/>
  <c r="DQ40"/>
  <c r="DQ41" s="1"/>
  <c r="DQ14"/>
  <c r="CB3" i="1"/>
  <c r="H48" i="8" l="1"/>
  <c r="K48" s="1"/>
  <c r="J48" l="1"/>
  <c r="O8" i="4"/>
  <c r="I147" i="8" l="1"/>
  <c r="G147"/>
  <c r="F147"/>
  <c r="E147"/>
  <c r="D147"/>
  <c r="M147" i="4"/>
  <c r="H147" i="8" s="1"/>
  <c r="L147" i="4"/>
  <c r="K147"/>
  <c r="J147"/>
  <c r="I147"/>
  <c r="H147"/>
  <c r="G147"/>
  <c r="F147"/>
  <c r="E147"/>
  <c r="K147" i="8" l="1"/>
  <c r="J147"/>
  <c r="FY40" i="24" l="1"/>
  <c r="FY41" s="1"/>
  <c r="FY39"/>
  <c r="FY38"/>
  <c r="FY37"/>
  <c r="FY36"/>
  <c r="FY35"/>
  <c r="FY34"/>
  <c r="FY33"/>
  <c r="FY32"/>
  <c r="FY31"/>
  <c r="FY30"/>
  <c r="FY29"/>
  <c r="FY28"/>
  <c r="FY27"/>
  <c r="FY26"/>
  <c r="FY25"/>
  <c r="FY24"/>
  <c r="FY23"/>
  <c r="FY22"/>
  <c r="FY21"/>
  <c r="FY37" i="16" s="1"/>
  <c r="FY20" i="24"/>
  <c r="FY19"/>
  <c r="FY18"/>
  <c r="FY17"/>
  <c r="FY16"/>
  <c r="FY15"/>
  <c r="FY14"/>
  <c r="EM3" i="1"/>
  <c r="FX40" i="24"/>
  <c r="FX41" s="1"/>
  <c r="FX39"/>
  <c r="FX38"/>
  <c r="FX37"/>
  <c r="FX36"/>
  <c r="FX35"/>
  <c r="FX34"/>
  <c r="FX33"/>
  <c r="FX32"/>
  <c r="FX31"/>
  <c r="FX30"/>
  <c r="FX29"/>
  <c r="FX28"/>
  <c r="FX27"/>
  <c r="FX26"/>
  <c r="FX25"/>
  <c r="FX24"/>
  <c r="FX23"/>
  <c r="FX22"/>
  <c r="FX21"/>
  <c r="FX37" i="16" s="1"/>
  <c r="FX20" i="24"/>
  <c r="FX19"/>
  <c r="FX18"/>
  <c r="FX17"/>
  <c r="FX16"/>
  <c r="FX15"/>
  <c r="FX14"/>
  <c r="EL3" i="1"/>
  <c r="I107" i="8"/>
  <c r="G107"/>
  <c r="F107"/>
  <c r="E107"/>
  <c r="D107"/>
  <c r="C107"/>
  <c r="M107" i="4"/>
  <c r="H107" i="8" s="1"/>
  <c r="L107" i="4"/>
  <c r="K107"/>
  <c r="J107"/>
  <c r="I107"/>
  <c r="H107"/>
  <c r="G107"/>
  <c r="F107"/>
  <c r="E107"/>
  <c r="C107"/>
  <c r="DP40" i="24"/>
  <c r="DP41" s="1"/>
  <c r="DP39"/>
  <c r="DP38"/>
  <c r="DP37"/>
  <c r="DP36"/>
  <c r="DP35"/>
  <c r="DP34"/>
  <c r="DP33"/>
  <c r="DP32"/>
  <c r="DP31"/>
  <c r="DP30"/>
  <c r="DP29"/>
  <c r="DP28"/>
  <c r="DP27"/>
  <c r="DP26"/>
  <c r="DP25"/>
  <c r="DP24"/>
  <c r="DP23"/>
  <c r="DP22"/>
  <c r="DP21"/>
  <c r="DP37" i="16" s="1"/>
  <c r="DP20" i="24"/>
  <c r="DP19"/>
  <c r="DP18"/>
  <c r="DP17"/>
  <c r="DP16"/>
  <c r="DP15"/>
  <c r="DP14"/>
  <c r="AS3" i="1"/>
  <c r="K107" i="8" l="1"/>
  <c r="J107"/>
  <c r="C18" l="1"/>
  <c r="AL27" i="24" l="1"/>
  <c r="AL25"/>
  <c r="AM25"/>
  <c r="AL26"/>
  <c r="AM26"/>
  <c r="AM27"/>
  <c r="AL28"/>
  <c r="AM28"/>
  <c r="AL29"/>
  <c r="AM29"/>
  <c r="AL30"/>
  <c r="AM30"/>
  <c r="I18" i="2" l="1"/>
  <c r="I19"/>
  <c r="M80" i="4" l="1"/>
  <c r="M118"/>
  <c r="C117" l="1"/>
  <c r="M165" l="1"/>
  <c r="C18" i="24" l="1"/>
  <c r="W3" i="1"/>
  <c r="H22" i="9"/>
  <c r="H21"/>
  <c r="H20"/>
  <c r="H19"/>
  <c r="H18"/>
  <c r="H17"/>
  <c r="H16"/>
  <c r="H15"/>
  <c r="H14"/>
  <c r="H23" l="1"/>
  <c r="F15" i="20" l="1"/>
  <c r="GT35" i="24"/>
  <c r="GT34"/>
  <c r="GT33"/>
  <c r="GT31"/>
  <c r="GT30"/>
  <c r="GT29"/>
  <c r="GT28"/>
  <c r="GT23"/>
  <c r="GT22"/>
  <c r="GT21"/>
  <c r="GT20"/>
  <c r="GT19"/>
  <c r="GT18"/>
  <c r="GT17"/>
  <c r="GT16"/>
  <c r="GT15"/>
  <c r="GT14"/>
  <c r="I135" i="4" l="1"/>
  <c r="J15" i="9"/>
  <c r="J16"/>
  <c r="J17"/>
  <c r="J18"/>
  <c r="J19"/>
  <c r="J20"/>
  <c r="J21"/>
  <c r="J22"/>
  <c r="J14"/>
  <c r="J23" l="1"/>
  <c r="N204" i="8"/>
  <c r="F38" i="10" l="1"/>
  <c r="AP26" i="24" l="1"/>
  <c r="M47" i="4" l="1"/>
  <c r="L47"/>
  <c r="K47"/>
  <c r="J47"/>
  <c r="I47"/>
  <c r="H47"/>
  <c r="G47"/>
  <c r="F47"/>
  <c r="E47"/>
  <c r="C47"/>
  <c r="M46"/>
  <c r="L46"/>
  <c r="K46"/>
  <c r="J46"/>
  <c r="I46"/>
  <c r="H46"/>
  <c r="G46"/>
  <c r="F46"/>
  <c r="E46"/>
  <c r="C46"/>
  <c r="I47" i="8" l="1"/>
  <c r="G47"/>
  <c r="F47"/>
  <c r="E47"/>
  <c r="D47"/>
  <c r="C47"/>
  <c r="H47"/>
  <c r="DO15" i="24"/>
  <c r="DO16"/>
  <c r="DO17"/>
  <c r="DO18"/>
  <c r="DO19"/>
  <c r="DO20"/>
  <c r="DO21"/>
  <c r="DO37" i="16" s="1"/>
  <c r="DO22" i="24"/>
  <c r="DO23"/>
  <c r="DO24"/>
  <c r="DO25"/>
  <c r="DO26"/>
  <c r="DO27"/>
  <c r="DO28"/>
  <c r="DO29"/>
  <c r="DO30"/>
  <c r="DO31"/>
  <c r="DO32"/>
  <c r="DO33"/>
  <c r="DO34"/>
  <c r="DO35"/>
  <c r="DO36"/>
  <c r="DO37"/>
  <c r="DO38"/>
  <c r="DO39"/>
  <c r="DO40"/>
  <c r="DO41" s="1"/>
  <c r="DO14"/>
  <c r="CR3" i="1"/>
  <c r="J47" i="8" l="1"/>
  <c r="K47"/>
  <c r="I9"/>
  <c r="D39" i="16" l="1"/>
  <c r="M129" i="4" l="1"/>
  <c r="I78" i="13" l="1"/>
  <c r="H129" i="8" l="1"/>
  <c r="J200" l="1"/>
  <c r="N202"/>
  <c r="N203"/>
  <c r="F39" i="10" l="1"/>
  <c r="F37"/>
  <c r="F23"/>
  <c r="F22"/>
  <c r="F16"/>
  <c r="F17"/>
  <c r="I127" i="8"/>
  <c r="G127"/>
  <c r="F127"/>
  <c r="E127"/>
  <c r="D127"/>
  <c r="C127"/>
  <c r="M127" i="4"/>
  <c r="L127"/>
  <c r="K127"/>
  <c r="J127"/>
  <c r="I127"/>
  <c r="G127"/>
  <c r="F127"/>
  <c r="E127"/>
  <c r="C127"/>
  <c r="DN40" i="24"/>
  <c r="DN41" s="1"/>
  <c r="DN39"/>
  <c r="DN38"/>
  <c r="DN37"/>
  <c r="DN36"/>
  <c r="DN35"/>
  <c r="DN34"/>
  <c r="DN33"/>
  <c r="DN32"/>
  <c r="DN31"/>
  <c r="DN30"/>
  <c r="DN29"/>
  <c r="DN28"/>
  <c r="DN27"/>
  <c r="DN26"/>
  <c r="DN25"/>
  <c r="DN24"/>
  <c r="DN23"/>
  <c r="DN22"/>
  <c r="DN21"/>
  <c r="DN37" i="16" s="1"/>
  <c r="DN20" i="24"/>
  <c r="DN19"/>
  <c r="DN18"/>
  <c r="DN17"/>
  <c r="DN16"/>
  <c r="DN15"/>
  <c r="DN14"/>
  <c r="BI3" i="1"/>
  <c r="I120" i="4"/>
  <c r="I15"/>
  <c r="G129" i="8"/>
  <c r="DZ7" i="24"/>
  <c r="F129" i="8" s="1"/>
  <c r="G120"/>
  <c r="CK7" i="24"/>
  <c r="H120" i="4" s="1"/>
  <c r="G15" i="8"/>
  <c r="F15"/>
  <c r="L7" i="24"/>
  <c r="H15" i="4" s="1"/>
  <c r="H177" i="12"/>
  <c r="H127" i="8" l="1"/>
  <c r="K127" s="1"/>
  <c r="F120"/>
  <c r="K7" i="26"/>
  <c r="AB195" i="7"/>
  <c r="J127" i="8" l="1"/>
  <c r="L162" i="4" l="1"/>
  <c r="AB27" i="24" l="1"/>
  <c r="AB26"/>
  <c r="B40" l="1"/>
  <c r="C40"/>
  <c r="D40"/>
  <c r="E40"/>
  <c r="F40"/>
  <c r="G40"/>
  <c r="H40"/>
  <c r="I40"/>
  <c r="J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CZ40"/>
  <c r="DA40"/>
  <c r="DB40"/>
  <c r="DC40"/>
  <c r="DD40"/>
  <c r="DD41" s="1"/>
  <c r="DF40"/>
  <c r="DG40"/>
  <c r="DH40"/>
  <c r="DI40"/>
  <c r="DJ40"/>
  <c r="DK40"/>
  <c r="DL40"/>
  <c r="DM40"/>
  <c r="DY40"/>
  <c r="DZ40"/>
  <c r="EA40"/>
  <c r="EB40"/>
  <c r="EC40"/>
  <c r="ED40"/>
  <c r="EE40"/>
  <c r="EF40"/>
  <c r="EG40"/>
  <c r="EH40"/>
  <c r="EI40"/>
  <c r="EJ40"/>
  <c r="EK40"/>
  <c r="EL40"/>
  <c r="EM40"/>
  <c r="EN40"/>
  <c r="EO40"/>
  <c r="EP40"/>
  <c r="EQ40"/>
  <c r="ER40"/>
  <c r="ES40"/>
  <c r="ET40"/>
  <c r="EU40"/>
  <c r="EV40"/>
  <c r="EW40"/>
  <c r="EX40"/>
  <c r="EY40"/>
  <c r="EZ40"/>
  <c r="FA40"/>
  <c r="FB40"/>
  <c r="FC40"/>
  <c r="FD40"/>
  <c r="FE40"/>
  <c r="FF40"/>
  <c r="FG40"/>
  <c r="FH40"/>
  <c r="FI40"/>
  <c r="FJ40"/>
  <c r="FK40"/>
  <c r="FL40"/>
  <c r="FM40"/>
  <c r="FN40"/>
  <c r="FO40"/>
  <c r="FP40"/>
  <c r="FQ40"/>
  <c r="FR40"/>
  <c r="FS40"/>
  <c r="FT40"/>
  <c r="FU40"/>
  <c r="FV40"/>
  <c r="FW40"/>
  <c r="D32" i="2" l="1"/>
  <c r="GL40" i="24"/>
  <c r="H32" i="2"/>
  <c r="GR40" i="24"/>
  <c r="GE40"/>
  <c r="GO40"/>
  <c r="GK40"/>
  <c r="GP40"/>
  <c r="GJ40"/>
  <c r="C32" i="2"/>
  <c r="GH40" i="24"/>
  <c r="E32" i="2"/>
  <c r="G32"/>
  <c r="I32"/>
  <c r="GQ40" i="24"/>
  <c r="J32" i="2"/>
  <c r="GI40" i="24"/>
  <c r="K32" i="2"/>
  <c r="GN40" i="24"/>
  <c r="GM40"/>
  <c r="GF40"/>
  <c r="F32" i="2" l="1"/>
  <c r="L32" s="1"/>
  <c r="S32" s="1"/>
  <c r="GG40" i="24"/>
  <c r="M58" i="4"/>
  <c r="O214" l="1"/>
  <c r="FI30" i="24" l="1"/>
  <c r="FI29"/>
  <c r="FI28"/>
  <c r="FI27"/>
  <c r="FI26"/>
  <c r="FI25"/>
  <c r="FI24"/>
  <c r="FI23"/>
  <c r="FH30"/>
  <c r="FH29"/>
  <c r="FH28"/>
  <c r="FH27"/>
  <c r="FH26"/>
  <c r="FH25"/>
  <c r="FH24"/>
  <c r="FH23"/>
  <c r="E72" i="8" l="1"/>
  <c r="D72"/>
  <c r="C72"/>
  <c r="M72" i="4"/>
  <c r="L72"/>
  <c r="K72"/>
  <c r="J72"/>
  <c r="G72"/>
  <c r="F72"/>
  <c r="E72"/>
  <c r="C72"/>
  <c r="DM15" i="24"/>
  <c r="DM16"/>
  <c r="DM17"/>
  <c r="DM18"/>
  <c r="DM19"/>
  <c r="DM20"/>
  <c r="DM21"/>
  <c r="DM37" i="16" s="1"/>
  <c r="DM22" i="24"/>
  <c r="DM23"/>
  <c r="DM24"/>
  <c r="DM25"/>
  <c r="DM26"/>
  <c r="DM27"/>
  <c r="DM28"/>
  <c r="DM29"/>
  <c r="DM30"/>
  <c r="DM31"/>
  <c r="DM32"/>
  <c r="DM34"/>
  <c r="DM35"/>
  <c r="DM36"/>
  <c r="DM37"/>
  <c r="DM38"/>
  <c r="DM39"/>
  <c r="DM41"/>
  <c r="DM14"/>
  <c r="DS3" i="1"/>
  <c r="H72" i="8" l="1"/>
  <c r="J72" s="1"/>
  <c r="D36"/>
  <c r="K72" l="1"/>
  <c r="DP3" i="1"/>
  <c r="FZ19" i="3" l="1"/>
  <c r="DQ27"/>
  <c r="GA25" s="1"/>
  <c r="FZ27"/>
  <c r="FZ25" s="1"/>
  <c r="GA27"/>
  <c r="DQ28"/>
  <c r="DQ26" s="1"/>
  <c r="FZ28"/>
  <c r="FZ26" s="1"/>
  <c r="GA28"/>
  <c r="D3" i="1"/>
  <c r="DQ24" i="3" l="1"/>
  <c r="FZ23"/>
  <c r="DQ25"/>
  <c r="GA26"/>
  <c r="GA24" s="1"/>
  <c r="E3" i="1"/>
  <c r="FZ24" i="3" l="1"/>
  <c r="FZ22" s="1"/>
  <c r="DQ22"/>
  <c r="GA22"/>
  <c r="DQ23"/>
  <c r="DQ21" s="1"/>
  <c r="GA23"/>
  <c r="FZ20" l="1"/>
  <c r="DQ20"/>
  <c r="GA20"/>
  <c r="GA19"/>
  <c r="FZ17" s="1"/>
  <c r="DQ19"/>
  <c r="DQ17" l="1"/>
  <c r="GA17"/>
  <c r="FZ15" s="1"/>
  <c r="FZ18"/>
  <c r="FZ16" s="1"/>
  <c r="GA18"/>
  <c r="DQ18"/>
  <c r="DQ16" l="1"/>
  <c r="GA16"/>
  <c r="FZ14" s="1"/>
  <c r="GA15"/>
  <c r="FZ13" s="1"/>
  <c r="DQ15"/>
  <c r="GA29"/>
  <c r="GB29" s="1"/>
  <c r="DQ13" l="1"/>
  <c r="GA13"/>
  <c r="FZ11" s="1"/>
  <c r="GA14"/>
  <c r="FZ12" s="1"/>
  <c r="DQ14"/>
  <c r="DQ12" l="1"/>
  <c r="GA12"/>
  <c r="FZ10" s="1"/>
  <c r="GA11"/>
  <c r="FZ9" s="1"/>
  <c r="DQ11"/>
  <c r="W195" i="7"/>
  <c r="X195"/>
  <c r="Y195"/>
  <c r="Z195"/>
  <c r="AA195"/>
  <c r="D195"/>
  <c r="E195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C195"/>
  <c r="DQ9" i="3" l="1"/>
  <c r="GA9"/>
  <c r="FZ7" s="1"/>
  <c r="GA10"/>
  <c r="FZ8" s="1"/>
  <c r="DQ10"/>
  <c r="G111" i="4"/>
  <c r="F14" i="20"/>
  <c r="F13"/>
  <c r="F12"/>
  <c r="F10"/>
  <c r="F9"/>
  <c r="F8"/>
  <c r="F7"/>
  <c r="F6"/>
  <c r="F5"/>
  <c r="GF3" i="1"/>
  <c r="AC201" i="7"/>
  <c r="AG202" s="1"/>
  <c r="FZ6" i="3" l="1"/>
  <c r="DQ8"/>
  <c r="GA8"/>
  <c r="GA7"/>
  <c r="FZ5" s="1"/>
  <c r="DQ7"/>
  <c r="C43" i="4"/>
  <c r="GA6" i="3" l="1"/>
  <c r="FZ4" s="1"/>
  <c r="DQ6"/>
  <c r="DQ5"/>
  <c r="GA5"/>
  <c r="FZ3" s="1"/>
  <c r="M146" i="4"/>
  <c r="L146"/>
  <c r="K146"/>
  <c r="J146"/>
  <c r="I146"/>
  <c r="H146"/>
  <c r="F146"/>
  <c r="E146"/>
  <c r="C146"/>
  <c r="M145"/>
  <c r="L145"/>
  <c r="K145"/>
  <c r="J145"/>
  <c r="I145"/>
  <c r="H145"/>
  <c r="G145"/>
  <c r="F145"/>
  <c r="E145"/>
  <c r="C145"/>
  <c r="M144"/>
  <c r="L144"/>
  <c r="K144"/>
  <c r="J144"/>
  <c r="I144"/>
  <c r="G144"/>
  <c r="F144"/>
  <c r="E144"/>
  <c r="C144"/>
  <c r="I146" i="8"/>
  <c r="E146"/>
  <c r="D146"/>
  <c r="C146"/>
  <c r="I145"/>
  <c r="G145"/>
  <c r="F145"/>
  <c r="E145"/>
  <c r="D145"/>
  <c r="C145"/>
  <c r="I144"/>
  <c r="G144"/>
  <c r="E144"/>
  <c r="D144"/>
  <c r="C144"/>
  <c r="I139"/>
  <c r="G139"/>
  <c r="F139"/>
  <c r="E139"/>
  <c r="D139"/>
  <c r="C139"/>
  <c r="U30" i="14"/>
  <c r="FW15" i="24"/>
  <c r="FW16"/>
  <c r="FW17"/>
  <c r="FW18"/>
  <c r="FW19"/>
  <c r="FW20"/>
  <c r="FW21"/>
  <c r="FW37" i="16" s="1"/>
  <c r="FW22" i="24"/>
  <c r="FW23"/>
  <c r="FW24"/>
  <c r="FW25"/>
  <c r="FW26"/>
  <c r="FW27"/>
  <c r="FW28"/>
  <c r="FW29"/>
  <c r="FW30"/>
  <c r="FW31"/>
  <c r="FW32"/>
  <c r="FW33"/>
  <c r="FW34"/>
  <c r="FW35"/>
  <c r="FW36"/>
  <c r="FW37"/>
  <c r="FW38"/>
  <c r="FW39"/>
  <c r="FW41"/>
  <c r="FW14"/>
  <c r="EZ3" i="1"/>
  <c r="N144" i="4" l="1"/>
  <c r="N145"/>
  <c r="N149" s="1"/>
  <c r="H145" i="8"/>
  <c r="K145" s="1"/>
  <c r="H146"/>
  <c r="GA3" i="3"/>
  <c r="DQ3"/>
  <c r="DQ4"/>
  <c r="GA4"/>
  <c r="H144" i="8"/>
  <c r="K144" s="1"/>
  <c r="J145" l="1"/>
  <c r="J146"/>
  <c r="K146"/>
  <c r="J144"/>
  <c r="EY20" i="24"/>
  <c r="EY19"/>
  <c r="EY18"/>
  <c r="EY17"/>
  <c r="EY16"/>
  <c r="EY15"/>
  <c r="EY14"/>
  <c r="EZ20"/>
  <c r="EZ19"/>
  <c r="EZ18"/>
  <c r="EZ17"/>
  <c r="EZ16"/>
  <c r="EZ15"/>
  <c r="EZ14"/>
  <c r="J9" i="13" l="1"/>
  <c r="J20"/>
  <c r="J19"/>
  <c r="J18"/>
  <c r="J17"/>
  <c r="J16"/>
  <c r="J15"/>
  <c r="J14"/>
  <c r="J13"/>
  <c r="J12"/>
  <c r="J11"/>
  <c r="J10"/>
  <c r="I131" i="8"/>
  <c r="DL15" i="24" l="1"/>
  <c r="DL16"/>
  <c r="DL17"/>
  <c r="DL18"/>
  <c r="DL19"/>
  <c r="DL20"/>
  <c r="DL21"/>
  <c r="DL37" i="16" s="1"/>
  <c r="DL22" i="24"/>
  <c r="DL23"/>
  <c r="DL24"/>
  <c r="DL25"/>
  <c r="DL26"/>
  <c r="DL27"/>
  <c r="DL28"/>
  <c r="DL29"/>
  <c r="DL30"/>
  <c r="DL31"/>
  <c r="DL32"/>
  <c r="DL33"/>
  <c r="DL34"/>
  <c r="DL35"/>
  <c r="DL36"/>
  <c r="DL37"/>
  <c r="DL38"/>
  <c r="DL39"/>
  <c r="DL41"/>
  <c r="DL14"/>
  <c r="CA3" i="1"/>
  <c r="EA3" l="1"/>
  <c r="EB3"/>
  <c r="EC3"/>
  <c r="EE3"/>
  <c r="EF3"/>
  <c r="EG3"/>
  <c r="EH3"/>
  <c r="EN3"/>
  <c r="EO3"/>
  <c r="EP3"/>
  <c r="EQ3"/>
  <c r="ER3"/>
  <c r="ES3"/>
  <c r="ET3"/>
  <c r="EU3"/>
  <c r="EV3"/>
  <c r="EW3"/>
  <c r="EY3"/>
  <c r="FB3"/>
  <c r="FC3"/>
  <c r="FD3"/>
  <c r="FE3"/>
  <c r="FF3"/>
  <c r="FG3"/>
  <c r="FI3"/>
  <c r="FJ3"/>
  <c r="FK3"/>
  <c r="FL3"/>
  <c r="FM3"/>
  <c r="FN3"/>
  <c r="FO3"/>
  <c r="FP3"/>
  <c r="FQ3"/>
  <c r="FR3"/>
  <c r="FS3"/>
  <c r="FT3"/>
  <c r="FU3"/>
  <c r="FV3"/>
  <c r="FW3"/>
  <c r="FX3"/>
  <c r="FY3"/>
  <c r="FZ3"/>
  <c r="GA3"/>
  <c r="GB3"/>
  <c r="GC3"/>
  <c r="GD3"/>
  <c r="GE3"/>
  <c r="GG3"/>
  <c r="D178" i="8" l="1"/>
  <c r="G96"/>
  <c r="F96"/>
  <c r="I96" i="4"/>
  <c r="H96"/>
  <c r="D52" i="17"/>
  <c r="D4"/>
  <c r="AL22" i="24" l="1"/>
  <c r="F96" i="4" l="1"/>
  <c r="E96"/>
  <c r="C96"/>
  <c r="G104"/>
  <c r="I96" i="8"/>
  <c r="E96"/>
  <c r="D96"/>
  <c r="C96"/>
  <c r="M96" i="4"/>
  <c r="L96"/>
  <c r="K96"/>
  <c r="J96"/>
  <c r="G96"/>
  <c r="DK41" i="24"/>
  <c r="DK39"/>
  <c r="DK38"/>
  <c r="DK37"/>
  <c r="DK36"/>
  <c r="DK35"/>
  <c r="DK34"/>
  <c r="DK33"/>
  <c r="DK32"/>
  <c r="DK31"/>
  <c r="DK30"/>
  <c r="DK29"/>
  <c r="DK28"/>
  <c r="DK27"/>
  <c r="DK26"/>
  <c r="DK25"/>
  <c r="DK24"/>
  <c r="DK23"/>
  <c r="DK22"/>
  <c r="DK21"/>
  <c r="DK37" i="16" s="1"/>
  <c r="DK20" i="24"/>
  <c r="DK19"/>
  <c r="DK18"/>
  <c r="DK17"/>
  <c r="DK16"/>
  <c r="DK15"/>
  <c r="DK14"/>
  <c r="BZ3" i="1"/>
  <c r="H96" i="8" l="1"/>
  <c r="J96" s="1"/>
  <c r="K96" l="1"/>
  <c r="M168" i="4" l="1"/>
  <c r="L168"/>
  <c r="K168"/>
  <c r="J168"/>
  <c r="G168"/>
  <c r="F168"/>
  <c r="E168"/>
  <c r="C168"/>
  <c r="FV41" i="24" l="1"/>
  <c r="FV39"/>
  <c r="FV38"/>
  <c r="FV37"/>
  <c r="FV36"/>
  <c r="FV35"/>
  <c r="FV34"/>
  <c r="FV33"/>
  <c r="FV32"/>
  <c r="FV31"/>
  <c r="FV30"/>
  <c r="FV29"/>
  <c r="FV28"/>
  <c r="FV27"/>
  <c r="FV26"/>
  <c r="FV25"/>
  <c r="FV24"/>
  <c r="FV23"/>
  <c r="FV22"/>
  <c r="FV21"/>
  <c r="FV37" i="16" s="1"/>
  <c r="FV20" i="24"/>
  <c r="FV19"/>
  <c r="FV18"/>
  <c r="FV17"/>
  <c r="FV16"/>
  <c r="FV15"/>
  <c r="FV14"/>
  <c r="F4" i="20"/>
  <c r="C44" i="4" l="1"/>
  <c r="C52"/>
  <c r="G28" l="1"/>
  <c r="F3" i="1" l="1"/>
  <c r="C177" i="4"/>
  <c r="B3" i="1" l="1"/>
  <c r="C3"/>
  <c r="G3"/>
  <c r="H3"/>
  <c r="I3"/>
  <c r="K3"/>
  <c r="L3"/>
  <c r="M3"/>
  <c r="N3"/>
  <c r="O3"/>
  <c r="P3"/>
  <c r="Q3"/>
  <c r="R3"/>
  <c r="S3"/>
  <c r="T3"/>
  <c r="U3"/>
  <c r="V3"/>
  <c r="X3"/>
  <c r="Y3"/>
  <c r="Z3"/>
  <c r="AB3"/>
  <c r="AD3"/>
  <c r="AE3"/>
  <c r="AF3"/>
  <c r="AG3"/>
  <c r="AH3"/>
  <c r="AI3"/>
  <c r="AJ3"/>
  <c r="AK3"/>
  <c r="AL3"/>
  <c r="AM3"/>
  <c r="AN3"/>
  <c r="AO3"/>
  <c r="AP3"/>
  <c r="AQ3"/>
  <c r="AR3"/>
  <c r="AT3"/>
  <c r="AU3"/>
  <c r="AV3"/>
  <c r="AW3"/>
  <c r="AX3"/>
  <c r="AZ3"/>
  <c r="BA3"/>
  <c r="BB3"/>
  <c r="BC3"/>
  <c r="BD3"/>
  <c r="BE3"/>
  <c r="BF3"/>
  <c r="BG3"/>
  <c r="BH3"/>
  <c r="BJ3"/>
  <c r="BK3"/>
  <c r="BL3"/>
  <c r="BM3"/>
  <c r="BN3"/>
  <c r="BO3"/>
  <c r="BP3"/>
  <c r="BQ3"/>
  <c r="BR3"/>
  <c r="BS3"/>
  <c r="BT3"/>
  <c r="BU3"/>
  <c r="BV3"/>
  <c r="BW3"/>
  <c r="BX3"/>
  <c r="BY3"/>
  <c r="CC3"/>
  <c r="CD3"/>
  <c r="CE3"/>
  <c r="CF3"/>
  <c r="CG3"/>
  <c r="CH3"/>
  <c r="CI3"/>
  <c r="CJ3"/>
  <c r="CK3"/>
  <c r="CL3"/>
  <c r="CM3"/>
  <c r="CN3"/>
  <c r="CO3"/>
  <c r="CQ3"/>
  <c r="CS3"/>
  <c r="CT3"/>
  <c r="CU3"/>
  <c r="CV3"/>
  <c r="CW3"/>
  <c r="CX3"/>
  <c r="CY3"/>
  <c r="CZ3"/>
  <c r="DB3"/>
  <c r="DC3"/>
  <c r="DD3"/>
  <c r="DE3"/>
  <c r="DF3"/>
  <c r="DG3"/>
  <c r="DH3"/>
  <c r="DI3"/>
  <c r="DJ3"/>
  <c r="DK3"/>
  <c r="DL3"/>
  <c r="DM3"/>
  <c r="DN3"/>
  <c r="DO3"/>
  <c r="DQ3"/>
  <c r="DR3"/>
  <c r="F11" i="10" l="1"/>
  <c r="E71" i="8" l="1"/>
  <c r="D71"/>
  <c r="C71"/>
  <c r="M71" i="4"/>
  <c r="H71" i="8" s="1"/>
  <c r="J71" s="1"/>
  <c r="L71" i="4"/>
  <c r="K71"/>
  <c r="J71"/>
  <c r="I71"/>
  <c r="H71"/>
  <c r="G71"/>
  <c r="F71"/>
  <c r="E71"/>
  <c r="C71"/>
  <c r="DJ41" i="24"/>
  <c r="DJ39"/>
  <c r="DJ38"/>
  <c r="DJ37"/>
  <c r="DJ36"/>
  <c r="DJ35"/>
  <c r="DJ34"/>
  <c r="DJ33"/>
  <c r="DJ32"/>
  <c r="DJ31"/>
  <c r="DJ30"/>
  <c r="DJ29"/>
  <c r="DJ28"/>
  <c r="DJ27"/>
  <c r="DJ26"/>
  <c r="DJ25"/>
  <c r="DJ24"/>
  <c r="DJ23"/>
  <c r="DJ22"/>
  <c r="DJ21"/>
  <c r="DJ37" i="16" s="1"/>
  <c r="DJ20" i="24"/>
  <c r="DJ19"/>
  <c r="DJ18"/>
  <c r="DJ17"/>
  <c r="DJ16"/>
  <c r="DJ15"/>
  <c r="DJ14"/>
  <c r="K71" i="8" l="1"/>
  <c r="E70"/>
  <c r="D70"/>
  <c r="C70"/>
  <c r="M70" i="4"/>
  <c r="L70"/>
  <c r="K70"/>
  <c r="J70"/>
  <c r="I70"/>
  <c r="H70"/>
  <c r="G70"/>
  <c r="F70"/>
  <c r="E70"/>
  <c r="C70"/>
  <c r="DI15" i="24"/>
  <c r="DI16"/>
  <c r="DI17"/>
  <c r="DI18"/>
  <c r="DI19"/>
  <c r="DI20"/>
  <c r="DI21"/>
  <c r="DI37" i="16" s="1"/>
  <c r="DI22" i="24"/>
  <c r="DI23"/>
  <c r="DI24"/>
  <c r="DI25"/>
  <c r="DI26"/>
  <c r="DI27"/>
  <c r="DI28"/>
  <c r="DI29"/>
  <c r="DI30"/>
  <c r="DI31"/>
  <c r="DI32"/>
  <c r="DI33"/>
  <c r="DI34"/>
  <c r="DI35"/>
  <c r="DI36"/>
  <c r="DI37"/>
  <c r="DI38"/>
  <c r="DI39"/>
  <c r="DI14"/>
  <c r="H70" i="8" l="1"/>
  <c r="J70" s="1"/>
  <c r="DI41" i="24"/>
  <c r="J160" i="4"/>
  <c r="K70" i="8" l="1"/>
  <c r="I178"/>
  <c r="G178"/>
  <c r="F178"/>
  <c r="E178"/>
  <c r="C178"/>
  <c r="I177"/>
  <c r="G177"/>
  <c r="F177"/>
  <c r="E177"/>
  <c r="D177"/>
  <c r="C177"/>
  <c r="E177" i="4"/>
  <c r="F177"/>
  <c r="G177"/>
  <c r="J177"/>
  <c r="K177"/>
  <c r="L177"/>
  <c r="M177"/>
  <c r="C178"/>
  <c r="E178"/>
  <c r="F178"/>
  <c r="G178"/>
  <c r="H178"/>
  <c r="I178"/>
  <c r="J178"/>
  <c r="K178"/>
  <c r="L178"/>
  <c r="M178"/>
  <c r="H178" i="8" s="1"/>
  <c r="C175" i="13"/>
  <c r="E175"/>
  <c r="F175"/>
  <c r="G175"/>
  <c r="H175"/>
  <c r="I175"/>
  <c r="J175"/>
  <c r="C176"/>
  <c r="E176"/>
  <c r="F176"/>
  <c r="G176"/>
  <c r="H176"/>
  <c r="I176"/>
  <c r="J176"/>
  <c r="C177"/>
  <c r="E177"/>
  <c r="F177"/>
  <c r="G177"/>
  <c r="H177"/>
  <c r="I177"/>
  <c r="J177"/>
  <c r="C178"/>
  <c r="E178"/>
  <c r="F178"/>
  <c r="G178"/>
  <c r="H178"/>
  <c r="I178"/>
  <c r="J178"/>
  <c r="FU41" i="24"/>
  <c r="FU39"/>
  <c r="FU38"/>
  <c r="FU37"/>
  <c r="FU36"/>
  <c r="FU35"/>
  <c r="FU34"/>
  <c r="FU33"/>
  <c r="FU32"/>
  <c r="FU31"/>
  <c r="FU30"/>
  <c r="FU29"/>
  <c r="FU28"/>
  <c r="FU27"/>
  <c r="FU26"/>
  <c r="FU25"/>
  <c r="FU24"/>
  <c r="FU23"/>
  <c r="FU22"/>
  <c r="FU21"/>
  <c r="FU37" i="16" s="1"/>
  <c r="FU20" i="24"/>
  <c r="FU19"/>
  <c r="FU18"/>
  <c r="FU17"/>
  <c r="FU16"/>
  <c r="FU15"/>
  <c r="FU14"/>
  <c r="H177" i="8" l="1"/>
  <c r="K177" s="1"/>
  <c r="K178"/>
  <c r="J178"/>
  <c r="J177" l="1"/>
  <c r="C101" i="4"/>
  <c r="C160"/>
  <c r="H159" i="13" l="1"/>
  <c r="I159" i="8"/>
  <c r="H160" i="13"/>
  <c r="I160" i="8"/>
  <c r="M160" i="4"/>
  <c r="L160"/>
  <c r="K160"/>
  <c r="FT15" i="24"/>
  <c r="FT16"/>
  <c r="FT17"/>
  <c r="FT18"/>
  <c r="FT19"/>
  <c r="FT20"/>
  <c r="FT21"/>
  <c r="FT37" i="16" s="1"/>
  <c r="FT22" i="24"/>
  <c r="FT23"/>
  <c r="FT24"/>
  <c r="FT25"/>
  <c r="FT26"/>
  <c r="FT27"/>
  <c r="FT28"/>
  <c r="FT29"/>
  <c r="FT30"/>
  <c r="FT31"/>
  <c r="FT32"/>
  <c r="FT33"/>
  <c r="FT34"/>
  <c r="FT35"/>
  <c r="FT36"/>
  <c r="FT37"/>
  <c r="FT38"/>
  <c r="FT39"/>
  <c r="FT41"/>
  <c r="FT14"/>
  <c r="E4" i="20"/>
  <c r="B214" i="13" l="1"/>
  <c r="G68" i="4" l="1"/>
  <c r="B14" i="9"/>
  <c r="D22"/>
  <c r="D21"/>
  <c r="D20"/>
  <c r="D19"/>
  <c r="D18"/>
  <c r="D17"/>
  <c r="D16"/>
  <c r="D15"/>
  <c r="D14"/>
  <c r="B22"/>
  <c r="B21"/>
  <c r="B20"/>
  <c r="B19"/>
  <c r="B18"/>
  <c r="B17"/>
  <c r="B16"/>
  <c r="B15"/>
  <c r="FS15" i="24" l="1"/>
  <c r="FS16"/>
  <c r="FS17"/>
  <c r="FS18"/>
  <c r="FS19"/>
  <c r="FS20"/>
  <c r="FS21"/>
  <c r="FS37" i="16" s="1"/>
  <c r="FS22" i="24"/>
  <c r="FS23"/>
  <c r="FS24"/>
  <c r="FS25"/>
  <c r="FS26"/>
  <c r="FS27"/>
  <c r="FS28"/>
  <c r="FS29"/>
  <c r="FS30"/>
  <c r="FS31"/>
  <c r="FS32"/>
  <c r="FS33"/>
  <c r="FS34"/>
  <c r="FS35"/>
  <c r="FS36"/>
  <c r="FS37"/>
  <c r="FS38"/>
  <c r="FS39"/>
  <c r="FS41"/>
  <c r="FS14"/>
  <c r="C68" i="4" l="1"/>
  <c r="M69"/>
  <c r="H69" i="8" s="1"/>
  <c r="J69" s="1"/>
  <c r="L69" i="4"/>
  <c r="K69"/>
  <c r="J69"/>
  <c r="I69"/>
  <c r="H69"/>
  <c r="G69"/>
  <c r="F69"/>
  <c r="E69"/>
  <c r="C69"/>
  <c r="M68"/>
  <c r="H68" i="8" s="1"/>
  <c r="J68" s="1"/>
  <c r="L68" i="4"/>
  <c r="K68"/>
  <c r="J68"/>
  <c r="I68"/>
  <c r="H68"/>
  <c r="F68"/>
  <c r="E68"/>
  <c r="J69" i="13" l="1"/>
  <c r="I69"/>
  <c r="H69"/>
  <c r="G69"/>
  <c r="F69"/>
  <c r="E69"/>
  <c r="C69"/>
  <c r="E69" i="8"/>
  <c r="D69"/>
  <c r="C69"/>
  <c r="DH41" i="24"/>
  <c r="DH39"/>
  <c r="DH38"/>
  <c r="DH37"/>
  <c r="DH35"/>
  <c r="DH34"/>
  <c r="DH33"/>
  <c r="DH32"/>
  <c r="DH30"/>
  <c r="DH29"/>
  <c r="DH28"/>
  <c r="DH26"/>
  <c r="DH25"/>
  <c r="DH24"/>
  <c r="DH23"/>
  <c r="DH21"/>
  <c r="DH37" i="16" s="1"/>
  <c r="C65" i="4"/>
  <c r="C66"/>
  <c r="J68" i="13"/>
  <c r="I68"/>
  <c r="H68"/>
  <c r="G68"/>
  <c r="F68"/>
  <c r="E68"/>
  <c r="C68"/>
  <c r="E68" i="8"/>
  <c r="D68"/>
  <c r="C68"/>
  <c r="DG15" i="24"/>
  <c r="DG16"/>
  <c r="DG17"/>
  <c r="DG18"/>
  <c r="DG19"/>
  <c r="DG20"/>
  <c r="DG21"/>
  <c r="DG37" i="16" s="1"/>
  <c r="DG22" i="24"/>
  <c r="DG23"/>
  <c r="DG24"/>
  <c r="DG25"/>
  <c r="DG26"/>
  <c r="DG27"/>
  <c r="DG28"/>
  <c r="DG29"/>
  <c r="DG30"/>
  <c r="DG31"/>
  <c r="DG32"/>
  <c r="DG33"/>
  <c r="DG34"/>
  <c r="DG35"/>
  <c r="DG36"/>
  <c r="DG37"/>
  <c r="DG38"/>
  <c r="DG39"/>
  <c r="DG41"/>
  <c r="DG14"/>
  <c r="K69" i="8" l="1"/>
  <c r="K68"/>
  <c r="J60" i="13" l="1"/>
  <c r="I60"/>
  <c r="H60"/>
  <c r="G60"/>
  <c r="F60"/>
  <c r="E60"/>
  <c r="C60"/>
  <c r="I60" i="8"/>
  <c r="G60"/>
  <c r="F60"/>
  <c r="E60"/>
  <c r="D60"/>
  <c r="C60"/>
  <c r="M60" i="4"/>
  <c r="L60"/>
  <c r="K60"/>
  <c r="J60"/>
  <c r="I60"/>
  <c r="H60"/>
  <c r="G60"/>
  <c r="F60"/>
  <c r="E60"/>
  <c r="C60"/>
  <c r="I46" i="8"/>
  <c r="DF41" i="24"/>
  <c r="DF39"/>
  <c r="DF38"/>
  <c r="DF37"/>
  <c r="DF36"/>
  <c r="DF35"/>
  <c r="DF34"/>
  <c r="DF33"/>
  <c r="DF32"/>
  <c r="DF30"/>
  <c r="DF29"/>
  <c r="DF28"/>
  <c r="DF27"/>
  <c r="DF26"/>
  <c r="DF25"/>
  <c r="DF24"/>
  <c r="DF23"/>
  <c r="DF22"/>
  <c r="DF21"/>
  <c r="DF37" i="16" s="1"/>
  <c r="DF20" i="24"/>
  <c r="DF19"/>
  <c r="DF18"/>
  <c r="DF17"/>
  <c r="DF16"/>
  <c r="DF15"/>
  <c r="DF14"/>
  <c r="H60" i="8" l="1"/>
  <c r="J60" s="1"/>
  <c r="N14" i="24"/>
  <c r="K60" i="8" l="1"/>
  <c r="F17" i="20"/>
  <c r="I81" i="4" l="1"/>
  <c r="C6" i="8" l="1"/>
  <c r="GS29" i="24" l="1"/>
  <c r="G46" i="8"/>
  <c r="F46"/>
  <c r="E46"/>
  <c r="D46"/>
  <c r="C46"/>
  <c r="DE15" i="24"/>
  <c r="DE16"/>
  <c r="DE17"/>
  <c r="DE18"/>
  <c r="DE19"/>
  <c r="DE20"/>
  <c r="DE21"/>
  <c r="DE37" i="16" s="1"/>
  <c r="DE22" i="24"/>
  <c r="DE23"/>
  <c r="DE24"/>
  <c r="DE25"/>
  <c r="DE26"/>
  <c r="DE27"/>
  <c r="DE28"/>
  <c r="DE29"/>
  <c r="DE30"/>
  <c r="DE31"/>
  <c r="DE32"/>
  <c r="DE33"/>
  <c r="DE34"/>
  <c r="DE35"/>
  <c r="DE36"/>
  <c r="DE37"/>
  <c r="DE38"/>
  <c r="DE39"/>
  <c r="DE14"/>
  <c r="H46" i="8" l="1"/>
  <c r="K46" s="1"/>
  <c r="J46" l="1"/>
  <c r="J30" i="13"/>
  <c r="C125" i="4"/>
  <c r="C84" i="13" l="1"/>
  <c r="C27"/>
  <c r="M139" i="4" l="1"/>
  <c r="H139" i="8" s="1"/>
  <c r="L139" i="4"/>
  <c r="K139"/>
  <c r="J139"/>
  <c r="I139"/>
  <c r="H139"/>
  <c r="G139"/>
  <c r="E139"/>
  <c r="C139"/>
  <c r="FR41" i="24"/>
  <c r="FR39"/>
  <c r="FR38"/>
  <c r="FR37"/>
  <c r="FR36"/>
  <c r="FR35"/>
  <c r="FR34"/>
  <c r="FR33"/>
  <c r="FR32"/>
  <c r="FR31"/>
  <c r="FR30"/>
  <c r="FR29"/>
  <c r="FR28"/>
  <c r="FR27"/>
  <c r="FR26"/>
  <c r="FR25"/>
  <c r="FR24"/>
  <c r="FR23"/>
  <c r="FR22"/>
  <c r="FR21"/>
  <c r="FR37" i="16" s="1"/>
  <c r="FR20" i="24"/>
  <c r="FR19"/>
  <c r="FR18"/>
  <c r="FR17"/>
  <c r="FR16"/>
  <c r="FR15"/>
  <c r="FR14"/>
  <c r="K139" i="8" l="1"/>
  <c r="J139"/>
  <c r="G167" i="4"/>
  <c r="G166"/>
  <c r="G165"/>
  <c r="F33" i="10" l="1"/>
  <c r="F32"/>
  <c r="F34"/>
  <c r="F31"/>
  <c r="F30"/>
  <c r="F27"/>
  <c r="F20"/>
  <c r="F10"/>
  <c r="F14"/>
  <c r="F13"/>
  <c r="F12"/>
  <c r="H34" i="12" l="1"/>
  <c r="E21" i="8"/>
  <c r="F45" i="10" l="1"/>
  <c r="F44"/>
  <c r="F43"/>
  <c r="F42"/>
  <c r="F41"/>
  <c r="F40"/>
  <c r="F36"/>
  <c r="F35"/>
  <c r="F29"/>
  <c r="F26"/>
  <c r="F24"/>
  <c r="F21"/>
  <c r="F19"/>
  <c r="F18"/>
  <c r="F15"/>
  <c r="C46" l="1"/>
  <c r="M16" i="4" l="1"/>
  <c r="DD28" i="24" l="1"/>
  <c r="AM41"/>
  <c r="AM31"/>
  <c r="C163" i="8"/>
  <c r="D163"/>
  <c r="E163"/>
  <c r="F163"/>
  <c r="G163"/>
  <c r="I163"/>
  <c r="C164"/>
  <c r="D164"/>
  <c r="E164"/>
  <c r="F164"/>
  <c r="G164"/>
  <c r="I164"/>
  <c r="C165"/>
  <c r="D165"/>
  <c r="E165"/>
  <c r="F165"/>
  <c r="G165"/>
  <c r="I165"/>
  <c r="C166"/>
  <c r="D166"/>
  <c r="E166"/>
  <c r="F166"/>
  <c r="G166"/>
  <c r="I166"/>
  <c r="C167"/>
  <c r="D167"/>
  <c r="E167"/>
  <c r="F167"/>
  <c r="G167"/>
  <c r="I167"/>
  <c r="I168"/>
  <c r="E168"/>
  <c r="D168"/>
  <c r="C168"/>
  <c r="I106"/>
  <c r="G106"/>
  <c r="F106"/>
  <c r="E106"/>
  <c r="D106"/>
  <c r="C106"/>
  <c r="I105"/>
  <c r="G105"/>
  <c r="F105"/>
  <c r="E105"/>
  <c r="D105"/>
  <c r="C105"/>
  <c r="H168"/>
  <c r="FQ41" i="24"/>
  <c r="FQ39"/>
  <c r="FQ38"/>
  <c r="FQ37"/>
  <c r="FQ36"/>
  <c r="FQ35"/>
  <c r="FQ34"/>
  <c r="FQ33"/>
  <c r="FQ32"/>
  <c r="FQ31"/>
  <c r="FQ30"/>
  <c r="FQ29"/>
  <c r="FQ28"/>
  <c r="FQ27"/>
  <c r="FQ26"/>
  <c r="FQ25"/>
  <c r="FQ24"/>
  <c r="FQ23"/>
  <c r="FQ22"/>
  <c r="FQ21"/>
  <c r="FQ37" i="16" s="1"/>
  <c r="FQ20" i="24"/>
  <c r="FQ19"/>
  <c r="FQ18"/>
  <c r="FQ17"/>
  <c r="FQ16"/>
  <c r="FQ15"/>
  <c r="FQ14"/>
  <c r="M106" i="4"/>
  <c r="L106"/>
  <c r="K106"/>
  <c r="J106"/>
  <c r="I106"/>
  <c r="H106"/>
  <c r="G106"/>
  <c r="F106"/>
  <c r="E106"/>
  <c r="C106"/>
  <c r="DD39" i="24"/>
  <c r="DD38"/>
  <c r="DD37"/>
  <c r="DD36"/>
  <c r="DD35"/>
  <c r="DD34"/>
  <c r="DD33"/>
  <c r="DD32"/>
  <c r="DD31"/>
  <c r="DD30"/>
  <c r="DD29"/>
  <c r="DD27"/>
  <c r="DD26"/>
  <c r="DD25"/>
  <c r="DD24"/>
  <c r="DD23"/>
  <c r="DD22"/>
  <c r="DD21"/>
  <c r="DD37" i="16" s="1"/>
  <c r="DD20" i="24"/>
  <c r="DD19"/>
  <c r="DD18"/>
  <c r="DD17"/>
  <c r="DD16"/>
  <c r="DD15"/>
  <c r="DD14"/>
  <c r="H106" i="8" l="1"/>
  <c r="K106" s="1"/>
  <c r="K168"/>
  <c r="J168"/>
  <c r="J106" l="1"/>
  <c r="H167" l="1"/>
  <c r="K167" s="1"/>
  <c r="K167" i="4"/>
  <c r="J167"/>
  <c r="I167"/>
  <c r="H167"/>
  <c r="F167"/>
  <c r="E167"/>
  <c r="C167"/>
  <c r="FP15" i="24"/>
  <c r="FP16"/>
  <c r="FP17"/>
  <c r="FP18"/>
  <c r="FP19"/>
  <c r="FP20"/>
  <c r="FP21"/>
  <c r="FP37" i="16" s="1"/>
  <c r="FP22" i="24"/>
  <c r="FP23"/>
  <c r="FP24"/>
  <c r="FP25"/>
  <c r="FP26"/>
  <c r="FP27"/>
  <c r="FP28"/>
  <c r="FP29"/>
  <c r="FP30"/>
  <c r="FP31"/>
  <c r="FP32"/>
  <c r="FP33"/>
  <c r="FP34"/>
  <c r="FP35"/>
  <c r="FP36"/>
  <c r="FP37"/>
  <c r="FP38"/>
  <c r="FP39"/>
  <c r="FP41"/>
  <c r="FP14"/>
  <c r="J167" i="8" l="1"/>
  <c r="C12" i="22" l="1"/>
  <c r="GD51" i="24"/>
  <c r="DX51" l="1"/>
  <c r="GS41" l="1"/>
  <c r="GS40" l="1"/>
  <c r="FO41"/>
  <c r="FH41"/>
  <c r="FE41"/>
  <c r="FB41"/>
  <c r="EY41"/>
  <c r="EW41"/>
  <c r="DY41"/>
  <c r="BZ41"/>
  <c r="BV41"/>
  <c r="BT41"/>
  <c r="BL41"/>
  <c r="AL41"/>
  <c r="AK41"/>
  <c r="T41"/>
  <c r="Q41"/>
  <c r="P41"/>
  <c r="M41"/>
  <c r="L41"/>
  <c r="GS39"/>
  <c r="FO39"/>
  <c r="FN39"/>
  <c r="FM39"/>
  <c r="FL39"/>
  <c r="FK39"/>
  <c r="FJ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J31" i="2" s="1"/>
  <c r="BV39" i="24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J39"/>
  <c r="I39"/>
  <c r="H39"/>
  <c r="G39"/>
  <c r="F39"/>
  <c r="E39"/>
  <c r="D39"/>
  <c r="C39"/>
  <c r="B39"/>
  <c r="GS38"/>
  <c r="FO38"/>
  <c r="FN38"/>
  <c r="FM38"/>
  <c r="FL38"/>
  <c r="FK38"/>
  <c r="FJ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C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BY38"/>
  <c r="BX38"/>
  <c r="BW38"/>
  <c r="J30" i="2" s="1"/>
  <c r="BV38" i="24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J38"/>
  <c r="I38"/>
  <c r="H38"/>
  <c r="G38"/>
  <c r="F38"/>
  <c r="E38"/>
  <c r="D38"/>
  <c r="C38"/>
  <c r="B38"/>
  <c r="GS37"/>
  <c r="FO37"/>
  <c r="FN37"/>
  <c r="FM37"/>
  <c r="FL37"/>
  <c r="FK37"/>
  <c r="FJ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C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BY37"/>
  <c r="BX37"/>
  <c r="BW37"/>
  <c r="J29" i="2" s="1"/>
  <c r="BV37" i="24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A37"/>
  <c r="Z37"/>
  <c r="Y37"/>
  <c r="X37"/>
  <c r="W37"/>
  <c r="V37"/>
  <c r="U37"/>
  <c r="T37"/>
  <c r="S37"/>
  <c r="R37"/>
  <c r="Q37"/>
  <c r="P37"/>
  <c r="O37"/>
  <c r="N37"/>
  <c r="M37"/>
  <c r="L37"/>
  <c r="J37"/>
  <c r="I37"/>
  <c r="H37"/>
  <c r="G37"/>
  <c r="F37"/>
  <c r="E37"/>
  <c r="D37"/>
  <c r="C37"/>
  <c r="B37"/>
  <c r="GS36"/>
  <c r="FO36"/>
  <c r="FN36"/>
  <c r="FM36"/>
  <c r="FL36"/>
  <c r="FK36"/>
  <c r="FJ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C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BY36"/>
  <c r="BX36"/>
  <c r="BW36"/>
  <c r="J28" i="2" s="1"/>
  <c r="BV36" i="24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J36"/>
  <c r="I36"/>
  <c r="H36"/>
  <c r="G36"/>
  <c r="F36"/>
  <c r="E36"/>
  <c r="D36"/>
  <c r="C36"/>
  <c r="B36"/>
  <c r="GS35"/>
  <c r="FO35"/>
  <c r="FN35"/>
  <c r="FM35"/>
  <c r="FL35"/>
  <c r="FK35"/>
  <c r="FJ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C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BY35"/>
  <c r="BX35"/>
  <c r="BW35"/>
  <c r="J27" i="2" s="1"/>
  <c r="BV35" i="24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I35"/>
  <c r="H35"/>
  <c r="G35"/>
  <c r="F35"/>
  <c r="E35"/>
  <c r="D35"/>
  <c r="C35"/>
  <c r="B35"/>
  <c r="GS34"/>
  <c r="H27" i="25" l="1"/>
  <c r="H26"/>
  <c r="H29"/>
  <c r="H25"/>
  <c r="H28"/>
  <c r="I29" i="2"/>
  <c r="D29" i="25"/>
  <c r="D31" i="2"/>
  <c r="GL39" i="24"/>
  <c r="D30" i="2"/>
  <c r="GL38" i="24"/>
  <c r="GL35"/>
  <c r="D27" i="2"/>
  <c r="C28"/>
  <c r="D28" i="25"/>
  <c r="H31" i="2"/>
  <c r="GR39" i="24"/>
  <c r="GR38"/>
  <c r="H30" i="2"/>
  <c r="GR37" i="24"/>
  <c r="H29" i="2"/>
  <c r="K29"/>
  <c r="D27" i="25"/>
  <c r="K28" i="2"/>
  <c r="D26" i="25"/>
  <c r="H28" i="2"/>
  <c r="GR36" i="24"/>
  <c r="K27" i="2"/>
  <c r="D25" i="25"/>
  <c r="H27" i="2"/>
  <c r="GR35" i="24"/>
  <c r="E29" i="2"/>
  <c r="G29"/>
  <c r="C29"/>
  <c r="B29" i="25"/>
  <c r="B28"/>
  <c r="B26"/>
  <c r="I25"/>
  <c r="I28"/>
  <c r="I29"/>
  <c r="I27"/>
  <c r="I26"/>
  <c r="GK38" i="24"/>
  <c r="GK37"/>
  <c r="GP35"/>
  <c r="GP38"/>
  <c r="GK39"/>
  <c r="GP37"/>
  <c r="GK35"/>
  <c r="GJ36"/>
  <c r="GO36"/>
  <c r="GO39"/>
  <c r="GO37"/>
  <c r="GO38"/>
  <c r="GP36"/>
  <c r="GP39"/>
  <c r="GO35"/>
  <c r="GK36"/>
  <c r="GJ38"/>
  <c r="GJ39"/>
  <c r="GJ37"/>
  <c r="O28" i="2"/>
  <c r="O31"/>
  <c r="O27"/>
  <c r="O29"/>
  <c r="O30"/>
  <c r="G30"/>
  <c r="G26" i="25"/>
  <c r="E27" i="2"/>
  <c r="G25" i="25"/>
  <c r="G28"/>
  <c r="G29"/>
  <c r="G27"/>
  <c r="G27" i="2"/>
  <c r="I27"/>
  <c r="E29" i="25"/>
  <c r="E28"/>
  <c r="E27"/>
  <c r="E26"/>
  <c r="E25"/>
  <c r="C28"/>
  <c r="J29"/>
  <c r="F29"/>
  <c r="J27"/>
  <c r="J26"/>
  <c r="K31" i="2"/>
  <c r="C29" i="25"/>
  <c r="C27"/>
  <c r="F27"/>
  <c r="J28"/>
  <c r="F28"/>
  <c r="F26"/>
  <c r="J25"/>
  <c r="C25"/>
  <c r="F25"/>
  <c r="GH39" i="24"/>
  <c r="C31" i="2"/>
  <c r="GH35" i="24"/>
  <c r="GH37"/>
  <c r="GH38"/>
  <c r="GH36"/>
  <c r="C30" i="2"/>
  <c r="E28"/>
  <c r="E30"/>
  <c r="E31"/>
  <c r="G31"/>
  <c r="G28"/>
  <c r="I31"/>
  <c r="I30"/>
  <c r="I28"/>
  <c r="GI38" i="24"/>
  <c r="K30" i="2"/>
  <c r="GI37" i="24"/>
  <c r="GM37"/>
  <c r="GM38"/>
  <c r="GM39"/>
  <c r="GM36"/>
  <c r="GM35"/>
  <c r="GI36"/>
  <c r="B41"/>
  <c r="GN39"/>
  <c r="GF39"/>
  <c r="BS41"/>
  <c r="EV41"/>
  <c r="EU41" s="1"/>
  <c r="ET41" s="1"/>
  <c r="GF35"/>
  <c r="FD41"/>
  <c r="FC41" s="1"/>
  <c r="BR41"/>
  <c r="BQ41" s="1"/>
  <c r="GN35"/>
  <c r="GE38"/>
  <c r="S41"/>
  <c r="GF38"/>
  <c r="O41"/>
  <c r="GQ36"/>
  <c r="GQ37"/>
  <c r="GI39"/>
  <c r="BY41"/>
  <c r="BX41" s="1"/>
  <c r="BW41" s="1"/>
  <c r="GN36"/>
  <c r="GN37"/>
  <c r="GN38"/>
  <c r="GE39"/>
  <c r="AJ41"/>
  <c r="AI41" s="1"/>
  <c r="AH41" s="1"/>
  <c r="AG41" s="1"/>
  <c r="AF41" s="1"/>
  <c r="AE41" s="1"/>
  <c r="AD41" s="1"/>
  <c r="AC41" s="1"/>
  <c r="AB41" s="1"/>
  <c r="AA41" s="1"/>
  <c r="Z41" s="1"/>
  <c r="FA41"/>
  <c r="BP41"/>
  <c r="BO41" s="1"/>
  <c r="BN41" s="1"/>
  <c r="BM41" s="1"/>
  <c r="BK41" s="1"/>
  <c r="BJ41" s="1"/>
  <c r="BI41" s="1"/>
  <c r="BH41" s="1"/>
  <c r="BG41" s="1"/>
  <c r="BF41" s="1"/>
  <c r="BE41" s="1"/>
  <c r="BD41" s="1"/>
  <c r="BC41" s="1"/>
  <c r="BB41" s="1"/>
  <c r="BA41" s="1"/>
  <c r="AZ41" s="1"/>
  <c r="AY41" s="1"/>
  <c r="AX41" s="1"/>
  <c r="AW41" s="1"/>
  <c r="AV41" s="1"/>
  <c r="AT41" s="1"/>
  <c r="AS41" s="1"/>
  <c r="ES41"/>
  <c r="ER41" s="1"/>
  <c r="EQ41" s="1"/>
  <c r="EP41" s="1"/>
  <c r="EO41" s="1"/>
  <c r="EN41" s="1"/>
  <c r="EM41" s="1"/>
  <c r="EL41" s="1"/>
  <c r="EK41" s="1"/>
  <c r="EJ41" s="1"/>
  <c r="EI41" s="1"/>
  <c r="EH41" s="1"/>
  <c r="EG41" s="1"/>
  <c r="EF41" s="1"/>
  <c r="EE41" s="1"/>
  <c r="ED41" s="1"/>
  <c r="EC41" s="1"/>
  <c r="EB41" s="1"/>
  <c r="EA41" s="1"/>
  <c r="DZ41" s="1"/>
  <c r="GF37"/>
  <c r="R41"/>
  <c r="EX41"/>
  <c r="GQ35"/>
  <c r="GQ39"/>
  <c r="FG41"/>
  <c r="FF41" s="1"/>
  <c r="G41"/>
  <c r="AR41"/>
  <c r="BU41"/>
  <c r="GF36"/>
  <c r="GQ38"/>
  <c r="FN41"/>
  <c r="FM41" s="1"/>
  <c r="FL41" s="1"/>
  <c r="FK41" s="1"/>
  <c r="FJ41" s="1"/>
  <c r="FI41" s="1"/>
  <c r="DC41"/>
  <c r="DB41" s="1"/>
  <c r="DA41" s="1"/>
  <c r="CZ41" s="1"/>
  <c r="CY41" s="1"/>
  <c r="CX41" s="1"/>
  <c r="CW41" s="1"/>
  <c r="CV41" s="1"/>
  <c r="CU41" s="1"/>
  <c r="CT41" s="1"/>
  <c r="CS41" s="1"/>
  <c r="CR41" s="1"/>
  <c r="CQ41" s="1"/>
  <c r="CP41" s="1"/>
  <c r="CO41" s="1"/>
  <c r="CN41" s="1"/>
  <c r="CM41" s="1"/>
  <c r="CL41" s="1"/>
  <c r="CK41" s="1"/>
  <c r="CJ41" s="1"/>
  <c r="CI41" s="1"/>
  <c r="CH41" s="1"/>
  <c r="CG41" s="1"/>
  <c r="CF41" s="1"/>
  <c r="CE41" s="1"/>
  <c r="CD41" s="1"/>
  <c r="CC41" s="1"/>
  <c r="CB41" s="1"/>
  <c r="CA41" s="1"/>
  <c r="GR41" s="1"/>
  <c r="GI41"/>
  <c r="J41"/>
  <c r="I41" s="1"/>
  <c r="H41" s="1"/>
  <c r="V41"/>
  <c r="U41" s="1"/>
  <c r="FO34"/>
  <c r="FN34"/>
  <c r="FM34"/>
  <c r="FL34"/>
  <c r="FK34"/>
  <c r="FJ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C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BX34"/>
  <c r="BW34"/>
  <c r="J26" i="2" s="1"/>
  <c r="BV34" i="2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I34"/>
  <c r="G34"/>
  <c r="F34"/>
  <c r="E34"/>
  <c r="D34"/>
  <c r="C34"/>
  <c r="B34"/>
  <c r="GS33"/>
  <c r="FO33"/>
  <c r="FN33"/>
  <c r="FM33"/>
  <c r="FL33"/>
  <c r="FK33"/>
  <c r="FJ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C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BY33"/>
  <c r="BX33"/>
  <c r="BW33"/>
  <c r="J25" i="2" s="1"/>
  <c r="BV33" i="24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I33"/>
  <c r="H33"/>
  <c r="G33"/>
  <c r="F33"/>
  <c r="E33"/>
  <c r="D33"/>
  <c r="C33"/>
  <c r="B33"/>
  <c r="GS32"/>
  <c r="FO32"/>
  <c r="FN32"/>
  <c r="FM32"/>
  <c r="FL32"/>
  <c r="FK32"/>
  <c r="FJ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C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BY32"/>
  <c r="BX32"/>
  <c r="BW32"/>
  <c r="J24" i="2" s="1"/>
  <c r="BV32" i="24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J32"/>
  <c r="I32"/>
  <c r="H32"/>
  <c r="G32"/>
  <c r="F32"/>
  <c r="E32"/>
  <c r="D32"/>
  <c r="C32"/>
  <c r="B32"/>
  <c r="GS31"/>
  <c r="FO31"/>
  <c r="FN31"/>
  <c r="FM31"/>
  <c r="FL31"/>
  <c r="FK31"/>
  <c r="FJ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C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BY31"/>
  <c r="BX31"/>
  <c r="BW31"/>
  <c r="J23" i="2" s="1"/>
  <c r="BV31" i="24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L31"/>
  <c r="AK31"/>
  <c r="AJ31"/>
  <c r="AI31"/>
  <c r="AH31"/>
  <c r="AG31"/>
  <c r="AF31"/>
  <c r="AE31"/>
  <c r="AD31"/>
  <c r="AC31"/>
  <c r="AB31"/>
  <c r="AA31"/>
  <c r="Y31"/>
  <c r="X31"/>
  <c r="W31"/>
  <c r="V31"/>
  <c r="U31"/>
  <c r="T31"/>
  <c r="S31"/>
  <c r="R31"/>
  <c r="Q31"/>
  <c r="P31"/>
  <c r="O31"/>
  <c r="N31"/>
  <c r="M31"/>
  <c r="L31"/>
  <c r="J31"/>
  <c r="I31"/>
  <c r="H31"/>
  <c r="G31"/>
  <c r="F31"/>
  <c r="E31"/>
  <c r="D31"/>
  <c r="C31"/>
  <c r="B31"/>
  <c r="GS30"/>
  <c r="FO30"/>
  <c r="FN30"/>
  <c r="FM30"/>
  <c r="FL30"/>
  <c r="FK30"/>
  <c r="FJ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E30"/>
  <c r="ED30"/>
  <c r="EC30"/>
  <c r="EB30"/>
  <c r="EA30"/>
  <c r="DZ30"/>
  <c r="DY30"/>
  <c r="DC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BY30"/>
  <c r="BX30"/>
  <c r="BW30"/>
  <c r="J22" i="2" s="1"/>
  <c r="BV30" i="24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J30"/>
  <c r="I30"/>
  <c r="H30"/>
  <c r="G30"/>
  <c r="F30"/>
  <c r="E30"/>
  <c r="D30"/>
  <c r="C30"/>
  <c r="B30"/>
  <c r="L30" i="2" l="1"/>
  <c r="H22" i="25"/>
  <c r="H20"/>
  <c r="H24"/>
  <c r="H21"/>
  <c r="H23"/>
  <c r="GL32" i="24"/>
  <c r="D24" i="2"/>
  <c r="D22"/>
  <c r="GL30" i="24"/>
  <c r="D26" i="2"/>
  <c r="GL34" i="24"/>
  <c r="D21" i="25"/>
  <c r="D22"/>
  <c r="H24" i="2"/>
  <c r="GR32" i="24"/>
  <c r="D23" i="25"/>
  <c r="K26" i="2"/>
  <c r="D24" i="25"/>
  <c r="GR34" i="24"/>
  <c r="H26" i="2"/>
  <c r="GR33" i="24"/>
  <c r="H25" i="2"/>
  <c r="H23"/>
  <c r="GR31" i="24"/>
  <c r="D20" i="25"/>
  <c r="GR30" i="24"/>
  <c r="H22" i="2"/>
  <c r="B20" i="25"/>
  <c r="B22"/>
  <c r="I22"/>
  <c r="I20"/>
  <c r="I21"/>
  <c r="I24"/>
  <c r="I23"/>
  <c r="F30" i="2"/>
  <c r="GK30" i="24"/>
  <c r="GP32"/>
  <c r="GK32"/>
  <c r="GP31"/>
  <c r="GK33"/>
  <c r="GO41"/>
  <c r="GK41"/>
  <c r="GO34"/>
  <c r="GO31"/>
  <c r="GO30"/>
  <c r="GJ30"/>
  <c r="GO33"/>
  <c r="GP34"/>
  <c r="GP30"/>
  <c r="GJ31"/>
  <c r="GJ32"/>
  <c r="GO32"/>
  <c r="GP33"/>
  <c r="GK34"/>
  <c r="Y41"/>
  <c r="X41" s="1"/>
  <c r="AQ41"/>
  <c r="AP41" s="1"/>
  <c r="AO41" s="1"/>
  <c r="AN41" s="1"/>
  <c r="O24" i="2"/>
  <c r="O26"/>
  <c r="O25"/>
  <c r="O22"/>
  <c r="C24"/>
  <c r="G23" i="25"/>
  <c r="G24"/>
  <c r="G22"/>
  <c r="G20"/>
  <c r="G21"/>
  <c r="I26" i="2"/>
  <c r="E26"/>
  <c r="G26"/>
  <c r="F27"/>
  <c r="E24"/>
  <c r="E22" i="25"/>
  <c r="E24"/>
  <c r="E23"/>
  <c r="E20"/>
  <c r="E21"/>
  <c r="J22"/>
  <c r="K24" i="2"/>
  <c r="C22" i="25"/>
  <c r="F22"/>
  <c r="K29"/>
  <c r="J23"/>
  <c r="C24"/>
  <c r="J21"/>
  <c r="K28"/>
  <c r="I23" i="2"/>
  <c r="K25"/>
  <c r="F21" i="25"/>
  <c r="J24"/>
  <c r="K23" i="2"/>
  <c r="F24" i="25"/>
  <c r="F23"/>
  <c r="F20"/>
  <c r="K22" i="2"/>
  <c r="J20" i="25"/>
  <c r="C20"/>
  <c r="GH32" i="24"/>
  <c r="GH31"/>
  <c r="C23" i="2"/>
  <c r="GH30" i="24"/>
  <c r="C22" i="2"/>
  <c r="GH34" i="24"/>
  <c r="GH33"/>
  <c r="E22" i="2"/>
  <c r="E25"/>
  <c r="F41" i="24"/>
  <c r="E41" s="1"/>
  <c r="D41" s="1"/>
  <c r="C41" s="1"/>
  <c r="F31" i="2"/>
  <c r="L31" s="1"/>
  <c r="I24"/>
  <c r="G24"/>
  <c r="G23"/>
  <c r="G25"/>
  <c r="G22"/>
  <c r="I25"/>
  <c r="I22"/>
  <c r="GM32" i="24"/>
  <c r="EZ41"/>
  <c r="GF41" s="1"/>
  <c r="GM41"/>
  <c r="GM34"/>
  <c r="GM33"/>
  <c r="GM31"/>
  <c r="GM30"/>
  <c r="GI34"/>
  <c r="N41"/>
  <c r="GJ41" s="1"/>
  <c r="GG39"/>
  <c r="GI33"/>
  <c r="GN34"/>
  <c r="GE30"/>
  <c r="GF30"/>
  <c r="GI31"/>
  <c r="GQ41"/>
  <c r="GG38"/>
  <c r="GN33"/>
  <c r="GN31"/>
  <c r="GN30"/>
  <c r="GQ34"/>
  <c r="GI30"/>
  <c r="GF31"/>
  <c r="GF32"/>
  <c r="GI32"/>
  <c r="GE32"/>
  <c r="GF33"/>
  <c r="GQ32"/>
  <c r="GN32" s="1"/>
  <c r="GN41"/>
  <c r="GF34"/>
  <c r="GQ30"/>
  <c r="GQ31"/>
  <c r="GQ33"/>
  <c r="FO29"/>
  <c r="FN29"/>
  <c r="FM29"/>
  <c r="FL29"/>
  <c r="FK29"/>
  <c r="FJ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C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BY29"/>
  <c r="BX29"/>
  <c r="BW29"/>
  <c r="J21" i="2" s="1"/>
  <c r="BV29" i="24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P29"/>
  <c r="O29"/>
  <c r="N29"/>
  <c r="M29"/>
  <c r="L29"/>
  <c r="J29"/>
  <c r="I29"/>
  <c r="H29"/>
  <c r="G29"/>
  <c r="F29"/>
  <c r="E29"/>
  <c r="D29"/>
  <c r="C29"/>
  <c r="B29"/>
  <c r="GS28"/>
  <c r="FO28"/>
  <c r="FN28"/>
  <c r="FM28"/>
  <c r="FL28"/>
  <c r="FK28"/>
  <c r="FJ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C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G28"/>
  <c r="CF28"/>
  <c r="CE28"/>
  <c r="CD28"/>
  <c r="CC28"/>
  <c r="CB28"/>
  <c r="CA28"/>
  <c r="BZ28"/>
  <c r="BY28"/>
  <c r="BX28"/>
  <c r="BW28"/>
  <c r="J20" i="2" s="1"/>
  <c r="BV28" i="24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J28"/>
  <c r="I28"/>
  <c r="H28"/>
  <c r="G28"/>
  <c r="F28"/>
  <c r="E28"/>
  <c r="D28"/>
  <c r="C28"/>
  <c r="B28"/>
  <c r="GS27"/>
  <c r="FO27"/>
  <c r="FN27"/>
  <c r="FM27"/>
  <c r="FL27"/>
  <c r="FK27"/>
  <c r="FJ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C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BY27"/>
  <c r="BX27"/>
  <c r="BW27"/>
  <c r="J19" i="2" s="1"/>
  <c r="BV27" i="24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K27"/>
  <c r="AJ27"/>
  <c r="AI27"/>
  <c r="AH27"/>
  <c r="AG27"/>
  <c r="AF27"/>
  <c r="AE27"/>
  <c r="AD27"/>
  <c r="AC27"/>
  <c r="AA27"/>
  <c r="Z27"/>
  <c r="Y27"/>
  <c r="X27"/>
  <c r="W27"/>
  <c r="U27"/>
  <c r="T27"/>
  <c r="S27"/>
  <c r="R27"/>
  <c r="Q27"/>
  <c r="P27"/>
  <c r="O27"/>
  <c r="N27"/>
  <c r="M27"/>
  <c r="L27"/>
  <c r="J27"/>
  <c r="I27"/>
  <c r="H27"/>
  <c r="G27"/>
  <c r="F27"/>
  <c r="E27"/>
  <c r="D27"/>
  <c r="C27"/>
  <c r="B27"/>
  <c r="FO26"/>
  <c r="FN26"/>
  <c r="FM26"/>
  <c r="FL26"/>
  <c r="FK26"/>
  <c r="FJ26"/>
  <c r="FG26"/>
  <c r="FF26"/>
  <c r="FE26"/>
  <c r="FD26"/>
  <c r="FB26"/>
  <c r="FA26"/>
  <c r="EZ26"/>
  <c r="EY26"/>
  <c r="EX26"/>
  <c r="EW26"/>
  <c r="EV26"/>
  <c r="EU26"/>
  <c r="ET26"/>
  <c r="ES26"/>
  <c r="ER26"/>
  <c r="EQ26"/>
  <c r="EP26"/>
  <c r="EN26"/>
  <c r="EM26"/>
  <c r="EL26"/>
  <c r="EK26"/>
  <c r="EJ26"/>
  <c r="EI26"/>
  <c r="EH26"/>
  <c r="EG26"/>
  <c r="EF26"/>
  <c r="EE26"/>
  <c r="ED26"/>
  <c r="EC26"/>
  <c r="EB26"/>
  <c r="EA26"/>
  <c r="DZ26"/>
  <c r="DY26"/>
  <c r="DC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BY26"/>
  <c r="BX26"/>
  <c r="BW26"/>
  <c r="J18" i="2" s="1"/>
  <c r="BV26" i="24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T26"/>
  <c r="AS26"/>
  <c r="AR26"/>
  <c r="AQ26"/>
  <c r="AO26"/>
  <c r="AN26"/>
  <c r="AK26"/>
  <c r="AJ26"/>
  <c r="AI26"/>
  <c r="AH26"/>
  <c r="AG26"/>
  <c r="AF26"/>
  <c r="AE26"/>
  <c r="AD26"/>
  <c r="AC26"/>
  <c r="AA26"/>
  <c r="Z26"/>
  <c r="Y26"/>
  <c r="X26"/>
  <c r="W26"/>
  <c r="U26"/>
  <c r="T26"/>
  <c r="S26"/>
  <c r="R26"/>
  <c r="Q26"/>
  <c r="O26"/>
  <c r="N26"/>
  <c r="M26"/>
  <c r="L26"/>
  <c r="J26"/>
  <c r="I26"/>
  <c r="H26"/>
  <c r="G26"/>
  <c r="F26"/>
  <c r="E26"/>
  <c r="D26"/>
  <c r="C26"/>
  <c r="B26"/>
  <c r="GS25"/>
  <c r="FO25"/>
  <c r="FN25"/>
  <c r="FM25"/>
  <c r="FL25"/>
  <c r="FK25"/>
  <c r="FJ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C25"/>
  <c r="DB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BY25"/>
  <c r="BX25"/>
  <c r="BW25"/>
  <c r="J17" i="2" s="1"/>
  <c r="BV25" i="24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J25"/>
  <c r="I25"/>
  <c r="H25"/>
  <c r="G25"/>
  <c r="F25"/>
  <c r="E25"/>
  <c r="D25"/>
  <c r="C25"/>
  <c r="B25"/>
  <c r="GS24"/>
  <c r="H18" i="25" l="1"/>
  <c r="H19"/>
  <c r="H15"/>
  <c r="H17"/>
  <c r="D21" i="2"/>
  <c r="GL29" i="24"/>
  <c r="W41"/>
  <c r="GP41" s="1"/>
  <c r="GL41"/>
  <c r="D20" i="2"/>
  <c r="GL28" i="24"/>
  <c r="O18" i="2"/>
  <c r="O20"/>
  <c r="D15" i="25"/>
  <c r="D18"/>
  <c r="D19"/>
  <c r="D17"/>
  <c r="D16"/>
  <c r="GR25" i="24"/>
  <c r="H17" i="2"/>
  <c r="GR26" i="24"/>
  <c r="H18" i="2"/>
  <c r="GR27" i="24"/>
  <c r="H19" i="2"/>
  <c r="H20"/>
  <c r="GR28" i="24"/>
  <c r="H21" i="2"/>
  <c r="GR29" i="24"/>
  <c r="B15" i="25"/>
  <c r="B19"/>
  <c r="B18"/>
  <c r="I19"/>
  <c r="I17"/>
  <c r="I18"/>
  <c r="I16"/>
  <c r="E18" i="2"/>
  <c r="C21"/>
  <c r="GJ25" i="24"/>
  <c r="GP26"/>
  <c r="GP29"/>
  <c r="GP25"/>
  <c r="GK25"/>
  <c r="GJ27"/>
  <c r="GO27"/>
  <c r="GK28"/>
  <c r="GO28"/>
  <c r="GJ26"/>
  <c r="GK26"/>
  <c r="GP27"/>
  <c r="GJ28"/>
  <c r="GK29"/>
  <c r="GO29"/>
  <c r="GO25"/>
  <c r="GO26"/>
  <c r="GK27"/>
  <c r="GP28"/>
  <c r="GJ29"/>
  <c r="O19" i="2"/>
  <c r="O21"/>
  <c r="O17"/>
  <c r="G15" i="25"/>
  <c r="G17"/>
  <c r="G18"/>
  <c r="G19"/>
  <c r="F26" i="2"/>
  <c r="E15" i="25"/>
  <c r="E17"/>
  <c r="E16"/>
  <c r="E18"/>
  <c r="E19"/>
  <c r="C19" i="2"/>
  <c r="E19"/>
  <c r="E17"/>
  <c r="E20"/>
  <c r="K22" i="25"/>
  <c r="C15"/>
  <c r="K18" i="2"/>
  <c r="F15" i="25"/>
  <c r="J17"/>
  <c r="J16"/>
  <c r="K17" i="2"/>
  <c r="F17" i="25"/>
  <c r="J15"/>
  <c r="C16"/>
  <c r="F16"/>
  <c r="C19"/>
  <c r="F19"/>
  <c r="K20"/>
  <c r="K21" i="2"/>
  <c r="J19" i="25"/>
  <c r="K20" i="2"/>
  <c r="J18" i="25"/>
  <c r="C18"/>
  <c r="GH41" i="24"/>
  <c r="GH29"/>
  <c r="GH27"/>
  <c r="GH25"/>
  <c r="C17" i="2"/>
  <c r="F24"/>
  <c r="L24" s="1"/>
  <c r="E21"/>
  <c r="G17"/>
  <c r="G19"/>
  <c r="G20"/>
  <c r="G21"/>
  <c r="F22"/>
  <c r="L22" s="1"/>
  <c r="I20"/>
  <c r="I17"/>
  <c r="I21"/>
  <c r="GI27" i="24"/>
  <c r="K19" i="2"/>
  <c r="GM25" i="24"/>
  <c r="GM29"/>
  <c r="GM27"/>
  <c r="GM28"/>
  <c r="GI25"/>
  <c r="GI28"/>
  <c r="GI29"/>
  <c r="GG30"/>
  <c r="GG32"/>
  <c r="GN28"/>
  <c r="GQ29"/>
  <c r="GN29"/>
  <c r="GF28"/>
  <c r="GQ27"/>
  <c r="GQ28"/>
  <c r="GN25"/>
  <c r="GI26"/>
  <c r="GN26"/>
  <c r="GN27"/>
  <c r="GE29"/>
  <c r="GF27"/>
  <c r="GF29"/>
  <c r="GQ25"/>
  <c r="GQ26"/>
  <c r="GF25"/>
  <c r="FO24"/>
  <c r="FN24"/>
  <c r="FM24"/>
  <c r="FL24"/>
  <c r="FK24"/>
  <c r="FJ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C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BY24"/>
  <c r="BX24"/>
  <c r="BW24"/>
  <c r="J16" i="2" s="1"/>
  <c r="BV24" i="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J24"/>
  <c r="I24"/>
  <c r="H24"/>
  <c r="G24"/>
  <c r="F24"/>
  <c r="E24"/>
  <c r="D24"/>
  <c r="C24"/>
  <c r="B24"/>
  <c r="GS23"/>
  <c r="GE41" l="1"/>
  <c r="GG41" s="1"/>
  <c r="H14" i="25"/>
  <c r="GL24" i="24"/>
  <c r="D16" i="2"/>
  <c r="D14" i="25"/>
  <c r="H16" i="2"/>
  <c r="GR24" i="24"/>
  <c r="B14" i="25"/>
  <c r="I14"/>
  <c r="GJ24" i="24"/>
  <c r="GO24"/>
  <c r="GP24"/>
  <c r="GK24"/>
  <c r="O16" i="2"/>
  <c r="G14" i="25"/>
  <c r="E14"/>
  <c r="E16" i="2"/>
  <c r="F21"/>
  <c r="L21" s="1"/>
  <c r="F20"/>
  <c r="J14" i="25"/>
  <c r="C14"/>
  <c r="F14"/>
  <c r="K19"/>
  <c r="K16" i="2"/>
  <c r="GH24" i="24"/>
  <c r="C16" i="2"/>
  <c r="G16"/>
  <c r="I16"/>
  <c r="GM24" i="24"/>
  <c r="B18" i="19"/>
  <c r="GG29" i="24"/>
  <c r="GE24"/>
  <c r="GQ24"/>
  <c r="GI24"/>
  <c r="GN24"/>
  <c r="GF24"/>
  <c r="FO23"/>
  <c r="FN23"/>
  <c r="FM23"/>
  <c r="FL23"/>
  <c r="FK23"/>
  <c r="FJ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C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BY23"/>
  <c r="BX23"/>
  <c r="BW23"/>
  <c r="J15" i="2" s="1"/>
  <c r="BV23" i="24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J23"/>
  <c r="I23"/>
  <c r="H23"/>
  <c r="G23"/>
  <c r="F23"/>
  <c r="E23"/>
  <c r="D23"/>
  <c r="C23"/>
  <c r="B23"/>
  <c r="GS22"/>
  <c r="H13" i="25" l="1"/>
  <c r="GL23" i="24"/>
  <c r="D15" i="2"/>
  <c r="D13" i="25"/>
  <c r="H15" i="2"/>
  <c r="GR23" i="24"/>
  <c r="B13" i="25"/>
  <c r="I13"/>
  <c r="GK23" i="24"/>
  <c r="GO23"/>
  <c r="GJ23"/>
  <c r="GP23"/>
  <c r="O15" i="2"/>
  <c r="G13" i="25"/>
  <c r="E13"/>
  <c r="F16" i="2"/>
  <c r="L16" s="1"/>
  <c r="K14" i="25"/>
  <c r="F13"/>
  <c r="J13"/>
  <c r="K15" i="2"/>
  <c r="C13" i="25"/>
  <c r="GH23" i="24"/>
  <c r="C15" i="2"/>
  <c r="E15"/>
  <c r="G15"/>
  <c r="I15"/>
  <c r="GM23" i="24"/>
  <c r="B17" i="19"/>
  <c r="GF23" i="24"/>
  <c r="GG24"/>
  <c r="GQ23"/>
  <c r="GI23"/>
  <c r="GN23"/>
  <c r="GE23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C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BY22"/>
  <c r="BX22"/>
  <c r="BW22"/>
  <c r="J14" i="2" s="1"/>
  <c r="BV22" i="24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I14" i="2" s="1"/>
  <c r="AK22" i="24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J22"/>
  <c r="I22"/>
  <c r="H22"/>
  <c r="G22"/>
  <c r="F22"/>
  <c r="E22"/>
  <c r="D22"/>
  <c r="C22"/>
  <c r="B22"/>
  <c r="GS21"/>
  <c r="H12" i="25" l="1"/>
  <c r="D12"/>
  <c r="GR22" i="24"/>
  <c r="H14" i="2"/>
  <c r="B12" i="25"/>
  <c r="I12"/>
  <c r="GJ22" i="24"/>
  <c r="GP22"/>
  <c r="GO22"/>
  <c r="GK22"/>
  <c r="O14" i="2"/>
  <c r="G12" i="25"/>
  <c r="E12"/>
  <c r="F15" i="2"/>
  <c r="L15" s="1"/>
  <c r="K13" i="25"/>
  <c r="K14" i="2"/>
  <c r="J12" i="25"/>
  <c r="F12"/>
  <c r="GH22" i="24"/>
  <c r="C14" i="2"/>
  <c r="E14"/>
  <c r="G14"/>
  <c r="GM22" i="24"/>
  <c r="GG23"/>
  <c r="GQ22"/>
  <c r="GN22"/>
  <c r="GI22"/>
  <c r="GF22"/>
  <c r="FO21"/>
  <c r="FO37" i="16" s="1"/>
  <c r="FN21" i="24"/>
  <c r="FN37" i="16" s="1"/>
  <c r="FM21" i="24"/>
  <c r="FM37" i="16" s="1"/>
  <c r="FL21" i="24"/>
  <c r="FL37" i="16" s="1"/>
  <c r="FK21" i="24"/>
  <c r="FK37" i="16" s="1"/>
  <c r="FJ21" i="24"/>
  <c r="FJ37" i="16" s="1"/>
  <c r="FI21" i="24"/>
  <c r="FI37" i="16" s="1"/>
  <c r="FH21" i="24"/>
  <c r="FH37" i="16" s="1"/>
  <c r="FG21" i="24"/>
  <c r="FG37" i="16" s="1"/>
  <c r="FF21" i="24"/>
  <c r="FF37" i="16" s="1"/>
  <c r="FE21" i="24"/>
  <c r="FE37" i="16" s="1"/>
  <c r="FD21" i="24"/>
  <c r="FD37" i="16" s="1"/>
  <c r="FC21" i="24"/>
  <c r="FC37" i="16" s="1"/>
  <c r="FB21" i="24"/>
  <c r="FB37" i="16" s="1"/>
  <c r="FA21" i="24"/>
  <c r="EZ21"/>
  <c r="EZ37" i="16" s="1"/>
  <c r="EY21" i="24"/>
  <c r="EY37" i="16" s="1"/>
  <c r="EX21" i="24"/>
  <c r="EX37" i="16" s="1"/>
  <c r="EW21" i="24"/>
  <c r="EW37" i="16" s="1"/>
  <c r="EV21" i="24"/>
  <c r="EV37" i="16" s="1"/>
  <c r="EU21" i="24"/>
  <c r="EU37" i="16" s="1"/>
  <c r="ET21" i="24"/>
  <c r="ET37" i="16" s="1"/>
  <c r="ES21" i="24"/>
  <c r="ES37" i="16" s="1"/>
  <c r="ER21" i="24"/>
  <c r="ER37" i="16" s="1"/>
  <c r="EQ21" i="24"/>
  <c r="EQ37" i="16" s="1"/>
  <c r="EP21" i="24"/>
  <c r="EP37" i="16" s="1"/>
  <c r="EO21" i="24"/>
  <c r="EO37" i="16" s="1"/>
  <c r="EN21" i="24"/>
  <c r="EN37" i="16" s="1"/>
  <c r="EM21" i="24"/>
  <c r="EM37" i="16" s="1"/>
  <c r="EL21" i="24"/>
  <c r="EL37" i="16" s="1"/>
  <c r="EK21" i="24"/>
  <c r="EK37" i="16" s="1"/>
  <c r="EJ21" i="24"/>
  <c r="EJ37" i="16" s="1"/>
  <c r="EI21" i="24"/>
  <c r="EI37" i="16" s="1"/>
  <c r="EH21" i="24"/>
  <c r="EH37" i="16" s="1"/>
  <c r="EG21" i="24"/>
  <c r="EG37" i="16" s="1"/>
  <c r="EF21" i="24"/>
  <c r="EF37" i="16" s="1"/>
  <c r="EE21" i="24"/>
  <c r="EE37" i="16" s="1"/>
  <c r="ED21" i="24"/>
  <c r="ED37" i="16" s="1"/>
  <c r="EC21" i="24"/>
  <c r="EC37" i="16" s="1"/>
  <c r="EB21" i="24"/>
  <c r="EB37" i="16" s="1"/>
  <c r="EA21" i="24"/>
  <c r="EA37" i="16" s="1"/>
  <c r="DZ21" i="24"/>
  <c r="DZ37" i="16" s="1"/>
  <c r="DY21" i="24"/>
  <c r="DC21"/>
  <c r="DC37" i="16" s="1"/>
  <c r="DB21" i="24"/>
  <c r="DB37" i="16" s="1"/>
  <c r="DA21" i="24"/>
  <c r="DA37" i="16" s="1"/>
  <c r="CZ21" i="24"/>
  <c r="CZ37" i="16" s="1"/>
  <c r="CY21" i="24"/>
  <c r="CY37" i="16" s="1"/>
  <c r="CX21" i="24"/>
  <c r="CX37" i="16" s="1"/>
  <c r="CW21" i="24"/>
  <c r="CW37" i="16" s="1"/>
  <c r="CV21" i="24"/>
  <c r="CV37" i="16" s="1"/>
  <c r="CU21" i="24"/>
  <c r="CU37" i="16" s="1"/>
  <c r="CT21" i="24"/>
  <c r="CT37" i="16" s="1"/>
  <c r="CS21" i="24"/>
  <c r="CS37" i="16" s="1"/>
  <c r="CR21" i="24"/>
  <c r="CR37" i="16" s="1"/>
  <c r="CQ21" i="24"/>
  <c r="CQ37" i="16" s="1"/>
  <c r="CP21" i="24"/>
  <c r="CP37" i="16" s="1"/>
  <c r="CO21" i="24"/>
  <c r="CO37" i="16" s="1"/>
  <c r="CN21" i="24"/>
  <c r="CN37" i="16" s="1"/>
  <c r="CM21" i="24"/>
  <c r="CM37" i="16" s="1"/>
  <c r="CL21" i="24"/>
  <c r="CL37" i="16" s="1"/>
  <c r="CK21" i="24"/>
  <c r="CK37" i="16" s="1"/>
  <c r="CJ21" i="24"/>
  <c r="CJ37" i="16" s="1"/>
  <c r="CI21" i="24"/>
  <c r="CI37" i="16" s="1"/>
  <c r="CH21" i="24"/>
  <c r="CH37" i="16" s="1"/>
  <c r="CG21" i="24"/>
  <c r="CG37" i="16" s="1"/>
  <c r="CF21" i="24"/>
  <c r="CF37" i="16" s="1"/>
  <c r="CE21" i="24"/>
  <c r="CE37" i="16" s="1"/>
  <c r="CD21" i="24"/>
  <c r="CD37" i="16" s="1"/>
  <c r="CC21" i="24"/>
  <c r="CC37" i="16" s="1"/>
  <c r="CB21" i="24"/>
  <c r="CB37" i="16" s="1"/>
  <c r="CA21" i="24"/>
  <c r="BZ21"/>
  <c r="BZ37" i="16" s="1"/>
  <c r="BY21" i="24"/>
  <c r="BY37" i="16" s="1"/>
  <c r="BX21" i="24"/>
  <c r="BX37" i="16" s="1"/>
  <c r="BW21" i="24"/>
  <c r="BV21"/>
  <c r="BV37" i="16" s="1"/>
  <c r="BU21" i="24"/>
  <c r="BU37" i="16" s="1"/>
  <c r="BT21" i="24"/>
  <c r="BT37" i="16" s="1"/>
  <c r="BS21" i="24"/>
  <c r="BS37" i="16" s="1"/>
  <c r="BR21" i="24"/>
  <c r="BR37" i="16" s="1"/>
  <c r="BQ21" i="24"/>
  <c r="BQ37" i="16" s="1"/>
  <c r="BP21" i="24"/>
  <c r="BP37" i="16" s="1"/>
  <c r="BO21" i="24"/>
  <c r="BO37" i="16" s="1"/>
  <c r="BN21" i="24"/>
  <c r="BN37" i="16" s="1"/>
  <c r="BM21" i="24"/>
  <c r="BM37" i="16" s="1"/>
  <c r="BL21" i="24"/>
  <c r="BL37" i="16" s="1"/>
  <c r="BK21" i="24"/>
  <c r="BK37" i="16" s="1"/>
  <c r="BJ21" i="24"/>
  <c r="BJ37" i="16" s="1"/>
  <c r="BI21" i="24"/>
  <c r="BI37" i="16" s="1"/>
  <c r="BH21" i="24"/>
  <c r="BH37" i="16" s="1"/>
  <c r="BG21" i="24"/>
  <c r="BG37" i="16" s="1"/>
  <c r="BF21" i="24"/>
  <c r="BF37" i="16" s="1"/>
  <c r="BE21" i="24"/>
  <c r="BE37" i="16" s="1"/>
  <c r="BD21" i="24"/>
  <c r="BD37" i="16" s="1"/>
  <c r="BC21" i="24"/>
  <c r="BC37" i="16" s="1"/>
  <c r="BB21" i="24"/>
  <c r="BB37" i="16" s="1"/>
  <c r="BA21" i="24"/>
  <c r="BA37" i="16" s="1"/>
  <c r="AZ21" i="24"/>
  <c r="AZ37" i="16" s="1"/>
  <c r="AY21" i="24"/>
  <c r="AY37" i="16" s="1"/>
  <c r="AX21" i="24"/>
  <c r="AX37" i="16" s="1"/>
  <c r="AW21" i="24"/>
  <c r="AW37" i="16" s="1"/>
  <c r="AV21" i="24"/>
  <c r="AV37" i="16" s="1"/>
  <c r="AT21" i="24"/>
  <c r="AT37" i="16" s="1"/>
  <c r="AS21" i="24"/>
  <c r="AS37" i="16" s="1"/>
  <c r="AR21" i="24"/>
  <c r="AR37" i="16" s="1"/>
  <c r="AQ21" i="24"/>
  <c r="AQ37" i="16" s="1"/>
  <c r="AP21" i="24"/>
  <c r="AP37" i="16" s="1"/>
  <c r="AO21" i="24"/>
  <c r="AO37" i="16" s="1"/>
  <c r="AN21" i="24"/>
  <c r="AN37" i="16" s="1"/>
  <c r="AM21" i="24"/>
  <c r="AK21"/>
  <c r="AK37" i="16" s="1"/>
  <c r="AJ21" i="24"/>
  <c r="AJ37" i="16" s="1"/>
  <c r="AI21" i="24"/>
  <c r="AI37" i="16" s="1"/>
  <c r="AH21" i="24"/>
  <c r="AH37" i="16" s="1"/>
  <c r="AG21" i="24"/>
  <c r="AG37" i="16" s="1"/>
  <c r="AF21" i="24"/>
  <c r="AF37" i="16" s="1"/>
  <c r="AE21" i="24"/>
  <c r="AE37" i="16" s="1"/>
  <c r="AD21" i="24"/>
  <c r="AD37" i="16" s="1"/>
  <c r="AC21" i="24"/>
  <c r="AC37" i="16" s="1"/>
  <c r="AB21" i="24"/>
  <c r="AB37" i="16" s="1"/>
  <c r="AA21" i="24"/>
  <c r="AA37" i="16" s="1"/>
  <c r="Z21" i="24"/>
  <c r="Z37" i="16" s="1"/>
  <c r="Y21" i="24"/>
  <c r="Y37" i="16" s="1"/>
  <c r="X21" i="24"/>
  <c r="X37" i="16" s="1"/>
  <c r="W21" i="24"/>
  <c r="W37" i="16" s="1"/>
  <c r="V21" i="24"/>
  <c r="U21"/>
  <c r="U37" i="16" s="1"/>
  <c r="T21" i="24"/>
  <c r="T37" i="16" s="1"/>
  <c r="S21" i="24"/>
  <c r="S37" i="16" s="1"/>
  <c r="R21" i="24"/>
  <c r="R37" i="16" s="1"/>
  <c r="Q21" i="24"/>
  <c r="Q37" i="16" s="1"/>
  <c r="P21" i="24"/>
  <c r="P37" i="16" s="1"/>
  <c r="O21" i="24"/>
  <c r="O37" i="16" s="1"/>
  <c r="N21" i="24"/>
  <c r="N37" i="16" s="1"/>
  <c r="M21" i="24"/>
  <c r="M37" i="16" s="1"/>
  <c r="L21" i="24"/>
  <c r="L37" i="16" s="1"/>
  <c r="J21" i="24"/>
  <c r="J37" i="16" s="1"/>
  <c r="I21" i="24"/>
  <c r="I37" i="16" s="1"/>
  <c r="H21" i="24"/>
  <c r="H37" i="16" s="1"/>
  <c r="G21" i="24"/>
  <c r="G37" i="16" s="1"/>
  <c r="F21" i="24"/>
  <c r="F37" i="16" s="1"/>
  <c r="E21" i="24"/>
  <c r="E37" i="16" s="1"/>
  <c r="D21" i="24"/>
  <c r="D37" i="16" s="1"/>
  <c r="C21" i="24"/>
  <c r="C37" i="16" s="1"/>
  <c r="B21" i="24"/>
  <c r="GS20"/>
  <c r="FO20"/>
  <c r="FN20"/>
  <c r="FM20"/>
  <c r="FL20"/>
  <c r="FK20"/>
  <c r="FJ20"/>
  <c r="FI20"/>
  <c r="FH20"/>
  <c r="FG20"/>
  <c r="FF20"/>
  <c r="FE20"/>
  <c r="FD20"/>
  <c r="FC20"/>
  <c r="FB20"/>
  <c r="FA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C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BY20"/>
  <c r="BX20"/>
  <c r="BW20"/>
  <c r="J12" i="2" s="1"/>
  <c r="BV20" i="24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T20"/>
  <c r="AS20"/>
  <c r="AR20"/>
  <c r="AQ20"/>
  <c r="AP20"/>
  <c r="AO20"/>
  <c r="AN20"/>
  <c r="AL20"/>
  <c r="I12" i="2" s="1"/>
  <c r="AK20" i="24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J20"/>
  <c r="I20"/>
  <c r="H20"/>
  <c r="G20"/>
  <c r="F20"/>
  <c r="E20"/>
  <c r="D20"/>
  <c r="C20"/>
  <c r="B20"/>
  <c r="FO19"/>
  <c r="FN19"/>
  <c r="FM19"/>
  <c r="FL19"/>
  <c r="FK19"/>
  <c r="FJ19"/>
  <c r="FI19"/>
  <c r="FH19"/>
  <c r="FG19"/>
  <c r="FF19"/>
  <c r="FE19"/>
  <c r="FD19"/>
  <c r="FC19"/>
  <c r="FB19"/>
  <c r="FA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C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BY19"/>
  <c r="BX19"/>
  <c r="BW19"/>
  <c r="J11" i="2" s="1"/>
  <c r="BV19" i="24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T19"/>
  <c r="AS19"/>
  <c r="AR19"/>
  <c r="AQ19"/>
  <c r="AP19"/>
  <c r="AO19"/>
  <c r="AN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J19"/>
  <c r="I19"/>
  <c r="H19"/>
  <c r="G19"/>
  <c r="F19"/>
  <c r="E19"/>
  <c r="D19"/>
  <c r="C19"/>
  <c r="B19"/>
  <c r="GS18"/>
  <c r="FO18"/>
  <c r="FN18"/>
  <c r="FM18"/>
  <c r="FL18"/>
  <c r="FK18"/>
  <c r="FJ18"/>
  <c r="FI18"/>
  <c r="FH18"/>
  <c r="FG18"/>
  <c r="FF18"/>
  <c r="FE18"/>
  <c r="FD18"/>
  <c r="FC18"/>
  <c r="FB18"/>
  <c r="FA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C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BY18"/>
  <c r="BX18"/>
  <c r="BW18"/>
  <c r="J10" i="2" s="1"/>
  <c r="BV18" i="24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T18"/>
  <c r="AS18"/>
  <c r="AR18"/>
  <c r="AQ18"/>
  <c r="AP18"/>
  <c r="AO18"/>
  <c r="AN18"/>
  <c r="AL18"/>
  <c r="I10" i="2" s="1"/>
  <c r="AK18" i="24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J18"/>
  <c r="I18"/>
  <c r="H18"/>
  <c r="G18"/>
  <c r="F18"/>
  <c r="E18"/>
  <c r="D18"/>
  <c r="B18"/>
  <c r="GS17"/>
  <c r="FO17"/>
  <c r="FN17"/>
  <c r="FM17"/>
  <c r="FL17"/>
  <c r="FK17"/>
  <c r="FJ17"/>
  <c r="FI17"/>
  <c r="FH17"/>
  <c r="FG17"/>
  <c r="FF17"/>
  <c r="FE17"/>
  <c r="FD17"/>
  <c r="FC17"/>
  <c r="FB17"/>
  <c r="FA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C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BY17"/>
  <c r="BX17"/>
  <c r="BW17"/>
  <c r="J9" i="2" s="1"/>
  <c r="BV17" i="24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T17"/>
  <c r="AS17"/>
  <c r="AR17"/>
  <c r="AQ17"/>
  <c r="AP17"/>
  <c r="AO17"/>
  <c r="AN17"/>
  <c r="AL17"/>
  <c r="I9" i="2" s="1"/>
  <c r="AK17" i="24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J17"/>
  <c r="I17"/>
  <c r="H17"/>
  <c r="G17"/>
  <c r="F17"/>
  <c r="E17"/>
  <c r="D17"/>
  <c r="C17"/>
  <c r="B17"/>
  <c r="GS16"/>
  <c r="FO16"/>
  <c r="FN16"/>
  <c r="FM16"/>
  <c r="FL16"/>
  <c r="FK16"/>
  <c r="FJ16"/>
  <c r="FI16"/>
  <c r="FH16"/>
  <c r="FG16"/>
  <c r="FF16"/>
  <c r="FE16"/>
  <c r="FD16"/>
  <c r="FC16"/>
  <c r="FB16"/>
  <c r="FA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C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BY16"/>
  <c r="BX16"/>
  <c r="BW16"/>
  <c r="J8" i="2" s="1"/>
  <c r="BV16" i="24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J16"/>
  <c r="I16"/>
  <c r="H16"/>
  <c r="G16"/>
  <c r="F16"/>
  <c r="E16"/>
  <c r="D16"/>
  <c r="C16"/>
  <c r="B16"/>
  <c r="GS15"/>
  <c r="FO15"/>
  <c r="FN15"/>
  <c r="FM15"/>
  <c r="FL15"/>
  <c r="FK15"/>
  <c r="FJ15"/>
  <c r="FI15"/>
  <c r="FH15"/>
  <c r="FG15"/>
  <c r="FF15"/>
  <c r="FE15"/>
  <c r="FD15"/>
  <c r="FC15"/>
  <c r="FB15"/>
  <c r="FA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C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BY15"/>
  <c r="BX15"/>
  <c r="BW15"/>
  <c r="J7" i="2" s="1"/>
  <c r="BV15" i="24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J15"/>
  <c r="I15"/>
  <c r="H15"/>
  <c r="G15"/>
  <c r="F15"/>
  <c r="E15"/>
  <c r="D15"/>
  <c r="C15"/>
  <c r="B15"/>
  <c r="GS14"/>
  <c r="FO14"/>
  <c r="FN14"/>
  <c r="FM14"/>
  <c r="FL14"/>
  <c r="FK14"/>
  <c r="FJ14"/>
  <c r="FI14"/>
  <c r="FH14"/>
  <c r="FG14"/>
  <c r="FF14"/>
  <c r="FE14"/>
  <c r="FD14"/>
  <c r="FC14"/>
  <c r="FB14"/>
  <c r="FA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C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BY14"/>
  <c r="BX14"/>
  <c r="BW14"/>
  <c r="J6" i="2" s="1"/>
  <c r="BV14" i="2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M14"/>
  <c r="L14"/>
  <c r="J14"/>
  <c r="I14"/>
  <c r="H14"/>
  <c r="G14"/>
  <c r="F14"/>
  <c r="E14"/>
  <c r="D14"/>
  <c r="C14"/>
  <c r="B14"/>
  <c r="FE7"/>
  <c r="FD7"/>
  <c r="FB7"/>
  <c r="FA7"/>
  <c r="EO7"/>
  <c r="EN7"/>
  <c r="EM7"/>
  <c r="EJ7"/>
  <c r="CO7"/>
  <c r="CL7"/>
  <c r="CH7"/>
  <c r="CB7"/>
  <c r="CA7"/>
  <c r="BX7"/>
  <c r="BK7"/>
  <c r="BH7"/>
  <c r="BF7"/>
  <c r="BE7"/>
  <c r="BD7"/>
  <c r="AX7"/>
  <c r="AT7"/>
  <c r="AS7"/>
  <c r="AO7"/>
  <c r="AN7"/>
  <c r="AM7"/>
  <c r="AL7"/>
  <c r="AK7"/>
  <c r="T7"/>
  <c r="H26" i="4" s="1"/>
  <c r="S7" i="24"/>
  <c r="P7"/>
  <c r="M7"/>
  <c r="J7"/>
  <c r="I7"/>
  <c r="E7"/>
  <c r="D7"/>
  <c r="A2"/>
  <c r="L22" i="21"/>
  <c r="L21"/>
  <c r="B18" s="1"/>
  <c r="C19"/>
  <c r="C5"/>
  <c r="A32" i="19"/>
  <c r="A30"/>
  <c r="A28"/>
  <c r="A27"/>
  <c r="A26"/>
  <c r="H9" i="25" l="1"/>
  <c r="H10"/>
  <c r="H7"/>
  <c r="H5"/>
  <c r="H8"/>
  <c r="O6" i="2"/>
  <c r="FA37" i="16"/>
  <c r="H11" i="25"/>
  <c r="H4"/>
  <c r="H6"/>
  <c r="V37" i="16"/>
  <c r="D13" i="2"/>
  <c r="GL21" i="24"/>
  <c r="D4" i="25"/>
  <c r="DY37" i="16"/>
  <c r="D11" i="25"/>
  <c r="D10"/>
  <c r="CA37" i="16"/>
  <c r="GR21" i="24"/>
  <c r="H13" i="2"/>
  <c r="GR20" i="24"/>
  <c r="H12" i="2"/>
  <c r="GR14" i="24"/>
  <c r="H6" i="2"/>
  <c r="H8"/>
  <c r="GR16" i="24"/>
  <c r="D7" i="25"/>
  <c r="K8" i="2"/>
  <c r="D6" i="25"/>
  <c r="GR17" i="24"/>
  <c r="H9" i="2"/>
  <c r="K10"/>
  <c r="D8" i="25"/>
  <c r="D5"/>
  <c r="GR19" i="24"/>
  <c r="H11" i="2"/>
  <c r="GR15" i="24"/>
  <c r="H7" i="2"/>
  <c r="H10"/>
  <c r="GR18" i="24"/>
  <c r="D9" i="25"/>
  <c r="B8"/>
  <c r="B4"/>
  <c r="B11"/>
  <c r="B37" i="16"/>
  <c r="B5" i="25"/>
  <c r="B7"/>
  <c r="B10"/>
  <c r="I13" i="2"/>
  <c r="AM37" i="16"/>
  <c r="J13" i="2"/>
  <c r="BW37" i="16"/>
  <c r="I4" i="25"/>
  <c r="B6"/>
  <c r="B9"/>
  <c r="I10"/>
  <c r="I6"/>
  <c r="I5"/>
  <c r="I7"/>
  <c r="I8"/>
  <c r="I9"/>
  <c r="I11"/>
  <c r="GK15" i="24"/>
  <c r="GK17"/>
  <c r="GP18"/>
  <c r="GK14"/>
  <c r="GO15"/>
  <c r="GK16"/>
  <c r="GK18"/>
  <c r="GK19"/>
  <c r="GK21"/>
  <c r="GP16"/>
  <c r="GJ15"/>
  <c r="GP14"/>
  <c r="GK20"/>
  <c r="GP17"/>
  <c r="GP15"/>
  <c r="GO19"/>
  <c r="GP20"/>
  <c r="GJ21"/>
  <c r="GP21"/>
  <c r="GO21"/>
  <c r="GJ17"/>
  <c r="GJ20"/>
  <c r="GJ14"/>
  <c r="GO17"/>
  <c r="GO20"/>
  <c r="GH14"/>
  <c r="GO14"/>
  <c r="GJ16"/>
  <c r="GO16"/>
  <c r="GJ18"/>
  <c r="GJ19"/>
  <c r="GO18"/>
  <c r="GP19"/>
  <c r="O8" i="2"/>
  <c r="O9"/>
  <c r="O11"/>
  <c r="O10"/>
  <c r="O7"/>
  <c r="O12"/>
  <c r="O13"/>
  <c r="G10" i="25"/>
  <c r="G4"/>
  <c r="G7"/>
  <c r="G5"/>
  <c r="G9"/>
  <c r="G11"/>
  <c r="G6"/>
  <c r="G8"/>
  <c r="E10" i="2"/>
  <c r="G10"/>
  <c r="C10"/>
  <c r="E4" i="25"/>
  <c r="E6"/>
  <c r="E10"/>
  <c r="E7"/>
  <c r="E11"/>
  <c r="E5"/>
  <c r="E8"/>
  <c r="E9"/>
  <c r="F11"/>
  <c r="J6"/>
  <c r="J7"/>
  <c r="J8"/>
  <c r="J5"/>
  <c r="J9"/>
  <c r="F9"/>
  <c r="J11"/>
  <c r="K11" i="2"/>
  <c r="K12"/>
  <c r="K9"/>
  <c r="J4" i="25"/>
  <c r="F5"/>
  <c r="C11"/>
  <c r="J10"/>
  <c r="K7" i="2"/>
  <c r="F4" i="25"/>
  <c r="F10"/>
  <c r="K6" i="2"/>
  <c r="F6" i="25"/>
  <c r="F7"/>
  <c r="F8"/>
  <c r="GH16" i="24"/>
  <c r="C6" i="2"/>
  <c r="C7"/>
  <c r="C9"/>
  <c r="C11"/>
  <c r="C12"/>
  <c r="C8"/>
  <c r="GH21" i="24"/>
  <c r="GH15"/>
  <c r="GH17"/>
  <c r="GH18"/>
  <c r="GH19"/>
  <c r="GH20"/>
  <c r="C13" i="2"/>
  <c r="E12"/>
  <c r="E11"/>
  <c r="E7"/>
  <c r="E9"/>
  <c r="E6"/>
  <c r="E8"/>
  <c r="E13"/>
  <c r="F144" i="8"/>
  <c r="H144" i="4"/>
  <c r="I7" i="2"/>
  <c r="I6"/>
  <c r="G6"/>
  <c r="G8"/>
  <c r="G9"/>
  <c r="G7"/>
  <c r="I8"/>
  <c r="G11"/>
  <c r="B16" i="21"/>
  <c r="B14"/>
  <c r="B12"/>
  <c r="G12" i="2"/>
  <c r="G13"/>
  <c r="GI21" i="24"/>
  <c r="K13" i="2"/>
  <c r="GI18" i="24"/>
  <c r="GQ14"/>
  <c r="GM21"/>
  <c r="GM20"/>
  <c r="GM14"/>
  <c r="GM15"/>
  <c r="GM16"/>
  <c r="GM17"/>
  <c r="GM18"/>
  <c r="GM19"/>
  <c r="F2"/>
  <c r="B13" i="21"/>
  <c r="B17"/>
  <c r="D17" s="1"/>
  <c r="B11"/>
  <c r="B15"/>
  <c r="GI14" i="24"/>
  <c r="GI15"/>
  <c r="GN15"/>
  <c r="GI16"/>
  <c r="GN16"/>
  <c r="GI17"/>
  <c r="GN17"/>
  <c r="GN18"/>
  <c r="GI19"/>
  <c r="GN19"/>
  <c r="GF19"/>
  <c r="GN20"/>
  <c r="GF20"/>
  <c r="GN14"/>
  <c r="GF15"/>
  <c r="GF16"/>
  <c r="GF17"/>
  <c r="GF14"/>
  <c r="GQ18"/>
  <c r="GE21"/>
  <c r="GQ20"/>
  <c r="GQ21"/>
  <c r="GQ19"/>
  <c r="GF18"/>
  <c r="GI20"/>
  <c r="GN21"/>
  <c r="GQ15"/>
  <c r="GQ16"/>
  <c r="GQ17"/>
  <c r="GF21"/>
  <c r="A25" i="19"/>
  <c r="A24"/>
  <c r="A23"/>
  <c r="A22"/>
  <c r="A21"/>
  <c r="A20"/>
  <c r="A19"/>
  <c r="A18"/>
  <c r="D18" s="1"/>
  <c r="A17"/>
  <c r="D17" s="1"/>
  <c r="A16"/>
  <c r="K11" i="25" l="1"/>
  <c r="F13" i="2"/>
  <c r="L13" s="1"/>
  <c r="GG21" i="24"/>
  <c r="A15" i="19"/>
  <c r="A14"/>
  <c r="A13"/>
  <c r="A12" l="1"/>
  <c r="D12" s="1"/>
  <c r="A11" l="1"/>
  <c r="D11" s="1"/>
  <c r="A10"/>
  <c r="A9"/>
  <c r="D9" s="1"/>
  <c r="A8"/>
  <c r="A7"/>
  <c r="A6"/>
  <c r="A5"/>
  <c r="A4"/>
  <c r="A3" l="1"/>
  <c r="A2"/>
  <c r="K54" i="18"/>
  <c r="D54"/>
  <c r="C54"/>
  <c r="B54"/>
  <c r="T53"/>
  <c r="K52"/>
  <c r="D52"/>
  <c r="C52"/>
  <c r="B52"/>
  <c r="D50"/>
  <c r="C50"/>
  <c r="B50"/>
  <c r="D48"/>
  <c r="C48"/>
  <c r="B48"/>
  <c r="L53" l="1"/>
  <c r="K53"/>
  <c r="K51"/>
  <c r="J51" s="1"/>
  <c r="F51"/>
  <c r="B51"/>
  <c r="G51"/>
  <c r="D53"/>
  <c r="B49"/>
  <c r="G49"/>
  <c r="L49"/>
  <c r="C53"/>
  <c r="B53" s="1"/>
  <c r="D49"/>
  <c r="C49" s="1"/>
  <c r="J49"/>
  <c r="J53"/>
  <c r="H53" s="1"/>
  <c r="G53" s="1"/>
  <c r="F53" s="1"/>
  <c r="H49"/>
  <c r="L51"/>
  <c r="D51"/>
  <c r="C51" s="1"/>
  <c r="F49"/>
  <c r="L47"/>
  <c r="K46"/>
  <c r="K47" s="1"/>
  <c r="J47"/>
  <c r="G47"/>
  <c r="F47"/>
  <c r="D46"/>
  <c r="D47" s="1"/>
  <c r="C46"/>
  <c r="B46"/>
  <c r="B47" s="1"/>
  <c r="K45"/>
  <c r="D45"/>
  <c r="C45"/>
  <c r="B45"/>
  <c r="K44"/>
  <c r="D44"/>
  <c r="C44"/>
  <c r="B44"/>
  <c r="K42"/>
  <c r="D42"/>
  <c r="C42"/>
  <c r="B42"/>
  <c r="K40"/>
  <c r="K39" s="1"/>
  <c r="D40"/>
  <c r="C40"/>
  <c r="B40"/>
  <c r="D38"/>
  <c r="C38"/>
  <c r="B38"/>
  <c r="K36"/>
  <c r="D36"/>
  <c r="C36"/>
  <c r="B36"/>
  <c r="D34"/>
  <c r="C34"/>
  <c r="B34"/>
  <c r="D32"/>
  <c r="C32"/>
  <c r="B32"/>
  <c r="D30"/>
  <c r="C30"/>
  <c r="B30"/>
  <c r="K28"/>
  <c r="D28"/>
  <c r="C28"/>
  <c r="B28"/>
  <c r="K26"/>
  <c r="D26"/>
  <c r="C26"/>
  <c r="B26"/>
  <c r="K24"/>
  <c r="D24"/>
  <c r="C24"/>
  <c r="B24"/>
  <c r="K22"/>
  <c r="D22"/>
  <c r="C22"/>
  <c r="B22"/>
  <c r="K20"/>
  <c r="D20"/>
  <c r="C20"/>
  <c r="B20"/>
  <c r="K35" l="1"/>
  <c r="K37"/>
  <c r="F33"/>
  <c r="H37"/>
  <c r="C35"/>
  <c r="B37"/>
  <c r="G37"/>
  <c r="L37"/>
  <c r="F39"/>
  <c r="H35"/>
  <c r="C39"/>
  <c r="H39"/>
  <c r="J33"/>
  <c r="B21"/>
  <c r="D25"/>
  <c r="J25"/>
  <c r="L21"/>
  <c r="F21"/>
  <c r="J23"/>
  <c r="D31"/>
  <c r="D39"/>
  <c r="G21"/>
  <c r="K21"/>
  <c r="D23"/>
  <c r="G27"/>
  <c r="F29"/>
  <c r="K29"/>
  <c r="C33"/>
  <c r="H33"/>
  <c r="F37"/>
  <c r="G23"/>
  <c r="C23"/>
  <c r="B25"/>
  <c r="L25"/>
  <c r="C31"/>
  <c r="H31"/>
  <c r="B33"/>
  <c r="G33"/>
  <c r="L33"/>
  <c r="F35"/>
  <c r="H23"/>
  <c r="J39"/>
  <c r="K41"/>
  <c r="J21"/>
  <c r="B35"/>
  <c r="G35"/>
  <c r="L35"/>
  <c r="C37"/>
  <c r="C41"/>
  <c r="H41"/>
  <c r="F41"/>
  <c r="D27"/>
  <c r="J27"/>
  <c r="D21"/>
  <c r="F25"/>
  <c r="K25"/>
  <c r="C27"/>
  <c r="H27"/>
  <c r="B29"/>
  <c r="G29"/>
  <c r="L29"/>
  <c r="D33"/>
  <c r="D41"/>
  <c r="J41"/>
  <c r="B23"/>
  <c r="G25"/>
  <c r="L27"/>
  <c r="J37"/>
  <c r="B41"/>
  <c r="L41"/>
  <c r="D29"/>
  <c r="C29" s="1"/>
  <c r="J29"/>
  <c r="B31"/>
  <c r="G31"/>
  <c r="F31" s="1"/>
  <c r="L31"/>
  <c r="D35"/>
  <c r="J35"/>
  <c r="B39"/>
  <c r="G39"/>
  <c r="L39"/>
  <c r="L23"/>
  <c r="B27"/>
  <c r="D37"/>
  <c r="G41"/>
  <c r="C21"/>
  <c r="H21"/>
  <c r="F23"/>
  <c r="K23"/>
  <c r="C25"/>
  <c r="H25"/>
  <c r="F27"/>
  <c r="K27"/>
  <c r="H29"/>
  <c r="C47"/>
  <c r="L43"/>
  <c r="K43" s="1"/>
  <c r="J43" s="1"/>
  <c r="H43" s="1"/>
  <c r="G43" s="1"/>
  <c r="F43" s="1"/>
  <c r="D43" s="1"/>
  <c r="C43" s="1"/>
  <c r="B43" s="1"/>
  <c r="H47"/>
  <c r="L19"/>
  <c r="K18"/>
  <c r="K19" s="1"/>
  <c r="J19"/>
  <c r="H19"/>
  <c r="G19"/>
  <c r="F19"/>
  <c r="D18"/>
  <c r="D19" s="1"/>
  <c r="C18"/>
  <c r="C19" s="1"/>
  <c r="B18"/>
  <c r="B19" s="1"/>
  <c r="K16"/>
  <c r="D16"/>
  <c r="C16"/>
  <c r="B16"/>
  <c r="K14"/>
  <c r="D14"/>
  <c r="C14"/>
  <c r="B14"/>
  <c r="K12"/>
  <c r="D12"/>
  <c r="C12"/>
  <c r="B12"/>
  <c r="K10"/>
  <c r="D10"/>
  <c r="C10"/>
  <c r="B10"/>
  <c r="K8"/>
  <c r="D8"/>
  <c r="C8"/>
  <c r="B8"/>
  <c r="K6"/>
  <c r="D6"/>
  <c r="C6"/>
  <c r="B6"/>
  <c r="F3"/>
  <c r="AD9" s="1"/>
  <c r="AD11" s="1"/>
  <c r="B3"/>
  <c r="R4" s="1"/>
  <c r="C52" i="17"/>
  <c r="D50"/>
  <c r="C50"/>
  <c r="D48"/>
  <c r="C48"/>
  <c r="D46"/>
  <c r="C46"/>
  <c r="D44"/>
  <c r="C44"/>
  <c r="D43"/>
  <c r="C43"/>
  <c r="D42"/>
  <c r="C42"/>
  <c r="D40"/>
  <c r="C40"/>
  <c r="D38"/>
  <c r="C38"/>
  <c r="D36"/>
  <c r="C36"/>
  <c r="B11" i="18" l="1"/>
  <c r="G11"/>
  <c r="L11"/>
  <c r="D11"/>
  <c r="J11"/>
  <c r="K17"/>
  <c r="E36" i="17"/>
  <c r="H7" i="18"/>
  <c r="C45" i="17"/>
  <c r="C17" i="18"/>
  <c r="H17"/>
  <c r="C11"/>
  <c r="H11"/>
  <c r="C37" i="17"/>
  <c r="E43"/>
  <c r="D7" i="18"/>
  <c r="J7"/>
  <c r="S7"/>
  <c r="C3" i="15" s="1"/>
  <c r="D41" i="17"/>
  <c r="E44"/>
  <c r="F7" i="18"/>
  <c r="K7"/>
  <c r="D13"/>
  <c r="C13" s="1"/>
  <c r="J13"/>
  <c r="C15"/>
  <c r="H15"/>
  <c r="D49" i="17"/>
  <c r="H13" i="18"/>
  <c r="F17"/>
  <c r="D37" i="17"/>
  <c r="E40"/>
  <c r="D45"/>
  <c r="E48"/>
  <c r="C7" i="18"/>
  <c r="B7" s="1"/>
  <c r="B13"/>
  <c r="G13"/>
  <c r="L13"/>
  <c r="F15"/>
  <c r="K15"/>
  <c r="B17"/>
  <c r="G17"/>
  <c r="L17"/>
  <c r="D51" i="17"/>
  <c r="E52"/>
  <c r="L7" i="18"/>
  <c r="F11"/>
  <c r="K11"/>
  <c r="D15"/>
  <c r="J15"/>
  <c r="D39" i="17"/>
  <c r="C51"/>
  <c r="F13" i="18"/>
  <c r="K13"/>
  <c r="C39" i="17"/>
  <c r="B15" i="18"/>
  <c r="G15"/>
  <c r="L15"/>
  <c r="D17"/>
  <c r="J17"/>
  <c r="C49" i="17"/>
  <c r="E50"/>
  <c r="D47"/>
  <c r="G7" i="18"/>
  <c r="C47" i="17"/>
  <c r="E38"/>
  <c r="C41"/>
  <c r="E42"/>
  <c r="E46"/>
  <c r="L9" i="18"/>
  <c r="K9" s="1"/>
  <c r="J9" s="1"/>
  <c r="H9" s="1"/>
  <c r="G9" s="1"/>
  <c r="F9" s="1"/>
  <c r="D9" s="1"/>
  <c r="C9" s="1"/>
  <c r="B9" s="1"/>
  <c r="D34" i="17"/>
  <c r="D35" s="1"/>
  <c r="C34"/>
  <c r="D32"/>
  <c r="C32"/>
  <c r="D30"/>
  <c r="C30"/>
  <c r="D28"/>
  <c r="C28"/>
  <c r="D26"/>
  <c r="C26"/>
  <c r="D24"/>
  <c r="C24"/>
  <c r="D22"/>
  <c r="C22"/>
  <c r="D20"/>
  <c r="C20"/>
  <c r="D18"/>
  <c r="C18"/>
  <c r="E37" l="1"/>
  <c r="E51"/>
  <c r="E49"/>
  <c r="E45"/>
  <c r="E41"/>
  <c r="C25"/>
  <c r="E22"/>
  <c r="D19"/>
  <c r="D33"/>
  <c r="D21"/>
  <c r="E24"/>
  <c r="D27"/>
  <c r="D23"/>
  <c r="D29"/>
  <c r="E39"/>
  <c r="D31"/>
  <c r="E47"/>
  <c r="E18"/>
  <c r="E26"/>
  <c r="E32"/>
  <c r="C29"/>
  <c r="E20"/>
  <c r="C23"/>
  <c r="E28"/>
  <c r="C31"/>
  <c r="C35"/>
  <c r="C21"/>
  <c r="C19"/>
  <c r="C27"/>
  <c r="E30"/>
  <c r="C33"/>
  <c r="E34"/>
  <c r="D16"/>
  <c r="D17" s="1"/>
  <c r="C16"/>
  <c r="D14"/>
  <c r="C14"/>
  <c r="E33" l="1"/>
  <c r="E19"/>
  <c r="E21"/>
  <c r="E29"/>
  <c r="E23"/>
  <c r="C15"/>
  <c r="E35"/>
  <c r="E27"/>
  <c r="E31"/>
  <c r="C17"/>
  <c r="E17" s="1"/>
  <c r="E16"/>
  <c r="T12"/>
  <c r="D12"/>
  <c r="D13" s="1"/>
  <c r="C12"/>
  <c r="T11"/>
  <c r="T10"/>
  <c r="D10"/>
  <c r="C10"/>
  <c r="T9"/>
  <c r="D8"/>
  <c r="C8"/>
  <c r="D9" l="1"/>
  <c r="C11"/>
  <c r="E12"/>
  <c r="C13"/>
  <c r="E13" s="1"/>
  <c r="C9"/>
  <c r="E8"/>
  <c r="E10"/>
  <c r="D6"/>
  <c r="C6"/>
  <c r="E9" l="1"/>
  <c r="C7"/>
  <c r="E6"/>
  <c r="C4"/>
  <c r="B1"/>
  <c r="I5" s="1"/>
  <c r="E44" i="16"/>
  <c r="D44" s="1"/>
  <c r="D43"/>
  <c r="D40"/>
  <c r="E40" s="1"/>
  <c r="E39"/>
  <c r="T14" i="17" l="1"/>
  <c r="E14" s="1"/>
  <c r="E43" i="16"/>
  <c r="E4" i="17"/>
  <c r="C5"/>
  <c r="T13"/>
  <c r="D45" i="16"/>
  <c r="G208" i="4" s="1"/>
  <c r="C5" i="14" l="1"/>
  <c r="B231" i="13"/>
  <c r="J174" l="1"/>
  <c r="I174"/>
  <c r="H174"/>
  <c r="G174"/>
  <c r="F174"/>
  <c r="E174"/>
  <c r="C174"/>
  <c r="J173"/>
  <c r="I173"/>
  <c r="H173"/>
  <c r="G173"/>
  <c r="F173"/>
  <c r="E173"/>
  <c r="C173"/>
  <c r="J172"/>
  <c r="I172"/>
  <c r="H172"/>
  <c r="G172"/>
  <c r="F172"/>
  <c r="E172"/>
  <c r="C172"/>
  <c r="G180" l="1"/>
  <c r="I180"/>
  <c r="H180"/>
  <c r="J165"/>
  <c r="I165"/>
  <c r="H165"/>
  <c r="G165"/>
  <c r="F165"/>
  <c r="E165"/>
  <c r="C165"/>
  <c r="J164"/>
  <c r="I164"/>
  <c r="H164"/>
  <c r="G164"/>
  <c r="F164"/>
  <c r="E164"/>
  <c r="C164"/>
  <c r="J163"/>
  <c r="I163"/>
  <c r="H163"/>
  <c r="G163"/>
  <c r="F163"/>
  <c r="E163"/>
  <c r="C163"/>
  <c r="J162"/>
  <c r="I162"/>
  <c r="H162"/>
  <c r="G162"/>
  <c r="F162"/>
  <c r="E162"/>
  <c r="C162"/>
  <c r="J161"/>
  <c r="I161"/>
  <c r="H161"/>
  <c r="G161"/>
  <c r="F161"/>
  <c r="E161"/>
  <c r="C161"/>
  <c r="J160"/>
  <c r="I160"/>
  <c r="G160"/>
  <c r="F160"/>
  <c r="E160"/>
  <c r="C160"/>
  <c r="J159"/>
  <c r="I159"/>
  <c r="G159"/>
  <c r="F159"/>
  <c r="E159"/>
  <c r="J158"/>
  <c r="I158"/>
  <c r="H158"/>
  <c r="G158"/>
  <c r="F158"/>
  <c r="E158"/>
  <c r="J157"/>
  <c r="I157"/>
  <c r="H157"/>
  <c r="G157"/>
  <c r="F157"/>
  <c r="E157"/>
  <c r="J156"/>
  <c r="I156"/>
  <c r="H156"/>
  <c r="G156"/>
  <c r="F156"/>
  <c r="E156"/>
  <c r="C156"/>
  <c r="J155"/>
  <c r="I155"/>
  <c r="H155"/>
  <c r="G155"/>
  <c r="F155"/>
  <c r="E155"/>
  <c r="C155"/>
  <c r="J154"/>
  <c r="I154"/>
  <c r="H154"/>
  <c r="G154"/>
  <c r="F154"/>
  <c r="E154"/>
  <c r="C154"/>
  <c r="J153"/>
  <c r="I153"/>
  <c r="H153"/>
  <c r="G153"/>
  <c r="F153"/>
  <c r="E153"/>
  <c r="C153"/>
  <c r="J152"/>
  <c r="I152"/>
  <c r="H152"/>
  <c r="G152"/>
  <c r="F152"/>
  <c r="E152"/>
  <c r="C152"/>
  <c r="J151"/>
  <c r="I151"/>
  <c r="H151"/>
  <c r="G151"/>
  <c r="F151"/>
  <c r="E151"/>
  <c r="C151"/>
  <c r="J150"/>
  <c r="I150"/>
  <c r="H150"/>
  <c r="G150"/>
  <c r="F150"/>
  <c r="E150"/>
  <c r="C150"/>
  <c r="J144"/>
  <c r="I144"/>
  <c r="H144"/>
  <c r="G144"/>
  <c r="F144"/>
  <c r="E144"/>
  <c r="C144"/>
  <c r="J143"/>
  <c r="I143"/>
  <c r="H143"/>
  <c r="G143"/>
  <c r="F143"/>
  <c r="E143"/>
  <c r="C143"/>
  <c r="J142"/>
  <c r="I142"/>
  <c r="H142"/>
  <c r="G142"/>
  <c r="F142"/>
  <c r="E142"/>
  <c r="C142"/>
  <c r="I149" l="1"/>
  <c r="G149"/>
  <c r="H149"/>
  <c r="G171"/>
  <c r="H171"/>
  <c r="I171"/>
  <c r="J135"/>
  <c r="I135"/>
  <c r="H135"/>
  <c r="G135"/>
  <c r="F135"/>
  <c r="E135"/>
  <c r="C135"/>
  <c r="J134"/>
  <c r="I134"/>
  <c r="H134"/>
  <c r="G134"/>
  <c r="F134"/>
  <c r="E134"/>
  <c r="C134"/>
  <c r="J133"/>
  <c r="I133"/>
  <c r="H133"/>
  <c r="G133"/>
  <c r="F133"/>
  <c r="E133"/>
  <c r="C133"/>
  <c r="J132"/>
  <c r="I132"/>
  <c r="H132"/>
  <c r="G132"/>
  <c r="F132"/>
  <c r="E132"/>
  <c r="C132"/>
  <c r="J131"/>
  <c r="I131"/>
  <c r="H131"/>
  <c r="G131"/>
  <c r="F131"/>
  <c r="E131"/>
  <c r="C131"/>
  <c r="J130"/>
  <c r="I130"/>
  <c r="H130"/>
  <c r="G130"/>
  <c r="F130"/>
  <c r="E130"/>
  <c r="C130"/>
  <c r="J129"/>
  <c r="I129"/>
  <c r="H129"/>
  <c r="G129"/>
  <c r="F129"/>
  <c r="E129"/>
  <c r="C129"/>
  <c r="J123"/>
  <c r="I123"/>
  <c r="H123"/>
  <c r="G123"/>
  <c r="F123"/>
  <c r="E123"/>
  <c r="C123"/>
  <c r="J122"/>
  <c r="I122"/>
  <c r="H122"/>
  <c r="G122"/>
  <c r="F122"/>
  <c r="E122"/>
  <c r="C122"/>
  <c r="J121"/>
  <c r="I121"/>
  <c r="H121"/>
  <c r="G121"/>
  <c r="F121"/>
  <c r="E121"/>
  <c r="C121"/>
  <c r="J120"/>
  <c r="I120"/>
  <c r="H120"/>
  <c r="G120"/>
  <c r="F120"/>
  <c r="E120"/>
  <c r="C120"/>
  <c r="J118"/>
  <c r="I118"/>
  <c r="H118"/>
  <c r="G118"/>
  <c r="F118"/>
  <c r="E118"/>
  <c r="C118"/>
  <c r="J117"/>
  <c r="I117"/>
  <c r="H117"/>
  <c r="G117"/>
  <c r="F117"/>
  <c r="E117"/>
  <c r="C117"/>
  <c r="J116"/>
  <c r="I116"/>
  <c r="H116"/>
  <c r="G116"/>
  <c r="F116"/>
  <c r="E116"/>
  <c r="C116"/>
  <c r="J115"/>
  <c r="I115"/>
  <c r="H115"/>
  <c r="G115"/>
  <c r="F115"/>
  <c r="E115"/>
  <c r="C115"/>
  <c r="J114"/>
  <c r="I114"/>
  <c r="H114"/>
  <c r="G114"/>
  <c r="F114"/>
  <c r="E114"/>
  <c r="C114"/>
  <c r="J113"/>
  <c r="I113"/>
  <c r="H113"/>
  <c r="G113"/>
  <c r="F113"/>
  <c r="E113"/>
  <c r="C113"/>
  <c r="J112"/>
  <c r="I112"/>
  <c r="H112"/>
  <c r="G112"/>
  <c r="F112"/>
  <c r="E112"/>
  <c r="C112"/>
  <c r="J111"/>
  <c r="I111"/>
  <c r="H111"/>
  <c r="G111"/>
  <c r="F111"/>
  <c r="E111"/>
  <c r="C111"/>
  <c r="J110"/>
  <c r="I110"/>
  <c r="H110"/>
  <c r="G110"/>
  <c r="F110"/>
  <c r="E110"/>
  <c r="C110"/>
  <c r="G141" l="1"/>
  <c r="H141"/>
  <c r="I141"/>
  <c r="G128"/>
  <c r="I128"/>
  <c r="H128"/>
  <c r="I104"/>
  <c r="H104"/>
  <c r="G104"/>
  <c r="F104"/>
  <c r="E104"/>
  <c r="C104"/>
  <c r="I103"/>
  <c r="H103"/>
  <c r="G103"/>
  <c r="F103"/>
  <c r="E103"/>
  <c r="C103"/>
  <c r="J102"/>
  <c r="I102"/>
  <c r="H102"/>
  <c r="G102"/>
  <c r="F102"/>
  <c r="E102"/>
  <c r="C102"/>
  <c r="J101"/>
  <c r="I101"/>
  <c r="H101"/>
  <c r="G101"/>
  <c r="F101"/>
  <c r="E101"/>
  <c r="C101"/>
  <c r="J100"/>
  <c r="J94"/>
  <c r="I94"/>
  <c r="H94"/>
  <c r="G94"/>
  <c r="F94"/>
  <c r="E94"/>
  <c r="C94"/>
  <c r="J93"/>
  <c r="I93"/>
  <c r="H93"/>
  <c r="G93"/>
  <c r="F93"/>
  <c r="E93"/>
  <c r="C93"/>
  <c r="J92"/>
  <c r="I92"/>
  <c r="H92"/>
  <c r="G92"/>
  <c r="F92"/>
  <c r="E92"/>
  <c r="C92"/>
  <c r="J91"/>
  <c r="I91"/>
  <c r="H91"/>
  <c r="G91"/>
  <c r="F91"/>
  <c r="E91"/>
  <c r="C91"/>
  <c r="J90"/>
  <c r="I90"/>
  <c r="H90"/>
  <c r="G90"/>
  <c r="F90"/>
  <c r="E90"/>
  <c r="C90"/>
  <c r="J89"/>
  <c r="I89"/>
  <c r="H89"/>
  <c r="G89"/>
  <c r="F89"/>
  <c r="E89"/>
  <c r="C89"/>
  <c r="J88"/>
  <c r="I88"/>
  <c r="H88"/>
  <c r="G88"/>
  <c r="F88"/>
  <c r="E88"/>
  <c r="C88"/>
  <c r="J87"/>
  <c r="I87"/>
  <c r="H87"/>
  <c r="G87"/>
  <c r="F87"/>
  <c r="E87"/>
  <c r="C87"/>
  <c r="J86"/>
  <c r="I86"/>
  <c r="H86"/>
  <c r="G86"/>
  <c r="F86"/>
  <c r="E86"/>
  <c r="C86"/>
  <c r="J85"/>
  <c r="I85"/>
  <c r="H85"/>
  <c r="G85"/>
  <c r="F85"/>
  <c r="E85"/>
  <c r="C85"/>
  <c r="J84"/>
  <c r="I84"/>
  <c r="H84"/>
  <c r="G84"/>
  <c r="F84"/>
  <c r="E84"/>
  <c r="J83"/>
  <c r="I83"/>
  <c r="H83"/>
  <c r="G83"/>
  <c r="F83"/>
  <c r="E83"/>
  <c r="C83"/>
  <c r="J82"/>
  <c r="I82"/>
  <c r="H82"/>
  <c r="G82"/>
  <c r="F82"/>
  <c r="E82"/>
  <c r="C82"/>
  <c r="J81"/>
  <c r="I81"/>
  <c r="H81"/>
  <c r="G81"/>
  <c r="F81"/>
  <c r="E81"/>
  <c r="C81"/>
  <c r="J80"/>
  <c r="I80"/>
  <c r="H80"/>
  <c r="G80"/>
  <c r="F80"/>
  <c r="E80"/>
  <c r="C80"/>
  <c r="J79"/>
  <c r="I79"/>
  <c r="H79"/>
  <c r="G79"/>
  <c r="F79"/>
  <c r="E79"/>
  <c r="C79"/>
  <c r="J78"/>
  <c r="H78"/>
  <c r="G78"/>
  <c r="F78"/>
  <c r="E78"/>
  <c r="C78"/>
  <c r="J77"/>
  <c r="I77"/>
  <c r="H77"/>
  <c r="G77"/>
  <c r="F77"/>
  <c r="E77"/>
  <c r="C77"/>
  <c r="J76"/>
  <c r="I76"/>
  <c r="H76"/>
  <c r="G76"/>
  <c r="F76"/>
  <c r="E76"/>
  <c r="C76"/>
  <c r="J75"/>
  <c r="I75"/>
  <c r="H75"/>
  <c r="G75"/>
  <c r="F75"/>
  <c r="E75"/>
  <c r="C75"/>
  <c r="I100" l="1"/>
  <c r="H100"/>
  <c r="G100"/>
  <c r="G109"/>
  <c r="H109"/>
  <c r="I109"/>
  <c r="J67"/>
  <c r="I67"/>
  <c r="H67"/>
  <c r="G67"/>
  <c r="F67"/>
  <c r="E67"/>
  <c r="C67"/>
  <c r="J66"/>
  <c r="I66"/>
  <c r="H66"/>
  <c r="G66"/>
  <c r="F66"/>
  <c r="C66"/>
  <c r="J65"/>
  <c r="I65"/>
  <c r="H65"/>
  <c r="G65"/>
  <c r="F65"/>
  <c r="E65"/>
  <c r="C65"/>
  <c r="J64"/>
  <c r="I64"/>
  <c r="H64"/>
  <c r="G64"/>
  <c r="F64"/>
  <c r="E64"/>
  <c r="C64"/>
  <c r="J63"/>
  <c r="I63"/>
  <c r="H63"/>
  <c r="G63"/>
  <c r="F63"/>
  <c r="E63"/>
  <c r="C63"/>
  <c r="J62"/>
  <c r="I62"/>
  <c r="H62"/>
  <c r="G62"/>
  <c r="F62"/>
  <c r="E62"/>
  <c r="C62"/>
  <c r="J61"/>
  <c r="I61"/>
  <c r="H61"/>
  <c r="G61"/>
  <c r="F61"/>
  <c r="E61"/>
  <c r="C61"/>
  <c r="J59"/>
  <c r="I59"/>
  <c r="H59"/>
  <c r="G59"/>
  <c r="F59"/>
  <c r="E59"/>
  <c r="J58"/>
  <c r="I58"/>
  <c r="H58"/>
  <c r="G58"/>
  <c r="F58"/>
  <c r="E58"/>
  <c r="J57"/>
  <c r="I57"/>
  <c r="H57"/>
  <c r="G57"/>
  <c r="E57"/>
  <c r="J56"/>
  <c r="I56"/>
  <c r="H56"/>
  <c r="G56"/>
  <c r="F56"/>
  <c r="E56"/>
  <c r="C56"/>
  <c r="J55"/>
  <c r="I55"/>
  <c r="H55"/>
  <c r="G55"/>
  <c r="F55" l="1"/>
  <c r="E55"/>
  <c r="C55"/>
  <c r="J54"/>
  <c r="I54"/>
  <c r="H54"/>
  <c r="G54"/>
  <c r="F54"/>
  <c r="E54"/>
  <c r="C54"/>
  <c r="J53"/>
  <c r="I53"/>
  <c r="H53"/>
  <c r="G53"/>
  <c r="F53"/>
  <c r="E53"/>
  <c r="C53"/>
  <c r="J52"/>
  <c r="I52"/>
  <c r="H52"/>
  <c r="G52"/>
  <c r="F52"/>
  <c r="E52"/>
  <c r="C52"/>
  <c r="J43"/>
  <c r="I43"/>
  <c r="H43"/>
  <c r="G43"/>
  <c r="F43"/>
  <c r="E43"/>
  <c r="C43"/>
  <c r="J42"/>
  <c r="I42"/>
  <c r="H42"/>
  <c r="F42"/>
  <c r="E42"/>
  <c r="C42"/>
  <c r="J41"/>
  <c r="I41"/>
  <c r="H41"/>
  <c r="G41"/>
  <c r="F41"/>
  <c r="E41"/>
  <c r="C41"/>
  <c r="J40"/>
  <c r="I40"/>
  <c r="H40"/>
  <c r="G40"/>
  <c r="F40"/>
  <c r="E40"/>
  <c r="C40"/>
  <c r="J39"/>
  <c r="I39"/>
  <c r="H39"/>
  <c r="G39"/>
  <c r="F39"/>
  <c r="E39"/>
  <c r="C39"/>
  <c r="J38"/>
  <c r="I38"/>
  <c r="H38"/>
  <c r="G38"/>
  <c r="F38"/>
  <c r="E38"/>
  <c r="C38"/>
  <c r="J37"/>
  <c r="I37"/>
  <c r="H37"/>
  <c r="G37"/>
  <c r="F37"/>
  <c r="E37"/>
  <c r="C37"/>
  <c r="J36"/>
  <c r="I36"/>
  <c r="H36"/>
  <c r="G36"/>
  <c r="F36"/>
  <c r="E36"/>
  <c r="J35"/>
  <c r="I35"/>
  <c r="H35"/>
  <c r="G35"/>
  <c r="F35"/>
  <c r="E35"/>
  <c r="C35"/>
  <c r="J34"/>
  <c r="I34"/>
  <c r="H34"/>
  <c r="G34"/>
  <c r="F34"/>
  <c r="E34"/>
  <c r="C34"/>
  <c r="J33"/>
  <c r="I33"/>
  <c r="H33"/>
  <c r="G33"/>
  <c r="F33"/>
  <c r="E33"/>
  <c r="C33"/>
  <c r="J32"/>
  <c r="I32"/>
  <c r="H32"/>
  <c r="G32"/>
  <c r="F32"/>
  <c r="E32"/>
  <c r="C32"/>
  <c r="J31"/>
  <c r="I31"/>
  <c r="H31"/>
  <c r="G31"/>
  <c r="F31"/>
  <c r="E31"/>
  <c r="C31"/>
  <c r="I30"/>
  <c r="H30"/>
  <c r="G30"/>
  <c r="F30"/>
  <c r="E30"/>
  <c r="C30"/>
  <c r="J29"/>
  <c r="I29"/>
  <c r="H29"/>
  <c r="G29"/>
  <c r="F29"/>
  <c r="E29"/>
  <c r="C29"/>
  <c r="J28"/>
  <c r="I28"/>
  <c r="H28"/>
  <c r="G28"/>
  <c r="F28"/>
  <c r="E28"/>
  <c r="C28"/>
  <c r="J27"/>
  <c r="I27"/>
  <c r="H27"/>
  <c r="G27"/>
  <c r="F27"/>
  <c r="E27"/>
  <c r="J26"/>
  <c r="I26"/>
  <c r="H26"/>
  <c r="G26"/>
  <c r="F26"/>
  <c r="E26"/>
  <c r="C26"/>
  <c r="J25"/>
  <c r="I25"/>
  <c r="H25"/>
  <c r="G25"/>
  <c r="F25"/>
  <c r="E25"/>
  <c r="C25"/>
  <c r="J24"/>
  <c r="I24"/>
  <c r="H24"/>
  <c r="G24"/>
  <c r="F24"/>
  <c r="E24"/>
  <c r="C24"/>
  <c r="J23"/>
  <c r="I23"/>
  <c r="H23"/>
  <c r="G23"/>
  <c r="F23"/>
  <c r="E23"/>
  <c r="C23"/>
  <c r="J22"/>
  <c r="I22"/>
  <c r="H22"/>
  <c r="G22"/>
  <c r="F22"/>
  <c r="E22"/>
  <c r="C22"/>
  <c r="J21"/>
  <c r="I21"/>
  <c r="H21"/>
  <c r="G21"/>
  <c r="F21"/>
  <c r="E21"/>
  <c r="C21"/>
  <c r="I20"/>
  <c r="H20"/>
  <c r="G20"/>
  <c r="F20"/>
  <c r="E20"/>
  <c r="C20"/>
  <c r="I19"/>
  <c r="H19"/>
  <c r="G19"/>
  <c r="F19"/>
  <c r="E19"/>
  <c r="C19"/>
  <c r="I18"/>
  <c r="H18"/>
  <c r="G18"/>
  <c r="F18"/>
  <c r="E18"/>
  <c r="C18"/>
  <c r="I17"/>
  <c r="H17"/>
  <c r="G17"/>
  <c r="F17"/>
  <c r="E17"/>
  <c r="C17"/>
  <c r="I16"/>
  <c r="H16"/>
  <c r="G16"/>
  <c r="F16"/>
  <c r="E16"/>
  <c r="C16"/>
  <c r="I15"/>
  <c r="H15"/>
  <c r="G15"/>
  <c r="F15"/>
  <c r="E15"/>
  <c r="C15"/>
  <c r="I14"/>
  <c r="H14"/>
  <c r="G14"/>
  <c r="F14"/>
  <c r="E14"/>
  <c r="C14"/>
  <c r="I13"/>
  <c r="H13"/>
  <c r="G13"/>
  <c r="F13"/>
  <c r="E13"/>
  <c r="C13"/>
  <c r="I12"/>
  <c r="H12"/>
  <c r="G12"/>
  <c r="F12"/>
  <c r="E12"/>
  <c r="C12"/>
  <c r="F9" i="10"/>
  <c r="I11" i="13"/>
  <c r="H11"/>
  <c r="G11"/>
  <c r="F11"/>
  <c r="E11"/>
  <c r="C11"/>
  <c r="F8" i="10"/>
  <c r="I10" i="13"/>
  <c r="H10"/>
  <c r="G10"/>
  <c r="F10"/>
  <c r="E10"/>
  <c r="C10"/>
  <c r="F7" i="10"/>
  <c r="I9" i="13"/>
  <c r="H9"/>
  <c r="G9"/>
  <c r="F9"/>
  <c r="E9"/>
  <c r="C9"/>
  <c r="D4"/>
  <c r="H38" i="12"/>
  <c r="B38"/>
  <c r="H37"/>
  <c r="B37"/>
  <c r="H36"/>
  <c r="B36"/>
  <c r="H35"/>
  <c r="B35"/>
  <c r="B34"/>
  <c r="H33"/>
  <c r="B33"/>
  <c r="H32"/>
  <c r="B32"/>
  <c r="H31"/>
  <c r="B31"/>
  <c r="H30"/>
  <c r="B30"/>
  <c r="C18"/>
  <c r="E10"/>
  <c r="C10" s="1"/>
  <c r="H9"/>
  <c r="I51" i="13" l="1"/>
  <c r="H51"/>
  <c r="G51"/>
  <c r="G74"/>
  <c r="H74"/>
  <c r="I74"/>
  <c r="E8" i="12"/>
  <c r="E9" s="1"/>
  <c r="C8"/>
  <c r="E7"/>
  <c r="C7"/>
  <c r="C6"/>
  <c r="H4"/>
  <c r="G181" i="13" l="1"/>
  <c r="H183"/>
  <c r="G183"/>
  <c r="I181"/>
  <c r="H181"/>
  <c r="I183"/>
  <c r="F35" i="11"/>
  <c r="E35"/>
  <c r="D35"/>
  <c r="C35"/>
  <c r="F34"/>
  <c r="E34"/>
  <c r="D34"/>
  <c r="C34"/>
  <c r="F32"/>
  <c r="E32"/>
  <c r="F31"/>
  <c r="E31"/>
  <c r="F30"/>
  <c r="E30"/>
  <c r="F29"/>
  <c r="E29"/>
  <c r="F28"/>
  <c r="E28"/>
  <c r="F27"/>
  <c r="E27"/>
  <c r="F26"/>
  <c r="E26"/>
  <c r="C38" l="1"/>
  <c r="C32"/>
  <c r="B52" i="17" s="1"/>
  <c r="C30" i="11"/>
  <c r="B48" i="17" s="1"/>
  <c r="C27" i="11"/>
  <c r="B43" i="17" s="1"/>
  <c r="C29" i="11"/>
  <c r="B46" i="17" s="1"/>
  <c r="C28" i="11"/>
  <c r="B44" i="17" s="1"/>
  <c r="C31" i="11"/>
  <c r="B50" i="17" s="1"/>
  <c r="E38" i="11"/>
  <c r="C26"/>
  <c r="B42" i="17" s="1"/>
  <c r="F25" i="11"/>
  <c r="E25"/>
  <c r="F24"/>
  <c r="E24"/>
  <c r="F23"/>
  <c r="E23"/>
  <c r="F22"/>
  <c r="E22"/>
  <c r="F21"/>
  <c r="E21"/>
  <c r="F20"/>
  <c r="E20"/>
  <c r="F19"/>
  <c r="E19"/>
  <c r="F18"/>
  <c r="E18"/>
  <c r="F17"/>
  <c r="E17"/>
  <c r="F16"/>
  <c r="E16"/>
  <c r="F15"/>
  <c r="E15"/>
  <c r="F14"/>
  <c r="E14"/>
  <c r="F13"/>
  <c r="E13"/>
  <c r="F12"/>
  <c r="E12"/>
  <c r="F11"/>
  <c r="E11"/>
  <c r="F10"/>
  <c r="E10"/>
  <c r="C13" l="1"/>
  <c r="B18" i="17" s="1"/>
  <c r="C14" i="11"/>
  <c r="B20" i="17" s="1"/>
  <c r="C37" i="11"/>
  <c r="C24"/>
  <c r="B40" i="17" s="1"/>
  <c r="B41" s="1"/>
  <c r="B47"/>
  <c r="B51"/>
  <c r="C12" i="11"/>
  <c r="B16" i="17" s="1"/>
  <c r="C25" i="11"/>
  <c r="C19"/>
  <c r="B30" i="17" s="1"/>
  <c r="B45"/>
  <c r="C17" i="11"/>
  <c r="B26" i="17" s="1"/>
  <c r="C16" i="11"/>
  <c r="B24" i="17" s="1"/>
  <c r="C20" i="11"/>
  <c r="B32" i="17" s="1"/>
  <c r="C22" i="11"/>
  <c r="B36" i="17" s="1"/>
  <c r="B49"/>
  <c r="C18" i="11"/>
  <c r="B28" i="17" s="1"/>
  <c r="C21" i="11"/>
  <c r="B34" i="17" s="1"/>
  <c r="C23" i="11"/>
  <c r="B38" i="17" s="1"/>
  <c r="C11" i="11"/>
  <c r="B14" i="17" s="1"/>
  <c r="C15" i="11"/>
  <c r="B22" i="17" s="1"/>
  <c r="C10" i="11"/>
  <c r="B12" i="17" s="1"/>
  <c r="F9" i="11"/>
  <c r="E9"/>
  <c r="F8"/>
  <c r="E8"/>
  <c r="F7"/>
  <c r="E7"/>
  <c r="F6"/>
  <c r="E6" s="1"/>
  <c r="C6" s="1"/>
  <c r="B4" i="17" s="1"/>
  <c r="B39" l="1"/>
  <c r="B29"/>
  <c r="C7" i="11"/>
  <c r="C8"/>
  <c r="B8" i="17" s="1"/>
  <c r="B27"/>
  <c r="B15"/>
  <c r="B25"/>
  <c r="B17"/>
  <c r="B31"/>
  <c r="B37"/>
  <c r="B21"/>
  <c r="B35"/>
  <c r="C9" i="11"/>
  <c r="B10" i="17" s="1"/>
  <c r="B19"/>
  <c r="B33"/>
  <c r="B23"/>
  <c r="B13"/>
  <c r="I9" i="9"/>
  <c r="I8"/>
  <c r="G14" i="11" l="1"/>
  <c r="G15" s="1"/>
  <c r="B9" i="17"/>
  <c r="B11"/>
  <c r="B6"/>
  <c r="B7" s="1"/>
  <c r="I4" i="9"/>
  <c r="EL211" i="8"/>
  <c r="C22" i="9"/>
  <c r="O198" i="8"/>
  <c r="C21" i="9"/>
  <c r="O197" i="8"/>
  <c r="C20" i="9"/>
  <c r="O196" i="8"/>
  <c r="C19" i="9"/>
  <c r="O195" i="8"/>
  <c r="C18" i="9"/>
  <c r="O194" i="8"/>
  <c r="C17" i="9"/>
  <c r="O193" i="8"/>
  <c r="C16" i="9"/>
  <c r="O192" i="8"/>
  <c r="C15" i="9"/>
  <c r="O191" i="8"/>
  <c r="C14" i="9"/>
  <c r="B5" i="17" l="1"/>
  <c r="O190" i="8"/>
  <c r="I176" l="1"/>
  <c r="G176"/>
  <c r="F176" s="1"/>
  <c r="E176"/>
  <c r="D176"/>
  <c r="C176"/>
  <c r="I175"/>
  <c r="G175"/>
  <c r="F175"/>
  <c r="E175"/>
  <c r="D175"/>
  <c r="C175"/>
  <c r="I174"/>
  <c r="G174"/>
  <c r="F174"/>
  <c r="E174"/>
  <c r="D174"/>
  <c r="C174"/>
  <c r="I173"/>
  <c r="G173"/>
  <c r="F173"/>
  <c r="E173"/>
  <c r="D173"/>
  <c r="C173"/>
  <c r="I172"/>
  <c r="G172"/>
  <c r="G180" s="1"/>
  <c r="F172"/>
  <c r="F180" s="1"/>
  <c r="E172"/>
  <c r="D172"/>
  <c r="I162"/>
  <c r="G162"/>
  <c r="F162"/>
  <c r="E162"/>
  <c r="D162"/>
  <c r="C162"/>
  <c r="I161"/>
  <c r="G161"/>
  <c r="F161"/>
  <c r="E161"/>
  <c r="D161"/>
  <c r="C161"/>
  <c r="I180" l="1"/>
  <c r="G160"/>
  <c r="F160"/>
  <c r="E160"/>
  <c r="C160"/>
  <c r="G159"/>
  <c r="F159"/>
  <c r="E159"/>
  <c r="I158"/>
  <c r="G158"/>
  <c r="F158"/>
  <c r="E158"/>
  <c r="I157"/>
  <c r="G157" l="1"/>
  <c r="F157"/>
  <c r="E157"/>
  <c r="I156"/>
  <c r="G156"/>
  <c r="F156"/>
  <c r="E156"/>
  <c r="D156"/>
  <c r="C156"/>
  <c r="I155"/>
  <c r="G155"/>
  <c r="F155"/>
  <c r="E155"/>
  <c r="D155"/>
  <c r="C155"/>
  <c r="I154"/>
  <c r="G154"/>
  <c r="F154"/>
  <c r="E154"/>
  <c r="D154"/>
  <c r="C154"/>
  <c r="I153"/>
  <c r="G153"/>
  <c r="F153"/>
  <c r="E153"/>
  <c r="D153"/>
  <c r="C153"/>
  <c r="I152"/>
  <c r="G152"/>
  <c r="F152"/>
  <c r="E152"/>
  <c r="D152"/>
  <c r="C152"/>
  <c r="I151" l="1"/>
  <c r="G151" l="1"/>
  <c r="F151"/>
  <c r="E151"/>
  <c r="D151"/>
  <c r="C151"/>
  <c r="I150"/>
  <c r="I171" s="1"/>
  <c r="G150"/>
  <c r="F150"/>
  <c r="E150"/>
  <c r="D150"/>
  <c r="C150"/>
  <c r="G171" l="1"/>
  <c r="F171"/>
  <c r="I143"/>
  <c r="G143"/>
  <c r="F143"/>
  <c r="E143"/>
  <c r="D143"/>
  <c r="C143"/>
  <c r="I142"/>
  <c r="G142"/>
  <c r="G149" s="1"/>
  <c r="F142"/>
  <c r="E142"/>
  <c r="D142"/>
  <c r="C142"/>
  <c r="I149" l="1"/>
  <c r="F149"/>
  <c r="I138"/>
  <c r="G138"/>
  <c r="F138"/>
  <c r="E138"/>
  <c r="D138"/>
  <c r="C138"/>
  <c r="I137" l="1"/>
  <c r="G137" l="1"/>
  <c r="F137"/>
  <c r="E137"/>
  <c r="D137"/>
  <c r="I136"/>
  <c r="G136"/>
  <c r="F136"/>
  <c r="E136"/>
  <c r="D136"/>
  <c r="C136"/>
  <c r="I135"/>
  <c r="G135"/>
  <c r="F135"/>
  <c r="E135"/>
  <c r="D135"/>
  <c r="C135"/>
  <c r="I134"/>
  <c r="G134"/>
  <c r="F134"/>
  <c r="E134"/>
  <c r="D134"/>
  <c r="C134"/>
  <c r="I133"/>
  <c r="G133"/>
  <c r="F133"/>
  <c r="E133"/>
  <c r="D133"/>
  <c r="C133"/>
  <c r="I132"/>
  <c r="G132"/>
  <c r="F132"/>
  <c r="E132"/>
  <c r="D132"/>
  <c r="C132"/>
  <c r="G131"/>
  <c r="F131"/>
  <c r="E131"/>
  <c r="D131"/>
  <c r="C131"/>
  <c r="I130"/>
  <c r="G130"/>
  <c r="F130"/>
  <c r="E130"/>
  <c r="D130"/>
  <c r="C130"/>
  <c r="I129"/>
  <c r="E129"/>
  <c r="D129"/>
  <c r="C129"/>
  <c r="G141" l="1"/>
  <c r="F141"/>
  <c r="I141"/>
  <c r="I126"/>
  <c r="G126"/>
  <c r="F126"/>
  <c r="E126"/>
  <c r="D126"/>
  <c r="C126"/>
  <c r="I125"/>
  <c r="G125"/>
  <c r="F125"/>
  <c r="E125"/>
  <c r="D125"/>
  <c r="C125"/>
  <c r="I124"/>
  <c r="G124"/>
  <c r="F124"/>
  <c r="E124"/>
  <c r="D124"/>
  <c r="C124"/>
  <c r="I123"/>
  <c r="G123"/>
  <c r="F123"/>
  <c r="E123"/>
  <c r="D123"/>
  <c r="C123"/>
  <c r="I122"/>
  <c r="E122"/>
  <c r="D122"/>
  <c r="C122"/>
  <c r="I121" l="1"/>
  <c r="G121"/>
  <c r="F121"/>
  <c r="E121"/>
  <c r="D121"/>
  <c r="C121"/>
  <c r="I120"/>
  <c r="E120"/>
  <c r="D120"/>
  <c r="C120"/>
  <c r="I118"/>
  <c r="G118"/>
  <c r="F118"/>
  <c r="E118"/>
  <c r="D118"/>
  <c r="C118"/>
  <c r="I117"/>
  <c r="G117"/>
  <c r="F117"/>
  <c r="E117"/>
  <c r="D117"/>
  <c r="C117"/>
  <c r="I116"/>
  <c r="G116"/>
  <c r="F116"/>
  <c r="E116"/>
  <c r="D116"/>
  <c r="C116"/>
  <c r="I115"/>
  <c r="G115"/>
  <c r="F115"/>
  <c r="E115"/>
  <c r="D115"/>
  <c r="C115"/>
  <c r="I114"/>
  <c r="G114"/>
  <c r="F114"/>
  <c r="E114"/>
  <c r="D114"/>
  <c r="C114"/>
  <c r="I113"/>
  <c r="G113"/>
  <c r="F113"/>
  <c r="E113"/>
  <c r="D113"/>
  <c r="C113"/>
  <c r="I112"/>
  <c r="G112"/>
  <c r="F112"/>
  <c r="E112"/>
  <c r="D112"/>
  <c r="C112"/>
  <c r="I111"/>
  <c r="G111"/>
  <c r="F111"/>
  <c r="E111"/>
  <c r="D111"/>
  <c r="C111"/>
  <c r="I110" l="1"/>
  <c r="I128" s="1"/>
  <c r="G110"/>
  <c r="G128" s="1"/>
  <c r="F110"/>
  <c r="F128" s="1"/>
  <c r="E110"/>
  <c r="D110"/>
  <c r="C110"/>
  <c r="I104" l="1"/>
  <c r="G104"/>
  <c r="F104"/>
  <c r="E104"/>
  <c r="D104"/>
  <c r="C104"/>
  <c r="I103"/>
  <c r="G103"/>
  <c r="F103"/>
  <c r="E103"/>
  <c r="D103"/>
  <c r="C103"/>
  <c r="I102"/>
  <c r="G102"/>
  <c r="F102"/>
  <c r="E102"/>
  <c r="D102"/>
  <c r="C102"/>
  <c r="I101"/>
  <c r="G101"/>
  <c r="F101"/>
  <c r="E101"/>
  <c r="D101"/>
  <c r="C101"/>
  <c r="I95"/>
  <c r="G95"/>
  <c r="F95"/>
  <c r="E95"/>
  <c r="D95"/>
  <c r="C95"/>
  <c r="I94"/>
  <c r="G94"/>
  <c r="F94"/>
  <c r="E94"/>
  <c r="D94"/>
  <c r="C94"/>
  <c r="I93"/>
  <c r="G93"/>
  <c r="F93"/>
  <c r="E93"/>
  <c r="D93"/>
  <c r="C93"/>
  <c r="I92"/>
  <c r="G92"/>
  <c r="F92"/>
  <c r="E92"/>
  <c r="D92"/>
  <c r="C92"/>
  <c r="I91"/>
  <c r="G91"/>
  <c r="F91"/>
  <c r="E91"/>
  <c r="D91"/>
  <c r="C91"/>
  <c r="I90"/>
  <c r="G90"/>
  <c r="F90"/>
  <c r="E90"/>
  <c r="D90"/>
  <c r="C90"/>
  <c r="I89"/>
  <c r="G89"/>
  <c r="F89"/>
  <c r="E89"/>
  <c r="D89"/>
  <c r="C89"/>
  <c r="F109" l="1"/>
  <c r="I109"/>
  <c r="G109"/>
  <c r="I88"/>
  <c r="G88"/>
  <c r="F88"/>
  <c r="E88"/>
  <c r="D88"/>
  <c r="C88"/>
  <c r="I87"/>
  <c r="G87"/>
  <c r="F87"/>
  <c r="E87"/>
  <c r="D87"/>
  <c r="C87"/>
  <c r="I86"/>
  <c r="G86"/>
  <c r="F86"/>
  <c r="E86"/>
  <c r="D86"/>
  <c r="C86"/>
  <c r="I85" l="1"/>
  <c r="G85"/>
  <c r="F85"/>
  <c r="E85"/>
  <c r="D85"/>
  <c r="C85"/>
  <c r="I84"/>
  <c r="G84"/>
  <c r="F84"/>
  <c r="E84"/>
  <c r="D84"/>
  <c r="C84"/>
  <c r="I83"/>
  <c r="G83"/>
  <c r="F83"/>
  <c r="E83"/>
  <c r="D83"/>
  <c r="C83"/>
  <c r="I82" l="1"/>
  <c r="G82"/>
  <c r="F82"/>
  <c r="E82"/>
  <c r="D82"/>
  <c r="C82"/>
  <c r="I81"/>
  <c r="G81"/>
  <c r="F81"/>
  <c r="E81"/>
  <c r="D81"/>
  <c r="C81"/>
  <c r="I80"/>
  <c r="G80"/>
  <c r="F80"/>
  <c r="E80"/>
  <c r="D80"/>
  <c r="C80"/>
  <c r="I79"/>
  <c r="G79"/>
  <c r="F79"/>
  <c r="E79"/>
  <c r="D79"/>
  <c r="C79"/>
  <c r="I78" l="1"/>
  <c r="G78"/>
  <c r="F78"/>
  <c r="E78"/>
  <c r="D78"/>
  <c r="C78"/>
  <c r="I77"/>
  <c r="G77"/>
  <c r="F77"/>
  <c r="E77"/>
  <c r="D77"/>
  <c r="C77"/>
  <c r="I76"/>
  <c r="G76"/>
  <c r="F76"/>
  <c r="E76"/>
  <c r="D76"/>
  <c r="C76"/>
  <c r="I75"/>
  <c r="G75"/>
  <c r="G100" l="1"/>
  <c r="I100"/>
  <c r="F75"/>
  <c r="F100" s="1"/>
  <c r="E75"/>
  <c r="D75"/>
  <c r="C75"/>
  <c r="I67"/>
  <c r="G67" l="1"/>
  <c r="F67"/>
  <c r="E67"/>
  <c r="D67"/>
  <c r="C67"/>
  <c r="I66"/>
  <c r="D66"/>
  <c r="C66"/>
  <c r="I65"/>
  <c r="G65"/>
  <c r="F65"/>
  <c r="E65"/>
  <c r="D65"/>
  <c r="C65"/>
  <c r="I64"/>
  <c r="G64"/>
  <c r="F64"/>
  <c r="E64"/>
  <c r="D64"/>
  <c r="C64"/>
  <c r="I63"/>
  <c r="G63"/>
  <c r="F63"/>
  <c r="E63"/>
  <c r="D63"/>
  <c r="C63"/>
  <c r="I62"/>
  <c r="G62"/>
  <c r="F62"/>
  <c r="E62"/>
  <c r="D62"/>
  <c r="C62"/>
  <c r="I61"/>
  <c r="G61"/>
  <c r="F61"/>
  <c r="E61"/>
  <c r="D61"/>
  <c r="C61"/>
  <c r="I59"/>
  <c r="G59"/>
  <c r="F59"/>
  <c r="E59"/>
  <c r="I58"/>
  <c r="G58"/>
  <c r="F58"/>
  <c r="E58"/>
  <c r="I57"/>
  <c r="G57"/>
  <c r="F57"/>
  <c r="E57"/>
  <c r="D57"/>
  <c r="I56"/>
  <c r="G56"/>
  <c r="F56"/>
  <c r="E56"/>
  <c r="D56"/>
  <c r="C56"/>
  <c r="I55" l="1"/>
  <c r="G55"/>
  <c r="F55"/>
  <c r="E55"/>
  <c r="D55"/>
  <c r="C55"/>
  <c r="I54"/>
  <c r="G54"/>
  <c r="F54"/>
  <c r="E54"/>
  <c r="D54"/>
  <c r="C54"/>
  <c r="I53"/>
  <c r="G53"/>
  <c r="F53"/>
  <c r="E53"/>
  <c r="D53"/>
  <c r="C53"/>
  <c r="I52"/>
  <c r="G52"/>
  <c r="I74" l="1"/>
  <c r="G74"/>
  <c r="F52"/>
  <c r="F74" s="1"/>
  <c r="E52"/>
  <c r="D52"/>
  <c r="C52"/>
  <c r="I45" l="1"/>
  <c r="G45" l="1"/>
  <c r="F45"/>
  <c r="E45"/>
  <c r="C45"/>
  <c r="I44" l="1"/>
  <c r="G44"/>
  <c r="F44"/>
  <c r="E44"/>
  <c r="D44"/>
  <c r="C44"/>
  <c r="I43" l="1"/>
  <c r="G43"/>
  <c r="F43" l="1"/>
  <c r="E43"/>
  <c r="D43"/>
  <c r="C43"/>
  <c r="I42"/>
  <c r="E42"/>
  <c r="D42"/>
  <c r="I41" l="1"/>
  <c r="G41"/>
  <c r="F41"/>
  <c r="E41"/>
  <c r="D41"/>
  <c r="C41"/>
  <c r="I40"/>
  <c r="G40"/>
  <c r="F40"/>
  <c r="E40"/>
  <c r="D40"/>
  <c r="C40"/>
  <c r="I39"/>
  <c r="G39"/>
  <c r="F39"/>
  <c r="E39"/>
  <c r="D39"/>
  <c r="C39"/>
  <c r="I38"/>
  <c r="G38"/>
  <c r="F38"/>
  <c r="E38"/>
  <c r="D38"/>
  <c r="C38"/>
  <c r="I37"/>
  <c r="G37"/>
  <c r="F37"/>
  <c r="E37"/>
  <c r="D37"/>
  <c r="C37"/>
  <c r="I36"/>
  <c r="G36"/>
  <c r="F36"/>
  <c r="E36"/>
  <c r="I35"/>
  <c r="G35"/>
  <c r="F35"/>
  <c r="E35"/>
  <c r="D35"/>
  <c r="C35"/>
  <c r="I34"/>
  <c r="G34"/>
  <c r="F34"/>
  <c r="E34"/>
  <c r="D34"/>
  <c r="C34"/>
  <c r="I33"/>
  <c r="G33"/>
  <c r="F33"/>
  <c r="E33"/>
  <c r="D33"/>
  <c r="C33"/>
  <c r="I32"/>
  <c r="G32"/>
  <c r="F32"/>
  <c r="E32"/>
  <c r="D32"/>
  <c r="C32"/>
  <c r="I31"/>
  <c r="G31"/>
  <c r="F31"/>
  <c r="E31"/>
  <c r="D31"/>
  <c r="C31"/>
  <c r="I30"/>
  <c r="G30"/>
  <c r="F30"/>
  <c r="E30"/>
  <c r="D30"/>
  <c r="C30"/>
  <c r="I29"/>
  <c r="G29"/>
  <c r="F29"/>
  <c r="E29"/>
  <c r="D29"/>
  <c r="C29"/>
  <c r="I28"/>
  <c r="G28"/>
  <c r="F28"/>
  <c r="E28"/>
  <c r="D28"/>
  <c r="C28"/>
  <c r="I27"/>
  <c r="G27"/>
  <c r="F27"/>
  <c r="E27"/>
  <c r="D27"/>
  <c r="C27"/>
  <c r="I26"/>
  <c r="G26"/>
  <c r="F26"/>
  <c r="E26"/>
  <c r="D26"/>
  <c r="C26"/>
  <c r="I25"/>
  <c r="G25"/>
  <c r="F25"/>
  <c r="E25"/>
  <c r="D25"/>
  <c r="C25"/>
  <c r="I24"/>
  <c r="G24"/>
  <c r="F24"/>
  <c r="E24"/>
  <c r="D24"/>
  <c r="C24"/>
  <c r="I23"/>
  <c r="G23"/>
  <c r="F23"/>
  <c r="E23"/>
  <c r="D23"/>
  <c r="C23"/>
  <c r="I22"/>
  <c r="F22"/>
  <c r="E22"/>
  <c r="D22"/>
  <c r="C22"/>
  <c r="I21"/>
  <c r="G21"/>
  <c r="F21"/>
  <c r="D21"/>
  <c r="C21"/>
  <c r="I20"/>
  <c r="G20"/>
  <c r="F20"/>
  <c r="E20"/>
  <c r="D20"/>
  <c r="C20"/>
  <c r="I19"/>
  <c r="G19"/>
  <c r="F19"/>
  <c r="E19"/>
  <c r="D19"/>
  <c r="C19"/>
  <c r="I18"/>
  <c r="G18"/>
  <c r="F18"/>
  <c r="E18"/>
  <c r="D18"/>
  <c r="I17"/>
  <c r="G17"/>
  <c r="F17"/>
  <c r="D17"/>
  <c r="C17"/>
  <c r="I16"/>
  <c r="G16"/>
  <c r="F16"/>
  <c r="E16"/>
  <c r="D16"/>
  <c r="C16"/>
  <c r="I15"/>
  <c r="E15"/>
  <c r="D15"/>
  <c r="C15"/>
  <c r="I14"/>
  <c r="G14"/>
  <c r="F14"/>
  <c r="E14"/>
  <c r="D14"/>
  <c r="C14"/>
  <c r="I13"/>
  <c r="G13" l="1"/>
  <c r="F13"/>
  <c r="E13"/>
  <c r="D13"/>
  <c r="C13"/>
  <c r="I12"/>
  <c r="G12"/>
  <c r="F12"/>
  <c r="E12"/>
  <c r="D12"/>
  <c r="C12"/>
  <c r="I11"/>
  <c r="G11"/>
  <c r="F11"/>
  <c r="E11"/>
  <c r="D11"/>
  <c r="C11"/>
  <c r="I10"/>
  <c r="G10"/>
  <c r="F10"/>
  <c r="E10"/>
  <c r="D10"/>
  <c r="C10"/>
  <c r="G9"/>
  <c r="F9"/>
  <c r="E9"/>
  <c r="D9"/>
  <c r="L6"/>
  <c r="AF61" i="7"/>
  <c r="F51" i="8" l="1"/>
  <c r="I51"/>
  <c r="G51"/>
  <c r="G19" i="11"/>
  <c r="G18" s="1"/>
  <c r="C4" i="9"/>
  <c r="F16" i="6"/>
  <c r="E16"/>
  <c r="D16"/>
  <c r="F15"/>
  <c r="E15"/>
  <c r="D15"/>
  <c r="F14"/>
  <c r="E14"/>
  <c r="D14"/>
  <c r="F13"/>
  <c r="E13"/>
  <c r="D13"/>
  <c r="F12"/>
  <c r="E12"/>
  <c r="D12"/>
  <c r="F11"/>
  <c r="E11"/>
  <c r="D11"/>
  <c r="F10"/>
  <c r="E10"/>
  <c r="D10"/>
  <c r="F9"/>
  <c r="E9"/>
  <c r="D9"/>
  <c r="F8"/>
  <c r="E8"/>
  <c r="D8"/>
  <c r="G5"/>
  <c r="B4"/>
  <c r="C3" i="10"/>
  <c r="I28" i="5"/>
  <c r="E28"/>
  <c r="D17" i="6" l="1"/>
  <c r="F17"/>
  <c r="E17" s="1"/>
  <c r="G22" i="5"/>
  <c r="E22"/>
  <c r="C22"/>
  <c r="G21"/>
  <c r="E21"/>
  <c r="C21"/>
  <c r="G20"/>
  <c r="E20"/>
  <c r="C20"/>
  <c r="G19"/>
  <c r="E19"/>
  <c r="C19"/>
  <c r="G18"/>
  <c r="E18"/>
  <c r="C18"/>
  <c r="G17"/>
  <c r="E17"/>
  <c r="C17"/>
  <c r="G16"/>
  <c r="E16"/>
  <c r="C16"/>
  <c r="G15"/>
  <c r="E15"/>
  <c r="C15"/>
  <c r="G14"/>
  <c r="E14"/>
  <c r="C14"/>
  <c r="G7"/>
  <c r="I6"/>
  <c r="E16" i="12"/>
  <c r="K214" i="4"/>
  <c r="N212"/>
  <c r="L212"/>
  <c r="L211"/>
  <c r="H211"/>
  <c r="N200"/>
  <c r="L200"/>
  <c r="K200"/>
  <c r="H200" s="1"/>
  <c r="B16" i="12" l="1"/>
  <c r="D15" s="1"/>
  <c r="L19" i="5"/>
  <c r="I19" s="1"/>
  <c r="L15"/>
  <c r="I15" s="1"/>
  <c r="L20"/>
  <c r="I20" s="1"/>
  <c r="C23"/>
  <c r="L22"/>
  <c r="I22" s="1"/>
  <c r="M23"/>
  <c r="L24" s="1"/>
  <c r="E23"/>
  <c r="F13" i="12"/>
  <c r="L21" i="5"/>
  <c r="I21" s="1"/>
  <c r="L14"/>
  <c r="L16"/>
  <c r="I16" s="1"/>
  <c r="G23"/>
  <c r="L17"/>
  <c r="I17" s="1"/>
  <c r="L18"/>
  <c r="I18" s="1"/>
  <c r="F200" i="4"/>
  <c r="X199"/>
  <c r="V199"/>
  <c r="U199"/>
  <c r="N199"/>
  <c r="L199"/>
  <c r="K199"/>
  <c r="H199"/>
  <c r="F199" s="1"/>
  <c r="N198"/>
  <c r="L198"/>
  <c r="D12" i="14" s="1"/>
  <c r="K198" i="4"/>
  <c r="H198" s="1"/>
  <c r="N197"/>
  <c r="L197"/>
  <c r="D11" i="14" s="1"/>
  <c r="K197" i="4"/>
  <c r="N196"/>
  <c r="L196"/>
  <c r="D10" i="14" s="1"/>
  <c r="K196" i="4"/>
  <c r="L23" i="5" l="1"/>
  <c r="I14"/>
  <c r="D13" i="12"/>
  <c r="F196" i="4"/>
  <c r="I197" s="1"/>
  <c r="H23" i="12" s="1"/>
  <c r="F23" s="1"/>
  <c r="D23" s="1"/>
  <c r="D22" s="1"/>
  <c r="N195" i="4" l="1"/>
  <c r="L195"/>
  <c r="K195"/>
  <c r="N194"/>
  <c r="L194"/>
  <c r="K194"/>
  <c r="N193" l="1"/>
  <c r="L193"/>
  <c r="D9" i="14" s="1"/>
  <c r="K193" i="4"/>
  <c r="N192"/>
  <c r="C30" i="12" s="1"/>
  <c r="L192" i="4"/>
  <c r="D8" i="14" s="1"/>
  <c r="K192" i="4"/>
  <c r="D190"/>
  <c r="N201" l="1"/>
  <c r="P188" s="1"/>
  <c r="E189"/>
  <c r="D7" i="14"/>
  <c r="L201" i="4"/>
  <c r="K201" s="1"/>
  <c r="P187" s="1"/>
  <c r="AF188"/>
  <c r="H188"/>
  <c r="N211" s="1"/>
  <c r="F188"/>
  <c r="H187"/>
  <c r="F187"/>
  <c r="V186"/>
  <c r="H186"/>
  <c r="F186"/>
  <c r="P185"/>
  <c r="H185"/>
  <c r="F185"/>
  <c r="AG188" l="1"/>
  <c r="V184"/>
  <c r="W196" s="1"/>
  <c r="M176"/>
  <c r="H176" i="8" s="1"/>
  <c r="K176" s="1"/>
  <c r="L176" i="4"/>
  <c r="K176"/>
  <c r="J176"/>
  <c r="I176"/>
  <c r="O176" s="1"/>
  <c r="H176"/>
  <c r="G176"/>
  <c r="F176"/>
  <c r="E176"/>
  <c r="C176"/>
  <c r="M175"/>
  <c r="L175"/>
  <c r="K175"/>
  <c r="J175"/>
  <c r="I175"/>
  <c r="G175"/>
  <c r="F175"/>
  <c r="E175"/>
  <c r="C175"/>
  <c r="M174"/>
  <c r="L174"/>
  <c r="K174"/>
  <c r="J174"/>
  <c r="I174"/>
  <c r="H174"/>
  <c r="G174"/>
  <c r="F174"/>
  <c r="E174"/>
  <c r="C174"/>
  <c r="M173"/>
  <c r="H173" i="8" s="1"/>
  <c r="L173" i="4"/>
  <c r="K173"/>
  <c r="J173"/>
  <c r="I173"/>
  <c r="G173"/>
  <c r="F173"/>
  <c r="E173"/>
  <c r="C173"/>
  <c r="M172"/>
  <c r="L172"/>
  <c r="K172"/>
  <c r="J172"/>
  <c r="I172"/>
  <c r="H172"/>
  <c r="G172"/>
  <c r="F172"/>
  <c r="E172"/>
  <c r="C172"/>
  <c r="M166"/>
  <c r="L166"/>
  <c r="K166"/>
  <c r="J166"/>
  <c r="I166"/>
  <c r="H166"/>
  <c r="F166"/>
  <c r="E166"/>
  <c r="C166"/>
  <c r="L165"/>
  <c r="K165"/>
  <c r="J165"/>
  <c r="I165"/>
  <c r="H165"/>
  <c r="F165"/>
  <c r="E165"/>
  <c r="C165"/>
  <c r="M164"/>
  <c r="H164" i="8" s="1"/>
  <c r="K164" s="1"/>
  <c r="L164" i="4"/>
  <c r="K164"/>
  <c r="J164"/>
  <c r="I164"/>
  <c r="H164"/>
  <c r="G164"/>
  <c r="F164"/>
  <c r="E164"/>
  <c r="C164"/>
  <c r="M162"/>
  <c r="K162"/>
  <c r="J162"/>
  <c r="I162"/>
  <c r="H162"/>
  <c r="G162"/>
  <c r="F162"/>
  <c r="E162"/>
  <c r="C162"/>
  <c r="M161"/>
  <c r="L161"/>
  <c r="K161"/>
  <c r="J161"/>
  <c r="I161"/>
  <c r="H161"/>
  <c r="G161"/>
  <c r="F161"/>
  <c r="E161"/>
  <c r="C161"/>
  <c r="H160" i="8"/>
  <c r="I160" i="4"/>
  <c r="H160"/>
  <c r="G160"/>
  <c r="F160"/>
  <c r="M159"/>
  <c r="L159"/>
  <c r="K159"/>
  <c r="J159"/>
  <c r="I159"/>
  <c r="H159"/>
  <c r="G159"/>
  <c r="F159"/>
  <c r="M158"/>
  <c r="L158"/>
  <c r="K158"/>
  <c r="J158"/>
  <c r="I158"/>
  <c r="H158"/>
  <c r="G158"/>
  <c r="F158"/>
  <c r="M157"/>
  <c r="L157"/>
  <c r="K157"/>
  <c r="J157"/>
  <c r="I157"/>
  <c r="N157" s="1"/>
  <c r="H157"/>
  <c r="G157"/>
  <c r="F157"/>
  <c r="M156"/>
  <c r="L156"/>
  <c r="K156"/>
  <c r="J156"/>
  <c r="I156"/>
  <c r="H156"/>
  <c r="G156"/>
  <c r="F156"/>
  <c r="E156"/>
  <c r="C156"/>
  <c r="M155"/>
  <c r="L155"/>
  <c r="K155"/>
  <c r="J155"/>
  <c r="I155"/>
  <c r="O155" s="1"/>
  <c r="H155"/>
  <c r="G155"/>
  <c r="F155"/>
  <c r="E155"/>
  <c r="C155"/>
  <c r="M154"/>
  <c r="L154"/>
  <c r="K154"/>
  <c r="J154"/>
  <c r="I154"/>
  <c r="H154"/>
  <c r="G154"/>
  <c r="F154"/>
  <c r="E154"/>
  <c r="C154"/>
  <c r="M153"/>
  <c r="L153"/>
  <c r="K153"/>
  <c r="J153"/>
  <c r="I153"/>
  <c r="H153"/>
  <c r="G153"/>
  <c r="F153"/>
  <c r="E153"/>
  <c r="C153"/>
  <c r="M152"/>
  <c r="L152"/>
  <c r="K152"/>
  <c r="J152"/>
  <c r="I152"/>
  <c r="H152"/>
  <c r="G152"/>
  <c r="F152"/>
  <c r="E152"/>
  <c r="C152"/>
  <c r="M151"/>
  <c r="L151"/>
  <c r="K151"/>
  <c r="J151"/>
  <c r="I151"/>
  <c r="G151"/>
  <c r="F151"/>
  <c r="E151"/>
  <c r="C151"/>
  <c r="M150"/>
  <c r="L150"/>
  <c r="K150"/>
  <c r="J150"/>
  <c r="I150"/>
  <c r="H150"/>
  <c r="G150"/>
  <c r="F150"/>
  <c r="E150"/>
  <c r="C150"/>
  <c r="M143"/>
  <c r="L143"/>
  <c r="K143"/>
  <c r="J143"/>
  <c r="I143"/>
  <c r="O143" s="1"/>
  <c r="O149" s="1"/>
  <c r="H143"/>
  <c r="G143"/>
  <c r="F143"/>
  <c r="E143"/>
  <c r="C143"/>
  <c r="M142"/>
  <c r="L142"/>
  <c r="L149" s="1"/>
  <c r="K142"/>
  <c r="J142"/>
  <c r="I142"/>
  <c r="H142"/>
  <c r="G142"/>
  <c r="F142"/>
  <c r="E142"/>
  <c r="C142"/>
  <c r="M138"/>
  <c r="L138"/>
  <c r="K138"/>
  <c r="J138"/>
  <c r="I138"/>
  <c r="H138"/>
  <c r="G138"/>
  <c r="F138"/>
  <c r="E138"/>
  <c r="C138"/>
  <c r="M137"/>
  <c r="H137" i="8" s="1"/>
  <c r="K137" s="1"/>
  <c r="J137" s="1"/>
  <c r="L137" i="4"/>
  <c r="K137"/>
  <c r="J137"/>
  <c r="I137"/>
  <c r="H137"/>
  <c r="G137"/>
  <c r="F137"/>
  <c r="E137"/>
  <c r="C137"/>
  <c r="H136" i="8"/>
  <c r="M135" i="4"/>
  <c r="L135"/>
  <c r="K135"/>
  <c r="J135"/>
  <c r="H135"/>
  <c r="G135"/>
  <c r="F135"/>
  <c r="E135"/>
  <c r="C135"/>
  <c r="M134"/>
  <c r="H134" i="8" s="1"/>
  <c r="L134" i="4"/>
  <c r="K134"/>
  <c r="J134"/>
  <c r="I134"/>
  <c r="O134" s="1"/>
  <c r="H134"/>
  <c r="G134"/>
  <c r="F134"/>
  <c r="E134"/>
  <c r="C134"/>
  <c r="M133"/>
  <c r="L133"/>
  <c r="K133"/>
  <c r="J133"/>
  <c r="I133"/>
  <c r="H133"/>
  <c r="G133"/>
  <c r="F133"/>
  <c r="E133"/>
  <c r="C133"/>
  <c r="M132"/>
  <c r="L132"/>
  <c r="K132"/>
  <c r="J132"/>
  <c r="I132"/>
  <c r="H132"/>
  <c r="G132"/>
  <c r="F132"/>
  <c r="E132"/>
  <c r="C132"/>
  <c r="M131"/>
  <c r="L131"/>
  <c r="K131"/>
  <c r="J131"/>
  <c r="I131"/>
  <c r="H131"/>
  <c r="G131"/>
  <c r="F131"/>
  <c r="E131"/>
  <c r="C131"/>
  <c r="M130"/>
  <c r="L130"/>
  <c r="K130"/>
  <c r="J130"/>
  <c r="I130"/>
  <c r="H130"/>
  <c r="G130"/>
  <c r="F130"/>
  <c r="E130"/>
  <c r="C130"/>
  <c r="L129"/>
  <c r="K129"/>
  <c r="J129"/>
  <c r="I129"/>
  <c r="H129"/>
  <c r="G129"/>
  <c r="F129"/>
  <c r="E129"/>
  <c r="C129"/>
  <c r="M126"/>
  <c r="L126"/>
  <c r="K126"/>
  <c r="J126"/>
  <c r="I126"/>
  <c r="H126"/>
  <c r="G126"/>
  <c r="F126"/>
  <c r="E126"/>
  <c r="C126"/>
  <c r="M125"/>
  <c r="L125"/>
  <c r="K125"/>
  <c r="J125"/>
  <c r="I125"/>
  <c r="H125"/>
  <c r="G125"/>
  <c r="F125"/>
  <c r="E125"/>
  <c r="M124"/>
  <c r="L124"/>
  <c r="K124"/>
  <c r="J124"/>
  <c r="I124"/>
  <c r="H124"/>
  <c r="G124"/>
  <c r="F124"/>
  <c r="E124"/>
  <c r="C124"/>
  <c r="M123"/>
  <c r="L123"/>
  <c r="K123"/>
  <c r="J123"/>
  <c r="I123"/>
  <c r="H123"/>
  <c r="G123"/>
  <c r="F123"/>
  <c r="E123"/>
  <c r="C123"/>
  <c r="M122"/>
  <c r="L122"/>
  <c r="K122"/>
  <c r="J122"/>
  <c r="I122"/>
  <c r="H122"/>
  <c r="G122"/>
  <c r="F122"/>
  <c r="E122"/>
  <c r="C122"/>
  <c r="M121"/>
  <c r="H121" i="8" s="1"/>
  <c r="K121" s="1"/>
  <c r="J121" s="1"/>
  <c r="L121" i="4"/>
  <c r="K121"/>
  <c r="J121"/>
  <c r="I121"/>
  <c r="H121"/>
  <c r="G121"/>
  <c r="F121"/>
  <c r="E121"/>
  <c r="C121"/>
  <c r="M120"/>
  <c r="O120" s="1"/>
  <c r="L120"/>
  <c r="K120"/>
  <c r="J120"/>
  <c r="G120"/>
  <c r="F120"/>
  <c r="E120"/>
  <c r="C120"/>
  <c r="L118"/>
  <c r="K118"/>
  <c r="J118"/>
  <c r="I118"/>
  <c r="H118"/>
  <c r="G118"/>
  <c r="F118"/>
  <c r="E118"/>
  <c r="C118"/>
  <c r="M117"/>
  <c r="L117"/>
  <c r="K117"/>
  <c r="J117"/>
  <c r="I117"/>
  <c r="H117"/>
  <c r="G117"/>
  <c r="F117"/>
  <c r="E117"/>
  <c r="M116"/>
  <c r="H116" i="8" s="1"/>
  <c r="L116" i="4"/>
  <c r="K116"/>
  <c r="J116"/>
  <c r="I116"/>
  <c r="H116"/>
  <c r="G116"/>
  <c r="F116"/>
  <c r="E116"/>
  <c r="C116"/>
  <c r="M115"/>
  <c r="H115" i="8" s="1"/>
  <c r="L115" i="4"/>
  <c r="K115"/>
  <c r="J115"/>
  <c r="I115"/>
  <c r="H115"/>
  <c r="G115"/>
  <c r="F115"/>
  <c r="E115"/>
  <c r="C115"/>
  <c r="M114"/>
  <c r="L114"/>
  <c r="K114"/>
  <c r="J114"/>
  <c r="I114"/>
  <c r="H114"/>
  <c r="G114"/>
  <c r="F114"/>
  <c r="E114"/>
  <c r="C114"/>
  <c r="M113"/>
  <c r="L113"/>
  <c r="K113"/>
  <c r="J113"/>
  <c r="I113"/>
  <c r="H113"/>
  <c r="G113"/>
  <c r="F113"/>
  <c r="E113"/>
  <c r="C113"/>
  <c r="M112"/>
  <c r="L112"/>
  <c r="K112"/>
  <c r="J112"/>
  <c r="I112"/>
  <c r="H112"/>
  <c r="G112"/>
  <c r="F112"/>
  <c r="E112"/>
  <c r="C112"/>
  <c r="M111"/>
  <c r="L111"/>
  <c r="K111"/>
  <c r="J111"/>
  <c r="I111"/>
  <c r="H111"/>
  <c r="F111"/>
  <c r="E111"/>
  <c r="C111"/>
  <c r="M110"/>
  <c r="L110"/>
  <c r="K110"/>
  <c r="J110"/>
  <c r="I110"/>
  <c r="H110"/>
  <c r="G110"/>
  <c r="F110"/>
  <c r="E110"/>
  <c r="C110"/>
  <c r="M105"/>
  <c r="L105"/>
  <c r="K105"/>
  <c r="J105"/>
  <c r="I105"/>
  <c r="H105"/>
  <c r="G105"/>
  <c r="F105"/>
  <c r="E105"/>
  <c r="C105"/>
  <c r="M104"/>
  <c r="H104" i="8" s="1"/>
  <c r="L104" i="4"/>
  <c r="K104"/>
  <c r="J104"/>
  <c r="I104"/>
  <c r="H104"/>
  <c r="F104"/>
  <c r="E104"/>
  <c r="C104"/>
  <c r="M103"/>
  <c r="L103"/>
  <c r="K103"/>
  <c r="J103"/>
  <c r="I103"/>
  <c r="H103"/>
  <c r="G103"/>
  <c r="F103"/>
  <c r="E103"/>
  <c r="C103"/>
  <c r="M102"/>
  <c r="L102"/>
  <c r="K102"/>
  <c r="J102"/>
  <c r="I102"/>
  <c r="H102"/>
  <c r="G102"/>
  <c r="F102"/>
  <c r="E102"/>
  <c r="C102"/>
  <c r="M101"/>
  <c r="L101"/>
  <c r="K101"/>
  <c r="J101"/>
  <c r="I101"/>
  <c r="H101"/>
  <c r="G101"/>
  <c r="F101"/>
  <c r="E101"/>
  <c r="I180" l="1"/>
  <c r="H180"/>
  <c r="N101"/>
  <c r="H141"/>
  <c r="I149"/>
  <c r="H149"/>
  <c r="O154"/>
  <c r="N158"/>
  <c r="K180"/>
  <c r="M149"/>
  <c r="L180"/>
  <c r="N135"/>
  <c r="N141" s="1"/>
  <c r="M180"/>
  <c r="J180"/>
  <c r="J149"/>
  <c r="L141"/>
  <c r="J141"/>
  <c r="K149"/>
  <c r="M141"/>
  <c r="I141"/>
  <c r="K141"/>
  <c r="N174"/>
  <c r="N180" s="1"/>
  <c r="O111"/>
  <c r="O113"/>
  <c r="H114" i="8"/>
  <c r="K114" s="1"/>
  <c r="N128" i="4"/>
  <c r="H124" i="8"/>
  <c r="K124" s="1"/>
  <c r="H152"/>
  <c r="K152" s="1"/>
  <c r="J152" s="1"/>
  <c r="H155"/>
  <c r="J155" s="1"/>
  <c r="I171" i="4"/>
  <c r="H109"/>
  <c r="O175"/>
  <c r="O180" s="1"/>
  <c r="H161" i="8"/>
  <c r="K161" s="1"/>
  <c r="O161" i="4"/>
  <c r="H153" i="8"/>
  <c r="J153" s="1"/>
  <c r="O153" i="4"/>
  <c r="L171"/>
  <c r="J171"/>
  <c r="M171"/>
  <c r="K171"/>
  <c r="N151"/>
  <c r="O156"/>
  <c r="H126" i="8"/>
  <c r="J126" s="1"/>
  <c r="O110" i="4"/>
  <c r="H112" i="8"/>
  <c r="K112" s="1"/>
  <c r="J112" s="1"/>
  <c r="H132"/>
  <c r="K132" s="1"/>
  <c r="J132" s="1"/>
  <c r="O132" i="4"/>
  <c r="O141" s="1"/>
  <c r="M109"/>
  <c r="H174" i="8"/>
  <c r="K174" s="1"/>
  <c r="H143"/>
  <c r="K143" s="1"/>
  <c r="J109" i="4"/>
  <c r="L109"/>
  <c r="I109"/>
  <c r="K109"/>
  <c r="H123" i="8"/>
  <c r="K123" s="1"/>
  <c r="I128" i="4"/>
  <c r="H130" i="8"/>
  <c r="H175" i="4"/>
  <c r="H173"/>
  <c r="H102" i="8"/>
  <c r="J102" s="1"/>
  <c r="H159"/>
  <c r="K159" s="1"/>
  <c r="J159" s="1"/>
  <c r="K128" i="4"/>
  <c r="M128"/>
  <c r="H128"/>
  <c r="L128"/>
  <c r="J128"/>
  <c r="H131" i="8"/>
  <c r="J131" s="1"/>
  <c r="H117"/>
  <c r="J117" s="1"/>
  <c r="H162"/>
  <c r="K162" s="1"/>
  <c r="H105"/>
  <c r="J105" s="1"/>
  <c r="H163"/>
  <c r="K163" s="1"/>
  <c r="H142"/>
  <c r="H151" i="4"/>
  <c r="H171" s="1"/>
  <c r="H125" i="8"/>
  <c r="J125" s="1"/>
  <c r="H118"/>
  <c r="K118" s="1"/>
  <c r="H175"/>
  <c r="J175" s="1"/>
  <c r="H166"/>
  <c r="K166" s="1"/>
  <c r="H138"/>
  <c r="K138" s="1"/>
  <c r="H165"/>
  <c r="K165" s="1"/>
  <c r="H158"/>
  <c r="K158" s="1"/>
  <c r="J158" s="1"/>
  <c r="H135"/>
  <c r="K135" s="1"/>
  <c r="J135" s="1"/>
  <c r="J129"/>
  <c r="H111"/>
  <c r="K111" s="1"/>
  <c r="J173"/>
  <c r="K173"/>
  <c r="H120"/>
  <c r="H133"/>
  <c r="J133" s="1"/>
  <c r="H157"/>
  <c r="J157" s="1"/>
  <c r="H103"/>
  <c r="K103" s="1"/>
  <c r="J103" s="1"/>
  <c r="H110"/>
  <c r="H156"/>
  <c r="J156" s="1"/>
  <c r="J164"/>
  <c r="H150"/>
  <c r="H154"/>
  <c r="K154" s="1"/>
  <c r="J154" s="1"/>
  <c r="H122"/>
  <c r="H113"/>
  <c r="K113" s="1"/>
  <c r="J113" s="1"/>
  <c r="H151"/>
  <c r="J151" s="1"/>
  <c r="W192" i="4"/>
  <c r="E12" i="21" s="1"/>
  <c r="D12" s="1"/>
  <c r="W193" i="4"/>
  <c r="D18" i="22" s="1"/>
  <c r="W190" i="4"/>
  <c r="D30" i="12" s="1"/>
  <c r="W191" i="4"/>
  <c r="C36" i="5" s="1"/>
  <c r="W194" i="4"/>
  <c r="D19" i="22" s="1"/>
  <c r="W197" i="4"/>
  <c r="E17" i="21" s="1"/>
  <c r="W195" i="4"/>
  <c r="C40" i="5" s="1"/>
  <c r="H101" i="8"/>
  <c r="K115"/>
  <c r="J115"/>
  <c r="K104"/>
  <c r="J104"/>
  <c r="K116"/>
  <c r="J116"/>
  <c r="K134"/>
  <c r="J134"/>
  <c r="K136"/>
  <c r="J136"/>
  <c r="H172"/>
  <c r="J176"/>
  <c r="D21" i="22"/>
  <c r="E16" i="21"/>
  <c r="D16" s="1"/>
  <c r="D36" i="12"/>
  <c r="C36" s="1"/>
  <c r="C41" i="5"/>
  <c r="K160" i="8"/>
  <c r="J160"/>
  <c r="H180" l="1"/>
  <c r="H149"/>
  <c r="H141"/>
  <c r="J114"/>
  <c r="J124"/>
  <c r="K155"/>
  <c r="J161"/>
  <c r="N171" i="4"/>
  <c r="O171"/>
  <c r="K153" i="8"/>
  <c r="H171"/>
  <c r="K171" s="1"/>
  <c r="J174"/>
  <c r="K126"/>
  <c r="H109"/>
  <c r="J143"/>
  <c r="J123"/>
  <c r="K102"/>
  <c r="K131"/>
  <c r="K110"/>
  <c r="H128"/>
  <c r="O128" i="4"/>
  <c r="K117" i="8"/>
  <c r="J162"/>
  <c r="K105"/>
  <c r="J163"/>
  <c r="K142"/>
  <c r="K149" s="1"/>
  <c r="J142"/>
  <c r="K130"/>
  <c r="J130"/>
  <c r="K125"/>
  <c r="J118"/>
  <c r="J150"/>
  <c r="K175"/>
  <c r="J166"/>
  <c r="J122"/>
  <c r="K122"/>
  <c r="J120"/>
  <c r="K120"/>
  <c r="J138"/>
  <c r="O109" i="4"/>
  <c r="K172" i="8"/>
  <c r="J165"/>
  <c r="K129"/>
  <c r="J111"/>
  <c r="K133"/>
  <c r="K156"/>
  <c r="J110"/>
  <c r="K157"/>
  <c r="K150"/>
  <c r="J101"/>
  <c r="J109" s="1"/>
  <c r="D15" i="22"/>
  <c r="K151" i="8"/>
  <c r="D20" i="22"/>
  <c r="E13" i="21"/>
  <c r="D13" s="1"/>
  <c r="C42" i="5"/>
  <c r="E10" i="21"/>
  <c r="D22" i="22"/>
  <c r="D33" i="12"/>
  <c r="C33" s="1"/>
  <c r="K101" i="8"/>
  <c r="D16" i="22"/>
  <c r="E14" i="21"/>
  <c r="D14" s="1"/>
  <c r="C37" i="5"/>
  <c r="C39"/>
  <c r="D17" i="22"/>
  <c r="J172" i="8"/>
  <c r="J180" l="1"/>
  <c r="K141"/>
  <c r="J141"/>
  <c r="J149"/>
  <c r="J171"/>
  <c r="K109"/>
  <c r="J128"/>
  <c r="K128"/>
  <c r="I181"/>
  <c r="D182" s="1"/>
  <c r="M95" i="4"/>
  <c r="H95" i="8" s="1"/>
  <c r="L95" i="4"/>
  <c r="K95"/>
  <c r="J95"/>
  <c r="I95"/>
  <c r="H95"/>
  <c r="G95"/>
  <c r="F95"/>
  <c r="E95"/>
  <c r="C95"/>
  <c r="M94"/>
  <c r="L94"/>
  <c r="K94"/>
  <c r="J94"/>
  <c r="I94"/>
  <c r="H94"/>
  <c r="G94"/>
  <c r="F94"/>
  <c r="E94"/>
  <c r="C94"/>
  <c r="M93"/>
  <c r="L93"/>
  <c r="K93"/>
  <c r="J93"/>
  <c r="I93"/>
  <c r="H93"/>
  <c r="G93"/>
  <c r="F93"/>
  <c r="E93"/>
  <c r="C93"/>
  <c r="M92"/>
  <c r="L92"/>
  <c r="K92"/>
  <c r="J92"/>
  <c r="I92"/>
  <c r="H92"/>
  <c r="G92"/>
  <c r="F92"/>
  <c r="E92"/>
  <c r="C92"/>
  <c r="M91"/>
  <c r="H91" i="8" s="1"/>
  <c r="L91" i="4"/>
  <c r="K91"/>
  <c r="J91"/>
  <c r="I91"/>
  <c r="H91"/>
  <c r="G91"/>
  <c r="F91"/>
  <c r="C91"/>
  <c r="M90"/>
  <c r="H90" i="8" s="1"/>
  <c r="L90" i="4"/>
  <c r="K90"/>
  <c r="J90"/>
  <c r="I90"/>
  <c r="H90"/>
  <c r="G90"/>
  <c r="F90"/>
  <c r="E90"/>
  <c r="C90"/>
  <c r="M89"/>
  <c r="L89"/>
  <c r="K89"/>
  <c r="J89"/>
  <c r="I89"/>
  <c r="H89"/>
  <c r="G89"/>
  <c r="F89"/>
  <c r="E89"/>
  <c r="C89"/>
  <c r="M88"/>
  <c r="L88"/>
  <c r="K88"/>
  <c r="J88"/>
  <c r="I88"/>
  <c r="H88"/>
  <c r="G88"/>
  <c r="F88"/>
  <c r="E88"/>
  <c r="C88"/>
  <c r="M87"/>
  <c r="L87"/>
  <c r="K87"/>
  <c r="J87"/>
  <c r="I87"/>
  <c r="H87"/>
  <c r="G87"/>
  <c r="F87"/>
  <c r="E87"/>
  <c r="C87"/>
  <c r="M86"/>
  <c r="H86" i="8" s="1"/>
  <c r="L86" i="4"/>
  <c r="K86"/>
  <c r="J86"/>
  <c r="I86"/>
  <c r="H86"/>
  <c r="G86"/>
  <c r="F86"/>
  <c r="E86"/>
  <c r="C86"/>
  <c r="M85"/>
  <c r="L85"/>
  <c r="K85"/>
  <c r="J85"/>
  <c r="I85"/>
  <c r="H85"/>
  <c r="G85"/>
  <c r="F85"/>
  <c r="E85"/>
  <c r="C85"/>
  <c r="M84"/>
  <c r="L84"/>
  <c r="K84"/>
  <c r="J84"/>
  <c r="I84"/>
  <c r="H84"/>
  <c r="G84"/>
  <c r="F84"/>
  <c r="E84"/>
  <c r="C84"/>
  <c r="M83"/>
  <c r="L83"/>
  <c r="K83"/>
  <c r="J83"/>
  <c r="I83"/>
  <c r="H83"/>
  <c r="G83"/>
  <c r="F83"/>
  <c r="E83"/>
  <c r="C83"/>
  <c r="M82"/>
  <c r="L82"/>
  <c r="K82"/>
  <c r="J82"/>
  <c r="I82"/>
  <c r="H82"/>
  <c r="G82"/>
  <c r="F82"/>
  <c r="E82"/>
  <c r="C82"/>
  <c r="M81"/>
  <c r="N81" s="1"/>
  <c r="L81"/>
  <c r="K81"/>
  <c r="J81"/>
  <c r="H81"/>
  <c r="G81"/>
  <c r="F81"/>
  <c r="E81"/>
  <c r="C81"/>
  <c r="L80"/>
  <c r="K80"/>
  <c r="J80"/>
  <c r="I80"/>
  <c r="G80"/>
  <c r="F80"/>
  <c r="E80"/>
  <c r="C80"/>
  <c r="L79"/>
  <c r="K79"/>
  <c r="J79"/>
  <c r="I79"/>
  <c r="N79" s="1"/>
  <c r="H79"/>
  <c r="G79"/>
  <c r="F79"/>
  <c r="E79"/>
  <c r="C79"/>
  <c r="M78"/>
  <c r="L78"/>
  <c r="K78"/>
  <c r="J78"/>
  <c r="I78"/>
  <c r="H78"/>
  <c r="G78"/>
  <c r="F78"/>
  <c r="E78"/>
  <c r="C78"/>
  <c r="M77"/>
  <c r="L77"/>
  <c r="K77"/>
  <c r="J77"/>
  <c r="I77"/>
  <c r="H77"/>
  <c r="G77"/>
  <c r="F77"/>
  <c r="E77"/>
  <c r="C77"/>
  <c r="M76"/>
  <c r="L76"/>
  <c r="K76"/>
  <c r="J76"/>
  <c r="I76"/>
  <c r="H76"/>
  <c r="G76"/>
  <c r="F76"/>
  <c r="E76"/>
  <c r="C76"/>
  <c r="M75"/>
  <c r="L75"/>
  <c r="K75"/>
  <c r="J75"/>
  <c r="I75"/>
  <c r="H75"/>
  <c r="G75"/>
  <c r="F75"/>
  <c r="E75"/>
  <c r="C75"/>
  <c r="N77" l="1"/>
  <c r="N83"/>
  <c r="O87"/>
  <c r="K100"/>
  <c r="N75"/>
  <c r="M100"/>
  <c r="L100"/>
  <c r="J100"/>
  <c r="I100"/>
  <c r="H92" i="8"/>
  <c r="J92" s="1"/>
  <c r="H80" i="4"/>
  <c r="H100" s="1"/>
  <c r="H85" i="8"/>
  <c r="J85" s="1"/>
  <c r="H93"/>
  <c r="J93" s="1"/>
  <c r="H89"/>
  <c r="K89" s="1"/>
  <c r="H94"/>
  <c r="K94" s="1"/>
  <c r="J94" s="1"/>
  <c r="H88"/>
  <c r="J88" s="1"/>
  <c r="H80"/>
  <c r="J80" s="1"/>
  <c r="H87"/>
  <c r="J87" s="1"/>
  <c r="K180"/>
  <c r="I184"/>
  <c r="H79"/>
  <c r="K79" s="1"/>
  <c r="J79" s="1"/>
  <c r="H81"/>
  <c r="J81" s="1"/>
  <c r="H83"/>
  <c r="K83" s="1"/>
  <c r="J83" s="1"/>
  <c r="H78"/>
  <c r="K78" s="1"/>
  <c r="H82"/>
  <c r="K82" s="1"/>
  <c r="J82" s="1"/>
  <c r="H76"/>
  <c r="K76" s="1"/>
  <c r="J76" s="1"/>
  <c r="H77"/>
  <c r="K77" s="1"/>
  <c r="J77" s="1"/>
  <c r="H84"/>
  <c r="K84" s="1"/>
  <c r="J84" s="1"/>
  <c r="H75"/>
  <c r="K90"/>
  <c r="J90"/>
  <c r="J86"/>
  <c r="K86"/>
  <c r="K92"/>
  <c r="K91"/>
  <c r="J91"/>
  <c r="K95"/>
  <c r="J95"/>
  <c r="L67" i="4"/>
  <c r="K67"/>
  <c r="J67"/>
  <c r="I67"/>
  <c r="O67" s="1"/>
  <c r="H67"/>
  <c r="G67"/>
  <c r="F67"/>
  <c r="E67"/>
  <c r="C67"/>
  <c r="M66"/>
  <c r="H66" i="8" s="1"/>
  <c r="L66" i="4"/>
  <c r="K66"/>
  <c r="J66"/>
  <c r="I66"/>
  <c r="G66"/>
  <c r="E66"/>
  <c r="M65"/>
  <c r="L65"/>
  <c r="K65"/>
  <c r="J65"/>
  <c r="I65"/>
  <c r="H65"/>
  <c r="G65"/>
  <c r="F65"/>
  <c r="E65"/>
  <c r="M64"/>
  <c r="L64"/>
  <c r="K64"/>
  <c r="J64"/>
  <c r="I64"/>
  <c r="O64" s="1"/>
  <c r="H64"/>
  <c r="G64"/>
  <c r="F64"/>
  <c r="E64"/>
  <c r="C64"/>
  <c r="M63"/>
  <c r="L63"/>
  <c r="K63"/>
  <c r="J63"/>
  <c r="I63"/>
  <c r="H63"/>
  <c r="G63"/>
  <c r="F63"/>
  <c r="E63"/>
  <c r="C63"/>
  <c r="M62"/>
  <c r="L62"/>
  <c r="K62"/>
  <c r="J62"/>
  <c r="I62"/>
  <c r="H62"/>
  <c r="G62"/>
  <c r="F62"/>
  <c r="E62"/>
  <c r="C62"/>
  <c r="M61"/>
  <c r="L61"/>
  <c r="K61"/>
  <c r="J61"/>
  <c r="I61"/>
  <c r="H61"/>
  <c r="G61"/>
  <c r="F61"/>
  <c r="E61"/>
  <c r="C61"/>
  <c r="M59"/>
  <c r="L59"/>
  <c r="K59"/>
  <c r="J59"/>
  <c r="I59"/>
  <c r="H59"/>
  <c r="G59"/>
  <c r="F59"/>
  <c r="L58"/>
  <c r="K58"/>
  <c r="J58"/>
  <c r="I58"/>
  <c r="H58"/>
  <c r="G58"/>
  <c r="F58"/>
  <c r="M57"/>
  <c r="L57"/>
  <c r="K57"/>
  <c r="J57"/>
  <c r="I57"/>
  <c r="H57"/>
  <c r="F57"/>
  <c r="E57"/>
  <c r="M56"/>
  <c r="L56"/>
  <c r="K56"/>
  <c r="J56"/>
  <c r="I56"/>
  <c r="H56"/>
  <c r="G56"/>
  <c r="F56"/>
  <c r="E56"/>
  <c r="C56"/>
  <c r="M55"/>
  <c r="H55" i="8" s="1"/>
  <c r="L55" i="4"/>
  <c r="K55"/>
  <c r="J55"/>
  <c r="I55"/>
  <c r="H55"/>
  <c r="G55"/>
  <c r="F55"/>
  <c r="E55"/>
  <c r="C55"/>
  <c r="M54"/>
  <c r="L54"/>
  <c r="K54"/>
  <c r="J54"/>
  <c r="I54"/>
  <c r="H54"/>
  <c r="G54"/>
  <c r="F54"/>
  <c r="E54"/>
  <c r="C54"/>
  <c r="M53"/>
  <c r="L53"/>
  <c r="K53"/>
  <c r="J53"/>
  <c r="I53"/>
  <c r="H53"/>
  <c r="G53"/>
  <c r="F53"/>
  <c r="E53"/>
  <c r="C53"/>
  <c r="M52"/>
  <c r="L52"/>
  <c r="K52"/>
  <c r="J52"/>
  <c r="I52"/>
  <c r="O52" s="1"/>
  <c r="H52"/>
  <c r="G52"/>
  <c r="F52"/>
  <c r="E52"/>
  <c r="O100" l="1"/>
  <c r="O57"/>
  <c r="O62"/>
  <c r="N100"/>
  <c r="H100" i="8"/>
  <c r="O59" i="4"/>
  <c r="H62" i="8"/>
  <c r="K62" s="1"/>
  <c r="H74" i="4"/>
  <c r="K85" i="8"/>
  <c r="I74" i="4"/>
  <c r="L74"/>
  <c r="K74"/>
  <c r="J74"/>
  <c r="M74"/>
  <c r="K93" i="8"/>
  <c r="J89"/>
  <c r="H53"/>
  <c r="K53" s="1"/>
  <c r="J53" s="1"/>
  <c r="K88"/>
  <c r="K80"/>
  <c r="K87"/>
  <c r="H65"/>
  <c r="K65" s="1"/>
  <c r="H57"/>
  <c r="K81"/>
  <c r="H56"/>
  <c r="J56" s="1"/>
  <c r="H67"/>
  <c r="K67" s="1"/>
  <c r="J67" s="1"/>
  <c r="J78"/>
  <c r="H52"/>
  <c r="H54"/>
  <c r="K54" s="1"/>
  <c r="H61"/>
  <c r="K61" s="1"/>
  <c r="H59"/>
  <c r="H64"/>
  <c r="K64" s="1"/>
  <c r="H58"/>
  <c r="H63"/>
  <c r="J63" s="1"/>
  <c r="K75"/>
  <c r="J75"/>
  <c r="J66"/>
  <c r="K66"/>
  <c r="K55"/>
  <c r="J55"/>
  <c r="M45" i="4"/>
  <c r="L45"/>
  <c r="K45"/>
  <c r="E45" i="10" s="1"/>
  <c r="J45" i="4"/>
  <c r="D45" i="10" s="1"/>
  <c r="I45" i="4"/>
  <c r="H45"/>
  <c r="G45"/>
  <c r="F45"/>
  <c r="E45"/>
  <c r="C45"/>
  <c r="M44"/>
  <c r="H44" i="8" s="1"/>
  <c r="L44" i="4"/>
  <c r="K44"/>
  <c r="E44" i="10" s="1"/>
  <c r="J44" i="4"/>
  <c r="D44" i="10" s="1"/>
  <c r="I44" i="4"/>
  <c r="H44"/>
  <c r="G44"/>
  <c r="F44"/>
  <c r="E44"/>
  <c r="M43"/>
  <c r="H43" i="8" s="1"/>
  <c r="L43" i="4"/>
  <c r="K43"/>
  <c r="E43" i="10" s="1"/>
  <c r="J43" i="4"/>
  <c r="D43" i="10" s="1"/>
  <c r="I43" i="4"/>
  <c r="H43"/>
  <c r="G43"/>
  <c r="F43"/>
  <c r="E43"/>
  <c r="M42"/>
  <c r="H42" i="8" s="1"/>
  <c r="L42" i="4"/>
  <c r="K42"/>
  <c r="E42" i="10" s="1"/>
  <c r="J42" i="4"/>
  <c r="D42" i="10" s="1"/>
  <c r="G42" i="4"/>
  <c r="F42"/>
  <c r="E42"/>
  <c r="C42"/>
  <c r="M41"/>
  <c r="L41"/>
  <c r="K41"/>
  <c r="E41" i="10" s="1"/>
  <c r="J41" i="4"/>
  <c r="D41" i="10" s="1"/>
  <c r="I41" i="4"/>
  <c r="H41"/>
  <c r="G41"/>
  <c r="F41"/>
  <c r="E41"/>
  <c r="C41"/>
  <c r="M40"/>
  <c r="L40"/>
  <c r="K40"/>
  <c r="E40" i="10" s="1"/>
  <c r="J40" i="4"/>
  <c r="D40" i="10" s="1"/>
  <c r="I40" i="4"/>
  <c r="H40"/>
  <c r="G40"/>
  <c r="F40"/>
  <c r="E40"/>
  <c r="C40"/>
  <c r="M39"/>
  <c r="L39"/>
  <c r="K39"/>
  <c r="E39" i="10" s="1"/>
  <c r="J39" i="4"/>
  <c r="D39" i="10" s="1"/>
  <c r="I39" i="4"/>
  <c r="H39"/>
  <c r="G39"/>
  <c r="F39"/>
  <c r="E39"/>
  <c r="C39"/>
  <c r="M38"/>
  <c r="L38"/>
  <c r="K38"/>
  <c r="E38" i="10" s="1"/>
  <c r="J38" i="4"/>
  <c r="D38" i="10" s="1"/>
  <c r="I38" i="4"/>
  <c r="H38"/>
  <c r="G38"/>
  <c r="F38"/>
  <c r="E38"/>
  <c r="C38"/>
  <c r="M37"/>
  <c r="O37" s="1"/>
  <c r="L37"/>
  <c r="K37"/>
  <c r="E37" i="10" s="1"/>
  <c r="J37" i="4"/>
  <c r="D37" i="10" s="1"/>
  <c r="I37" i="4"/>
  <c r="H37"/>
  <c r="G37"/>
  <c r="F37"/>
  <c r="E37"/>
  <c r="C37"/>
  <c r="K100" i="8" l="1"/>
  <c r="J100"/>
  <c r="J62"/>
  <c r="H41"/>
  <c r="K41" s="1"/>
  <c r="O74" i="4"/>
  <c r="N74"/>
  <c r="J57" i="8"/>
  <c r="H74"/>
  <c r="H37"/>
  <c r="J37" s="1"/>
  <c r="H45"/>
  <c r="K45" s="1"/>
  <c r="H38"/>
  <c r="J38" s="1"/>
  <c r="K59"/>
  <c r="J65"/>
  <c r="H39"/>
  <c r="K39" s="1"/>
  <c r="J39" s="1"/>
  <c r="K57"/>
  <c r="J52"/>
  <c r="K56"/>
  <c r="K52"/>
  <c r="J54"/>
  <c r="H40"/>
  <c r="J40" s="1"/>
  <c r="J61"/>
  <c r="J64"/>
  <c r="J59"/>
  <c r="K63"/>
  <c r="J58"/>
  <c r="K58"/>
  <c r="K42"/>
  <c r="J42"/>
  <c r="K43"/>
  <c r="J43"/>
  <c r="K44"/>
  <c r="J44"/>
  <c r="M36" i="4"/>
  <c r="H36" i="8" s="1"/>
  <c r="L36" i="4"/>
  <c r="K36"/>
  <c r="E36" i="10" s="1"/>
  <c r="J36" i="4"/>
  <c r="D36" i="10" s="1"/>
  <c r="I36" i="4"/>
  <c r="H36"/>
  <c r="G36"/>
  <c r="F36"/>
  <c r="E36"/>
  <c r="M35"/>
  <c r="L35"/>
  <c r="K35"/>
  <c r="J35"/>
  <c r="D35" i="10" s="1"/>
  <c r="I35" i="4"/>
  <c r="H35"/>
  <c r="G35"/>
  <c r="F35"/>
  <c r="E35"/>
  <c r="C35"/>
  <c r="M34"/>
  <c r="L34"/>
  <c r="K34"/>
  <c r="E34" i="10" s="1"/>
  <c r="J34" i="4"/>
  <c r="D34" i="10" s="1"/>
  <c r="I34" i="4"/>
  <c r="H34"/>
  <c r="G34"/>
  <c r="F34"/>
  <c r="E34"/>
  <c r="C34"/>
  <c r="M33"/>
  <c r="L33"/>
  <c r="K33"/>
  <c r="E33" i="10" s="1"/>
  <c r="J33" i="4"/>
  <c r="D33" i="10" s="1"/>
  <c r="I33" i="4"/>
  <c r="H33"/>
  <c r="G33"/>
  <c r="F33"/>
  <c r="E33"/>
  <c r="C33"/>
  <c r="M32"/>
  <c r="L32"/>
  <c r="K32"/>
  <c r="E32" i="10" s="1"/>
  <c r="J32" i="4"/>
  <c r="D32" i="10" s="1"/>
  <c r="I32" i="4"/>
  <c r="H32"/>
  <c r="G32"/>
  <c r="F32"/>
  <c r="E32"/>
  <c r="C32"/>
  <c r="M31"/>
  <c r="L31"/>
  <c r="K31"/>
  <c r="E31" i="10" s="1"/>
  <c r="J31" i="4"/>
  <c r="D31" i="10" s="1"/>
  <c r="I31" i="4"/>
  <c r="O31" s="1"/>
  <c r="H31"/>
  <c r="G31"/>
  <c r="F31"/>
  <c r="E31"/>
  <c r="C31"/>
  <c r="M30"/>
  <c r="L30"/>
  <c r="K30"/>
  <c r="E30" i="10" s="1"/>
  <c r="J30" i="4"/>
  <c r="D30" i="10" s="1"/>
  <c r="I30" i="4"/>
  <c r="H30"/>
  <c r="G30"/>
  <c r="F30"/>
  <c r="E30"/>
  <c r="C30"/>
  <c r="M29"/>
  <c r="L29"/>
  <c r="K29"/>
  <c r="E29" i="10" s="1"/>
  <c r="J29" i="4"/>
  <c r="D29" i="10" s="1"/>
  <c r="I29" i="4"/>
  <c r="H29"/>
  <c r="G29"/>
  <c r="F29"/>
  <c r="E29"/>
  <c r="C29"/>
  <c r="M28"/>
  <c r="L28"/>
  <c r="K28"/>
  <c r="E27" i="10" s="1"/>
  <c r="J28" i="4"/>
  <c r="D27" i="10" s="1"/>
  <c r="I28" i="4"/>
  <c r="H28"/>
  <c r="F28"/>
  <c r="E28"/>
  <c r="C28"/>
  <c r="M27"/>
  <c r="L27"/>
  <c r="K27"/>
  <c r="E26" i="10" s="1"/>
  <c r="J27" i="4"/>
  <c r="D26" i="10" s="1"/>
  <c r="I27" i="4"/>
  <c r="H27"/>
  <c r="G27"/>
  <c r="F27"/>
  <c r="E27"/>
  <c r="C27"/>
  <c r="M26"/>
  <c r="L26"/>
  <c r="K26"/>
  <c r="E24" i="10" s="1"/>
  <c r="J26" i="4"/>
  <c r="D24" i="10" s="1"/>
  <c r="I26" i="4"/>
  <c r="G26"/>
  <c r="F26"/>
  <c r="E26"/>
  <c r="C26"/>
  <c r="M25"/>
  <c r="L25"/>
  <c r="K25"/>
  <c r="E23" i="10" s="1"/>
  <c r="J25" i="4"/>
  <c r="D23" i="10" s="1"/>
  <c r="I25" i="4"/>
  <c r="H25"/>
  <c r="G25"/>
  <c r="F25"/>
  <c r="E25"/>
  <c r="C25"/>
  <c r="M24"/>
  <c r="L24"/>
  <c r="K24"/>
  <c r="E22" i="10" s="1"/>
  <c r="J24" i="4"/>
  <c r="D22" i="10" s="1"/>
  <c r="I24" i="4"/>
  <c r="H24"/>
  <c r="G24"/>
  <c r="F24"/>
  <c r="E24"/>
  <c r="C24"/>
  <c r="M23"/>
  <c r="L23"/>
  <c r="K23"/>
  <c r="E21" i="10" s="1"/>
  <c r="J23" i="4"/>
  <c r="D21" i="10" s="1"/>
  <c r="I23" i="4"/>
  <c r="H23"/>
  <c r="G23"/>
  <c r="F23"/>
  <c r="E23"/>
  <c r="C23"/>
  <c r="M22"/>
  <c r="L22"/>
  <c r="K22"/>
  <c r="E20" i="10" s="1"/>
  <c r="J22" i="4"/>
  <c r="D20" i="10" s="1"/>
  <c r="I22" i="4"/>
  <c r="H22"/>
  <c r="G22"/>
  <c r="F22"/>
  <c r="E22"/>
  <c r="C22"/>
  <c r="M21"/>
  <c r="L21"/>
  <c r="K21"/>
  <c r="E19" i="10" s="1"/>
  <c r="J21" i="4"/>
  <c r="D19" i="10" s="1"/>
  <c r="I21" i="4"/>
  <c r="H21"/>
  <c r="G21"/>
  <c r="F21"/>
  <c r="E21"/>
  <c r="C21"/>
  <c r="M20"/>
  <c r="L20"/>
  <c r="K20"/>
  <c r="E18" i="10" s="1"/>
  <c r="J20" i="4"/>
  <c r="D18" i="10" s="1"/>
  <c r="I20" i="4"/>
  <c r="H20"/>
  <c r="G20"/>
  <c r="F20"/>
  <c r="E20"/>
  <c r="C20"/>
  <c r="M19"/>
  <c r="L19"/>
  <c r="K19"/>
  <c r="E17" i="10" s="1"/>
  <c r="J19" i="4"/>
  <c r="D17" i="10" s="1"/>
  <c r="I19" i="4"/>
  <c r="G19"/>
  <c r="F19"/>
  <c r="E19"/>
  <c r="C19"/>
  <c r="M18"/>
  <c r="L18"/>
  <c r="K18"/>
  <c r="E16" i="10" s="1"/>
  <c r="J18" i="4"/>
  <c r="D16" i="10" s="1"/>
  <c r="I18" i="4"/>
  <c r="H18"/>
  <c r="G18"/>
  <c r="F18"/>
  <c r="E18"/>
  <c r="C18"/>
  <c r="M17"/>
  <c r="L17"/>
  <c r="K17"/>
  <c r="E15" i="10" s="1"/>
  <c r="J17" i="4"/>
  <c r="D15" i="10" s="1"/>
  <c r="I17" i="4"/>
  <c r="H17"/>
  <c r="G17"/>
  <c r="F17"/>
  <c r="E17"/>
  <c r="C17"/>
  <c r="H16" i="8"/>
  <c r="K16" s="1"/>
  <c r="J16" s="1"/>
  <c r="L16" i="4"/>
  <c r="K16"/>
  <c r="J16"/>
  <c r="I16"/>
  <c r="N16" s="1"/>
  <c r="H16"/>
  <c r="G16"/>
  <c r="F16"/>
  <c r="E16"/>
  <c r="C16"/>
  <c r="M15"/>
  <c r="O15" s="1"/>
  <c r="L15"/>
  <c r="K15"/>
  <c r="E13" i="10" s="1"/>
  <c r="J15" i="4"/>
  <c r="D13" i="10" s="1"/>
  <c r="G15" i="4"/>
  <c r="F15"/>
  <c r="E15"/>
  <c r="C15"/>
  <c r="M14"/>
  <c r="L14"/>
  <c r="K14"/>
  <c r="E12" i="10" s="1"/>
  <c r="J14" i="4"/>
  <c r="D12" i="10" s="1"/>
  <c r="I14" i="4"/>
  <c r="H14"/>
  <c r="G14"/>
  <c r="F14"/>
  <c r="E14"/>
  <c r="C14"/>
  <c r="M13"/>
  <c r="L13"/>
  <c r="K13"/>
  <c r="E11" i="10" s="1"/>
  <c r="J13" i="4"/>
  <c r="D11" i="10" s="1"/>
  <c r="I13" i="4"/>
  <c r="H13"/>
  <c r="G13"/>
  <c r="F13"/>
  <c r="E13"/>
  <c r="C13"/>
  <c r="M12"/>
  <c r="L12"/>
  <c r="K12"/>
  <c r="J12"/>
  <c r="I12"/>
  <c r="H12"/>
  <c r="G12"/>
  <c r="F12"/>
  <c r="E12"/>
  <c r="C12"/>
  <c r="M11"/>
  <c r="L11"/>
  <c r="K11"/>
  <c r="E9" i="10" s="1"/>
  <c r="J11" i="4"/>
  <c r="D9" i="10" s="1"/>
  <c r="I11" i="4"/>
  <c r="H11"/>
  <c r="G11"/>
  <c r="F11"/>
  <c r="E11"/>
  <c r="C11"/>
  <c r="L10"/>
  <c r="K10"/>
  <c r="J10"/>
  <c r="I10"/>
  <c r="H10"/>
  <c r="G10"/>
  <c r="F10"/>
  <c r="E10"/>
  <c r="C10"/>
  <c r="M9"/>
  <c r="L9"/>
  <c r="K9"/>
  <c r="J9"/>
  <c r="I9"/>
  <c r="H9"/>
  <c r="H51" s="1"/>
  <c r="G9"/>
  <c r="F9"/>
  <c r="E9"/>
  <c r="C9"/>
  <c r="L6"/>
  <c r="K6"/>
  <c r="D184" s="1"/>
  <c r="L2"/>
  <c r="N12" l="1"/>
  <c r="N17"/>
  <c r="N20"/>
  <c r="O34"/>
  <c r="O24"/>
  <c r="I51"/>
  <c r="I181" s="1"/>
  <c r="M51"/>
  <c r="L51"/>
  <c r="L181" s="1"/>
  <c r="E14" i="10"/>
  <c r="K51" i="4"/>
  <c r="K181" s="1"/>
  <c r="D14" i="10"/>
  <c r="J51" i="4"/>
  <c r="J181" s="1"/>
  <c r="N26"/>
  <c r="O23"/>
  <c r="H22" i="8"/>
  <c r="J22" s="1"/>
  <c r="O9" i="4"/>
  <c r="J41" i="8"/>
  <c r="H32"/>
  <c r="J32" s="1"/>
  <c r="H24"/>
  <c r="J24" s="1"/>
  <c r="N18" i="4"/>
  <c r="H34" i="8"/>
  <c r="J34" s="1"/>
  <c r="H33"/>
  <c r="H17"/>
  <c r="J17" s="1"/>
  <c r="K37"/>
  <c r="K74"/>
  <c r="J74"/>
  <c r="E8" i="10"/>
  <c r="D8"/>
  <c r="H23" i="8"/>
  <c r="K23" s="1"/>
  <c r="J45"/>
  <c r="H29"/>
  <c r="K29" s="1"/>
  <c r="H27"/>
  <c r="K27" s="1"/>
  <c r="E10" i="10"/>
  <c r="D10"/>
  <c r="K38" i="8"/>
  <c r="H35"/>
  <c r="K35" s="1"/>
  <c r="E35" i="10"/>
  <c r="H9" i="8"/>
  <c r="H18"/>
  <c r="J18" s="1"/>
  <c r="H15"/>
  <c r="K15" s="1"/>
  <c r="J15" s="1"/>
  <c r="O25" i="4"/>
  <c r="H10" i="8"/>
  <c r="K10" s="1"/>
  <c r="H31"/>
  <c r="K31" s="1"/>
  <c r="D7" i="10"/>
  <c r="E7"/>
  <c r="H12" i="8"/>
  <c r="K12" s="1"/>
  <c r="H19"/>
  <c r="J19" s="1"/>
  <c r="H21"/>
  <c r="J21" s="1"/>
  <c r="H25"/>
  <c r="J25" s="1"/>
  <c r="K40"/>
  <c r="H26"/>
  <c r="O36" i="4"/>
  <c r="H11" i="8"/>
  <c r="K11" s="1"/>
  <c r="H13"/>
  <c r="K13" s="1"/>
  <c r="J13" s="1"/>
  <c r="H14"/>
  <c r="J14" s="1"/>
  <c r="H20"/>
  <c r="J20" s="1"/>
  <c r="H28"/>
  <c r="J28" s="1"/>
  <c r="H30"/>
  <c r="K30" s="1"/>
  <c r="J36"/>
  <c r="K36"/>
  <c r="N51" i="4" l="1"/>
  <c r="O51"/>
  <c r="K9" i="8"/>
  <c r="H51"/>
  <c r="K22"/>
  <c r="K32"/>
  <c r="K24"/>
  <c r="K34"/>
  <c r="J33"/>
  <c r="K33"/>
  <c r="K17"/>
  <c r="J26"/>
  <c r="J23"/>
  <c r="J27"/>
  <c r="J29"/>
  <c r="J9"/>
  <c r="J35"/>
  <c r="K18"/>
  <c r="J10"/>
  <c r="J31"/>
  <c r="D46" i="10"/>
  <c r="E46"/>
  <c r="J12" i="8"/>
  <c r="K21"/>
  <c r="K25"/>
  <c r="K26"/>
  <c r="J11"/>
  <c r="K14"/>
  <c r="K28"/>
  <c r="K20"/>
  <c r="J30"/>
  <c r="H181" i="4"/>
  <c r="C25" i="19"/>
  <c r="K51" i="8" l="1"/>
  <c r="J51"/>
  <c r="J181" s="1"/>
  <c r="D27" i="19"/>
  <c r="D26"/>
  <c r="B26" l="1"/>
  <c r="B27"/>
  <c r="H181" i="8"/>
  <c r="K182" s="1"/>
  <c r="D183"/>
  <c r="K183" s="1"/>
  <c r="C17" i="6"/>
  <c r="F6" i="8" l="1"/>
  <c r="G181"/>
  <c r="F181" s="1"/>
  <c r="K181"/>
  <c r="C18" i="19"/>
  <c r="C20"/>
  <c r="C5" i="9"/>
  <c r="E7" i="5"/>
  <c r="P186" i="4"/>
  <c r="C9" i="12" s="1"/>
  <c r="C6" i="9"/>
  <c r="E8" i="5"/>
  <c r="C14" i="19"/>
  <c r="B20" l="1"/>
  <c r="C7" i="9"/>
  <c r="C8" i="19" l="1"/>
  <c r="B12" l="1"/>
  <c r="C17"/>
  <c r="C9" l="1"/>
  <c r="B9" l="1"/>
  <c r="F9" s="1"/>
  <c r="C7"/>
  <c r="C27"/>
  <c r="C26"/>
  <c r="F27"/>
  <c r="C23"/>
  <c r="F26"/>
  <c r="C16"/>
  <c r="C15"/>
  <c r="F18"/>
  <c r="C21"/>
  <c r="F17"/>
  <c r="C12"/>
  <c r="C13"/>
  <c r="C11"/>
  <c r="B11" s="1"/>
  <c r="F11" s="1"/>
  <c r="C10"/>
  <c r="F12"/>
  <c r="C2"/>
  <c r="C22"/>
  <c r="C24"/>
  <c r="E9" i="5"/>
  <c r="E10" s="1"/>
  <c r="M181" i="4"/>
  <c r="G205" s="1"/>
  <c r="C35" i="5"/>
  <c r="W198" i="4"/>
  <c r="D23" i="22" s="1"/>
  <c r="D24" s="1"/>
  <c r="C38" i="5"/>
  <c r="D31" i="12"/>
  <c r="D32"/>
  <c r="D34"/>
  <c r="D35"/>
  <c r="D37"/>
  <c r="B39"/>
  <c r="C31"/>
  <c r="E11" i="21"/>
  <c r="E15"/>
  <c r="D11"/>
  <c r="AF189" i="4"/>
  <c r="AG189" s="1"/>
  <c r="J184" s="1"/>
  <c r="J182"/>
  <c r="H4"/>
  <c r="G3"/>
  <c r="K182"/>
  <c r="O199" i="8"/>
  <c r="I184" i="13"/>
  <c r="I185" s="1"/>
  <c r="H184"/>
  <c r="H185" s="1"/>
  <c r="G184"/>
  <c r="G185" s="1"/>
  <c r="C32" i="12"/>
  <c r="C35"/>
  <c r="C37"/>
  <c r="C34"/>
  <c r="E11"/>
  <c r="C11"/>
  <c r="D5" i="17"/>
  <c r="E5" s="1"/>
  <c r="D7"/>
  <c r="E7" s="1"/>
  <c r="D11"/>
  <c r="E11" s="1"/>
  <c r="D15"/>
  <c r="E15" s="1"/>
  <c r="D25"/>
  <c r="E25" s="1"/>
  <c r="D15" i="21"/>
  <c r="C38" i="12"/>
  <c r="D18" i="21"/>
  <c r="N4" i="4" l="1"/>
  <c r="G207"/>
  <c r="W199"/>
  <c r="I202"/>
  <c r="D202" s="1"/>
  <c r="M2"/>
  <c r="D38" i="12"/>
  <c r="D39" s="1"/>
  <c r="L182" i="4"/>
  <c r="E18" i="21"/>
  <c r="E19" s="1"/>
  <c r="C43" i="5"/>
  <c r="C44" s="1"/>
  <c r="M182" i="4"/>
  <c r="C3" i="19" l="1"/>
  <c r="Y195" i="4"/>
  <c r="Y191"/>
  <c r="H8" i="12"/>
  <c r="Y197" i="4"/>
  <c r="V200"/>
  <c r="H10" i="12"/>
  <c r="Y196" i="4"/>
  <c r="Y192"/>
  <c r="Y198"/>
  <c r="E29" i="5"/>
  <c r="Y190" i="4"/>
  <c r="Y193"/>
  <c r="Y194"/>
  <c r="Y199" l="1"/>
  <c r="Z190"/>
  <c r="G35" i="5" s="1"/>
  <c r="G10" i="21"/>
  <c r="E15" i="22"/>
  <c r="E35" i="5"/>
  <c r="L35" s="1"/>
  <c r="J209" i="4"/>
  <c r="E41" i="5"/>
  <c r="L41" s="1"/>
  <c r="P209" i="4"/>
  <c r="G36" i="12" s="1"/>
  <c r="E21" i="22"/>
  <c r="Z196" i="4"/>
  <c r="G41" i="5" s="1"/>
  <c r="G16" i="21"/>
  <c r="F16" s="1"/>
  <c r="Z193" i="4"/>
  <c r="G38" i="5" s="1"/>
  <c r="E38"/>
  <c r="L38" s="1"/>
  <c r="M209" i="4"/>
  <c r="G33" i="12" s="1"/>
  <c r="G13" i="21"/>
  <c r="F13" s="1"/>
  <c r="E18" i="22"/>
  <c r="E37" i="5"/>
  <c r="L37" s="1"/>
  <c r="E17" i="22"/>
  <c r="Z192" i="4"/>
  <c r="G37" i="5" s="1"/>
  <c r="G12" i="21"/>
  <c r="F12" s="1"/>
  <c r="L209" i="4"/>
  <c r="G32" i="12" s="1"/>
  <c r="E42" i="5"/>
  <c r="L42" s="1"/>
  <c r="E22" i="22"/>
  <c r="G17" i="21"/>
  <c r="F17" s="1"/>
  <c r="Z197" i="4"/>
  <c r="G42" i="5" s="1"/>
  <c r="Q209" i="4"/>
  <c r="G37" i="12" s="1"/>
  <c r="Z194" i="4"/>
  <c r="G39" i="5" s="1"/>
  <c r="G14" i="21"/>
  <c r="F14" s="1"/>
  <c r="E39" i="5"/>
  <c r="L39" s="1"/>
  <c r="N209" i="4"/>
  <c r="G34" i="12" s="1"/>
  <c r="E19" i="22"/>
  <c r="E43" i="5"/>
  <c r="L43" s="1"/>
  <c r="Z198" i="4"/>
  <c r="G43" i="5" s="1"/>
  <c r="G18" i="21"/>
  <c r="F18" s="1"/>
  <c r="R209" i="4"/>
  <c r="G38" i="12" s="1"/>
  <c r="E23" i="22"/>
  <c r="O209" i="4"/>
  <c r="G35" i="12" s="1"/>
  <c r="G15" i="21"/>
  <c r="F15" s="1"/>
  <c r="Z195" i="4"/>
  <c r="G40" i="5" s="1"/>
  <c r="E40"/>
  <c r="L40" s="1"/>
  <c r="E20" i="22"/>
  <c r="K209" i="4"/>
  <c r="G31" i="12" s="1"/>
  <c r="E16" i="22"/>
  <c r="Z191" i="4"/>
  <c r="G36" i="5" s="1"/>
  <c r="E36"/>
  <c r="L36" s="1"/>
  <c r="G11" i="21"/>
  <c r="F11" s="1"/>
  <c r="C20" i="22" l="1"/>
  <c r="F20" s="1"/>
  <c r="C21"/>
  <c r="F21" s="1"/>
  <c r="E44" i="5"/>
  <c r="Z199" i="4"/>
  <c r="C17" i="22"/>
  <c r="F17" s="1"/>
  <c r="G30" i="12"/>
  <c r="G39" s="1"/>
  <c r="O204" i="4"/>
  <c r="C16" i="22"/>
  <c r="F16" s="1"/>
  <c r="C19"/>
  <c r="F19" s="1"/>
  <c r="C22"/>
  <c r="F22" s="1"/>
  <c r="F10" i="21"/>
  <c r="F19" s="1"/>
  <c r="G19"/>
  <c r="Y200" i="4"/>
  <c r="C23" i="22"/>
  <c r="F23" s="1"/>
  <c r="C18"/>
  <c r="F18" s="1"/>
  <c r="E24"/>
  <c r="C15"/>
  <c r="L44" i="5"/>
  <c r="C24" i="22" l="1"/>
  <c r="H11" i="12"/>
  <c r="E30" i="5"/>
  <c r="F15" i="22"/>
  <c r="H8" i="14"/>
  <c r="H9"/>
  <c r="H10"/>
  <c r="H11"/>
  <c r="H7" l="1"/>
  <c r="E13" s="1"/>
  <c r="O181" i="4" l="1"/>
  <c r="H193" s="1"/>
  <c r="B10" i="21"/>
  <c r="D10" s="1"/>
  <c r="V26" i="24"/>
  <c r="B19" i="21" l="1"/>
  <c r="V27" i="24"/>
  <c r="B17" i="25" l="1"/>
  <c r="DH22" i="24"/>
  <c r="D14" i="2" l="1"/>
  <c r="GL22" i="24"/>
  <c r="C12" i="25"/>
  <c r="K12" s="1"/>
  <c r="GE22" i="24"/>
  <c r="GG22" s="1"/>
  <c r="F14" i="2" l="1"/>
  <c r="L14" s="1"/>
  <c r="D10" i="19" s="1"/>
  <c r="AU51" i="24"/>
  <c r="K51"/>
  <c r="B10" i="19" l="1"/>
  <c r="F10" s="1"/>
  <c r="C6"/>
  <c r="C5"/>
  <c r="C4"/>
  <c r="DA25" i="24" l="1"/>
  <c r="D17" i="2" l="1"/>
  <c r="GL25" i="24"/>
  <c r="I15" i="25"/>
  <c r="K15" s="1"/>
  <c r="GE25" i="24"/>
  <c r="GG25" s="1"/>
  <c r="D46" s="1"/>
  <c r="E46" s="1"/>
  <c r="GC42" s="1"/>
  <c r="DW42" l="1"/>
  <c r="GB42"/>
  <c r="GA42"/>
  <c r="DV42"/>
  <c r="F17" i="2"/>
  <c r="L17" s="1"/>
  <c r="D13" i="19" s="1"/>
  <c r="DT42" i="24"/>
  <c r="DU42"/>
  <c r="DR42"/>
  <c r="DS42"/>
  <c r="DQ42"/>
  <c r="FZ42"/>
  <c r="DO42"/>
  <c r="FX42"/>
  <c r="DP42"/>
  <c r="FY42"/>
  <c r="DM42"/>
  <c r="DN42"/>
  <c r="DL42"/>
  <c r="FW42"/>
  <c r="FV42"/>
  <c r="DK42"/>
  <c r="DI42"/>
  <c r="DJ42"/>
  <c r="FO42"/>
  <c r="FU42"/>
  <c r="BG42"/>
  <c r="BG51" s="1"/>
  <c r="D42"/>
  <c r="D51" s="1"/>
  <c r="AH42"/>
  <c r="AH51" s="1"/>
  <c r="BF42"/>
  <c r="BF51" s="1"/>
  <c r="O42"/>
  <c r="O51" s="1"/>
  <c r="B42"/>
  <c r="B51" s="1"/>
  <c r="T42"/>
  <c r="T51" s="1"/>
  <c r="CZ42"/>
  <c r="CN42"/>
  <c r="CN51" s="1"/>
  <c r="DB42"/>
  <c r="BT42"/>
  <c r="BT51" s="1"/>
  <c r="BQ42"/>
  <c r="BQ51" s="1"/>
  <c r="AG42"/>
  <c r="AG51" s="1"/>
  <c r="BJ42"/>
  <c r="BJ51" s="1"/>
  <c r="BU42"/>
  <c r="BU51" s="1"/>
  <c r="AY42"/>
  <c r="AY51" s="1"/>
  <c r="E42"/>
  <c r="E51" s="1"/>
  <c r="BC42"/>
  <c r="BC51" s="1"/>
  <c r="BE42"/>
  <c r="BE51" s="1"/>
  <c r="EW42"/>
  <c r="EW51" s="1"/>
  <c r="BW42"/>
  <c r="BW51" s="1"/>
  <c r="FM42"/>
  <c r="EE42"/>
  <c r="EE51" s="1"/>
  <c r="CS42"/>
  <c r="FI42"/>
  <c r="FI51" s="1"/>
  <c r="Z42"/>
  <c r="Z51" s="1"/>
  <c r="AI42"/>
  <c r="AI51" s="1"/>
  <c r="EZ42"/>
  <c r="EZ51" s="1"/>
  <c r="V42"/>
  <c r="V51" s="1"/>
  <c r="CD42"/>
  <c r="CD51" s="1"/>
  <c r="FJ42"/>
  <c r="FJ51" s="1"/>
  <c r="CX42"/>
  <c r="CQ42"/>
  <c r="CQ51" s="1"/>
  <c r="AJ42"/>
  <c r="AJ51" s="1"/>
  <c r="AF42"/>
  <c r="AF51" s="1"/>
  <c r="N42"/>
  <c r="N51" s="1"/>
  <c r="AS42"/>
  <c r="AS51" s="1"/>
  <c r="FD42"/>
  <c r="FD51" s="1"/>
  <c r="FB42"/>
  <c r="FB51" s="1"/>
  <c r="AA42"/>
  <c r="AA51" s="1"/>
  <c r="CI42"/>
  <c r="CI51" s="1"/>
  <c r="EM42"/>
  <c r="EM51" s="1"/>
  <c r="P42"/>
  <c r="P51" s="1"/>
  <c r="BY42"/>
  <c r="BY51" s="1"/>
  <c r="DH42"/>
  <c r="CK42"/>
  <c r="CK51" s="1"/>
  <c r="CY42"/>
  <c r="DC42"/>
  <c r="FA42"/>
  <c r="FA51" s="1"/>
  <c r="S42"/>
  <c r="S51" s="1"/>
  <c r="EX42"/>
  <c r="EX51" s="1"/>
  <c r="CJ42"/>
  <c r="CJ51" s="1"/>
  <c r="U42"/>
  <c r="U51" s="1"/>
  <c r="FH42"/>
  <c r="FH51" s="1"/>
  <c r="I42"/>
  <c r="I51" s="1"/>
  <c r="BM42"/>
  <c r="BM51" s="1"/>
  <c r="FE42"/>
  <c r="FE51" s="1"/>
  <c r="CG42"/>
  <c r="CG51" s="1"/>
  <c r="AP42"/>
  <c r="AP51" s="1"/>
  <c r="CC42"/>
  <c r="CC51" s="1"/>
  <c r="CO42"/>
  <c r="CO51" s="1"/>
  <c r="AC42"/>
  <c r="AC51" s="1"/>
  <c r="M42"/>
  <c r="M51" s="1"/>
  <c r="EK42"/>
  <c r="EK51" s="1"/>
  <c r="CW42"/>
  <c r="FR42"/>
  <c r="EO42"/>
  <c r="EO51" s="1"/>
  <c r="BL42"/>
  <c r="BL51" s="1"/>
  <c r="FC42"/>
  <c r="FC51" s="1"/>
  <c r="DA42"/>
  <c r="EL42"/>
  <c r="EL51" s="1"/>
  <c r="EQ42"/>
  <c r="EQ51" s="1"/>
  <c r="AR42"/>
  <c r="AR51" s="1"/>
  <c r="BK42"/>
  <c r="BK51" s="1"/>
  <c r="BB42"/>
  <c r="BB51" s="1"/>
  <c r="H42"/>
  <c r="H51" s="1"/>
  <c r="FP42"/>
  <c r="X42"/>
  <c r="X51" s="1"/>
  <c r="FL42"/>
  <c r="CL42"/>
  <c r="CL51" s="1"/>
  <c r="W42"/>
  <c r="W51" s="1"/>
  <c r="C42"/>
  <c r="C51" s="1"/>
  <c r="FG42"/>
  <c r="FG51" s="1"/>
  <c r="BO42"/>
  <c r="BO51" s="1"/>
  <c r="BP42"/>
  <c r="BP51" s="1"/>
  <c r="FF42"/>
  <c r="FF51" s="1"/>
  <c r="BI42"/>
  <c r="BI51" s="1"/>
  <c r="BD42"/>
  <c r="BD51" s="1"/>
  <c r="FQ42"/>
  <c r="AL42"/>
  <c r="AL51" s="1"/>
  <c r="G42"/>
  <c r="G51" s="1"/>
  <c r="BZ42"/>
  <c r="BZ51" s="1"/>
  <c r="EI42"/>
  <c r="EI51" s="1"/>
  <c r="FK42"/>
  <c r="DZ42"/>
  <c r="DZ51" s="1"/>
  <c r="AZ42"/>
  <c r="AZ51" s="1"/>
  <c r="AQ42"/>
  <c r="AQ51" s="1"/>
  <c r="CT42"/>
  <c r="DG42"/>
  <c r="DY42"/>
  <c r="DY51" s="1"/>
  <c r="CE42"/>
  <c r="CE51" s="1"/>
  <c r="EH42"/>
  <c r="EH51" s="1"/>
  <c r="ES42"/>
  <c r="ES51" s="1"/>
  <c r="BS42"/>
  <c r="BS51" s="1"/>
  <c r="EY42"/>
  <c r="EY51" s="1"/>
  <c r="BV42"/>
  <c r="BV51" s="1"/>
  <c r="AX42"/>
  <c r="AX51" s="1"/>
  <c r="BX42"/>
  <c r="BX51" s="1"/>
  <c r="DD42"/>
  <c r="DF42"/>
  <c r="EV42"/>
  <c r="EV51" s="1"/>
  <c r="BA42"/>
  <c r="BA51" s="1"/>
  <c r="CB42"/>
  <c r="CB51" s="1"/>
  <c r="AB42"/>
  <c r="AB51" s="1"/>
  <c r="EN42"/>
  <c r="EN51" s="1"/>
  <c r="CP42"/>
  <c r="CP51" s="1"/>
  <c r="AV42"/>
  <c r="AV51" s="1"/>
  <c r="CM42"/>
  <c r="CM51" s="1"/>
  <c r="CV42"/>
  <c r="EP42"/>
  <c r="EP51" s="1"/>
  <c r="CU42"/>
  <c r="BN42"/>
  <c r="BN51" s="1"/>
  <c r="ED42"/>
  <c r="ED51" s="1"/>
  <c r="EG42"/>
  <c r="EG51" s="1"/>
  <c r="AT42"/>
  <c r="AT51" s="1"/>
  <c r="EF42"/>
  <c r="EF51" s="1"/>
  <c r="J42"/>
  <c r="J51" s="1"/>
  <c r="AW42"/>
  <c r="AW51" s="1"/>
  <c r="ER42"/>
  <c r="ER51" s="1"/>
  <c r="F42"/>
  <c r="F51" s="1"/>
  <c r="DE42"/>
  <c r="FT42"/>
  <c r="AM42"/>
  <c r="AM51" s="1"/>
  <c r="EC42"/>
  <c r="EC51" s="1"/>
  <c r="ET42"/>
  <c r="ET51" s="1"/>
  <c r="AN42"/>
  <c r="AN51" s="1"/>
  <c r="BH42"/>
  <c r="BH51" s="1"/>
  <c r="EJ42"/>
  <c r="EJ51" s="1"/>
  <c r="CA42"/>
  <c r="CA51" s="1"/>
  <c r="CH42"/>
  <c r="CH51" s="1"/>
  <c r="AK42"/>
  <c r="AK51" s="1"/>
  <c r="FS42"/>
  <c r="CR42"/>
  <c r="EU42"/>
  <c r="EU51" s="1"/>
  <c r="EB42"/>
  <c r="EB51" s="1"/>
  <c r="Q42"/>
  <c r="Q51" s="1"/>
  <c r="BR42"/>
  <c r="BR51" s="1"/>
  <c r="AE42"/>
  <c r="AE51" s="1"/>
  <c r="CF42"/>
  <c r="CF51" s="1"/>
  <c r="Y42"/>
  <c r="Y51" s="1"/>
  <c r="EA42"/>
  <c r="EA51" s="1"/>
  <c r="AO42"/>
  <c r="AO51" s="1"/>
  <c r="L42"/>
  <c r="L51" s="1"/>
  <c r="R42"/>
  <c r="R51" s="1"/>
  <c r="AD42"/>
  <c r="AD51" s="1"/>
  <c r="FN42"/>
  <c r="N17" i="2" l="1"/>
  <c r="I5" i="9" s="1"/>
  <c r="GE42" i="24"/>
  <c r="GI35"/>
  <c r="J35"/>
  <c r="J34"/>
  <c r="B24" i="25" s="1"/>
  <c r="J33" i="24"/>
  <c r="B25" i="25" l="1"/>
  <c r="K25" s="1"/>
  <c r="C27" i="2"/>
  <c r="L27" s="1"/>
  <c r="GJ33" i="24"/>
  <c r="B23" i="25"/>
  <c r="C26" i="2"/>
  <c r="L26" s="1"/>
  <c r="GJ34" i="24"/>
  <c r="GJ35"/>
  <c r="C25" i="2"/>
  <c r="I6" i="9"/>
  <c r="I7" s="1"/>
  <c r="B33" i="19"/>
  <c r="K24" i="25"/>
  <c r="B13" i="19"/>
  <c r="F13" s="1"/>
  <c r="GE34" i="24"/>
  <c r="GG34" s="1"/>
  <c r="GE35"/>
  <c r="GG35" s="1"/>
  <c r="D23" i="19" l="1"/>
  <c r="B22"/>
  <c r="D22" s="1"/>
  <c r="B23" l="1"/>
  <c r="F23" s="1"/>
  <c r="CH28" i="24"/>
  <c r="F18" i="25" l="1"/>
  <c r="K18" s="1"/>
  <c r="C20" i="2"/>
  <c r="GH28" i="24"/>
  <c r="GE28"/>
  <c r="GG28" s="1"/>
  <c r="L20" i="2" l="1"/>
  <c r="B16" i="19" s="1"/>
  <c r="F16" s="1"/>
  <c r="D16" l="1"/>
  <c r="DH31" i="24"/>
  <c r="DH16" l="1"/>
  <c r="DH20"/>
  <c r="DH15"/>
  <c r="DH14"/>
  <c r="DH17"/>
  <c r="DH19"/>
  <c r="DH18"/>
  <c r="GL18" l="1"/>
  <c r="D10" i="2"/>
  <c r="F10" s="1"/>
  <c r="L10" s="1"/>
  <c r="D6" i="19" s="1"/>
  <c r="D8" i="2"/>
  <c r="F8" s="1"/>
  <c r="L8" s="1"/>
  <c r="D4" i="19" s="1"/>
  <c r="GL16" i="24"/>
  <c r="GL20"/>
  <c r="D12" i="2"/>
  <c r="GL15" i="24"/>
  <c r="D7" i="2"/>
  <c r="F7" s="1"/>
  <c r="L7" s="1"/>
  <c r="D6"/>
  <c r="F6" s="1"/>
  <c r="L6" s="1"/>
  <c r="GL14" i="24"/>
  <c r="D9" i="2"/>
  <c r="GL17" i="24"/>
  <c r="D11" i="2"/>
  <c r="F11" s="1"/>
  <c r="L11" s="1"/>
  <c r="D7" i="19" s="1"/>
  <c r="GL19" i="24"/>
  <c r="F9" i="2"/>
  <c r="L9" s="1"/>
  <c r="D5" i="19" s="1"/>
  <c r="C10" i="25"/>
  <c r="K10" s="1"/>
  <c r="C8"/>
  <c r="K8" s="1"/>
  <c r="C6"/>
  <c r="K6" s="1"/>
  <c r="C5"/>
  <c r="K5" s="1"/>
  <c r="C4"/>
  <c r="K4" s="1"/>
  <c r="C7"/>
  <c r="K7" s="1"/>
  <c r="C9"/>
  <c r="K9" s="1"/>
  <c r="GE17" i="24"/>
  <c r="GG17" s="1"/>
  <c r="GE19"/>
  <c r="GG19" s="1"/>
  <c r="GE16"/>
  <c r="GG16" s="1"/>
  <c r="GE14"/>
  <c r="GG14" s="1"/>
  <c r="GE20"/>
  <c r="GG20" s="1"/>
  <c r="GE18"/>
  <c r="GG18" s="1"/>
  <c r="GE15"/>
  <c r="GG15" s="1"/>
  <c r="F12" i="2" l="1"/>
  <c r="GS19" i="24"/>
  <c r="D2" i="19"/>
  <c r="B5"/>
  <c r="F5" s="1"/>
  <c r="B6"/>
  <c r="F6" s="1"/>
  <c r="B4"/>
  <c r="F4" s="1"/>
  <c r="D48" i="24"/>
  <c r="H7" i="12" s="1"/>
  <c r="B3" i="19"/>
  <c r="F3" s="1"/>
  <c r="D3"/>
  <c r="L12" i="2" l="1"/>
  <c r="B2" i="19"/>
  <c r="F2" s="1"/>
  <c r="B7"/>
  <c r="F7" s="1"/>
  <c r="G209" i="4"/>
  <c r="E48" i="24"/>
  <c r="G7" i="12" s="1"/>
  <c r="B8" i="19" l="1"/>
  <c r="F8" s="1"/>
  <c r="D8"/>
  <c r="N11" i="2"/>
  <c r="I209" i="4"/>
  <c r="N109"/>
  <c r="DF31" i="24"/>
  <c r="GL31" l="1"/>
  <c r="D23" i="2"/>
  <c r="B31" i="19"/>
  <c r="C21" i="25"/>
  <c r="DH27" i="24"/>
  <c r="D19" i="2" l="1"/>
  <c r="F19" s="1"/>
  <c r="L19" s="1"/>
  <c r="D15" i="19" s="1"/>
  <c r="GL27" i="24"/>
  <c r="C17" i="25"/>
  <c r="K17" s="1"/>
  <c r="GE27" i="24"/>
  <c r="GG27" s="1"/>
  <c r="FC26"/>
  <c r="P26"/>
  <c r="EO26"/>
  <c r="C18" i="2" s="1"/>
  <c r="G18" l="1"/>
  <c r="H16" i="25"/>
  <c r="B16"/>
  <c r="GL26" i="24"/>
  <c r="D18" i="2"/>
  <c r="F18" s="1"/>
  <c r="G16" i="25"/>
  <c r="GH26" i="24"/>
  <c r="GM26"/>
  <c r="GE26"/>
  <c r="GF26"/>
  <c r="L18" i="2" l="1"/>
  <c r="K16" i="25"/>
  <c r="B15" i="19"/>
  <c r="F15" s="1"/>
  <c r="GG26" i="24"/>
  <c r="D14" i="19" l="1"/>
  <c r="B14"/>
  <c r="F14" s="1"/>
  <c r="DH36" i="24"/>
  <c r="GL36" l="1"/>
  <c r="D28" i="2"/>
  <c r="C26" i="25"/>
  <c r="K26" s="1"/>
  <c r="GE36" i="24"/>
  <c r="GG36" s="1"/>
  <c r="F28" i="2" l="1"/>
  <c r="AB37" i="24"/>
  <c r="D29" i="2" l="1"/>
  <c r="F29" s="1"/>
  <c r="L29" s="1"/>
  <c r="GL37" i="24"/>
  <c r="B27" i="25"/>
  <c r="K27" s="1"/>
  <c r="L28" i="2"/>
  <c r="B24" i="19" s="1"/>
  <c r="F24" s="1"/>
  <c r="GE37" i="24"/>
  <c r="GG37" s="1"/>
  <c r="D24" i="19" l="1"/>
  <c r="D25"/>
  <c r="B25"/>
  <c r="F25" s="1"/>
  <c r="Z31" i="24" l="1"/>
  <c r="B21" i="25" s="1"/>
  <c r="O23" i="2" l="1"/>
  <c r="C19" i="19" s="1"/>
  <c r="GK31" i="24"/>
  <c r="K21" i="25"/>
  <c r="E23" i="2"/>
  <c r="GE31" i="24"/>
  <c r="GG31" s="1"/>
  <c r="F23" i="2" l="1"/>
  <c r="L23" s="1"/>
  <c r="DM33" i="24"/>
  <c r="D25" i="2" l="1"/>
  <c r="F25" s="1"/>
  <c r="GL33" i="24"/>
  <c r="D19" i="19"/>
  <c r="C23" i="25"/>
  <c r="K23" s="1"/>
  <c r="B19" i="19"/>
  <c r="F19" s="1"/>
  <c r="GE33" i="24"/>
  <c r="GG33" s="1"/>
  <c r="D47" s="1"/>
  <c r="N28" i="2" l="1"/>
  <c r="L25"/>
  <c r="B21" i="19" s="1"/>
  <c r="F21" s="1"/>
  <c r="E47" i="24"/>
  <c r="GC43" s="1"/>
  <c r="T32" i="2" l="1"/>
  <c r="DW43" i="24"/>
  <c r="GB43"/>
  <c r="DR43"/>
  <c r="DV43"/>
  <c r="DS43"/>
  <c r="GA43"/>
  <c r="DY43"/>
  <c r="C43"/>
  <c r="EB43"/>
  <c r="EJ43"/>
  <c r="FL43"/>
  <c r="AR43"/>
  <c r="BL43"/>
  <c r="FB43"/>
  <c r="AK43"/>
  <c r="BW43"/>
  <c r="CE43"/>
  <c r="CZ43"/>
  <c r="BK43"/>
  <c r="F43"/>
  <c r="BN43"/>
  <c r="AE43"/>
  <c r="FA43"/>
  <c r="FR43"/>
  <c r="CU43"/>
  <c r="CV43"/>
  <c r="AH43"/>
  <c r="BH43"/>
  <c r="DE43"/>
  <c r="AG43"/>
  <c r="CQ43"/>
  <c r="AO43"/>
  <c r="AA43"/>
  <c r="EF43"/>
  <c r="M43"/>
  <c r="FP43"/>
  <c r="CY43"/>
  <c r="EW43"/>
  <c r="CJ43"/>
  <c r="EG43"/>
  <c r="J43"/>
  <c r="FS43"/>
  <c r="I43"/>
  <c r="CH43"/>
  <c r="P43"/>
  <c r="DO43"/>
  <c r="FZ43"/>
  <c r="DT43"/>
  <c r="CI43"/>
  <c r="S43"/>
  <c r="EQ43"/>
  <c r="ET43"/>
  <c r="CM43"/>
  <c r="EN43"/>
  <c r="B43"/>
  <c r="BO43"/>
  <c r="BS43"/>
  <c r="AW43"/>
  <c r="CG43"/>
  <c r="CO43"/>
  <c r="CF43"/>
  <c r="DQ43"/>
  <c r="AV43"/>
  <c r="FO43"/>
  <c r="CL43"/>
  <c r="FI43"/>
  <c r="EI43"/>
  <c r="BZ43"/>
  <c r="DB43"/>
  <c r="AX43"/>
  <c r="FH43"/>
  <c r="AP43"/>
  <c r="BC43"/>
  <c r="CN43"/>
  <c r="EE43"/>
  <c r="T43"/>
  <c r="FY43"/>
  <c r="DU43"/>
  <c r="D43"/>
  <c r="CW43"/>
  <c r="Q43"/>
  <c r="DZ43"/>
  <c r="BF43"/>
  <c r="AZ43"/>
  <c r="EX43"/>
  <c r="BR43"/>
  <c r="BJ43"/>
  <c r="FW43"/>
  <c r="FV43"/>
  <c r="Z43"/>
  <c r="FD43"/>
  <c r="AB43"/>
  <c r="DN43"/>
  <c r="BE43"/>
  <c r="BP43"/>
  <c r="EC43"/>
  <c r="DC43"/>
  <c r="BT43"/>
  <c r="N43"/>
  <c r="EL43"/>
  <c r="CP43"/>
  <c r="BD43"/>
  <c r="CA43"/>
  <c r="EY43"/>
  <c r="EK43"/>
  <c r="DM43"/>
  <c r="FF43"/>
  <c r="DG43"/>
  <c r="FQ43"/>
  <c r="AC43"/>
  <c r="AN43"/>
  <c r="ES43"/>
  <c r="E43"/>
  <c r="R43"/>
  <c r="FG43"/>
  <c r="L43"/>
  <c r="FE43"/>
  <c r="BG43"/>
  <c r="CC43"/>
  <c r="EU43"/>
  <c r="CT43"/>
  <c r="DH43"/>
  <c r="BY43"/>
  <c r="BI43"/>
  <c r="H43"/>
  <c r="FM43"/>
  <c r="DP43"/>
  <c r="ER43"/>
  <c r="AT43"/>
  <c r="CR43"/>
  <c r="AL43"/>
  <c r="G43"/>
  <c r="AJ43"/>
  <c r="BV43"/>
  <c r="AS43"/>
  <c r="K43"/>
  <c r="EV43"/>
  <c r="EP43"/>
  <c r="CD43"/>
  <c r="DA43"/>
  <c r="AF43"/>
  <c r="AI43"/>
  <c r="AM43"/>
  <c r="DF43"/>
  <c r="Y43"/>
  <c r="FC43"/>
  <c r="AD43"/>
  <c r="DD43"/>
  <c r="DI43"/>
  <c r="DJ43"/>
  <c r="FN43"/>
  <c r="ED43"/>
  <c r="O43"/>
  <c r="FT43"/>
  <c r="CB43"/>
  <c r="EH43"/>
  <c r="W43"/>
  <c r="V43"/>
  <c r="CX43"/>
  <c r="EO43"/>
  <c r="CS43"/>
  <c r="EA43"/>
  <c r="BU43"/>
  <c r="AY43"/>
  <c r="U43"/>
  <c r="FU43"/>
  <c r="BA43"/>
  <c r="FJ43"/>
  <c r="AU43"/>
  <c r="FK43"/>
  <c r="DK43"/>
  <c r="EZ43"/>
  <c r="X43"/>
  <c r="BX43"/>
  <c r="BQ43"/>
  <c r="DL43"/>
  <c r="BM43"/>
  <c r="CK43"/>
  <c r="BB43"/>
  <c r="AQ43"/>
  <c r="EM43"/>
  <c r="FX43"/>
  <c r="B29" i="19"/>
  <c r="D29" s="1"/>
  <c r="D21"/>
  <c r="N181" i="4"/>
  <c r="H192" s="1"/>
  <c r="H194" s="1"/>
  <c r="GE43" i="24" l="1"/>
  <c r="P183" i="8"/>
  <c r="I187" l="1"/>
  <c r="I185" s="1"/>
  <c r="B23" i="9"/>
  <c r="C9" s="1"/>
  <c r="P196" i="8"/>
  <c r="Q196" s="1"/>
  <c r="P192"/>
  <c r="Q192" s="1"/>
  <c r="P198"/>
  <c r="Q198" s="1"/>
  <c r="P193"/>
  <c r="Q193" s="1"/>
  <c r="P195"/>
  <c r="Q195" s="1"/>
  <c r="P197"/>
  <c r="Q197" s="1"/>
  <c r="P194"/>
  <c r="Q194" s="1"/>
  <c r="P190"/>
  <c r="P191"/>
  <c r="Q191" s="1"/>
  <c r="P199" l="1"/>
  <c r="Q190"/>
  <c r="D23" i="9"/>
  <c r="C23" l="1"/>
  <c r="C8"/>
</calcChain>
</file>

<file path=xl/sharedStrings.xml><?xml version="1.0" encoding="utf-8"?>
<sst xmlns="http://schemas.openxmlformats.org/spreadsheetml/2006/main" count="4183" uniqueCount="1756">
  <si>
    <t>HOUR</t>
  </si>
  <si>
    <t>Kaptai</t>
  </si>
  <si>
    <t>Siddhirganj</t>
  </si>
  <si>
    <t>RPCL</t>
  </si>
  <si>
    <t>Sylhet</t>
  </si>
  <si>
    <t>Khulna</t>
  </si>
  <si>
    <t>Rangpur</t>
  </si>
  <si>
    <t xml:space="preserve">Total </t>
  </si>
  <si>
    <t>EGCB</t>
  </si>
  <si>
    <t>Comilla</t>
  </si>
  <si>
    <t>Dhaka</t>
  </si>
  <si>
    <t>RPP</t>
  </si>
  <si>
    <t>Total</t>
  </si>
  <si>
    <t>QRPP</t>
  </si>
  <si>
    <t>Generation</t>
  </si>
  <si>
    <t>KWH</t>
  </si>
  <si>
    <t>Chittagong</t>
  </si>
  <si>
    <t>NWPGCL</t>
  </si>
  <si>
    <t xml:space="preserve"> </t>
  </si>
  <si>
    <t>Date</t>
  </si>
  <si>
    <t>Time (hour)</t>
  </si>
  <si>
    <t>HFO</t>
  </si>
  <si>
    <t>HSD</t>
  </si>
  <si>
    <t>HSD+HFO</t>
  </si>
  <si>
    <t>24:00</t>
  </si>
  <si>
    <t>FCR</t>
  </si>
  <si>
    <t>Shortage</t>
  </si>
  <si>
    <t>Gas</t>
  </si>
  <si>
    <t>IPP</t>
  </si>
  <si>
    <t>QF-LDC-05</t>
  </si>
  <si>
    <t>Hour:</t>
  </si>
  <si>
    <t xml:space="preserve"> Name of the Power Station</t>
  </si>
  <si>
    <t>Fuel</t>
  </si>
  <si>
    <t>Producer</t>
  </si>
  <si>
    <t>Increase</t>
  </si>
  <si>
    <t>Decrease</t>
  </si>
  <si>
    <t>MW</t>
  </si>
  <si>
    <t>PDB</t>
  </si>
  <si>
    <t xml:space="preserve">Tongi GT </t>
  </si>
  <si>
    <t>Dhaka Area Total</t>
  </si>
  <si>
    <t>APSCL</t>
  </si>
  <si>
    <t>Sylhet Area Total</t>
  </si>
  <si>
    <t>Khulna Area Total</t>
  </si>
  <si>
    <t>Barisal Area Total</t>
  </si>
  <si>
    <t>Rajshahi Area Total</t>
  </si>
  <si>
    <t>Coal</t>
  </si>
  <si>
    <t>Rangpur Area Total</t>
  </si>
  <si>
    <t xml:space="preserve"> Total</t>
  </si>
  <si>
    <t>Demand (Gen. end)</t>
  </si>
  <si>
    <t>Shortage:</t>
  </si>
  <si>
    <t>Load shed:</t>
  </si>
  <si>
    <t>A.   Generation                                               :</t>
  </si>
  <si>
    <t>Area</t>
  </si>
  <si>
    <t>Demand  ( S/S end)</t>
  </si>
  <si>
    <t>Load shed (S/S end)</t>
  </si>
  <si>
    <t>Rajshahi</t>
  </si>
  <si>
    <t>Barisal</t>
  </si>
  <si>
    <t xml:space="preserve">      Executive Engineer (Shift)</t>
  </si>
  <si>
    <t xml:space="preserve">                  NOD, PGCB.</t>
  </si>
  <si>
    <t xml:space="preserve">         mgMÖ †`‡ki Pvwn`v, mieivn Ges †jvW †k‡Wi wPÎ</t>
  </si>
  <si>
    <t xml:space="preserve">mvÜ¨ wcK mgq                          t                          </t>
  </si>
  <si>
    <t xml:space="preserve"> N›Uv</t>
  </si>
  <si>
    <t>w`ev wcK mgq                             t                     †gtIt( Drcv`b cÖv‡š )</t>
  </si>
  <si>
    <t>ZvwiL:</t>
  </si>
  <si>
    <t>K) †gvU Pvwn`v                          t                     †gtIt( Drcv`b cÖv‡š )</t>
  </si>
  <si>
    <t>†gtIt (Drcv`b cÖv‡šZ)</t>
  </si>
  <si>
    <t xml:space="preserve">K) †gvU Pvwn`v                            t </t>
  </si>
  <si>
    <t>L) †gvU Drcv`b                       t                      †gtIt</t>
  </si>
  <si>
    <t>†gtIt</t>
  </si>
  <si>
    <t xml:space="preserve">L) †gvU Drcv`b                          t              </t>
  </si>
  <si>
    <t>M) NvUwZ ( KÑ L )                    t                      †gtIt</t>
  </si>
  <si>
    <t xml:space="preserve">M) NvUwZ ( KÑ L )                       t  </t>
  </si>
  <si>
    <t>N) †gvU †jvW †kW                     t                     †gtIt ( MÖxW Dc‡K›`ª cÖv‡š )</t>
  </si>
  <si>
    <t>†gtIt (MÖxW Dc‡K›`ª cÖv‡šZ)</t>
  </si>
  <si>
    <t>O) MÖxW Dc‡K›`ª cÖv‡šZ cÖvß †jvW t                      †gtIt</t>
  </si>
  <si>
    <t>P) GjvKv wfwËK Pvwn`v , mieivn Ges †jvW †k†Wi weeib tÑ</t>
  </si>
  <si>
    <t xml:space="preserve">GjvKvi bvg </t>
  </si>
  <si>
    <t xml:space="preserve">   MÖxW Dc‡K›`ª  </t>
  </si>
  <si>
    <t xml:space="preserve">  cÖv‡šZ cÖvß †jvW</t>
  </si>
  <si>
    <t xml:space="preserve">  cÖv‡šZ †jvW †kW</t>
  </si>
  <si>
    <t xml:space="preserve">  cÖv‡šZ Pvwn`v</t>
  </si>
  <si>
    <t xml:space="preserve">  (  †gtIt)</t>
  </si>
  <si>
    <t xml:space="preserve">    (  †gtIt)</t>
  </si>
  <si>
    <t>XvKv</t>
  </si>
  <si>
    <t>PUªMÖvg</t>
  </si>
  <si>
    <t>Lyjbv</t>
  </si>
  <si>
    <t>ivRkvnx</t>
  </si>
  <si>
    <t>gqgbwmsn</t>
  </si>
  <si>
    <t>wm‡jU</t>
  </si>
  <si>
    <t>ewikvj</t>
  </si>
  <si>
    <t>iscyi</t>
  </si>
  <si>
    <t>†gvU</t>
  </si>
  <si>
    <t>Abywjwct</t>
  </si>
  <si>
    <t>„„„</t>
  </si>
  <si>
    <t xml:space="preserve">                                                                    </t>
  </si>
  <si>
    <t>2| gvbbxq cÖwZgš¿xi GKvš— mwPe, we`y¨r wefvM                  (d¨v· bsÑ 9559577 )</t>
  </si>
  <si>
    <t xml:space="preserve">3| mwPe g‡nv`‡qi GKvšZ mwPe, we`y¨r wefvM                 (d¨v· bsÑ 7173316 )          </t>
  </si>
  <si>
    <t>wcwRwmwe, XvKv|</t>
  </si>
  <si>
    <t xml:space="preserve">4| ‡Rbv‡ij ÷vd Awdmvi # 2 XvKv kvLv, wWwRGdAvB      (d¨v· bsÑ 8711055 )          </t>
  </si>
  <si>
    <t>Hr.</t>
  </si>
  <si>
    <t>Energy (Ghorasal end)</t>
  </si>
  <si>
    <t>Yesterday</t>
  </si>
  <si>
    <t>KWHr.</t>
  </si>
  <si>
    <t>Ishurdi</t>
  </si>
  <si>
    <t>Serajganj</t>
  </si>
  <si>
    <t>Demand</t>
  </si>
  <si>
    <t>Mymensingh</t>
  </si>
  <si>
    <t>Dhaka 33KV</t>
  </si>
  <si>
    <t xml:space="preserve"> Generation</t>
  </si>
  <si>
    <t>Hydro</t>
  </si>
  <si>
    <t xml:space="preserve">RPP </t>
  </si>
  <si>
    <t xml:space="preserve">QRPP </t>
  </si>
  <si>
    <t>Ghorashal (Regent)</t>
  </si>
  <si>
    <t>Meghnaghat (IEL)</t>
  </si>
  <si>
    <t>Gazipur (RPCL)</t>
  </si>
  <si>
    <t>Sikalbaha Peaking GT</t>
  </si>
  <si>
    <t>Meghnaghat CCPP(Summit)</t>
  </si>
  <si>
    <t>Under maint.</t>
  </si>
  <si>
    <t>Evening Peak</t>
  </si>
  <si>
    <t>Day Peak</t>
  </si>
  <si>
    <t>Gagnagar (Orion)</t>
  </si>
  <si>
    <t>Siddhirganj (Dutch Bangla)</t>
  </si>
  <si>
    <t>Mymensingh Area Total</t>
  </si>
  <si>
    <t>SIPP, REB</t>
  </si>
  <si>
    <t>SBU, PDB</t>
  </si>
  <si>
    <t>SIPP, PDB</t>
  </si>
  <si>
    <t>Engine problem</t>
  </si>
  <si>
    <t>Jamalpur</t>
  </si>
  <si>
    <t>Katpotti 51 MW</t>
  </si>
  <si>
    <t>Tripura</t>
  </si>
  <si>
    <t>HVDC</t>
  </si>
  <si>
    <t>Minimum</t>
  </si>
  <si>
    <r>
      <rPr>
        <b/>
        <sz val="11"/>
        <color indexed="8"/>
        <rFont val="Calibri"/>
        <family val="2"/>
      </rPr>
      <t>Hourly SMS</t>
    </r>
    <r>
      <rPr>
        <sz val="11"/>
        <color theme="1"/>
        <rFont val="Calibri"/>
        <family val="2"/>
        <scheme val="minor"/>
      </rPr>
      <t xml:space="preserve"> (Check date before sending)</t>
    </r>
  </si>
  <si>
    <t xml:space="preserve">O) MÖxW Dc‡K›`ª cÖv‡šZ cÖvß †jvW    t </t>
  </si>
  <si>
    <t xml:space="preserve">N) †gvU †jvW †kW                        t   </t>
  </si>
  <si>
    <t>BPDB-RPCL</t>
  </si>
  <si>
    <t>Madanganj-55 MW</t>
  </si>
  <si>
    <t>(IPP)</t>
  </si>
  <si>
    <t>eeeeeeeeeeeeeeeeeeeeeeeee</t>
  </si>
  <si>
    <t xml:space="preserve">                                     </t>
  </si>
  <si>
    <t>C.   Total power usable at Grid S/S  ( A -B  )  :</t>
  </si>
  <si>
    <t>B.   Auxiliary use of  P/S and transmission loss</t>
  </si>
  <si>
    <t>Imported power</t>
  </si>
  <si>
    <t>**</t>
  </si>
  <si>
    <t>*</t>
  </si>
  <si>
    <t>Actual
Generation</t>
  </si>
  <si>
    <t>Forecasted
Generation</t>
  </si>
  <si>
    <t xml:space="preserve">Derated/
Present </t>
  </si>
  <si>
    <t>Installed
Capacity</t>
  </si>
  <si>
    <t>Sl. No.</t>
  </si>
  <si>
    <t>Date:</t>
  </si>
  <si>
    <t>Today's Generation of different power stations at evening peak hour</t>
  </si>
  <si>
    <t xml:space="preserve">          Power Grid Company of Bangladesh Ltd.</t>
  </si>
  <si>
    <t>ENERGY METER READING</t>
  </si>
  <si>
    <t>-</t>
  </si>
  <si>
    <t>Summit Power,(Madhabdi+Ashulia)</t>
  </si>
  <si>
    <t>SIPP,REB</t>
  </si>
  <si>
    <t>Haripur  412 MW CCPP</t>
  </si>
  <si>
    <t>Narshingdi  (Doreen)</t>
  </si>
  <si>
    <t>Pagla (DPA )</t>
  </si>
  <si>
    <t>Kaptai Hydro: Unit-1,2,3,4, 5</t>
  </si>
  <si>
    <t>Malancha, Ctg. EPZ (United)</t>
  </si>
  <si>
    <t>wbev©nx cÖ‡KŠkjx (wkdU)</t>
  </si>
  <si>
    <t xml:space="preserve">GbIwW,GjwWwm  </t>
  </si>
  <si>
    <t>Remarks/Shut down</t>
  </si>
  <si>
    <t>Northern 55 MW</t>
  </si>
  <si>
    <t/>
  </si>
  <si>
    <t>gšZe¨</t>
  </si>
  <si>
    <t>Siddhirganj CCPP-335 MW</t>
  </si>
  <si>
    <t xml:space="preserve">  </t>
  </si>
  <si>
    <t>Sikalbaha 225MW</t>
  </si>
  <si>
    <t>Haripur GT: Unit-1, 2</t>
  </si>
  <si>
    <t>FGMO</t>
  </si>
  <si>
    <t>Check Date</t>
  </si>
  <si>
    <t>Gas shortage</t>
  </si>
  <si>
    <t>Solar</t>
  </si>
  <si>
    <t>Banco Energy  54MW</t>
  </si>
  <si>
    <t>Owner</t>
  </si>
  <si>
    <t>Installed Capacity</t>
  </si>
  <si>
    <t>Present Capacity</t>
  </si>
  <si>
    <t>Ghorasal ST: Unit-5</t>
  </si>
  <si>
    <t>Ghorasal ST: Unit-7</t>
  </si>
  <si>
    <t>Keraniganj (Powerpac) 100MW</t>
  </si>
  <si>
    <t>2*55</t>
  </si>
  <si>
    <t>1*210</t>
  </si>
  <si>
    <t>34*3.35</t>
  </si>
  <si>
    <t>2*32</t>
  </si>
  <si>
    <t>1*273+1*139</t>
  </si>
  <si>
    <t>2*150+1*150</t>
  </si>
  <si>
    <t>12*8.9</t>
  </si>
  <si>
    <t>2*110+1*110</t>
  </si>
  <si>
    <t>6*17</t>
  </si>
  <si>
    <t>8*13.45</t>
  </si>
  <si>
    <t>8*2.90</t>
  </si>
  <si>
    <t xml:space="preserve"> 1*210</t>
  </si>
  <si>
    <t xml:space="preserve"> 2*105</t>
  </si>
  <si>
    <t>100*0.5</t>
  </si>
  <si>
    <t>12*8.924</t>
  </si>
  <si>
    <t>7*7.9</t>
  </si>
  <si>
    <t>9*17.06</t>
  </si>
  <si>
    <t>3*19.3</t>
  </si>
  <si>
    <t>4*8.73</t>
  </si>
  <si>
    <t>6*8.9</t>
  </si>
  <si>
    <t>1* 105</t>
  </si>
  <si>
    <t>3*8.9</t>
  </si>
  <si>
    <t xml:space="preserve">1*150 </t>
  </si>
  <si>
    <t>11*8.9</t>
  </si>
  <si>
    <t>5*8.73+3*9.34</t>
  </si>
  <si>
    <t>1*150</t>
  </si>
  <si>
    <t>1*142+1*75</t>
  </si>
  <si>
    <t>1*360</t>
  </si>
  <si>
    <t>14*3.968</t>
  </si>
  <si>
    <t>15*4</t>
  </si>
  <si>
    <t>96*1.10</t>
  </si>
  <si>
    <t>14*4</t>
  </si>
  <si>
    <t>6*9.34</t>
  </si>
  <si>
    <t>86*1.10</t>
  </si>
  <si>
    <t>6*8.92</t>
  </si>
  <si>
    <t>1*106+1*57</t>
  </si>
  <si>
    <t>4*2.90</t>
  </si>
  <si>
    <t>4*35+1*70</t>
  </si>
  <si>
    <t>1*3</t>
  </si>
  <si>
    <t>2*32+1*33</t>
  </si>
  <si>
    <t>2*35+1*35</t>
  </si>
  <si>
    <t>19*2.90</t>
  </si>
  <si>
    <t>12*3.3+5*2</t>
  </si>
  <si>
    <t>2*35</t>
  </si>
  <si>
    <t>32*2.90</t>
  </si>
  <si>
    <t>27*2.0</t>
  </si>
  <si>
    <t>1*20</t>
  </si>
  <si>
    <t>27*2</t>
  </si>
  <si>
    <t>3*9.34</t>
  </si>
  <si>
    <t>1*222+1*119</t>
  </si>
  <si>
    <t>6*1.95</t>
  </si>
  <si>
    <t>19*6.5</t>
  </si>
  <si>
    <t>7*17</t>
  </si>
  <si>
    <t>8*6.89</t>
  </si>
  <si>
    <t>16*6.98</t>
  </si>
  <si>
    <t>5*8.5</t>
  </si>
  <si>
    <t>71*0.85</t>
  </si>
  <si>
    <t>7*17.076</t>
  </si>
  <si>
    <t>2*20</t>
  </si>
  <si>
    <t>1*34.50</t>
  </si>
  <si>
    <t>2*63+1*68</t>
  </si>
  <si>
    <t>1*71</t>
  </si>
  <si>
    <t>1*100</t>
  </si>
  <si>
    <t>9*8.29</t>
  </si>
  <si>
    <t>7*7.79</t>
  </si>
  <si>
    <t>6*8.7</t>
  </si>
  <si>
    <t>1*150+1*75</t>
  </si>
  <si>
    <t>6*4</t>
  </si>
  <si>
    <t>5*3.3+5*2</t>
  </si>
  <si>
    <t>1*125</t>
  </si>
  <si>
    <t>3*18</t>
  </si>
  <si>
    <t>8*6.98</t>
  </si>
  <si>
    <t>Siddhirgonj ST 210MW</t>
  </si>
  <si>
    <t xml:space="preserve">Siddhirgonj GT Unit-1&amp; 2 </t>
  </si>
  <si>
    <t>Meghnaghat CCPP 450MW</t>
  </si>
  <si>
    <t>Haripur Power CCPP 360MW</t>
  </si>
  <si>
    <t>Southern 55MW</t>
  </si>
  <si>
    <t>Summit Ashulia</t>
  </si>
  <si>
    <t>Summit Madhabdi</t>
  </si>
  <si>
    <t>Summit Maona</t>
  </si>
  <si>
    <t>Madanganj 102MW</t>
  </si>
  <si>
    <t>Bosila 108MW</t>
  </si>
  <si>
    <t>Khulna 60MW</t>
  </si>
  <si>
    <t>Bheramara (HVDC )</t>
  </si>
  <si>
    <t>Plant Name</t>
  </si>
  <si>
    <t>Date of Commision</t>
  </si>
  <si>
    <t>Fuel Cost</t>
  </si>
  <si>
    <t>Power Grid Company of Bangladesh Ltd.</t>
  </si>
  <si>
    <t>QF-LDC-07</t>
  </si>
  <si>
    <t>Date (day):</t>
  </si>
  <si>
    <t xml:space="preserve">        Probable Maximum </t>
  </si>
  <si>
    <t>Generation   :</t>
  </si>
  <si>
    <t>(a) At Day Peak Hour :</t>
  </si>
  <si>
    <t>(b) At Evening Peak Hour :</t>
  </si>
  <si>
    <t>Oil</t>
  </si>
  <si>
    <t>Name of the
 Power Stations</t>
  </si>
  <si>
    <t xml:space="preserve">Producer </t>
  </si>
  <si>
    <t xml:space="preserve">     Installed Capacity</t>
  </si>
  <si>
    <t xml:space="preserve">     Actual Generation</t>
  </si>
  <si>
    <t>Forecasted Available Gen. on</t>
  </si>
  <si>
    <t xml:space="preserve"> Ev. Peak Gen.Shortage</t>
  </si>
  <si>
    <t xml:space="preserve">Plants under
</t>
  </si>
  <si>
    <t xml:space="preserve">Probable 
</t>
  </si>
  <si>
    <t>Ev.  Peak</t>
  </si>
  <si>
    <t>Day  Peak</t>
  </si>
  <si>
    <t>On</t>
  </si>
  <si>
    <t>during</t>
  </si>
  <si>
    <t xml:space="preserve">for Fuel
</t>
  </si>
  <si>
    <t>for plant. S/D</t>
  </si>
  <si>
    <t>Shut down (date)/</t>
  </si>
  <si>
    <t>Start up</t>
  </si>
  <si>
    <t>Limitation</t>
  </si>
  <si>
    <t>M/C Problem</t>
  </si>
  <si>
    <t>Remarks</t>
  </si>
  <si>
    <t>IP=299431</t>
  </si>
  <si>
    <t>1*235+1*125</t>
  </si>
  <si>
    <t>IP-26004</t>
  </si>
  <si>
    <t>IP=25503</t>
  </si>
  <si>
    <t>IP=299210,</t>
  </si>
  <si>
    <t>Sunday</t>
  </si>
  <si>
    <t>Monday</t>
  </si>
  <si>
    <t>Tuesday</t>
  </si>
  <si>
    <t>Thursday</t>
  </si>
  <si>
    <t>Friday</t>
  </si>
  <si>
    <t>Saturday</t>
  </si>
  <si>
    <t>Usable load at Substation end after deducting Auxiliary use &amp; Transmission loss</t>
  </si>
  <si>
    <t xml:space="preserve">     </t>
  </si>
  <si>
    <t>A.</t>
  </si>
  <si>
    <t>(Yesterday)</t>
  </si>
  <si>
    <t xml:space="preserve">          </t>
  </si>
  <si>
    <t>Highest Generation             :</t>
  </si>
  <si>
    <t>MW  at</t>
  </si>
  <si>
    <t>hrs</t>
  </si>
  <si>
    <t>hrs.</t>
  </si>
  <si>
    <t>Minimum Generation          :</t>
  </si>
  <si>
    <t>12  Max. Demand  (Generation end) at evening peak hour   :</t>
  </si>
  <si>
    <t xml:space="preserve">MW </t>
  </si>
  <si>
    <t xml:space="preserve">MKWHr   </t>
  </si>
  <si>
    <t xml:space="preserve">15. Area wise Demand (S/S end), Supply (S/S end)  &amp; </t>
  </si>
  <si>
    <t>16  Hourly Load Shed during</t>
  </si>
  <si>
    <t xml:space="preserve">MKWHr         </t>
  </si>
  <si>
    <t>By Oil:</t>
  </si>
  <si>
    <t xml:space="preserve"> MKWHr</t>
  </si>
  <si>
    <t xml:space="preserve">     Load Shed (S/S end) at Evening peak hour in MW :</t>
  </si>
  <si>
    <t xml:space="preserve">      Evening  Peak hours :</t>
  </si>
  <si>
    <t xml:space="preserve">MKWHr     </t>
  </si>
  <si>
    <t>By Hydro:</t>
  </si>
  <si>
    <t>Supply</t>
  </si>
  <si>
    <t>Loadshed</t>
  </si>
  <si>
    <t xml:space="preserve">   Time</t>
  </si>
  <si>
    <t xml:space="preserve">Chittagong </t>
  </si>
  <si>
    <t xml:space="preserve">Khulna </t>
  </si>
  <si>
    <t>Total Gas Supplied :</t>
  </si>
  <si>
    <t>MMCFD</t>
  </si>
  <si>
    <t xml:space="preserve">Rajshahi </t>
  </si>
  <si>
    <t>Fuel Cost :</t>
  </si>
  <si>
    <t xml:space="preserve">     i) Gas    : </t>
  </si>
  <si>
    <t>Taka</t>
  </si>
  <si>
    <t xml:space="preserve">ii) Oil      :  </t>
  </si>
  <si>
    <t>iii) Coal :</t>
  </si>
  <si>
    <t>i) Energy</t>
  </si>
  <si>
    <t>MKWHr.</t>
  </si>
  <si>
    <t xml:space="preserve">Sylhet </t>
  </si>
  <si>
    <t>Mymensing</t>
  </si>
  <si>
    <t xml:space="preserve">         ii) During Peak Demand :</t>
  </si>
  <si>
    <t>MW   at</t>
  </si>
  <si>
    <t xml:space="preserve">Barisal </t>
  </si>
  <si>
    <t xml:space="preserve">         iii) Maximum :</t>
  </si>
  <si>
    <t xml:space="preserve">Rangpur </t>
  </si>
  <si>
    <t>Maximum Temperature in Dhaka was</t>
  </si>
  <si>
    <t xml:space="preserve">B. </t>
  </si>
  <si>
    <t>(Today)</t>
  </si>
  <si>
    <t>Probable max. temperature in Dhaka</t>
  </si>
  <si>
    <t xml:space="preserve">      Forecast</t>
  </si>
  <si>
    <t xml:space="preserve">         </t>
  </si>
  <si>
    <t>Maximum Demand* Evening (Generation end)</t>
  </si>
  <si>
    <t xml:space="preserve"> 6  Total Load Shed forecast (Substation end) :</t>
  </si>
  <si>
    <t>Maximum Generation (Generation end)</t>
  </si>
  <si>
    <t xml:space="preserve">MW     </t>
  </si>
  <si>
    <t xml:space="preserve"> 7  Area wise Load Shed forecast (Substation end) :</t>
  </si>
  <si>
    <t>Maximum Demand* Day (Generation end)</t>
  </si>
  <si>
    <t>Reserve(Generation end)</t>
  </si>
  <si>
    <t xml:space="preserve">Total Energy Generation </t>
  </si>
  <si>
    <t>MKWHr</t>
  </si>
  <si>
    <t>Actual Minimum Generation up to 8:00 hrs.</t>
  </si>
  <si>
    <t xml:space="preserve">             </t>
  </si>
  <si>
    <t>* Import Through HVDC C/B Interconnector  :</t>
  </si>
  <si>
    <t>MW      at</t>
  </si>
  <si>
    <t>* Import Through Comilla C/B Interconnector  :</t>
  </si>
  <si>
    <t>Water Level of Kaptai Lake at 06:00  hr  (ft):</t>
  </si>
  <si>
    <t>(b) Today:</t>
  </si>
  <si>
    <t>(c) Rule Curve:</t>
  </si>
  <si>
    <t>.</t>
  </si>
  <si>
    <t xml:space="preserve">    </t>
  </si>
  <si>
    <t xml:space="preserve">       Sub Divisional Engineer</t>
  </si>
  <si>
    <t xml:space="preserve">     Executive Engineer </t>
  </si>
  <si>
    <t xml:space="preserve">    Network Operation Division</t>
  </si>
  <si>
    <t>Network Operation Division</t>
  </si>
  <si>
    <t xml:space="preserve">                                                NATIONAL LOAD  DESPATCH  CENTER</t>
  </si>
  <si>
    <t xml:space="preserve">             ACTUAL LOAD SHEDDING</t>
  </si>
  <si>
    <t>Date :</t>
  </si>
  <si>
    <t>DEMAND (Gen.) :-</t>
  </si>
  <si>
    <t>at</t>
  </si>
  <si>
    <t>GENERATION    :-</t>
  </si>
  <si>
    <t>"</t>
  </si>
  <si>
    <t>LOAD SHED       :-</t>
  </si>
  <si>
    <t>RATE                 :-</t>
  </si>
  <si>
    <t>Demand (s/s)</t>
  </si>
  <si>
    <t>Supply(s/s)</t>
  </si>
  <si>
    <t>Load Shed (s/s)</t>
  </si>
  <si>
    <t>Rate %</t>
  </si>
  <si>
    <t xml:space="preserve">        LOAD - SHEDDING  PLANNING</t>
  </si>
  <si>
    <t>DEMAND(Gen.end)                  :-</t>
  </si>
  <si>
    <t>AVAILABLE GENERATION  :-</t>
  </si>
  <si>
    <t>(Subject to availibility of gas)</t>
  </si>
  <si>
    <t>LOAD SHED                              :-</t>
  </si>
  <si>
    <t>Demand(s/s)</t>
  </si>
  <si>
    <t xml:space="preserve">     Load Shed (s/s)</t>
  </si>
  <si>
    <t xml:space="preserve">Rate </t>
  </si>
  <si>
    <t xml:space="preserve">  Remarks</t>
  </si>
  <si>
    <t>N.B:</t>
  </si>
  <si>
    <t xml:space="preserve">                                              </t>
  </si>
  <si>
    <t xml:space="preserve">                       </t>
  </si>
  <si>
    <t xml:space="preserve">            </t>
  </si>
  <si>
    <t xml:space="preserve">     Sub Divisional Engineer</t>
  </si>
  <si>
    <t>d) Feni-Chowmuhoni 132 kV Ckt-1 &amp; 2 tripped at 12:07 from Feni end showing dist.relay at Ckt-1 &amp; E/F relay at Ckt-2 and were</t>
  </si>
  <si>
    <t xml:space="preserve">About 70 MW power interruption occurred under Chowmuhoni S/S area </t>
  </si>
  <si>
    <t xml:space="preserve">    switched on at 12:20.</t>
  </si>
  <si>
    <t>from 12:07 to 12:20.</t>
  </si>
  <si>
    <t xml:space="preserve">e) Ashuganj-B.Baria 132 kV Ckt-2 tripped at 12:22 showing dist.relay at Ashuganj end &amp; E/F relay at B.Baria end and was </t>
  </si>
  <si>
    <t xml:space="preserve">    switched on at 18:55. </t>
  </si>
  <si>
    <t xml:space="preserve">f) Shyampur-Hasnabad 132 kV Ckt tripped at 21:18 showing main protection trip relay and was switched on at 21:44. </t>
  </si>
  <si>
    <t xml:space="preserve">g) Haripur-Rahim Steel 132 kV Ckt tripped at 21:17 from both ends showing main protection trip relay and is still under shut down. </t>
  </si>
  <si>
    <t>h) Barapukuria Unit-2 was forced shut down at 21:58 due to boiler tube leakage.</t>
  </si>
  <si>
    <t>i) Bheramara-Faridpur 132 kV Ckt-1 was shut down at 06:10 (26/08/2016) for Bheramara 360 MW P/S project work.</t>
  </si>
  <si>
    <t>j) Bheramara-Kustia 132 kV Ckt-1 was shut down at 06:10 (26/08/2016) for Bheramara 360 MW P/S project work.</t>
  </si>
  <si>
    <t xml:space="preserve">k) Jamalpur 132/33 kV S/S  33 kV Bus was under shut down from 00:24 to 01:38 (26/08/2016) due to red hot maintenance </t>
  </si>
  <si>
    <t xml:space="preserve">About 20 MW power interruption occurred under Jamalpur S/S area </t>
  </si>
  <si>
    <t xml:space="preserve">    at Sharisabari PDB feeder.</t>
  </si>
  <si>
    <t>from 00:24 to 01:38 (26/08/2016).</t>
  </si>
  <si>
    <t>Sl no.</t>
  </si>
  <si>
    <t>Name of the P/S</t>
  </si>
  <si>
    <t>Day pk. Gen.</t>
  </si>
  <si>
    <t>Evn. pk. Gen.</t>
  </si>
  <si>
    <t xml:space="preserve">Executive Engineer </t>
  </si>
  <si>
    <t>NOD, LDC,</t>
  </si>
  <si>
    <t>PGCB, Dhaka.</t>
  </si>
  <si>
    <t xml:space="preserve">                    NATIONAL LOAD  DESPATCH  CENTER</t>
  </si>
  <si>
    <t xml:space="preserve">   </t>
  </si>
  <si>
    <t xml:space="preserve">                            Area wise Power supply, Load shed &amp; Demand</t>
  </si>
  <si>
    <t>Time:</t>
  </si>
  <si>
    <t>Load Shed</t>
  </si>
  <si>
    <t xml:space="preserve">    Sub Divisional Engineer</t>
  </si>
  <si>
    <t xml:space="preserve"> NATIONAL LOAD  DESPATCH  CENTER</t>
  </si>
  <si>
    <t>QF-LDC-08</t>
  </si>
  <si>
    <t xml:space="preserve">Page -1 </t>
  </si>
  <si>
    <t>Reporting Date :</t>
  </si>
  <si>
    <t xml:space="preserve">Till  now  the  maximum  generation is : -     </t>
  </si>
  <si>
    <t>Hrs          on</t>
  </si>
  <si>
    <t>The  Summary  of  Yesterday's</t>
  </si>
  <si>
    <t xml:space="preserve">Generation &amp; Demand </t>
  </si>
  <si>
    <t>Today's Actual Min Gen. &amp; Probable Gen. &amp; Demand</t>
  </si>
  <si>
    <t xml:space="preserve">Day Peak Generation         : </t>
  </si>
  <si>
    <t>Min. Gen.   at</t>
  </si>
  <si>
    <t>Evening Peak Generation   :</t>
  </si>
  <si>
    <t>E.P. Demand (at gen end)  :</t>
  </si>
  <si>
    <t>Max Demand (Evening)  :</t>
  </si>
  <si>
    <t>Maximum  Generation        :</t>
  </si>
  <si>
    <t>Total Gen. (MKWH)           :</t>
  </si>
  <si>
    <t>Load Shed                     :</t>
  </si>
  <si>
    <t>EXPORT / IMPORT  THROUGH  EAST-WEST  INTERCONNECTOR</t>
  </si>
  <si>
    <t xml:space="preserve">Export from East grid to West grid :-  Maximum </t>
  </si>
  <si>
    <t>MW         at</t>
  </si>
  <si>
    <t>Energy</t>
  </si>
  <si>
    <t>MKWHR.</t>
  </si>
  <si>
    <t xml:space="preserve">Import from West grid to East grid :-  Maximum </t>
  </si>
  <si>
    <t xml:space="preserve">                       -</t>
  </si>
  <si>
    <t xml:space="preserve">  -</t>
  </si>
  <si>
    <t xml:space="preserve">               -</t>
  </si>
  <si>
    <t>Actual  :</t>
  </si>
  <si>
    <t xml:space="preserve">  Ft.(MSL) ,</t>
  </si>
  <si>
    <t xml:space="preserve"> Rule  curve  :</t>
  </si>
  <si>
    <t xml:space="preserve">   Ft.( MSL ) </t>
  </si>
  <si>
    <t>Gas Consumed :</t>
  </si>
  <si>
    <t>MMCFD.</t>
  </si>
  <si>
    <t>Oil Consumed  (PDB) :</t>
  </si>
  <si>
    <t>HSD    :</t>
  </si>
  <si>
    <t>Liter</t>
  </si>
  <si>
    <t>FO      :</t>
  </si>
  <si>
    <t xml:space="preserve">Cost of the Consumed Fuel (PDB+Pvt) :         </t>
  </si>
  <si>
    <t>Gas     :</t>
  </si>
  <si>
    <t xml:space="preserve"> Oil        :</t>
  </si>
  <si>
    <t>Total   :</t>
  </si>
  <si>
    <t>Load Shedding &amp; Other Information</t>
  </si>
  <si>
    <t xml:space="preserve"> Area</t>
  </si>
  <si>
    <t xml:space="preserve">             Yesterday</t>
  </si>
  <si>
    <t>Today</t>
  </si>
  <si>
    <t xml:space="preserve">   Estimated Demand (S/S end)</t>
  </si>
  <si>
    <t>Estimated Shedding (S/S end)</t>
  </si>
  <si>
    <t xml:space="preserve">  Rates of Shedding</t>
  </si>
  <si>
    <t>(On Estimated Demand)</t>
  </si>
  <si>
    <t>Chittagong Area</t>
  </si>
  <si>
    <t>Khulna Area</t>
  </si>
  <si>
    <t>Rajshahi Area</t>
  </si>
  <si>
    <t>Mymensingh Area</t>
  </si>
  <si>
    <t>Sylhet Area</t>
  </si>
  <si>
    <t>Barisal Area</t>
  </si>
  <si>
    <t>Rangpur Area</t>
  </si>
  <si>
    <t xml:space="preserve">Total    </t>
  </si>
  <si>
    <t xml:space="preserve">         Information of the Generating Units under shut down.</t>
  </si>
  <si>
    <t xml:space="preserve">                               </t>
  </si>
  <si>
    <t xml:space="preserve"> Planned Shut- Down</t>
  </si>
  <si>
    <t xml:space="preserve">                                 </t>
  </si>
  <si>
    <t>Forced  Shut- Down</t>
  </si>
  <si>
    <t>Additional Information of Machines, lines, Interruption / Forced Load shed etc.</t>
  </si>
  <si>
    <t xml:space="preserve">   Page -2</t>
  </si>
  <si>
    <t>Amnura</t>
  </si>
  <si>
    <t xml:space="preserve">        </t>
  </si>
  <si>
    <t>Eastern Grid Total</t>
  </si>
  <si>
    <t>Western Grid  Total</t>
  </si>
  <si>
    <t>National  Grid  Total</t>
  </si>
  <si>
    <t xml:space="preserve">*Data collected from respective power station over telephone. </t>
  </si>
  <si>
    <t>(a) ENTIRE EASTERN  GRID      :</t>
  </si>
  <si>
    <t>(b) ENTIRE WESTERN  GRID    :</t>
  </si>
  <si>
    <t xml:space="preserve"> i) Dhaka area</t>
  </si>
  <si>
    <t xml:space="preserve"> i)  Khulna area</t>
  </si>
  <si>
    <t xml:space="preserve"> ii) Chittagong area</t>
  </si>
  <si>
    <t xml:space="preserve"> ii) Rajshahi area</t>
  </si>
  <si>
    <t xml:space="preserve"> iii) Comilla area</t>
  </si>
  <si>
    <t>iii) Barisal area</t>
  </si>
  <si>
    <t xml:space="preserve"> iv) Mymensingh area</t>
  </si>
  <si>
    <t>iv) Rangpur area</t>
  </si>
  <si>
    <t xml:space="preserve"> v) Sylhet area</t>
  </si>
  <si>
    <t>SYSTEM TOTAL DEMAND ( a + b ) =</t>
  </si>
  <si>
    <t xml:space="preserve">             MAXIMUM  LOAD SERVED BY DIFFERENT SUB-STATIONS</t>
  </si>
  <si>
    <t>Sub-station</t>
  </si>
  <si>
    <t>Load (MW)</t>
  </si>
  <si>
    <t>Hour</t>
  </si>
  <si>
    <t>Kishorganj</t>
  </si>
  <si>
    <t>Jessore</t>
  </si>
  <si>
    <t>Munsiganj</t>
  </si>
  <si>
    <t>Netrokona</t>
  </si>
  <si>
    <t>Megnaghat</t>
  </si>
  <si>
    <t>Bottail</t>
  </si>
  <si>
    <t>Shyampur</t>
  </si>
  <si>
    <t>Sherpur</t>
  </si>
  <si>
    <t>Bhulta</t>
  </si>
  <si>
    <t>Srimongal</t>
  </si>
  <si>
    <t>Faridpur</t>
  </si>
  <si>
    <t>Madanganj</t>
  </si>
  <si>
    <t>Shahjibazar</t>
  </si>
  <si>
    <t>Madaripur</t>
  </si>
  <si>
    <t>Shitalakhya</t>
  </si>
  <si>
    <t>Fenchuganj</t>
  </si>
  <si>
    <t>Gopalganj</t>
  </si>
  <si>
    <t>Khulawara</t>
  </si>
  <si>
    <t>Bagerhat</t>
  </si>
  <si>
    <t>Matuail</t>
  </si>
  <si>
    <t>Mongla</t>
  </si>
  <si>
    <t>Ghorasal</t>
  </si>
  <si>
    <t>Chatak</t>
  </si>
  <si>
    <t>Satkhira</t>
  </si>
  <si>
    <t>Gallamari</t>
  </si>
  <si>
    <t>Haripur (SBU)</t>
  </si>
  <si>
    <t>Comilla(N)</t>
  </si>
  <si>
    <t>Magura</t>
  </si>
  <si>
    <t>Chandpur</t>
  </si>
  <si>
    <t>Chuadanga</t>
  </si>
  <si>
    <t>Hasnabad</t>
  </si>
  <si>
    <t>Feni</t>
  </si>
  <si>
    <t>Magbazar</t>
  </si>
  <si>
    <t>Chowmuhani</t>
  </si>
  <si>
    <t>Patuakhali</t>
  </si>
  <si>
    <t>Maniknagar</t>
  </si>
  <si>
    <t>Ashuganj</t>
  </si>
  <si>
    <t>Bhandaria</t>
  </si>
  <si>
    <t>Bangabhaban</t>
  </si>
  <si>
    <t>Daudkandi</t>
  </si>
  <si>
    <t>Narinda</t>
  </si>
  <si>
    <t>B.Baria</t>
  </si>
  <si>
    <t>Natore</t>
  </si>
  <si>
    <t>Dhanmondi</t>
  </si>
  <si>
    <t>Bogra</t>
  </si>
  <si>
    <t>Lalbag</t>
  </si>
  <si>
    <t>Hathazari</t>
  </si>
  <si>
    <t>Noagaon</t>
  </si>
  <si>
    <t>Madartek</t>
  </si>
  <si>
    <t>Khulshi</t>
  </si>
  <si>
    <t>Mirpur</t>
  </si>
  <si>
    <t>Halishahar</t>
  </si>
  <si>
    <t>C.Nawabganj</t>
  </si>
  <si>
    <t>Baraulia</t>
  </si>
  <si>
    <t>Gulshan</t>
  </si>
  <si>
    <t>Pabna</t>
  </si>
  <si>
    <t>Uttara</t>
  </si>
  <si>
    <t>Dohazari</t>
  </si>
  <si>
    <t>Shahjadpur</t>
  </si>
  <si>
    <t>Kamrangirchar</t>
  </si>
  <si>
    <t>Cox'sbazar</t>
  </si>
  <si>
    <t>Savar</t>
  </si>
  <si>
    <t>Chandraghona</t>
  </si>
  <si>
    <t>Niyamatpur</t>
  </si>
  <si>
    <t>Bhasantec</t>
  </si>
  <si>
    <t>Joypurhat</t>
  </si>
  <si>
    <t>Agargaon</t>
  </si>
  <si>
    <t>A. Khaer Stl.</t>
  </si>
  <si>
    <t>Satmosjid</t>
  </si>
  <si>
    <t>Bakulia</t>
  </si>
  <si>
    <t>Lalmonirhat</t>
  </si>
  <si>
    <t>Tongi</t>
  </si>
  <si>
    <t>Julda</t>
  </si>
  <si>
    <t>Saidpur</t>
  </si>
  <si>
    <t>Kabirpur</t>
  </si>
  <si>
    <t>Purbasadipur</t>
  </si>
  <si>
    <t>Modern Steel</t>
  </si>
  <si>
    <t>Thakurgaon</t>
  </si>
  <si>
    <t>Shahmirpur</t>
  </si>
  <si>
    <t>Palashbari</t>
  </si>
  <si>
    <t>Joydevpur</t>
  </si>
  <si>
    <t>Barapukuria</t>
  </si>
  <si>
    <t>New Tongi</t>
  </si>
  <si>
    <t>BSRM</t>
  </si>
  <si>
    <t>Panchagar</t>
  </si>
  <si>
    <t>Tangail</t>
  </si>
  <si>
    <t>Noapara</t>
  </si>
  <si>
    <t xml:space="preserve"> Sub Divisional Engineer</t>
  </si>
  <si>
    <t xml:space="preserve">         Superintendent Engineer </t>
  </si>
  <si>
    <t xml:space="preserve">          Load Despatch Circle</t>
  </si>
  <si>
    <t>(1) Honbl. State Minister</t>
  </si>
  <si>
    <t>(8) Executive Director (O &amp; M) PGCB.</t>
  </si>
  <si>
    <t>(18) C.E. Transmission (1 &amp; 2) PGCB.</t>
  </si>
  <si>
    <t xml:space="preserve">       Ministry of Power,Energy &amp; Mineral </t>
  </si>
  <si>
    <t>(9) Member,Generation,PDB.</t>
  </si>
  <si>
    <t>(19) S.E. System Protection,PGCB.</t>
  </si>
  <si>
    <t xml:space="preserve">       Resources, GOB.</t>
  </si>
  <si>
    <t>(10) Member,Distribution,PDB.</t>
  </si>
  <si>
    <t>(20) Director,Public Relation,PDB.</t>
  </si>
  <si>
    <t xml:space="preserve">(2) Secy (Power Divn.)Ministry of   </t>
  </si>
  <si>
    <t xml:space="preserve">(11) Member,Transmission &amp; </t>
  </si>
  <si>
    <t>(21) Director Program, PDB.</t>
  </si>
  <si>
    <t xml:space="preserve">      Power,Energy &amp; Mineral Resources.</t>
  </si>
  <si>
    <t xml:space="preserve">      System Operation,PDB.</t>
  </si>
  <si>
    <t>(22) S.E. Consumer Affairs,PDB.</t>
  </si>
  <si>
    <t>(3) Director General,Power cell</t>
  </si>
  <si>
    <t>(12) Member,P&amp;D,PDB.</t>
  </si>
  <si>
    <t>(23) Director,Project Planning,PDB.</t>
  </si>
  <si>
    <t>(4) Chairman,BERC</t>
  </si>
  <si>
    <t>(13) C.E (P &amp; D), PGCB.</t>
  </si>
  <si>
    <t>(24) Director,System Planning,PDB.</t>
  </si>
  <si>
    <t>(5) Chairman, BPDB.</t>
  </si>
  <si>
    <t xml:space="preserve">(14) G.M. Commercial Operation </t>
  </si>
  <si>
    <t>(25)  Executive Eng.IMD.</t>
  </si>
  <si>
    <t>(6) Managing  Director, PGCB.</t>
  </si>
  <si>
    <t>(15) C.E. Generation,PDB.</t>
  </si>
  <si>
    <t>(26) Executive Eng. EMD.</t>
  </si>
  <si>
    <t>(7) Member(Power &amp; Industry)</t>
  </si>
  <si>
    <t xml:space="preserve">(16) C.E, (P &amp; D),PDB. </t>
  </si>
  <si>
    <t>(27) NLDC</t>
  </si>
  <si>
    <t xml:space="preserve">       Planning Commission.</t>
  </si>
  <si>
    <t>(17) C.E. System Operation,PGCB</t>
  </si>
  <si>
    <t xml:space="preserve">                                     NLDC, Aftabnagar, Dhaka</t>
  </si>
  <si>
    <t>Forecast of Demand, Supply and Load shed (at Substation end i.e 33 kV level)</t>
  </si>
  <si>
    <t>Allocation percentage of Total Generation against each Zone</t>
  </si>
  <si>
    <t xml:space="preserve">Forecasted for the date of </t>
  </si>
  <si>
    <t>Zones</t>
  </si>
  <si>
    <t>Percentage</t>
  </si>
  <si>
    <t xml:space="preserve">   Day Peak (09:00 - 12:00)</t>
  </si>
  <si>
    <t xml:space="preserve">  Evening Peak (18:00 - 21:00)</t>
  </si>
  <si>
    <t xml:space="preserve">Day Peak </t>
  </si>
  <si>
    <t xml:space="preserve">Evening Peak </t>
  </si>
  <si>
    <t>Demand
(MW)</t>
  </si>
  <si>
    <t>Supply
(MW)</t>
  </si>
  <si>
    <t>L/S
(MW)</t>
  </si>
  <si>
    <t>Total (S/S End)</t>
  </si>
  <si>
    <t>Total Demand</t>
  </si>
  <si>
    <t>Generation End</t>
  </si>
  <si>
    <t>Substation End</t>
  </si>
  <si>
    <t xml:space="preserve">                                                              </t>
  </si>
  <si>
    <t>Executive Engineer</t>
  </si>
  <si>
    <t>NOD, NLDC, PGCB.</t>
  </si>
  <si>
    <t xml:space="preserve">                                                                                                                                                            </t>
  </si>
  <si>
    <t xml:space="preserve"> DAILY  ENERGY  CURVE </t>
  </si>
  <si>
    <t>QF-LDC-11</t>
  </si>
  <si>
    <t>TIME</t>
  </si>
  <si>
    <t>GAS</t>
  </si>
  <si>
    <t xml:space="preserve"> HVDC</t>
  </si>
  <si>
    <t>P.GEN(GAS).</t>
  </si>
  <si>
    <t>COAL</t>
  </si>
  <si>
    <t>HYDRO</t>
  </si>
  <si>
    <t>SHORTAGE</t>
  </si>
  <si>
    <t xml:space="preserve">                                      </t>
  </si>
  <si>
    <t xml:space="preserve">   Max Temp. in Dhaka </t>
  </si>
  <si>
    <t xml:space="preserve">    Executive Engineer </t>
  </si>
  <si>
    <t>Page 5 of 7</t>
  </si>
  <si>
    <t>EAST GRID</t>
  </si>
  <si>
    <t>WEST GRID</t>
  </si>
  <si>
    <t>TOTAL</t>
  </si>
  <si>
    <t xml:space="preserve">DAILY  LOAD  CURVE </t>
  </si>
  <si>
    <t>QF-LDC-12</t>
  </si>
  <si>
    <t xml:space="preserve">                                                                                                                                                                                                    </t>
  </si>
  <si>
    <t>Page 6 of 7</t>
  </si>
  <si>
    <t>Sub-Station</t>
  </si>
  <si>
    <t>Maxm</t>
  </si>
  <si>
    <t>Voltage</t>
  </si>
  <si>
    <t>400 KV</t>
  </si>
  <si>
    <t>KV</t>
  </si>
  <si>
    <t>Bibiyana</t>
  </si>
  <si>
    <t>Kaliakoir</t>
  </si>
  <si>
    <t>Bheramara</t>
  </si>
  <si>
    <t>200 kV Voltage</t>
  </si>
  <si>
    <t>400 kV Voltage</t>
  </si>
  <si>
    <t>230 KV</t>
  </si>
  <si>
    <t>Time/SS</t>
  </si>
  <si>
    <t>Baghabari</t>
  </si>
  <si>
    <t>Khulna(S)</t>
  </si>
  <si>
    <t>Rampura</t>
  </si>
  <si>
    <t>Haripur</t>
  </si>
  <si>
    <t>Aminbazar</t>
  </si>
  <si>
    <t xml:space="preserve"> Hathazari</t>
  </si>
  <si>
    <t>Meghnaghat</t>
  </si>
  <si>
    <t>Old Airport</t>
  </si>
  <si>
    <t>AKSML</t>
  </si>
  <si>
    <t>KALIAKOR</t>
  </si>
  <si>
    <t>Maximum</t>
  </si>
  <si>
    <t>Comilla (N)</t>
  </si>
  <si>
    <t>Time</t>
  </si>
  <si>
    <t>230 kV MAX</t>
  </si>
  <si>
    <t>230 kV MIN</t>
  </si>
  <si>
    <t>Khulna South</t>
  </si>
  <si>
    <t>132 kV MAX</t>
  </si>
  <si>
    <t>132 kV MIN</t>
  </si>
  <si>
    <t xml:space="preserve">   132 kV</t>
  </si>
  <si>
    <t xml:space="preserve">    132 kV</t>
  </si>
  <si>
    <t>Madanhat</t>
  </si>
  <si>
    <t>Rahim steal</t>
  </si>
  <si>
    <t>TK Chemical</t>
  </si>
  <si>
    <t>Kalyanpur</t>
  </si>
  <si>
    <t>Kodda</t>
  </si>
  <si>
    <t xml:space="preserve">    Sub Assistant Engineer</t>
  </si>
  <si>
    <t>Ghorashal 78MW (MAX)</t>
  </si>
  <si>
    <t>3*17.08+1*11.3</t>
  </si>
  <si>
    <t>12*8.775+1*3.5</t>
  </si>
  <si>
    <t>2*40+50</t>
  </si>
  <si>
    <t>2*50</t>
  </si>
  <si>
    <t>16*7</t>
  </si>
  <si>
    <t>Gas/HSD</t>
  </si>
  <si>
    <t>3*3.67+2*6.97</t>
  </si>
  <si>
    <t>B.Baria (Aggreko) 85MW</t>
  </si>
  <si>
    <t>3*110</t>
  </si>
  <si>
    <t>Ghorasal ST: Unit-1,2</t>
  </si>
  <si>
    <t>2*40+3*50</t>
  </si>
  <si>
    <t>Unit No. X Capacity</t>
  </si>
  <si>
    <t>Minimum Generation</t>
  </si>
  <si>
    <t>Highest Generation</t>
  </si>
  <si>
    <t>Day Peak Generation</t>
  </si>
  <si>
    <t>Evening Peak Generation</t>
  </si>
  <si>
    <t>Gas (Public)</t>
  </si>
  <si>
    <t>Gas (Private)</t>
  </si>
  <si>
    <t>TRIPURA</t>
  </si>
  <si>
    <t>Total (MW)</t>
  </si>
  <si>
    <t>Western Grid Total</t>
  </si>
  <si>
    <t>Forecast for Evening</t>
  </si>
  <si>
    <t>Forecast for Day</t>
  </si>
  <si>
    <t>Dhaka  area Total</t>
  </si>
  <si>
    <t>Wednesday</t>
  </si>
  <si>
    <t>Week</t>
  </si>
  <si>
    <t>Total Energy</t>
  </si>
  <si>
    <t>Energy not Served</t>
  </si>
  <si>
    <t>Energy Requirement</t>
  </si>
  <si>
    <t>Supply ( S/S end)</t>
  </si>
  <si>
    <t xml:space="preserve">Allocation as </t>
  </si>
  <si>
    <t>LoasShed %</t>
  </si>
  <si>
    <t>2017 book</t>
  </si>
  <si>
    <t xml:space="preserve">       ‡jvW †Wmc¨vP mv‡K©j, wcwRwmwe, Gb Gj wW wm , XvKv</t>
  </si>
  <si>
    <t>Today's    Transmission Loss</t>
  </si>
  <si>
    <t>Zone</t>
  </si>
  <si>
    <t>Transmission Loss</t>
  </si>
  <si>
    <t xml:space="preserve">Total = </t>
  </si>
  <si>
    <t xml:space="preserve">Load Shed Require at S/S end = </t>
  </si>
  <si>
    <t>11  Evening Peak Hour                                                    :</t>
  </si>
  <si>
    <t>13  Max. Demand (Substation end) at evening peak hour    :</t>
  </si>
  <si>
    <t>14  Load Shed  (Substation end) at evening peak hour        :</t>
  </si>
  <si>
    <t>Gen. at Day Peak</t>
  </si>
  <si>
    <t>Gen. at Eve. Peak</t>
  </si>
  <si>
    <t>*Cost for HVDC, Tripura &amp; Solar energy is not usually included in the total fuel cost.</t>
  </si>
  <si>
    <t xml:space="preserve">Total                                          = </t>
  </si>
  <si>
    <t>Demand at Gen. End</t>
  </si>
  <si>
    <t>Forecast Demand at S/S end (MW)</t>
  </si>
  <si>
    <t>Load Shed Planat S/S end  (MW)</t>
  </si>
  <si>
    <t>Load Shed Plan at S/S end in %</t>
  </si>
  <si>
    <t>Demand at S/S end</t>
  </si>
  <si>
    <t>% Evening Peak Demand as Book-2017</t>
  </si>
  <si>
    <t>Extra Load as Book-2017(MW)</t>
  </si>
  <si>
    <t>iii) Maximum HVDC Flow :</t>
  </si>
  <si>
    <t>ii) HVDC Flow at Peak Time</t>
  </si>
  <si>
    <t>Forecast Plan at S/S end (MW)</t>
  </si>
  <si>
    <t xml:space="preserve">                   Coal    :</t>
  </si>
  <si>
    <t>Load factor L.F</t>
  </si>
  <si>
    <t>EWIC</t>
  </si>
  <si>
    <t>Amp</t>
  </si>
  <si>
    <t>Mvar</t>
  </si>
  <si>
    <t>Energy (Ashuganj end)</t>
  </si>
  <si>
    <t>Line # 1</t>
  </si>
  <si>
    <t>Line # 2</t>
  </si>
  <si>
    <t xml:space="preserve">Status = </t>
  </si>
  <si>
    <t>Western Zone Total</t>
  </si>
  <si>
    <t>Eastern Zone Total</t>
  </si>
  <si>
    <t>Fuel Type</t>
  </si>
  <si>
    <t>Present capacity</t>
  </si>
  <si>
    <t>Eve Peak Flow</t>
  </si>
  <si>
    <t>HVDC EvPeak Flow</t>
  </si>
  <si>
    <t>DayPeak</t>
  </si>
  <si>
    <t>EvPeak</t>
  </si>
  <si>
    <t>Available Max Generation             :</t>
  </si>
  <si>
    <t>System Load Factor          :</t>
  </si>
  <si>
    <t xml:space="preserve"> Total =</t>
  </si>
  <si>
    <t>Origin</t>
  </si>
  <si>
    <t>Private</t>
  </si>
  <si>
    <t>Public</t>
  </si>
  <si>
    <t>Wind</t>
  </si>
  <si>
    <t>Imported Power</t>
  </si>
  <si>
    <t>Nuclear</t>
  </si>
  <si>
    <t>Owner Display</t>
  </si>
  <si>
    <t>Owner to Display</t>
  </si>
  <si>
    <t>Pulic</t>
  </si>
  <si>
    <t>Imported</t>
  </si>
  <si>
    <t>Sl.</t>
  </si>
  <si>
    <t>Name of the Power Station</t>
  </si>
  <si>
    <t xml:space="preserve"> No.</t>
  </si>
  <si>
    <t>Present</t>
  </si>
  <si>
    <t xml:space="preserve"> Capacity</t>
  </si>
  <si>
    <t>No.</t>
  </si>
  <si>
    <t xml:space="preserve">Peak </t>
  </si>
  <si>
    <t xml:space="preserve">Hour </t>
  </si>
  <si>
    <t xml:space="preserve">Energy </t>
  </si>
  <si>
    <t>Generated</t>
  </si>
  <si>
    <t>Yesterday Day Peak</t>
  </si>
  <si>
    <t>Yesterday Evening Peak</t>
  </si>
  <si>
    <t>Update Time</t>
  </si>
  <si>
    <t>Ruppur Paromanobik</t>
  </si>
  <si>
    <t>Water Level</t>
  </si>
  <si>
    <t>Rule Curve</t>
  </si>
  <si>
    <t>Tail Water</t>
  </si>
  <si>
    <t>Si No</t>
  </si>
  <si>
    <t>Unit</t>
  </si>
  <si>
    <t>Generation at 08:00(Today)</t>
  </si>
  <si>
    <t>Forecast Last Row</t>
  </si>
  <si>
    <t>Forecast Last Column</t>
  </si>
  <si>
    <t>HVDC Max Flow</t>
  </si>
  <si>
    <t>EvReport/Forecast Row No.</t>
  </si>
  <si>
    <t>East-West Interconnector</t>
  </si>
  <si>
    <t>E-W INT.(Export)</t>
  </si>
  <si>
    <t>Remote Address</t>
  </si>
  <si>
    <t>192.168.92.53</t>
  </si>
  <si>
    <t>ShiftActivity Drive</t>
  </si>
  <si>
    <t>By Solar</t>
  </si>
  <si>
    <t>eg: D:, F:, C:</t>
  </si>
  <si>
    <t>SL</t>
  </si>
  <si>
    <t>Siddhirganj ST</t>
  </si>
  <si>
    <t>Siddhirganj GT:Unit-1 &amp; 2</t>
  </si>
  <si>
    <t>Haripur SBU</t>
  </si>
  <si>
    <t>Haripur Power 360 MW</t>
  </si>
  <si>
    <t>Meghnaghat 450 MW</t>
  </si>
  <si>
    <t>Narayangonj 33 MW</t>
  </si>
  <si>
    <t>Madanganj  Summit</t>
  </si>
  <si>
    <t>Meghnaghat  IEL</t>
  </si>
  <si>
    <t>Dutch Bangla</t>
  </si>
  <si>
    <t>Gagnagar</t>
  </si>
  <si>
    <r>
      <t xml:space="preserve">           </t>
    </r>
    <r>
      <rPr>
        <b/>
        <u/>
        <sz val="11"/>
        <color indexed="8"/>
        <rFont val="Bookman Old Style"/>
        <family val="1"/>
      </rPr>
      <t>AREA WISE DEMAND &amp; LOAD - SHEDDING FORECAST</t>
    </r>
  </si>
  <si>
    <t xml:space="preserve">     Load Shed </t>
  </si>
  <si>
    <t>E:</t>
  </si>
  <si>
    <t>Kzwgjøv</t>
  </si>
  <si>
    <t>For Plants S/D or M/C prob       =</t>
  </si>
  <si>
    <t xml:space="preserve">For Fuel Limitation                     = </t>
  </si>
  <si>
    <t>Day peak</t>
  </si>
  <si>
    <t>Evn. peak</t>
  </si>
  <si>
    <t>NSI  Reading</t>
  </si>
  <si>
    <t xml:space="preserve">               EVENING PEAK GENERATION AND DAY LONG ENERGY DATA OF POWER STATIONS</t>
  </si>
  <si>
    <t>Sirajgonj Unit-1 225MW</t>
  </si>
  <si>
    <t>Sirajgonj Unit-2 225MW</t>
  </si>
  <si>
    <t>\\192.168.92.42</t>
  </si>
  <si>
    <t>WesternBlank</t>
  </si>
  <si>
    <t>EasternBlank</t>
  </si>
  <si>
    <t>Last Row</t>
  </si>
  <si>
    <t>Khagrachhari</t>
  </si>
  <si>
    <t>APR Energy , Keranigonj</t>
  </si>
  <si>
    <t>Sunamganj</t>
  </si>
  <si>
    <t>1*243+1*122</t>
  </si>
  <si>
    <t>1*150+1*175</t>
  </si>
  <si>
    <t>18*17.076</t>
  </si>
  <si>
    <t>154*1.4</t>
  </si>
  <si>
    <t>1*275</t>
  </si>
  <si>
    <t>70*1.4</t>
  </si>
  <si>
    <t>2*40</t>
  </si>
  <si>
    <t>3*3.67+4*8.73</t>
  </si>
  <si>
    <t>3*3.67+3*8.73</t>
  </si>
  <si>
    <t>Summit Rupganj</t>
  </si>
  <si>
    <t>20*9.73+1*16</t>
  </si>
  <si>
    <t>1*109+1*54</t>
  </si>
  <si>
    <t>1*278+1*132</t>
  </si>
  <si>
    <t xml:space="preserve"> Bramhangoan 100 MW (Aggreko)</t>
  </si>
  <si>
    <t>Sirajgonj Unit-3 225MW</t>
  </si>
  <si>
    <t>Peak hour Max Gen</t>
  </si>
  <si>
    <t>Bheramara HVDC</t>
  </si>
  <si>
    <t>Ramganj</t>
  </si>
  <si>
    <t>Biani Bazar</t>
  </si>
  <si>
    <t>Aggreko Aurahati 100MW</t>
  </si>
  <si>
    <t>0.85*23+0.95*91</t>
  </si>
  <si>
    <t>Sonargaon</t>
  </si>
  <si>
    <t>Dhamrai</t>
  </si>
  <si>
    <t>MAXIMUM &amp; MINIMUM VOLTAGES OF DIFFERENT GRID SUB-STATIONS:</t>
  </si>
  <si>
    <t>FCR updated on 05/07/2018</t>
  </si>
  <si>
    <t>BIBIYANA</t>
  </si>
  <si>
    <t>Ashuganj(N)</t>
  </si>
  <si>
    <t>Summit Gazipur-1  150MW</t>
  </si>
  <si>
    <t>Matarbari</t>
  </si>
  <si>
    <t>Ashuganj (S)</t>
  </si>
  <si>
    <t>Contract Expired</t>
  </si>
  <si>
    <t>Fuel type (Mandtory)</t>
  </si>
  <si>
    <t>Plant name (Mandatory)</t>
  </si>
  <si>
    <t>Zone (Mandatory)</t>
  </si>
  <si>
    <t>Category (Mandatory)</t>
  </si>
  <si>
    <t xml:space="preserve">Note : Mandatory fields must be fillup correctly. </t>
  </si>
  <si>
    <t>Optional fields can be filledup in the Master after adding machine.</t>
  </si>
  <si>
    <t>SNWPGCL</t>
  </si>
  <si>
    <t>Baroiar Hat</t>
  </si>
  <si>
    <t>2*500</t>
  </si>
  <si>
    <t>Teknaf Solartech Energy Ltd.</t>
  </si>
  <si>
    <t>Khulna (Aggreeco) 55MW</t>
  </si>
  <si>
    <t>Rangamati</t>
  </si>
  <si>
    <t>Cumilla</t>
  </si>
  <si>
    <t>Chattogram</t>
  </si>
  <si>
    <t>Cumilla Area Total</t>
  </si>
  <si>
    <t>Chattogram  area Total</t>
  </si>
  <si>
    <t>Chattogram  Area Total</t>
  </si>
  <si>
    <t>1*141</t>
  </si>
  <si>
    <t>6*18.445</t>
  </si>
  <si>
    <t>256*1.4</t>
  </si>
  <si>
    <t>Ghorasal GT: Unit-3</t>
  </si>
  <si>
    <t>Ghorasal GT: Unit-4</t>
  </si>
  <si>
    <t>Kodda 149MW</t>
  </si>
  <si>
    <t>23*7.015</t>
  </si>
  <si>
    <t>Summit Gazipur -2</t>
  </si>
  <si>
    <t>200 MW</t>
  </si>
  <si>
    <t>Power flow through E-W Interconnectors  :</t>
  </si>
  <si>
    <t>MW  (E to W) at</t>
  </si>
  <si>
    <t>Joldhaka</t>
  </si>
  <si>
    <t>115 MW</t>
  </si>
  <si>
    <t>113 MW</t>
  </si>
  <si>
    <t>Mohastangor</t>
  </si>
  <si>
    <t>Uttara New</t>
  </si>
  <si>
    <t>Comilla(s)</t>
  </si>
  <si>
    <t>Comilla(n)</t>
  </si>
  <si>
    <t>Valuka</t>
  </si>
  <si>
    <t>Generations in Narayanganj, Gazipur,Narsinghdi and Dhaka</t>
  </si>
  <si>
    <t>Page- 3</t>
  </si>
  <si>
    <t>100 MW</t>
  </si>
  <si>
    <t>MW                                                    Hour :</t>
  </si>
  <si>
    <t>G.K Project</t>
  </si>
  <si>
    <t>Month / Day / Year</t>
  </si>
  <si>
    <t>Siddhirganj Desh</t>
  </si>
  <si>
    <t>1*282+1*132</t>
  </si>
  <si>
    <t>HG</t>
  </si>
  <si>
    <t>Narsinghdi</t>
  </si>
  <si>
    <t>105 MW</t>
  </si>
  <si>
    <t>Benapol</t>
  </si>
  <si>
    <t>7.4 MW</t>
  </si>
  <si>
    <t>300 MW</t>
  </si>
  <si>
    <t>Max Voltage</t>
  </si>
  <si>
    <t>Min</t>
  </si>
  <si>
    <t>29/5/2019</t>
  </si>
  <si>
    <t>Ghorasal TPP (Unit-1&amp;2)</t>
  </si>
  <si>
    <t>Ghorasal Repowered CCPP Unit-3</t>
  </si>
  <si>
    <t>Ghorasal Repowered CCPP Unit-4</t>
  </si>
  <si>
    <t>Ghorasal TPP Unit-5</t>
  </si>
  <si>
    <t>Ghorasal 365 MW CCPP Unit-7</t>
  </si>
  <si>
    <t>Ghorashal 108MW PP (Regent)</t>
  </si>
  <si>
    <t>Ghorashal 78.5 MW PP(MAX)</t>
  </si>
  <si>
    <t>Haripur 360MW CCPP(HPL)</t>
  </si>
  <si>
    <t>Meghnaghat 450 MW CCPP(MPL)</t>
  </si>
  <si>
    <t>Meghnaghat 100 MW(IEL)</t>
  </si>
  <si>
    <t>Madanganj 102 PP(Summit)</t>
  </si>
  <si>
    <t>Madanganj-55 MW PP(Summit)</t>
  </si>
  <si>
    <t>Siddhirganj 335 MW CCPP</t>
  </si>
  <si>
    <t>210 MW Siddhirgonj TPP</t>
  </si>
  <si>
    <t xml:space="preserve">Siddhirgonj 2*120 MW GTPP </t>
  </si>
  <si>
    <t>Siddhirganj 100 PP(Dutch Bangla)</t>
  </si>
  <si>
    <t>Kodda 150MW PP</t>
  </si>
  <si>
    <t>Bosila 108MW PP(CLC)</t>
  </si>
  <si>
    <t>Manikganj 55 MW PP (Northern)</t>
  </si>
  <si>
    <t>Katpotti 52 MW PP (Sinha)</t>
  </si>
  <si>
    <t>Keraniganj 100 MW PP (Powerpac)</t>
  </si>
  <si>
    <t>Gagnagar 102 MW PP (Digital Power)</t>
  </si>
  <si>
    <t>Nababganj 55 MW PP (Southern power )</t>
  </si>
  <si>
    <t>Narshingdi 22 MW PP  (Doreen)</t>
  </si>
  <si>
    <t>Gazipur 52 MW PP</t>
  </si>
  <si>
    <t>Karnaphuli Hydro PP Unit-1,2,3,4, 5</t>
  </si>
  <si>
    <t>Karnaphuli Hydro PP Unit-1, 2 &amp; 3</t>
  </si>
  <si>
    <t>Karnaphuli Hydro PP Unit-4 &amp; 5</t>
  </si>
  <si>
    <t xml:space="preserve">Chattogram TPP-1 </t>
  </si>
  <si>
    <t>Chattogram TPP-2</t>
  </si>
  <si>
    <t>Raozan 25 MW PP</t>
  </si>
  <si>
    <t>Sikalbaha 225MW CCPP (Gas)</t>
  </si>
  <si>
    <t>Sikalbaha 225MW CCPP(Oil)</t>
  </si>
  <si>
    <t>Sikalbaha 150MW GTPP</t>
  </si>
  <si>
    <t>Sikalbaha 150MW GTPP(Oil)</t>
  </si>
  <si>
    <t>Hathazari 100 MW peaking PP</t>
  </si>
  <si>
    <t>Dohazari -Kalaish 100 MW Peaking</t>
  </si>
  <si>
    <t>Juldah 100 MW Unit-1 (Acorn)</t>
  </si>
  <si>
    <t>Chattogram 108 MW PP (ECPV)</t>
  </si>
  <si>
    <t>Patenga 50MW PP (Baraka)</t>
  </si>
  <si>
    <t>Barabkunda  22 MW PP (Regent)</t>
  </si>
  <si>
    <t>Ashuganj TPP Unit- 3</t>
  </si>
  <si>
    <t>Ashuganj TPP Unit- 4</t>
  </si>
  <si>
    <t>Ashuganj TPP Unit- 5</t>
  </si>
  <si>
    <t>Ashuganj 450 MW CCPP(North)</t>
  </si>
  <si>
    <t>Ashuganj 450 MW CCPP(South)</t>
  </si>
  <si>
    <t xml:space="preserve">Ashuganj 225 MW  CCPP </t>
  </si>
  <si>
    <t xml:space="preserve">Ashuganj 195MW PP (APSCL-United) </t>
  </si>
  <si>
    <t>Chandpur 150 MW CCPP</t>
  </si>
  <si>
    <t xml:space="preserve">Ashuganj 50 MW PP </t>
  </si>
  <si>
    <t xml:space="preserve">Ashuganj 55 MW PP  (Precision) </t>
  </si>
  <si>
    <t>Ashuganj 53MW PP (United)</t>
  </si>
  <si>
    <t>Ashuganj  51 MW PP (Midland)</t>
  </si>
  <si>
    <t>Titas 50 MW Peaking PP</t>
  </si>
  <si>
    <t>Jangalia 52 MW PP (Lakdanavi)</t>
  </si>
  <si>
    <t>Feni  22MW PP (Doreen)</t>
  </si>
  <si>
    <t>Feni 11 MW PP  (Doreen)</t>
  </si>
  <si>
    <t xml:space="preserve">Jangalia 33MW PP (Summit) </t>
  </si>
  <si>
    <t>Cumilla 25 MW PP (Summit)</t>
  </si>
  <si>
    <t>Impoprt (Tripura)</t>
  </si>
  <si>
    <t>RPCL 210MW CCPP</t>
  </si>
  <si>
    <t>Tangail  22 MW PP (Doreen)</t>
  </si>
  <si>
    <t>Sarishabari 3 MW Solar Plant</t>
  </si>
  <si>
    <t>Fenchugonj CCPP Phase-1</t>
  </si>
  <si>
    <t>Fenchugonj CCPP Phase-2</t>
  </si>
  <si>
    <t xml:space="preserve">Fenchugonj 51 MW PP  (Barakatullah) </t>
  </si>
  <si>
    <t>Fenchuganj  44MW (Energyprima)</t>
  </si>
  <si>
    <t>Kushiara 163 MW CCPP (KP)</t>
  </si>
  <si>
    <t>Shajibazar 330 MW CCPP</t>
  </si>
  <si>
    <t xml:space="preserve">Shahjibazar GTPP Unit- 8 &amp; 9 </t>
  </si>
  <si>
    <t>Shahjibazar 86MW PP (Shahjibazar)</t>
  </si>
  <si>
    <t xml:space="preserve">Shahjibazar  50MW PP (EPL)  </t>
  </si>
  <si>
    <t>Sylhet 150 MW CCPP</t>
  </si>
  <si>
    <t>Sylhet  20 MW GTPP</t>
  </si>
  <si>
    <t>Sylhet  50MW PP (EPL)</t>
  </si>
  <si>
    <t xml:space="preserve">Sylhet 10MW PP (Desh)  </t>
  </si>
  <si>
    <t>Bibiana-II 341 MW CCPP (Summit)</t>
  </si>
  <si>
    <t>Shahjahanulla 25 MW PP</t>
  </si>
  <si>
    <t>Hobiganj  11MW PP Cofidence-E</t>
  </si>
  <si>
    <t>Daudkandi 200 MW PP (B.Trac)</t>
  </si>
  <si>
    <t xml:space="preserve">Kodda 300 MW PP Unit-2 (Summit) </t>
  </si>
  <si>
    <t xml:space="preserve"> Keranigonj 300 MW PP (APR)</t>
  </si>
  <si>
    <t xml:space="preserve"> Bramhangoan 100 MW PP (Aggreko)</t>
  </si>
  <si>
    <t>Aurahati 100MW PP (Aggreko)</t>
  </si>
  <si>
    <t xml:space="preserve">Kodda 149 MW PP Unit-1 (Summit) </t>
  </si>
  <si>
    <t>Teknaf  20MW PP (Solartech)</t>
  </si>
  <si>
    <t>Juldah 100 MW PP Unit-3 (Acorn)</t>
  </si>
  <si>
    <t>Chandpur 200MW (Desh energy)</t>
  </si>
  <si>
    <t>Ashuganj 150MW PP (Midland)</t>
  </si>
  <si>
    <t>Jamalpur 115 MW PP (United)</t>
  </si>
  <si>
    <t>Gazipur 100 MW PP</t>
  </si>
  <si>
    <t>Sikalbaha 105 MW PP (Baraka Sikalbaha)</t>
  </si>
  <si>
    <t>Kaptai 7 MW  Solar PP</t>
  </si>
  <si>
    <t>Anwara 300 MW PP (United)</t>
  </si>
  <si>
    <t>Khulna  115 MW PP  (KPCL-1 &amp; 3)</t>
  </si>
  <si>
    <t>Khulna 115 PP MW (KPCL-2)</t>
  </si>
  <si>
    <t>Khulna  225 MW CCPP</t>
  </si>
  <si>
    <t>Faridpur 50 MW Peaking PP</t>
  </si>
  <si>
    <t>Gopalganj 100 MW Peaking PP</t>
  </si>
  <si>
    <t>Bhola 225 MW  CCPP</t>
  </si>
  <si>
    <t>Noapara 40 MW PP (Khanjahan Ali)</t>
  </si>
  <si>
    <t>Barisal 110 MW PP (Summit )</t>
  </si>
  <si>
    <t>Barisal GT PP Unit-1&amp; 2</t>
  </si>
  <si>
    <t>Bhola  33 MW PP (Venture)</t>
  </si>
  <si>
    <t>Baghabari  100 MW GTPP</t>
  </si>
  <si>
    <t>Baghabari 71 MW GTPP</t>
  </si>
  <si>
    <t>Baghabari  50 MW Peaking PP</t>
  </si>
  <si>
    <t>Bera 70 MW Peaking PP</t>
  </si>
  <si>
    <t>Chapainawabganj 100 MW Peaking PP</t>
  </si>
  <si>
    <t>Katakhali 50 MW PP (Northern)</t>
  </si>
  <si>
    <t>Katakhali 50 MW Peaking PP</t>
  </si>
  <si>
    <t xml:space="preserve">Natore 52 MW PP (Rajlanka) </t>
  </si>
  <si>
    <t>Santahar  50 MW Peaking PP</t>
  </si>
  <si>
    <t>Bogra 22 MW PP (GBB)</t>
  </si>
  <si>
    <t>Bogura 20 MW PP (Energyprima)</t>
  </si>
  <si>
    <t>Ullapara 11 MW PP  (Summit)</t>
  </si>
  <si>
    <t xml:space="preserve">Barapukuria TPP Unit-1 </t>
  </si>
  <si>
    <t>Barapukuria TPP  Unit-2</t>
  </si>
  <si>
    <t>Barapukuria 275 MW TPP Unit-3</t>
  </si>
  <si>
    <t>Rangpur 20 MW  GTPP</t>
  </si>
  <si>
    <t>Saidpur 20 MW GTPP</t>
  </si>
  <si>
    <t>Sirajgonj 225MW CCPP Unit-1  (Gas)</t>
  </si>
  <si>
    <t>Sirajgonj  225MW CCPP Unit-1(Oil)</t>
  </si>
  <si>
    <t>Sirajgonj 225 MW CCPP   Unit-2  (Gas)</t>
  </si>
  <si>
    <t>Sirajgonj 225 MW CCPP   Unit-2  (Oil)</t>
  </si>
  <si>
    <t>Bhola 95 MW PP (Aggreko)</t>
  </si>
  <si>
    <t xml:space="preserve"> Noapara 100 MW PP (Bangla Trac)</t>
  </si>
  <si>
    <t>Sirajgonj 225MW CCPP Unit-3  (Gas)</t>
  </si>
  <si>
    <t>Sirajgonj 225MW CCPP Unit-3  (Oil)</t>
  </si>
  <si>
    <t>Rupsha 105 MW PP (Orion rupsha)</t>
  </si>
  <si>
    <t>Baghabari 200 MW PP (Paramount)</t>
  </si>
  <si>
    <t>Madhumati 100 MW PP</t>
  </si>
  <si>
    <t xml:space="preserve">Rangpur 113 MW PP (Confidence)  </t>
  </si>
  <si>
    <t>Plant Removed</t>
  </si>
  <si>
    <t>Barisal(N)</t>
  </si>
  <si>
    <t>Barisal (S)</t>
  </si>
  <si>
    <t>Kamalaghat 54 MW PP(Banco Energy)</t>
  </si>
  <si>
    <t>Haripur GTPP</t>
  </si>
  <si>
    <t>Tongi 80 MW GTPP</t>
  </si>
  <si>
    <r>
      <t>Kamalaghat 54 MW PP(</t>
    </r>
    <r>
      <rPr>
        <sz val="10"/>
        <color indexed="9"/>
        <rFont val="Arial"/>
        <family val="2"/>
      </rPr>
      <t>Banco Energy</t>
    </r>
    <r>
      <rPr>
        <sz val="14"/>
        <color indexed="9"/>
        <rFont val="Arial"/>
        <family val="2"/>
      </rPr>
      <t>)</t>
    </r>
  </si>
  <si>
    <t>Maona 33 MW PP(Summit)</t>
  </si>
  <si>
    <t xml:space="preserve">Rupganj 33 MW PP(Summit) </t>
  </si>
  <si>
    <t>Sikalbaha 225MW CCPP</t>
  </si>
  <si>
    <t>Sikalbaha 51 MW PP(Energis)</t>
  </si>
  <si>
    <t>Jamalpur 95 MW PP(Powerpac)</t>
  </si>
  <si>
    <t xml:space="preserve"> Mymensingh 200 MW PP (United)</t>
  </si>
  <si>
    <t>Bheramara GTPP Unit-1,2 &amp; 3</t>
  </si>
  <si>
    <t>Amnura 50 MW PP(Sinha)</t>
  </si>
  <si>
    <t>Sirajgonj 225MW CCPP Unit-1</t>
  </si>
  <si>
    <t>Sirajgonj 225MW CCPP Unit-2</t>
  </si>
  <si>
    <t>Sirajgonj 225MW CCPP Unit-3</t>
  </si>
  <si>
    <t>Sirajgonj 400MW CCPP Unit-4 (Oil)</t>
  </si>
  <si>
    <t>414 MW</t>
  </si>
  <si>
    <t>Entry date (Month/Day/Year)</t>
  </si>
  <si>
    <t>Sirajgonj 400 MW CCPP Unit-4</t>
  </si>
  <si>
    <t xml:space="preserve">     Report on Forecasted Generation &amp; Demand of national grid on </t>
  </si>
  <si>
    <t>8 MW</t>
  </si>
  <si>
    <t>Sympa Solar Power 8MW</t>
  </si>
  <si>
    <t>Max Load, Max-Min voltage Collect</t>
  </si>
  <si>
    <t xml:space="preserve">Hourly Generation Update to PGCB Website </t>
  </si>
  <si>
    <t>Forecast &amp; Demand Update to PGCB Website</t>
  </si>
  <si>
    <t xml:space="preserve">Shift </t>
  </si>
  <si>
    <t>A</t>
  </si>
  <si>
    <t>B</t>
  </si>
  <si>
    <t>C</t>
  </si>
  <si>
    <t>Send Demand Sheet via E-mail</t>
  </si>
  <si>
    <t>Send DGFI Report via E-mail</t>
  </si>
  <si>
    <t xml:space="preserve">Forecast Report Create &amp; Send via E-mail  </t>
  </si>
  <si>
    <t xml:space="preserve">Task </t>
  </si>
  <si>
    <t>Evening Report Create &amp; Send via E-mail</t>
  </si>
  <si>
    <t xml:space="preserve">Outage Schedule Send via E-mail </t>
  </si>
  <si>
    <t xml:space="preserve">                                                                                        Network Operation Division, NLDC</t>
  </si>
  <si>
    <t xml:space="preserve">Reporting Desk Task Check List </t>
  </si>
  <si>
    <t>Hourly</t>
  </si>
  <si>
    <t>Target Time</t>
  </si>
  <si>
    <t>A Shift Remarks ( If necessary)</t>
  </si>
  <si>
    <t>B Shift Remarks ( If necessary)</t>
  </si>
  <si>
    <t>C Shift Remarks ( If necessary)</t>
  </si>
  <si>
    <t>Signature  (SAE)</t>
  </si>
  <si>
    <t>Signature  (XEN)</t>
  </si>
  <si>
    <t xml:space="preserve">Daily Report Create, E-mail &amp; upload to PGCB Website </t>
  </si>
  <si>
    <t xml:space="preserve">              Power Grid Company of Bangladesh Ltd.</t>
  </si>
  <si>
    <t>Arrival time</t>
  </si>
  <si>
    <t>Demand Match ( 63 of  )</t>
  </si>
  <si>
    <t>Completion Time</t>
  </si>
  <si>
    <t>Jodiac Power</t>
  </si>
  <si>
    <t>Day peak Generation          :</t>
  </si>
  <si>
    <t>Evening peak Generation          :</t>
  </si>
  <si>
    <t>Total Energy Generation          :</t>
  </si>
  <si>
    <t xml:space="preserve">         By Gas          :</t>
  </si>
  <si>
    <t xml:space="preserve">         By Coal :</t>
  </si>
  <si>
    <t>Generation Shortfall        :</t>
  </si>
  <si>
    <t>Kurigram</t>
  </si>
  <si>
    <t>Karnaphuli Power Ltd.</t>
  </si>
  <si>
    <t>QF-LDC-09</t>
  </si>
  <si>
    <t>3*18.55+1*3.6</t>
  </si>
  <si>
    <t>Load Shed Report Create &amp; Send via E-mail to SE,LDC</t>
  </si>
  <si>
    <t>Prepare tiffin Bill</t>
  </si>
  <si>
    <t xml:space="preserve"> KWH </t>
  </si>
  <si>
    <t>Sherpur(Bogura)</t>
  </si>
  <si>
    <t>Rajshahi New</t>
  </si>
  <si>
    <t>1*217+118</t>
  </si>
  <si>
    <t>400 MW</t>
  </si>
  <si>
    <t>Bibiyana-III     400 MW CCPP</t>
  </si>
  <si>
    <t>6*18.55</t>
  </si>
  <si>
    <t>Confidence Power Bogura Unit-1 113 MW</t>
  </si>
  <si>
    <t>:</t>
  </si>
  <si>
    <t>GPH</t>
  </si>
  <si>
    <t>Bagura 113 MW PP (Confidence)-2</t>
  </si>
  <si>
    <t xml:space="preserve">MW  </t>
  </si>
  <si>
    <t>af) Sunamganj 132/33 kV T-2 transformer was under shut down from 14:35 to 17:16 for A/M.</t>
  </si>
  <si>
    <t>ae) Chapainawabganj 132/33 kV T-1 transformer was under shut down from 16:30 to 19:15 due to TCSR problem.</t>
  </si>
  <si>
    <t>ag) Mymensing 132/33 kV T-3 transformer was under shut down from 21:05 to 21:56 due to 33 kV bus</t>
  </si>
  <si>
    <t xml:space="preserve">    maintenance by PDB.</t>
  </si>
  <si>
    <t xml:space="preserve">About 25 MW power interruption occurred under Mymensing S/S area </t>
  </si>
  <si>
    <t xml:space="preserve">About 22 MW power interruption occurred under Barisal S/S area </t>
  </si>
  <si>
    <t>from 10:30 to 11:11.</t>
  </si>
  <si>
    <t>ah) Feni-Feni Lanka P/S 132 kV Ckt first energised at 20:21.</t>
  </si>
  <si>
    <t>ai) Feni Lanka 114 MW main bus was energised at 20:54.</t>
  </si>
  <si>
    <t>aj) Feni Lanka 114 MW unit tansformer-1 was energised at 20:56.</t>
  </si>
  <si>
    <t>ak) Feni Lanka 114 MW unit tansformer-2 was energised at 21:17.</t>
  </si>
  <si>
    <t>al) Shahajibazar 50 MW(EPL) was shut down at 00:01(13/11/2019) due to contract expired.</t>
  </si>
  <si>
    <t>am) Meghnaghat-Shympur 230 kV Ckt tripped at 00:46(13/11/2019) from Meghnaghat end showing Dist. Z1</t>
  </si>
  <si>
    <t xml:space="preserve">     TCSR relays and was switched on at 01:06(13/11/2019).</t>
  </si>
  <si>
    <t>an) Cox'sbazar-Dohazari 132 kV Ckt-1 was shut down at 06:38(13/11/2019) for C/M.</t>
  </si>
  <si>
    <t>Feni Lanka Power</t>
  </si>
  <si>
    <t>7*18.415+1*9.78</t>
  </si>
  <si>
    <t>Under maint</t>
  </si>
  <si>
    <t xml:space="preserve">    (a) Yesterday  :</t>
  </si>
  <si>
    <t>Chaddagram</t>
  </si>
  <si>
    <t>PHP</t>
  </si>
  <si>
    <t>Chowmuhani 113 MW</t>
  </si>
  <si>
    <t>12*9.78+2*3.1</t>
  </si>
  <si>
    <t xml:space="preserve">Haripur 412 MW </t>
  </si>
  <si>
    <t>Bheramara 410 MW CCPP</t>
  </si>
  <si>
    <t>1| gvbbxq cÖavbgš¿xi GKvšZ mwPe,cÖavbgš¿xi Kvhv©jq ( d¨v· bsÑ 8115900 )</t>
  </si>
  <si>
    <t xml:space="preserve">About 35 MW power interruption has been occurring under Chuadanga S/S </t>
  </si>
  <si>
    <t>area since 07:10(04/01/2020).</t>
  </si>
  <si>
    <t>Payra 1320 MW</t>
  </si>
  <si>
    <t>since 21:05 to 21:56.</t>
  </si>
  <si>
    <t>p) Siddhirganj 335 MW ST tripped at 13:13 due to vacuum pressure fall.</t>
  </si>
  <si>
    <t>q) After maintenance Ishurdi-Bheramara 132 kV Ckt-1 was switched on at 20:32.</t>
  </si>
  <si>
    <t>r) Sylhet 150 MW GT tripped at 14:35 due to gas concentration alarm and was synchronized at 15:40.</t>
  </si>
  <si>
    <t>s) Ashuganj 450 MW CCPP tripped at 20:43 due to problem at GBC and was synchronized at 21:45.</t>
  </si>
  <si>
    <t>t) Shympur(old)-Shympur(new) 132 kV Ckt-1 was under shut down from 18:37 to 19:42 due to red hot</t>
  </si>
  <si>
    <t xml:space="preserve">    maintenance at Shyampur(Old) S/S end.</t>
  </si>
  <si>
    <t>u) Shympur(old)-Shympur(new) 132 kV Ckt-2 was under shut down from 19:47 to 21:34 due to red hot</t>
  </si>
  <si>
    <t xml:space="preserve">v) Barishal(S)-Patuakhali 132 kV single Ckt was shut down at 07:22(16/01/2020) for C/M. </t>
  </si>
  <si>
    <t xml:space="preserve">ac) Kulshi-Baraulia 132 kV Ckt was shut down at 07:54(16/01/2020) for A/M. </t>
  </si>
  <si>
    <t>ab) Goalpara 132/33 kV T5 transformer was shut down at 07:43(16/01/2020) for A/M.</t>
  </si>
  <si>
    <t>aa) Ashuganj(south) 450 MW STG was synchronized at 00:51(16/01/2020).</t>
  </si>
  <si>
    <t>z) Sirajganj 210 MW unit-1 ST was synchronized at 03:28(16/01/2020).</t>
  </si>
  <si>
    <t>y) Sirajganj 210 MW unit-1 GT was synchronized at 00:53(16/01/2020).</t>
  </si>
  <si>
    <t xml:space="preserve">   switched on at 00:08(16/01/2020).</t>
  </si>
  <si>
    <t xml:space="preserve">x) Bagerhat 132/33 kV T1 transformer tripped at 23:33 from both end showing E/F, O/C relays and was </t>
  </si>
  <si>
    <t>w) Bhandaria-Bagerhat 132 kV Ckt was shut down at 07:20(16/01/2020) from Bhandaria shift to Barisal(S).</t>
  </si>
  <si>
    <t>Payra</t>
  </si>
  <si>
    <t>Dhaka University</t>
  </si>
  <si>
    <t>System Total</t>
  </si>
  <si>
    <t xml:space="preserve">                                                                                                                                                                                                     </t>
  </si>
  <si>
    <t>MegaVAR</t>
  </si>
  <si>
    <t>NEPC</t>
  </si>
  <si>
    <t>Ashugonj 1&amp;2</t>
  </si>
  <si>
    <t>Sikalbaha 150MW GTPP (Gas)</t>
  </si>
  <si>
    <t>g</t>
  </si>
  <si>
    <t>Cumilla Area</t>
  </si>
  <si>
    <t>Rajendrapur</t>
  </si>
  <si>
    <t>Bibiyana-III</t>
  </si>
  <si>
    <t>Teknaf  Solartech</t>
  </si>
  <si>
    <t>Kaptai Solar</t>
  </si>
  <si>
    <t>Sarishabari Solar</t>
  </si>
  <si>
    <t>Sympa Solar Power</t>
  </si>
  <si>
    <t>400 MW CCPP</t>
  </si>
  <si>
    <t>20 MW</t>
  </si>
  <si>
    <t xml:space="preserve"> 3 MW</t>
  </si>
  <si>
    <t xml:space="preserve">             25/03/2020</t>
  </si>
  <si>
    <t xml:space="preserve"> -=0oi</t>
  </si>
  <si>
    <t>132 kV =112 Nos</t>
  </si>
  <si>
    <t>230 kV= 26 Nos</t>
  </si>
  <si>
    <t>400 kV =5 Nos</t>
  </si>
  <si>
    <t>PGCB Owned S/S</t>
  </si>
  <si>
    <t>Don't Delete</t>
  </si>
  <si>
    <t>Maniknagar 230 kV</t>
  </si>
  <si>
    <t>Goalpara S/S</t>
  </si>
  <si>
    <t>e</t>
  </si>
  <si>
    <t>Khulna Central S/S</t>
  </si>
  <si>
    <t>Shariyatpur S/S</t>
  </si>
  <si>
    <t>8*13.6</t>
  </si>
  <si>
    <t>Sylhet 225 MW CCPP</t>
  </si>
  <si>
    <t>1*142+1*89</t>
  </si>
  <si>
    <t>Bheramara GTPP Unit-3</t>
  </si>
  <si>
    <t>BCPCL</t>
  </si>
  <si>
    <t>Juldah unit-2 (Acorn)</t>
  </si>
  <si>
    <t>Bibiyana South 400 MW</t>
  </si>
  <si>
    <t>18.5*6</t>
  </si>
  <si>
    <t>Patuakhali(S)</t>
  </si>
  <si>
    <t>Meghnaghat 104 MW PP (OPCL)</t>
  </si>
  <si>
    <t>Fatullah</t>
  </si>
  <si>
    <t>Madunaghat</t>
  </si>
  <si>
    <t>Sikalbaha</t>
  </si>
  <si>
    <t>Goalpara</t>
  </si>
  <si>
    <t>Reserve.</t>
  </si>
  <si>
    <t xml:space="preserve"> katpotti 52 MW</t>
  </si>
  <si>
    <t xml:space="preserve">About 10 MW power interruption occurred under Naogaon S/S area </t>
  </si>
  <si>
    <t>from 09:20 to 10:50.</t>
  </si>
  <si>
    <t xml:space="preserve">  work at 33 kV CB connected point, Y-phase and was switched on at 12:15.</t>
  </si>
  <si>
    <t>d) Haripur 412 MW GT synchronized at 12:29.</t>
  </si>
  <si>
    <t>g) Hathazari 230/132 kV MT4 transformer was under shut down from 11:02 to 11:24 for oil leakage.</t>
  </si>
  <si>
    <t>h) Khagrachari 33 kV Tr-1 transformer was under shut down from 17:01 to 17:35 for C/M.</t>
  </si>
  <si>
    <t xml:space="preserve">About 8 MW power interruption occurred under Khagrachari S/S area </t>
  </si>
  <si>
    <t>from 17:01 to 17:35.</t>
  </si>
  <si>
    <t>i) Kallyanpur 132/33 kV GT-2 transformer was switched on at 16:51.</t>
  </si>
  <si>
    <t>j) Sylhet 150 MW GT was synchronized at 18:54.</t>
  </si>
  <si>
    <t>k) Sirajganj unit-1 GT was synchronized at 18:27.</t>
  </si>
  <si>
    <t>e) Sylhet 132/33 kV T-1 transformer was under shut down from 06:39 to 13:27.</t>
  </si>
  <si>
    <t>f) Sylhet-Chatak 132 kV Ckt-1 &amp; 2  were switched on at 17:53 &amp; 13:42 respectively.</t>
  </si>
  <si>
    <t xml:space="preserve">  to 10:50 for R/H maintenance work of Putnitalla feeder and was switched on at 10:50.</t>
  </si>
  <si>
    <t>l) Bibiyana-3 GT was synchronized at 00:18(01/10/2020).</t>
  </si>
  <si>
    <t>n) Dhamrai 132/33 kV transformer was under shut down from 07:11(01/10/2020) to 09:06 for C/M.</t>
  </si>
  <si>
    <t>p) Aminbazar-Mirpur 132 kV Ckt-1 was shut down at 07:48(01/10/2020) for A/M.</t>
  </si>
  <si>
    <t xml:space="preserve">a) Naogaon 132/33 kV T-2 transformer and its associate Bus 33 kV side was under shut down from 09:20 </t>
  </si>
  <si>
    <t>m) Sirajganj unit-4 was shut down at 06:41(01/10/2020).</t>
  </si>
  <si>
    <t>o) Sirajganj 230 kV S/S-Sirajganj unit-4 230 kV Ckt was shut down at 07:36(01/10/2020) for C/M.</t>
  </si>
  <si>
    <t>b) Saidpur 132/33 kV T-4 transformer was under shut down from 11:35 to 12:15 for R/H maint.</t>
  </si>
  <si>
    <t>c) Rajendrapur 132/33 kV T-1 transformer was under shut down from 09:06 to 10:02 for D/W.</t>
  </si>
  <si>
    <t>SWPGCL</t>
  </si>
  <si>
    <t>Mini Flow</t>
  </si>
  <si>
    <t>Bhola Nutan Biddut BD LTD (GAS)</t>
  </si>
  <si>
    <t>Bhola Nutan Biddut BD LTD (OIL)</t>
  </si>
  <si>
    <t>Brishal</t>
  </si>
  <si>
    <t>Bhola Nutan Biddut BD LTD</t>
  </si>
  <si>
    <t>Don't input value before COD</t>
  </si>
  <si>
    <t>9*18</t>
  </si>
  <si>
    <t>Anlima Energy Ltd.</t>
  </si>
  <si>
    <t>6*21.2</t>
  </si>
  <si>
    <t>8*18.5+1*9.5</t>
  </si>
  <si>
    <t>United Payra Power Ltd.</t>
  </si>
  <si>
    <t>Aftabnagar</t>
  </si>
  <si>
    <t>Manikgonj 162MW PP(MPGL)</t>
  </si>
  <si>
    <t>Sutiakhali 50 MW Solar PP</t>
  </si>
  <si>
    <t>SOLAR</t>
  </si>
  <si>
    <t>Tangail Palli Power Gen 22 MW</t>
  </si>
  <si>
    <t>4*6.7</t>
  </si>
  <si>
    <t>Shahjibazar 100 MW GTPP</t>
  </si>
  <si>
    <t>line-1:</t>
  </si>
  <si>
    <t>line-2:</t>
  </si>
  <si>
    <t xml:space="preserve">   Sub Divisional Engineer</t>
  </si>
  <si>
    <t>Barishal</t>
  </si>
  <si>
    <t>Zone Wise Generation</t>
  </si>
  <si>
    <t xml:space="preserve">        POWER GRID COMPANY OF BANGLADESH LTD.</t>
  </si>
  <si>
    <t>MAXIMUM  LOAD SERVED BY DIFFERENT GRID SUB-STATIONS</t>
  </si>
  <si>
    <t xml:space="preserve">                                                                POWER GRID COMPANY OF BANGLADESH LTD.</t>
  </si>
  <si>
    <t xml:space="preserve">                                                                 NATIONAL LOAD  DESPATCH  CENTER</t>
  </si>
  <si>
    <t xml:space="preserve">                                                              DAILY   REPORT</t>
  </si>
  <si>
    <t>Ghorasal end (M/F-1650000)</t>
  </si>
  <si>
    <t>2*622</t>
  </si>
  <si>
    <t>Bangura</t>
  </si>
  <si>
    <t>Narail</t>
  </si>
  <si>
    <t>Motiur</t>
  </si>
  <si>
    <t>Bhola 225 MW</t>
  </si>
  <si>
    <t>Machine problem</t>
  </si>
  <si>
    <t>Ullon</t>
  </si>
  <si>
    <t>Bhairob 54.5 MW</t>
  </si>
  <si>
    <t>3*18.2</t>
  </si>
  <si>
    <t>Spectra Solar Plant Ltd.</t>
  </si>
  <si>
    <t xml:space="preserve">   Executive Engineer </t>
  </si>
  <si>
    <t xml:space="preserve">           Superintendent Engineer </t>
  </si>
  <si>
    <t xml:space="preserve">      Water Level of Kaptai Lake at 6:00 A M on</t>
  </si>
  <si>
    <t>Borguna</t>
  </si>
  <si>
    <t>Sreenagar</t>
  </si>
  <si>
    <t>Nawabganj</t>
  </si>
  <si>
    <t>Mithapukur</t>
  </si>
  <si>
    <t>XEN</t>
  </si>
  <si>
    <t>SDE</t>
  </si>
  <si>
    <t>AE</t>
  </si>
  <si>
    <t>SAE (Report)</t>
  </si>
  <si>
    <t>SAE (Gen)</t>
  </si>
  <si>
    <t>line-1</t>
  </si>
  <si>
    <t>=</t>
  </si>
  <si>
    <t>Ishurdi end (M/F-1672727.3)</t>
  </si>
  <si>
    <t>Meghnaghat CCPP ( Summit)</t>
  </si>
  <si>
    <t xml:space="preserve">HG </t>
  </si>
  <si>
    <t>15/4/2021</t>
  </si>
  <si>
    <t>KWHr</t>
  </si>
  <si>
    <t>25/4/2021</t>
  </si>
  <si>
    <t>Under S/D.</t>
  </si>
  <si>
    <t>26/4/2021</t>
  </si>
  <si>
    <t>27/4/2021</t>
  </si>
  <si>
    <t>Machine problem.</t>
  </si>
  <si>
    <t>Keraniganj</t>
  </si>
  <si>
    <t>% increased or % decreased</t>
  </si>
  <si>
    <t>Date From:</t>
  </si>
  <si>
    <t>mm/dd/yyyy</t>
  </si>
  <si>
    <t>Date To:</t>
  </si>
  <si>
    <t>33 kV feeder fault</t>
  </si>
  <si>
    <t>Bhangura</t>
  </si>
  <si>
    <t>Kazla</t>
  </si>
  <si>
    <t>Ghorasal Repowered CCPP:Unit-3 (GT</t>
  </si>
  <si>
    <t>1*260</t>
  </si>
  <si>
    <t xml:space="preserve"> Sirajgonj 6.55 MW Solar</t>
  </si>
  <si>
    <t>1*6</t>
  </si>
  <si>
    <t>Motijheel</t>
  </si>
  <si>
    <t>Under S/D</t>
  </si>
  <si>
    <t xml:space="preserve">132 kV </t>
  </si>
  <si>
    <t>230 kV</t>
  </si>
  <si>
    <t>400 kV</t>
  </si>
  <si>
    <t>Substation</t>
  </si>
  <si>
    <t>Updated</t>
  </si>
  <si>
    <t>23/5/21</t>
  </si>
  <si>
    <t>Agrabad</t>
  </si>
  <si>
    <t>Rajbari</t>
  </si>
  <si>
    <t>21/7/2021 Contact exp</t>
  </si>
  <si>
    <t>4) Baghabari-71 MW &amp; 100 MW</t>
  </si>
  <si>
    <t>Kishoreganj</t>
  </si>
  <si>
    <t>Jhenaidah</t>
  </si>
  <si>
    <t>Jhenida(Old)</t>
  </si>
  <si>
    <t>Ashuganj end (2000)</t>
  </si>
  <si>
    <t>Serajganj end (2000)</t>
  </si>
  <si>
    <t>P.GEN(HFO).</t>
  </si>
  <si>
    <t>G.GEN(HSD)</t>
  </si>
  <si>
    <t>G.GEN(HFO)</t>
  </si>
  <si>
    <t>P.GEN(HSD)</t>
  </si>
  <si>
    <t xml:space="preserve">Total Energy Gen  MKWHr 
Energy Not Served    MKWHr 
Energy Requirement      MKWHr </t>
  </si>
  <si>
    <t>p) Siddirganj 132/33 kV T-1 &amp; T-2 transformers tripped at 12:02 showing O/C relay,R-phase and were</t>
  </si>
  <si>
    <t>q) Barishal-Bhola 230 kV Ckt-2 tripped at 13:55 showing dist.Z1 and was switched on at 14:26.</t>
  </si>
  <si>
    <t>s) Natore-Bogura 132 kV Ckt-1 tripped at 15:33 showing dist.Z1,B-phase and was switched on at 15:43.</t>
  </si>
  <si>
    <t>t) Mymensing-Jamalpur 132 kV Ckt-2 tripped at 14:36 showing dist.Z1,A-phase at Mymensing end &amp;</t>
  </si>
  <si>
    <t xml:space="preserve">   E/F relay at Jamalpur end and was switched on at 14:48.</t>
  </si>
  <si>
    <t>u) Haripur S/S-Haripur-360 MW 230 kv Ckt-1 tripped at 15:02 showing dist.relay and was switched on at 16:51.</t>
  </si>
  <si>
    <t>v) Agargaon-Aminbazar 132 kV Ckt-2 was under shut down from 14:53 to 16:22 for C/M.</t>
  </si>
  <si>
    <t>w) Barisal-Patuakhali 132 kV Ckt tripped at 17:33 showing dist.Z1 at Patuakhali end and was switched</t>
  </si>
  <si>
    <t xml:space="preserve">   switched on at 12:24.</t>
  </si>
  <si>
    <t>r) Jhenaidah 230/132 kV T-1 transformer tripped at 14:12 showing differential relay and was switched on at 15:25.</t>
  </si>
  <si>
    <t>Banani</t>
  </si>
  <si>
    <t>Jhenaidah(New)</t>
  </si>
  <si>
    <t>QF-LDC-10</t>
  </si>
  <si>
    <t>Page 7 of 7</t>
  </si>
  <si>
    <t>Purbachal</t>
  </si>
  <si>
    <t>b) Siddhirganj 335 MW CCPP GT was synchronize at 17:24.</t>
  </si>
  <si>
    <t>c) Sylhet 225 MW CCPP GT was synchronize at 18:47.</t>
  </si>
  <si>
    <t>d) Dohazari-Sikalbaha 132 kV Ckt-2 was under shut down from 16:49 to 19:33 for trimming 11 kV pole.</t>
  </si>
  <si>
    <t>e) Hasnabad-Keraniganj 230 kV Ckt-1 was switched on at 17:13 .</t>
  </si>
  <si>
    <t>f) Juldah-Sikalbaha 132 kV Ckt was under shut down from 14:22 to 15:11 for tree trimming.</t>
  </si>
  <si>
    <t>g) Kaptai #03 was synchronize at 19:49 .</t>
  </si>
  <si>
    <t>i) Ghorasal 132/33 kV T1 &amp; T2 transformer tripped at 17:17 showing E/F relay due to 33 kV feeder fault.</t>
  </si>
  <si>
    <t>j) Gopalganj old -Gallamari 132 kV Ckt-1 open at 04:09 from both end due to high voltage.</t>
  </si>
  <si>
    <t>k) Gopalganj old - Gopalganj new 132 kV Ckt-1 open at 04:10 from both end due to high voltage.</t>
  </si>
  <si>
    <t>l) Shahjibazar 330 MW CCPP GT-2  tripped at 06:03(18-11-21) .</t>
  </si>
  <si>
    <t>m) Chandpur-Kochua 132 kV Ckt-1 was under shut down from 09:00 to 16:10 for A/M.</t>
  </si>
  <si>
    <t>n) Siddhirganj-Maniknagar 230 kV Ckt-1 was under shut down from 08:36 to 17:22 for A/M.</t>
  </si>
  <si>
    <t>o) Sherpur-UMPL 132 kV Ckt-1 was under shut down from 08:51 to 16:13 for A/M.</t>
  </si>
  <si>
    <t>p) B.Baria 132/33 kV T-3 transformer was under shut down from 08:36 to 16:59 for A/M.</t>
  </si>
  <si>
    <t>q) Mymensing S/S-Mymensing RPCL 132 kV Ckt-2 was under shut down from 08:18 to 16:05 for C/M.</t>
  </si>
  <si>
    <t>r) Bagerhat 132/33 kV T-1 transformer was under shut down from 08:09 to 15:08 for A/M.</t>
  </si>
  <si>
    <t>s) BSRM-Mirsharai 230 kV Ckt-1 was under shut down from 09:57 to 19:55 for D/W.</t>
  </si>
  <si>
    <t>t) Dohazari-Sikalbaha 132 kV Ckt-1 was under shut down from 09:11 to 16:16 for A/M.</t>
  </si>
  <si>
    <t>v) Barishal(N) 132/33 kV T-5 transformer was under shut down from 09:07 to 17:22 for A/M.</t>
  </si>
  <si>
    <t>y) Hathazari-Baroierhat 132 kV Ckt-2 was under shut down since at 09:08  for A/M.</t>
  </si>
  <si>
    <t>z) Hathazari-Rampur 230 kV bay  was under shut down from 09:50 to 19:50 for D/W.</t>
  </si>
  <si>
    <t>ab) Khulna(S)-Jhenaidah 230 kV Ckt-1  was under shut down from 08:44 to 15:17 for A/M.</t>
  </si>
  <si>
    <t>ac) Madanganj-Munshiganj 132 kV Ckt-2 was under shut down from 09:38 to 15:36 for A/M.</t>
  </si>
  <si>
    <t>ad) Mirsharai EPZ 230 kV bus was under shut down from 10:14 to 20:20 for D/W.</t>
  </si>
  <si>
    <t>ae) Mirsharai  230/132 kV T-1 transformers was under shut down from 10:11 to 20:01 for D/W.</t>
  </si>
  <si>
    <t>af) Mirsharai  230/132 kV T-2 transformers was under shut down from 10:11 to 20:01 for D/W.</t>
  </si>
  <si>
    <t>ag) Rajshahi  230/132 kV T-2 transformers was under shut down from 09:24 to 17:02 for D/W.</t>
  </si>
  <si>
    <t>a) Shahjibazar 330 MW CCPP GT-2 &amp; ST  tripped at 17:02 due to gas buster problem and was synchronized at 20:18.</t>
  </si>
  <si>
    <t>h) Satmosjid 132/33 kV T1 transformer was under shut down from 19:58 to 21:51 due to auxiliary cable connection.</t>
  </si>
  <si>
    <t>u) Hasnabad-Brammangaon 132 kV Ckt was under shut down from 10:08 to 11:44 for A/M.</t>
  </si>
  <si>
    <t>w) Beanibazar 132/33 kV T-2 transformer was under shut down from 09:58 to 16:02 for A/M.</t>
  </si>
  <si>
    <t>x) Benapole 132 kV bus coupler was sunder shut down from 08:18 to 15:34 for  A/M.</t>
  </si>
  <si>
    <t>aa) Hathazari-Sikalbaha 230 kV Ckt-1  was under shut down from 10:07 to 19:49 for D/W.</t>
  </si>
  <si>
    <t>Kachua</t>
  </si>
  <si>
    <t xml:space="preserve">a) Ashuganj-Cumilla(N) 230 kV Ckt-2 was under shut down from 11:02 to 17:47 due to red hot maint at Ashuganj end. </t>
  </si>
  <si>
    <t>b) Chapainawabganj 132/33 kV T-2 transformer was under shut down from 08:35 to 09:53 for D/W.</t>
  </si>
  <si>
    <t xml:space="preserve">d) Madanganj-Munshiganj 132 kV Ckt-1,2 tripped at 09:43 showing O/C, E/F relay at Madanganj end &amp; 86A,86B at </t>
  </si>
  <si>
    <t>e) Meghnaghat 230 kV bus-1 was under shut down from 09:10 to 15:55 for A/M.</t>
  </si>
  <si>
    <t>f)  Meghnaghat-Shyampur 230 kV Ckt-1 was under shut down from 08:58 to 15:59 for A/M.</t>
  </si>
  <si>
    <t>g)  Rajshahi-HVDC Bheramara 230 kV Ckt-1 was under shut down from 09:00 to 16:34 for D/W.</t>
  </si>
  <si>
    <t>h) Rangpur -Saidpur 132 KV Ckt-2 was under shut down from 08:37 to 17:30 for A/M.</t>
  </si>
  <si>
    <t>i) Siddhirganj 132/33 kV T-2 transformer was under shut down from 08:56 to 20:37 for D/W.</t>
  </si>
  <si>
    <t xml:space="preserve">    Munshiganj end due to flashing at 33 kV Banco line CT and was switched on at 10:03.</t>
  </si>
  <si>
    <t>j) Siddhirganj 335 MW CCPP GT was under shut down 13:32 for combined cycle operation.</t>
  </si>
  <si>
    <t>k) Rajshahi 132/33KV T-2  transformer with associated 33 kV bus was under shut down from 09:23 to 11:23 for C/M.</t>
  </si>
  <si>
    <t>l) Mymensingh-Jamalpur 132KV Ckt-2 was switched on at 14:38.</t>
  </si>
  <si>
    <t>m) Shahzibazar 100 MW GT was synchronized at 19:19.</t>
  </si>
  <si>
    <t>n) Siddhirganj 335 MW CCPP GT &amp; ST were synchronize at 15:2,19:29 respectively and ST tripped at 21:12.</t>
  </si>
  <si>
    <t>o)  Rajshahi-HVDC Bheramara 230 kV Ckt-2 was under shut down from 16:49 to 21:04 for D/W.</t>
  </si>
  <si>
    <t>p) Mymensingh-Jamalpur 132KV Ckt-1 was shut down since 15:22 for load test of Ckt-2.</t>
  </si>
  <si>
    <t>r) Bibiyana #03 CCPP ST was synchronized at 00:05.</t>
  </si>
  <si>
    <t>c) Hasnabad-Sitalakhya 132KV Ckt  was under shut down from 09:15 to 22:57 for C/M.</t>
  </si>
  <si>
    <t>q) Hasnabad-Keraniganj 230KV Ckt-1 was under shut down from 09:13(18/11/21) to 22:15(19/11/21) for C/M.</t>
  </si>
  <si>
    <t>u) Madunaghat 132/33 kV T-2 transformer with 33 kV bus-2  was shut down from 07:04(20-11-2021) for D/W.</t>
  </si>
  <si>
    <t>v) Bakulia 132/33 kV T-1 transformer was under shut down since 07:09(20-11-21) for A/M.</t>
  </si>
  <si>
    <t>w) Kabirpur-Manikganj 132 KV Ckt-1 was under shut down since 07:35(20-11-21) for A/M.</t>
  </si>
  <si>
    <t>x) Rampura-Bhulta 230 kV Ckt-3 was under shut down since 07:41(20-11-21) for A/M.</t>
  </si>
  <si>
    <t>s) Hasnabad-Brammangaon 132KV Ckt  was under shut down from 09:46(18/11/21) to 23:01(19/11/21) for C/M.</t>
  </si>
  <si>
    <t>t) Lalbagh- Kallyanpur 132 kV Ckt-2 tripped at 06:52 from both end showing dist Z1 at Lalbagh end &amp; dist B-phase at</t>
  </si>
  <si>
    <t xml:space="preserve">    Kallyanpur end and was switched don at 06:59.</t>
  </si>
  <si>
    <t>y) Narshingdi 132/33 kV T-3 transformer was under shut down since 07:42(20-11-21) for A/M.</t>
  </si>
  <si>
    <t xml:space="preserve">Chandpur 115(Doreen) </t>
  </si>
  <si>
    <t>On test</t>
  </si>
  <si>
    <t>3) Ashuganj-3,4,</t>
  </si>
  <si>
    <t>Kanchan Purbachal Power Generation  Ltd.</t>
  </si>
  <si>
    <t xml:space="preserve">                         Energy Comparison Between November 2020 &amp; November 2021</t>
  </si>
  <si>
    <t>Day Wise Total Energy of November-2020 in KWH</t>
  </si>
  <si>
    <t>Day Wise Total Energy of November-2021 in KWH</t>
  </si>
  <si>
    <t>33 kV feeder O/L</t>
  </si>
  <si>
    <t>HSD (Private)</t>
  </si>
  <si>
    <t>HSD (Public)</t>
  </si>
  <si>
    <t>HFO (Private)</t>
  </si>
  <si>
    <t>HFO (Public)</t>
  </si>
  <si>
    <t>Tongi Millgate</t>
  </si>
  <si>
    <t>5) Shajibazar 330 MW</t>
  </si>
  <si>
    <t>Mongla Orion 100 MW Solar PP</t>
  </si>
  <si>
    <t>Coal shortage</t>
  </si>
  <si>
    <t>7) Sirajganj Unit 1 &amp; 2</t>
  </si>
  <si>
    <t xml:space="preserve">                                                               </t>
  </si>
  <si>
    <t>Don't type here</t>
  </si>
  <si>
    <t>9) Haripur 412 MW EGCB</t>
  </si>
  <si>
    <t>al) Manikganj 132/33 kV T-4 transformer was under shut down from 18:36 to 19:22 due to R/H maintenance.</t>
  </si>
  <si>
    <t>am) Keraniganj-Sreenagar 132 kV Ckt-1 was under shut down from 15:34 to 19:29 for D/W.</t>
  </si>
  <si>
    <t>an) Sikalbaha(Old)-Sikalbaha(New) 132 kV Ckt was switched on at 19:51.</t>
  </si>
  <si>
    <t>ao) Ghorashal unit-7 tripped at 17:30 due to 230 kV line problem.</t>
  </si>
  <si>
    <t>ap) Aminbazar-Kallyanpur 132 kV Ckt-1 was under shut down since 07:09(20-12-2021) for A/M.</t>
  </si>
  <si>
    <t>Old Tongi</t>
  </si>
  <si>
    <t>Bashundara</t>
  </si>
  <si>
    <t>Manikgong</t>
  </si>
  <si>
    <t>Energypac Power Venture Thakurgaon Ltd.</t>
  </si>
  <si>
    <t xml:space="preserve">1) Barapukuria ST: Unit-1,2    </t>
  </si>
  <si>
    <t>Low water level</t>
  </si>
  <si>
    <t>Faridpur S/S area from 08:14 to 09:12.</t>
  </si>
  <si>
    <t>About 30 MW power interruption occurred under</t>
  </si>
  <si>
    <t>11:00</t>
  </si>
  <si>
    <t>142</t>
  </si>
  <si>
    <t>DPDC=16</t>
  </si>
  <si>
    <t>DESCO=7</t>
  </si>
  <si>
    <t>Fuel shortage</t>
  </si>
  <si>
    <t>139</t>
  </si>
  <si>
    <t>About 25 MW power interruption occurred under</t>
  </si>
  <si>
    <t>Bhola P/S area from 10:01 to 15:40.</t>
  </si>
  <si>
    <t>ae) Savar-Manikganj P/S 132 kV Ckt-1 was under shut down from 09:19 to 16:55 for A/M.</t>
  </si>
  <si>
    <t>af) Shajadpur 132/33 kV T4 transformer was under shut down from 08:38 to 15:21 for A/M.</t>
  </si>
  <si>
    <t>ag) Sylhet-Chatak 132 kV Ckt-1 was under shut down from 10:30 to 11:54 for C/M.</t>
  </si>
  <si>
    <t>ah) Thakurgaon S/S-Thakurgaon P/S 132 kV Ckt-2 was under shut down from 09:02 to 16:45 for A/M.</t>
  </si>
  <si>
    <t>ai) Kodda 132/33 kV T4 transformer was switched on at 13:15.</t>
  </si>
  <si>
    <t>ak) HVDC 230 kV Bus-1 was under shut down from 09:53 to 17:13 for A/M.</t>
  </si>
  <si>
    <t>al) Rangamati-Chandraghona 132 kV Ckt-2 was under shut down from 15:06 to 15:40 for C/M.</t>
  </si>
  <si>
    <t>am) Rangamati-Khagrachari 132 kV Ckt-2 was under shut down from 15:45 to 16:12 for C/M.</t>
  </si>
  <si>
    <t>an) Sreenagar 132/33 kV T1 transformer was under shut down from 15:01 to 16:04 due to R/H maintenance.</t>
  </si>
  <si>
    <t>ao) Raozan Unit-2 was synchronized at 23:44.</t>
  </si>
  <si>
    <t>ap) 33 kV side of Purbasadipur 132/33 kV T1 transformer tripped at 23:30 showing O/C due to 33 kV Sadar feeder</t>
  </si>
  <si>
    <t xml:space="preserve">     fault and was switched on at 23:50.</t>
  </si>
  <si>
    <t>Purbasadipur S/S area from 23:30 to 23:50.</t>
  </si>
  <si>
    <t>aq) Payra unit-2 was shutdown at 00:47(30/12/2021).</t>
  </si>
  <si>
    <t>ar) Naogaon 132/33 T-1 &amp; T-2 transformers tripped at 02:25(30/12/2021) due to Joypurhat 33 kV PBS feeder fault</t>
  </si>
  <si>
    <t xml:space="preserve">     and were switched on at 23:50(30/12/2021).</t>
  </si>
  <si>
    <t>About 24 MW power interruption occurred under</t>
  </si>
  <si>
    <t>Naogaon S/S area from 23:30(30/12/2021) to 23:50.</t>
  </si>
  <si>
    <t>as) Ashuganj 132 kV Bus-1 is under shut down since 07:37(30/12/2021) for A/M.</t>
  </si>
  <si>
    <t>aj) B.Baria-Shahzibazar 132 kV Ckt-2 was under shut down from 08:46 to 16:37 for A/M.</t>
  </si>
  <si>
    <t>at) Polashbari-Mohasthangarh 132 kV Ckt-2 is under shut down since 07:39(30/12/2021) for A/M.</t>
  </si>
  <si>
    <t>10) Meghnaghat Summit 305 MW CCPP</t>
  </si>
  <si>
    <t>High Voltage</t>
  </si>
  <si>
    <t>134</t>
  </si>
  <si>
    <t>a) Ashuganj-Sirajganj 230 kV Ckt-2 was under shut down from 09:04 to 17:23 for A/M.</t>
  </si>
  <si>
    <t>b) Bheramara-Bottail 132 kV Ckt-1 was under shut down from 08:17 to 14:45 for A/M.</t>
  </si>
  <si>
    <t>c) Bakulia-Sikalbaha 132 kV Ckt-1 was under shut down from 08:15 to 14:52 for A/M.</t>
  </si>
  <si>
    <t>d) Baroirhat-PHP 132 kV Ckt was under shut down from 08:20 to 14:44 for A/M.</t>
  </si>
  <si>
    <t>e) Cumilla(N)-Chaddogram 132 kV Ckt-1 was under shut down from 08:34 to 15:52 for A/M.</t>
  </si>
  <si>
    <t>f) Kaliakoir 400/132 kV T02 transformer was under shut down from 09:02 to 14:43 for A/M.</t>
  </si>
  <si>
    <t>g) Aminbazar-Meghnaghat 230 kV Ckt-2 was under shut down from 10:21 to 16:41 for A/M.</t>
  </si>
  <si>
    <t>h) Dohazari-Cox's bazar 132 kV Ckt-1 was under shut down from 11:27 to 12:19 for D/W.</t>
  </si>
  <si>
    <t>i) Fenchuganj-Kulaura 132 kV Ckt-2 was under shut down from 09:15 to 16:43 for A/M.</t>
  </si>
  <si>
    <t>j) Haripur-Sonargaon 132 kV Ckt-1 was under shut down from 10:40 to 13:42 for A/M.</t>
  </si>
  <si>
    <t>k) Jamalpur 132/33 kV T1 transformer was under shut down from 09:48 to 14:09 for D/W.</t>
  </si>
  <si>
    <t>l) Jamalpur 132/33 kV T3 transformer was under shut down from 09:34 to 16:20 for A/M.</t>
  </si>
  <si>
    <t>m) Mirsharai  230/33/11 kV T-1 transformers was under shut down from 10:14 to 15:27 for C/M.</t>
  </si>
  <si>
    <t>o) Goalpara-Bagerhat 132 kV Ckt-1 was under shut down from 08:36 to 16:19 for A/M.</t>
  </si>
  <si>
    <t>p) Barisal(N)-Bhola 230 kV Ckt-2 was under shut down from 08:55 to 17:22 for A/M.</t>
  </si>
  <si>
    <t>q) Gopalganj(N) - Madaripur 132 kV Ckt-3 was under shut down from 08:00 to 18:03 for A/M.</t>
  </si>
  <si>
    <t>r) Polashbari-Mohasthangarh 132 kV Ckt-1 was under shut down from 09:10 to 15:25 for A/M.</t>
  </si>
  <si>
    <t>s) Payra 400 kV bus-2 was under shut down since at 08:20 for D/W.</t>
  </si>
  <si>
    <t>t) Kodda 132/33 kV T5 transformer was under shut down since at 12:16  for D/W.</t>
  </si>
  <si>
    <t>u) Thakurgaon 132/33 kV T3 transformer was under shut down from 08:45 to 19:05 for C/M.</t>
  </si>
  <si>
    <t>v) Ghorasal #04 tripped at 14:31 due to GBC problem.</t>
  </si>
  <si>
    <t>w) Raozan #02 was shut down at 18:28 due to maintenance work.</t>
  </si>
  <si>
    <t xml:space="preserve">    at Sylhet end and was switched on at 01:31(03-1-2022)</t>
  </si>
  <si>
    <t>y) Dohazari- Matarbari-Cox'sbazar 132 kV Ckt was under shut down from 06:01 to 07:10.(03-1-22) for D/W.</t>
  </si>
  <si>
    <t>aa) Dohazari 132 kV main bus was under shut down from 06:12 to 11:49(03-01-22) for D/W.</t>
  </si>
  <si>
    <t>n) Shahjibazar 132/33 kV T2 transformer was under shut down from 11:14 to 17:47 for C/M.</t>
  </si>
  <si>
    <t>x)  Fenchuganj-Sylhet 132 kV Ckt tripped at 01:08 from both end showing dist Z1 at Fenchuganj end &amp; dist B phase Z2</t>
  </si>
  <si>
    <t>z) Dohazari-Sikalbaha 132 kV Ckt-2 was under shut down from 06:07 to 06:58(03-1-22) for D/W.</t>
  </si>
  <si>
    <t>ab) Kallyanpur 132 kV main bus was under shut down since at 07:35 (03-01-22) for A/M.</t>
  </si>
  <si>
    <t>ac) Kallyanpur 132/33 kV T3 transformer  was under shut down since at 07:45 (03-01-22) for C/M.</t>
  </si>
  <si>
    <t>21:00</t>
  </si>
  <si>
    <t>12:00</t>
  </si>
  <si>
    <t>18:00</t>
  </si>
  <si>
    <t>18:30</t>
  </si>
  <si>
    <t>18:29</t>
  </si>
  <si>
    <t>15:00</t>
  </si>
  <si>
    <t>17:00</t>
  </si>
  <si>
    <t>20:00</t>
  </si>
  <si>
    <t>1:00</t>
  </si>
  <si>
    <t>137</t>
  </si>
  <si>
    <t>144</t>
  </si>
  <si>
    <t>b) Tongi 230 kV Bus-1 was under shut down from 09:47 to 15:08 for A/M.</t>
  </si>
  <si>
    <t>c) Bakulia-Khulshi 132 kV Ckt-1 was under shut down from 08:32 to 14:40 for A/M.</t>
  </si>
  <si>
    <t>d) Cumilla(N)-Chaddogram 132 kV Ckt-2 was under shut down from 09:40 to 15:28 for A/M.</t>
  </si>
  <si>
    <t>e) Aminbazar 230/132 kV T03 transformer was under shut down from 10:46 to 12:43 for D/W.</t>
  </si>
  <si>
    <t>f) Aminbazar-Meghnaghat 230 kV Ckt-2 was under shut down from 09:57 to 16:16 for A/M.</t>
  </si>
  <si>
    <t>g) Bagerhat-Goalpara 132 kV Ckt was under shut down from 08:50 to 16:15 for A/M.</t>
  </si>
  <si>
    <t>h) Barisal(N)-Bhola 230 kV Ckt-2 was under shut down from 08:39 to 16:53 for A/M.</t>
  </si>
  <si>
    <t>j)  Feni-Chowmuhani 132 kV Ckt-1 tripped at 09:11 from both ends showing Dist Z1,B,C at both ends</t>
  </si>
  <si>
    <t xml:space="preserve">   and was switched on at 09:42.</t>
  </si>
  <si>
    <t>k) Gopalganj(New)-Madaripur 132 kV Ckt-4 was under shut down from 08:25 to 18:07 for A/M.</t>
  </si>
  <si>
    <t>l) Haripur 230/132 kV T02 transformer tripped at 08:04 showing Diff. R,Y,B.</t>
  </si>
  <si>
    <t>m) Hathazari-Baroaulia 132 kV Ckt-1 was under shut down from 09:51 to 14:43 for A/M.</t>
  </si>
  <si>
    <t>n) Jamalpur 132/33 kV T3 transformer was under shut down from 09:46 to 15:08 for A/M.</t>
  </si>
  <si>
    <t>o) Jashore 132/33 kV T1 transformer was under shut down from 08:16 to 13:35 for A/M.</t>
  </si>
  <si>
    <t>p) Kaliakoir 400/132 kV T01 transformer was under shut down from 09:44 to 12:07 for Protection test.</t>
  </si>
  <si>
    <t>q) Kaliakoir 400/132 kV T02 transformer was under shut down from 12:12 to 13:22 for Protection test.</t>
  </si>
  <si>
    <t>r) Keraniganj-Sreenagar 132 kV Ckt-1 was under shut down from 12:18 to 13:30 for SAS Work.</t>
  </si>
  <si>
    <t>s) Madaripur-Shariatpur 132 kV Ckt-2 was under shut down from 08:45 to 17:35 for A/M.</t>
  </si>
  <si>
    <t>w) Thakurgaon-Energy Pac. P.P. 132 kV Ckt was under shut down from 11:56 to 13:42 for A/M.</t>
  </si>
  <si>
    <t xml:space="preserve">    switched on at 15:06.</t>
  </si>
  <si>
    <t>z) Cumilla(N)-Chaddogram 132 kV Ckt-1 tripped at 16:46 from Cumilla(N) end at the time of trial.</t>
  </si>
  <si>
    <t>ab) Savar 33 kV Bus-B was under shut down from 13:10 to 15:33 for C/M.</t>
  </si>
  <si>
    <t>y) Cumilla(N)-Chaddogram 132 kV Ckt-1 was shutdown at 15:38 for C/M.</t>
  </si>
  <si>
    <t>aa) Cumilla(N)-Chaddogram 132 kV Ckt-1 was under shutdown from 16:46 to 19:40 for LA bypass work.</t>
  </si>
  <si>
    <t xml:space="preserve">ac) Raozan #01 was synchronized at 22:57 and tripped at 02:10(04/01/2022). </t>
  </si>
  <si>
    <t>ad) Ghorashal-Joydebpur 132 kV Ckt-2 is under shut down since 06:56(04-01-2022) for C/M.</t>
  </si>
  <si>
    <t xml:space="preserve">ae) Kaliakoir-Dhamrai 132 kV Ckt-1 tripped at 06:26(04-01-2022) form Kaliakoir end showing Dist. E/F and was </t>
  </si>
  <si>
    <t xml:space="preserve">      switched on at 06:36(04-01-2022).</t>
  </si>
  <si>
    <t>af) Ghorashal 230/132 OAT02  is under shut down since 07:35(04-01-2022) for C/M.</t>
  </si>
  <si>
    <t>ag) Mymensingh 132 kV Bus-A  is under shut down since 07:18(04-01-2022) for A/M.</t>
  </si>
  <si>
    <t>ah) Mymensingh-Mymensingh Solar P.P. 132 kV Ckt  is under shut down since 07:11(04-01-2022) for A/M.</t>
  </si>
  <si>
    <t>ai) Madunaghat 132/33 kV T-2 transformer along with 33 kV Bus is under shut down since 07:32(04-01-2022) for D/W.</t>
  </si>
  <si>
    <t>i) Bogura-Mohasthangarh 132 kV Ckt-1 was under shut down from 08:32 to 16:45 for A/M.</t>
  </si>
  <si>
    <t xml:space="preserve">x) Chowddagram 132/33 kV T-1 transformer tripped at 14:48 showing O/C due to PBS feeder fault and was </t>
  </si>
  <si>
    <t>u) Mirpur 132/33 kV T1 transformer is under shut down since 09:15 for A/M.</t>
  </si>
  <si>
    <t>t) Magura-Narail 132 kV Ckt-2 is under shut down since 09:52 for D/W.</t>
  </si>
  <si>
    <t xml:space="preserve">v) Siddhirganj S/S-EGCB 335 MW P.P. GT 230 kV Ckt was switched on at 11:25 and again shutdown at 11:57 due to </t>
  </si>
  <si>
    <t xml:space="preserve">    auxiliary transformer maintenance.</t>
  </si>
  <si>
    <t>Under maintenance</t>
  </si>
  <si>
    <t>Bibiyana-3, Ashuganj North ST are under maintenance Haripur 412 MW, Ashuganj-3 &amp; 4, Baghabari-71 MW &amp; 100 MW ,Ghorasal regent</t>
  </si>
  <si>
    <t>8) Summit Bibiyana-3</t>
  </si>
  <si>
    <t>4.00</t>
  </si>
  <si>
    <t>aftab</t>
  </si>
  <si>
    <t>manik</t>
  </si>
  <si>
    <t>bashun</t>
  </si>
  <si>
    <t>millgate</t>
  </si>
  <si>
    <t>purbachal</t>
  </si>
  <si>
    <t>tongi</t>
  </si>
  <si>
    <t>uttara</t>
  </si>
  <si>
    <t>uttara 3rd</t>
  </si>
  <si>
    <t>kamrangichar</t>
  </si>
  <si>
    <t>bashentec</t>
  </si>
  <si>
    <t>mirpur</t>
  </si>
  <si>
    <t>shyampur</t>
  </si>
  <si>
    <t>sitalakhya</t>
  </si>
  <si>
    <t>matuaial</t>
  </si>
  <si>
    <t>sidd</t>
  </si>
  <si>
    <t>ullon</t>
  </si>
  <si>
    <t>mogbazar</t>
  </si>
  <si>
    <t>bangabhaban</t>
  </si>
  <si>
    <t>motijheel</t>
  </si>
  <si>
    <t>narinda</t>
  </si>
  <si>
    <t>kazla</t>
  </si>
  <si>
    <t>dhanmondi</t>
  </si>
  <si>
    <t>lalbag</t>
  </si>
  <si>
    <t>madertek</t>
  </si>
  <si>
    <t>du</t>
  </si>
  <si>
    <t>fatlla</t>
  </si>
  <si>
    <t>banani</t>
  </si>
  <si>
    <t>zigatola</t>
  </si>
  <si>
    <t>Development work</t>
  </si>
  <si>
    <t>DP High</t>
  </si>
  <si>
    <t>12-31-2021</t>
  </si>
  <si>
    <t>00:00</t>
  </si>
  <si>
    <t>3:00</t>
  </si>
  <si>
    <t>131</t>
  </si>
  <si>
    <t xml:space="preserve">Under maint </t>
  </si>
  <si>
    <t>2) Ghorasal-3,5,7</t>
  </si>
  <si>
    <t>High Voltage, PM speech</t>
  </si>
  <si>
    <t>Gas shortage, ST Under maint.</t>
  </si>
  <si>
    <t>13:00</t>
  </si>
  <si>
    <t>Jashore</t>
  </si>
  <si>
    <t>22:00</t>
  </si>
  <si>
    <t>Joydebpur</t>
  </si>
  <si>
    <t>AKS</t>
  </si>
  <si>
    <t>16:00</t>
  </si>
  <si>
    <t>Juldah</t>
  </si>
  <si>
    <t>04:00</t>
  </si>
  <si>
    <t>Ruppur</t>
  </si>
  <si>
    <t>05:00</t>
  </si>
  <si>
    <t>Kallyanpur</t>
  </si>
  <si>
    <t>Kalurghat</t>
  </si>
  <si>
    <t>N/A</t>
  </si>
  <si>
    <t>19:30</t>
  </si>
  <si>
    <t>Satmasjid</t>
  </si>
  <si>
    <t>Barguna</t>
  </si>
  <si>
    <t>Keranigonj</t>
  </si>
  <si>
    <t>19:00</t>
  </si>
  <si>
    <t>Khagrachori</t>
  </si>
  <si>
    <t>Baroaulia</t>
  </si>
  <si>
    <t>Shariatpur</t>
  </si>
  <si>
    <t>Baroirhat</t>
  </si>
  <si>
    <t>Bashundhara</t>
  </si>
  <si>
    <t>Beanibazar</t>
  </si>
  <si>
    <t>KSRM</t>
  </si>
  <si>
    <t>Sholosohor</t>
  </si>
  <si>
    <t>Benapole</t>
  </si>
  <si>
    <t>Kulaura</t>
  </si>
  <si>
    <t>06:00</t>
  </si>
  <si>
    <t>Bhaluka</t>
  </si>
  <si>
    <t>08:00</t>
  </si>
  <si>
    <t>Kushtia</t>
  </si>
  <si>
    <t>Sirajganj</t>
  </si>
  <si>
    <t>Bhasantek</t>
  </si>
  <si>
    <t>Sreemongol</t>
  </si>
  <si>
    <t>Bheramara(GK)</t>
  </si>
  <si>
    <t>Srinagar</t>
  </si>
  <si>
    <t>03:00</t>
  </si>
  <si>
    <t>Bog-Sherpur</t>
  </si>
  <si>
    <t>Bogura</t>
  </si>
  <si>
    <t>Brahmanbaria</t>
  </si>
  <si>
    <t>Mahasthangarh</t>
  </si>
  <si>
    <t>TK</t>
  </si>
  <si>
    <t>Cantonment</t>
  </si>
  <si>
    <t>01:00</t>
  </si>
  <si>
    <t>Manikganj</t>
  </si>
  <si>
    <t>10:00</t>
  </si>
  <si>
    <t>Chapai</t>
  </si>
  <si>
    <t>UttaraNew</t>
  </si>
  <si>
    <t>Chauddagram</t>
  </si>
  <si>
    <t>Millgate</t>
  </si>
  <si>
    <t>Zigatola</t>
  </si>
  <si>
    <t>Chhatak</t>
  </si>
  <si>
    <t>Mirsorai</t>
  </si>
  <si>
    <t>Coxsbazar</t>
  </si>
  <si>
    <t>Modern</t>
  </si>
  <si>
    <t>Cumilla(N)</t>
  </si>
  <si>
    <t>Mogbazar</t>
  </si>
  <si>
    <t>Cumilla(S)</t>
  </si>
  <si>
    <t>Munshiganj</t>
  </si>
  <si>
    <t>Naogaon</t>
  </si>
  <si>
    <t>Dummy-4</t>
  </si>
  <si>
    <t>Narshingdi</t>
  </si>
  <si>
    <t>Netrakona</t>
  </si>
  <si>
    <t>Gollamari</t>
  </si>
  <si>
    <t>New</t>
  </si>
  <si>
    <t>Niamatpur</t>
  </si>
  <si>
    <t>Panchagarh</t>
  </si>
  <si>
    <t>Jaldhaka</t>
  </si>
  <si>
    <t>09:00</t>
  </si>
  <si>
    <t>23:00</t>
  </si>
  <si>
    <t>6.00</t>
  </si>
  <si>
    <t>128</t>
  </si>
  <si>
    <t>140</t>
  </si>
  <si>
    <t>143</t>
  </si>
  <si>
    <t xml:space="preserve">Low Water Level </t>
  </si>
  <si>
    <t>Gas shortage.</t>
  </si>
  <si>
    <t xml:space="preserve">Barapukuria Unit-1,2, Ghorashal Unit-3,5, Siddhirganj TPP,Haripur SBU, Sikalbaha 225 &amp; 150 MW, Tongi GTPP, </t>
  </si>
  <si>
    <t>Sirajganj Unit 1 &amp;2, Meghnaghat Summit, Raozan # 1,2  are shut down due to gas shortage.</t>
  </si>
  <si>
    <t>27.8° C</t>
  </si>
  <si>
    <t>27.4° C</t>
  </si>
  <si>
    <t>About 75 MW power interruption occurred under</t>
  </si>
  <si>
    <t>Kodda S/S area from 08:50 to 18:11.</t>
  </si>
  <si>
    <t>c) Payra 132 kV Bus-1 &amp; Bus-2 were under shut down from 09:31 to 21:14 for D/W.</t>
  </si>
  <si>
    <t>d) Payra-Gopalganj 400 kV Ckt-2 was switched on at 08:33.</t>
  </si>
  <si>
    <t xml:space="preserve">e) Shahjibazar-Bibiyana 230 kV Ckt-2 tripped at 08:42 showing Dist. Z1 at Shahjibazar end and E/F relay,Auto reclose </t>
  </si>
  <si>
    <t xml:space="preserve">  at Bibiyana end and was switched on at 11:33.</t>
  </si>
  <si>
    <t xml:space="preserve"> এবং শিডিউল অনুযায়ী শাটডাউন প্রদান করা। আউটেজপ্রতিপালায় আমদানির মনিটরিং উৎপাদনের চাহিদা ও উৎপাদেনর সমন্বয়ের মাধ্যমে সিস্টেম ফ্রিকুয়েন্সি গ্রিড কোড অনুযায়ী ৫০±১%(৪৯.৫-৫০.৫) হার্জ বজায় রাখার প্রচেষ্টা করা। </t>
  </si>
  <si>
    <t>g) Ullon-Siddhirganj 132 kV Ckt-1 was under shut down from 09:58 to 18:21 for A/M.</t>
  </si>
  <si>
    <t>h) Halishahar 132 kV Bus was under shut down from 10:25 to 12:30 for A/M.</t>
  </si>
  <si>
    <t>About 17 MW power interruption occurred under</t>
  </si>
  <si>
    <t>Halishahar S/S area from10:25 to 12:30.</t>
  </si>
  <si>
    <t>i) Ashuganj(South) 450 MW STG was forced shut down at 12:38 due to  problem with cooling water pump and was</t>
  </si>
  <si>
    <t xml:space="preserve">  synchronized at 17:04.</t>
  </si>
  <si>
    <t>j) Payra unit-1 was synchronized at 18:01.</t>
  </si>
  <si>
    <t>k) Baghabari 230/132 kV T-2 transformer tripped at 10:30 showing L/O,E/F relay at 230 kV side and was switched on</t>
  </si>
  <si>
    <t xml:space="preserve">  at 12:39.</t>
  </si>
  <si>
    <t>l) Rampura 230/132 kV T-3  transformer was under shut down from 08:52 to 18:01 for A/M.</t>
  </si>
  <si>
    <t>m) Ullon 132/33 kV T-2 transformer tripped at 16:53 showing O/C relay at 33 kV side and was switched on at 18:27.</t>
  </si>
  <si>
    <t>n) Chowmuhoni S/S-Chowmuhoni 113 MW P.P. 132 kV Ckt was under shut down from 09:25 to 19:48 for C/M.</t>
  </si>
  <si>
    <t>About 10 MW power interruption occurred under</t>
  </si>
  <si>
    <t>p) Payra 132 kV S/S 400/132 kV T02 transformer was charged at 02:45(08/1/20222) through 400 kV Ckt.</t>
  </si>
  <si>
    <t>q) Shympur 230/132 kV T02 transformer was shut down at 07:33(08/1/2022) for A/M.</t>
  </si>
  <si>
    <t>f) Sonargaon 132/33 kV T-1 transformer was under shut down from 08:42 to15:19 for A/M.</t>
  </si>
  <si>
    <t>o) Char-Saidpur 132/33 kV T-2 transformer tripped at 20:12 showing O/C &amp; E/F relay and was switched on at 21:10.</t>
  </si>
  <si>
    <t>Char-Saidpur S/S area from20:12 to 21:10.</t>
  </si>
  <si>
    <t>a) Barishal(N)-Bhola 230 kV Ckt-2 was under shut down from 09:08 to 16:37 for A/M.</t>
  </si>
  <si>
    <t>b) Kodda 132/33 kV T-4  transformer and 33 kV Bus were under shut down from 08:50 to 18:11 for D/W.</t>
  </si>
  <si>
    <t>r) Aminbazar-Mirpur 132 kV Ckt-1 was shut down at 07:47(08/1/2022) fro D/W.</t>
  </si>
  <si>
    <t>About 70 MW power interruption occurred under</t>
  </si>
  <si>
    <t>s) Narsingdi 33 kV full Bus was shut down at 07:40(08/1/2022) for C/M by PBS.</t>
  </si>
  <si>
    <t xml:space="preserve">Narsingdi S/S area since 07:40(08/1/2022) to </t>
  </si>
  <si>
    <t>till now.</t>
  </si>
  <si>
    <t>6) Raozan unit-1 &amp; 2</t>
  </si>
  <si>
    <t>8218 MW (19:30 )</t>
  </si>
  <si>
    <t>6932 MW (12:00 )</t>
  </si>
  <si>
    <t xml:space="preserve">Total Energy Gen 166.234 MKWHr 
Energy Not Served   0.000 MKWHr 
Energy Requirement     166.234 MKWHr </t>
  </si>
</sst>
</file>

<file path=xl/styles.xml><?xml version="1.0" encoding="utf-8"?>
<styleSheet xmlns="http://schemas.openxmlformats.org/spreadsheetml/2006/main">
  <numFmts count="32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"/>
    <numFmt numFmtId="166" formatCode="_-* #,##0_-;\-* #,##0_-;_-* &quot;-&quot;??_-;_-@_-"/>
    <numFmt numFmtId="167" formatCode="h:mm;@"/>
    <numFmt numFmtId="168" formatCode="0;[Red]0"/>
    <numFmt numFmtId="169" formatCode="dd/mm/yy;@"/>
    <numFmt numFmtId="170" formatCode="dd\.mm\.yyyy;@"/>
    <numFmt numFmtId="171" formatCode="[$-409]dd\-mmm\-yy;@"/>
    <numFmt numFmtId="172" formatCode="0.0%"/>
    <numFmt numFmtId="173" formatCode="[$-809]dd\ mmmm\ yyyy;@"/>
    <numFmt numFmtId="174" formatCode="mmm\-yyyy"/>
    <numFmt numFmtId="175" formatCode="mmm/yyyy"/>
    <numFmt numFmtId="176" formatCode="[$-F400]h:mm:ss\ AM/PM"/>
    <numFmt numFmtId="177" formatCode="0.000"/>
    <numFmt numFmtId="178" formatCode="0.000%"/>
    <numFmt numFmtId="179" formatCode="[$-5000445]0"/>
    <numFmt numFmtId="180" formatCode="mmmm\ d\,\ yyyy"/>
    <numFmt numFmtId="181" formatCode="&quot;Tk&quot;#,##0"/>
    <numFmt numFmtId="182" formatCode="0_);\(0\)"/>
    <numFmt numFmtId="183" formatCode="00\-00"/>
    <numFmt numFmtId="184" formatCode="[$-F800]dddd\,\ mmmm\ dd\,\ yyyy"/>
    <numFmt numFmtId="185" formatCode="hh:mm:ss;@"/>
    <numFmt numFmtId="186" formatCode="0.0000"/>
    <numFmt numFmtId="187" formatCode="[$-409]dddd\,\ mmmm\ dd\,\ yyyy"/>
    <numFmt numFmtId="188" formatCode="0.00;[Red]0.00"/>
    <numFmt numFmtId="189" formatCode="[hh]:mm"/>
    <numFmt numFmtId="190" formatCode="[hh]&quot;:&quot;mm"/>
    <numFmt numFmtId="191" formatCode="[$-409]d\-mmm;@"/>
    <numFmt numFmtId="192" formatCode="_(* #,##0_);_(* \(#,##0\);_(* &quot;-&quot;??_);_(@_)"/>
  </numFmts>
  <fonts count="603">
    <font>
      <sz val="11"/>
      <color theme="1"/>
      <name val="Calibri"/>
      <family val="2"/>
      <scheme val="minor"/>
    </font>
    <font>
      <sz val="20"/>
      <color indexed="12"/>
      <name val="Arial"/>
      <family val="2"/>
    </font>
    <font>
      <sz val="12"/>
      <name val="Arial"/>
      <family val="2"/>
    </font>
    <font>
      <b/>
      <sz val="20"/>
      <color indexed="16"/>
      <name val="Arial"/>
      <family val="2"/>
    </font>
    <font>
      <sz val="12"/>
      <color indexed="8"/>
      <name val="Arial"/>
      <family val="2"/>
    </font>
    <font>
      <b/>
      <sz val="20"/>
      <color indexed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3"/>
      <name val="Arial"/>
      <family val="2"/>
    </font>
    <font>
      <sz val="13"/>
      <color indexed="12"/>
      <name val="Arial"/>
      <family val="2"/>
    </font>
    <font>
      <sz val="12"/>
      <name val="SutonnyMJ"/>
    </font>
    <font>
      <b/>
      <sz val="12"/>
      <name val="SutonnyMJ"/>
    </font>
    <font>
      <sz val="12"/>
      <color indexed="16"/>
      <name val="SutonnyMJ"/>
    </font>
    <font>
      <sz val="11"/>
      <color indexed="8"/>
      <name val="SutonnyMJ"/>
    </font>
    <font>
      <sz val="11"/>
      <name val="SutonnyMJ"/>
    </font>
    <font>
      <sz val="12"/>
      <color indexed="61"/>
      <name val="SutonnyMJ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  <font>
      <sz val="10"/>
      <color indexed="10"/>
      <name val="Times New Roman"/>
      <family val="1"/>
    </font>
    <font>
      <sz val="11"/>
      <name val="Times New Roman"/>
      <family val="1"/>
    </font>
    <font>
      <sz val="10"/>
      <color indexed="12"/>
      <name val="Times New Roman"/>
      <family val="1"/>
    </font>
    <font>
      <sz val="10"/>
      <color indexed="8"/>
      <name val="Times New Roman"/>
      <family val="1"/>
    </font>
    <font>
      <sz val="10"/>
      <color indexed="16"/>
      <name val="Times New Roman"/>
      <family val="1"/>
    </font>
    <font>
      <b/>
      <u/>
      <sz val="10"/>
      <name val="Times New Roman"/>
      <family val="1"/>
    </font>
    <font>
      <i/>
      <sz val="10"/>
      <name val="Times New Roman"/>
      <family val="1"/>
    </font>
    <font>
      <sz val="20"/>
      <color indexed="16"/>
      <name val="Arial"/>
      <family val="2"/>
    </font>
    <font>
      <b/>
      <sz val="14"/>
      <color indexed="12"/>
      <name val="Arial"/>
      <family val="2"/>
    </font>
    <font>
      <sz val="16"/>
      <color indexed="12"/>
      <name val="Arial"/>
      <family val="2"/>
    </font>
    <font>
      <b/>
      <sz val="20"/>
      <color indexed="43"/>
      <name val="Arial"/>
      <family val="2"/>
    </font>
    <font>
      <sz val="20"/>
      <color indexed="43"/>
      <name val="Arial"/>
      <family val="2"/>
    </font>
    <font>
      <sz val="20"/>
      <name val="Arial"/>
      <family val="2"/>
    </font>
    <font>
      <sz val="12"/>
      <color indexed="16"/>
      <name val="Arial"/>
      <family val="2"/>
    </font>
    <font>
      <b/>
      <sz val="16"/>
      <color indexed="9"/>
      <name val="Arial"/>
      <family val="2"/>
    </font>
    <font>
      <b/>
      <sz val="14"/>
      <color indexed="59"/>
      <name val="Arial"/>
      <family val="2"/>
    </font>
    <font>
      <b/>
      <sz val="14"/>
      <color indexed="20"/>
      <name val="Arial"/>
      <family val="2"/>
    </font>
    <font>
      <sz val="18"/>
      <name val="Arial"/>
      <family val="2"/>
    </font>
    <font>
      <sz val="14"/>
      <color indexed="59"/>
      <name val="Arial"/>
      <family val="2"/>
    </font>
    <font>
      <sz val="10"/>
      <color indexed="16"/>
      <name val="Arial"/>
      <family val="2"/>
    </font>
    <font>
      <b/>
      <sz val="11"/>
      <color indexed="8"/>
      <name val="Calibri"/>
      <family val="2"/>
    </font>
    <font>
      <sz val="14"/>
      <name val="Arial"/>
      <family val="2"/>
    </font>
    <font>
      <b/>
      <sz val="18"/>
      <name val="Arial"/>
      <family val="2"/>
    </font>
    <font>
      <sz val="8"/>
      <color indexed="16"/>
      <name val="Times New Roman"/>
      <family val="1"/>
    </font>
    <font>
      <sz val="12"/>
      <color indexed="12"/>
      <name val="Arial"/>
      <family val="2"/>
    </font>
    <font>
      <sz val="12"/>
      <color indexed="12"/>
      <name val="Times New Roman"/>
      <family val="1"/>
    </font>
    <font>
      <b/>
      <sz val="11"/>
      <color indexed="16"/>
      <name val="Arial"/>
      <family val="2"/>
    </font>
    <font>
      <sz val="11"/>
      <color indexed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color indexed="10"/>
      <name val="Arial"/>
      <family val="2"/>
    </font>
    <font>
      <sz val="11"/>
      <color indexed="8"/>
      <name val="Arial"/>
      <family val="2"/>
    </font>
    <font>
      <b/>
      <u/>
      <sz val="11"/>
      <name val="Arial"/>
      <family val="2"/>
    </font>
    <font>
      <b/>
      <sz val="14"/>
      <name val="Arial"/>
      <family val="2"/>
    </font>
    <font>
      <u/>
      <sz val="14"/>
      <name val="Arial"/>
      <family val="2"/>
    </font>
    <font>
      <sz val="24"/>
      <color indexed="12"/>
      <name val="Arial"/>
      <family val="2"/>
    </font>
    <font>
      <sz val="11"/>
      <color indexed="10"/>
      <name val="Arial"/>
      <family val="2"/>
    </font>
    <font>
      <b/>
      <sz val="20"/>
      <name val="Arial"/>
      <family val="2"/>
    </font>
    <font>
      <b/>
      <sz val="11"/>
      <color indexed="12"/>
      <name val="Arial"/>
      <family val="2"/>
    </font>
    <font>
      <sz val="26"/>
      <name val="Arial"/>
      <family val="2"/>
    </font>
    <font>
      <b/>
      <sz val="20"/>
      <name val="SutonnyMJ"/>
    </font>
    <font>
      <sz val="10"/>
      <name val="Arial"/>
      <family val="2"/>
    </font>
    <font>
      <u/>
      <sz val="14"/>
      <color indexed="12"/>
      <name val="Arial"/>
      <family val="2"/>
    </font>
    <font>
      <b/>
      <sz val="12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b/>
      <sz val="10"/>
      <color rgb="FFFFFF00"/>
      <name val="Times New Roman"/>
      <family val="1"/>
    </font>
    <font>
      <sz val="20"/>
      <color rgb="FF0000CC"/>
      <name val="Arial"/>
      <family val="2"/>
    </font>
    <font>
      <sz val="8"/>
      <color theme="1"/>
      <name val="Arial"/>
      <family val="2"/>
    </font>
    <font>
      <sz val="18"/>
      <color theme="1"/>
      <name val="Arial"/>
      <family val="2"/>
    </font>
    <font>
      <b/>
      <sz val="11"/>
      <color theme="1"/>
      <name val="Times New Roman"/>
      <family val="1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SutonnyMJ"/>
    </font>
    <font>
      <sz val="11"/>
      <color theme="1"/>
      <name val="SutonnyMJ"/>
    </font>
    <font>
      <sz val="12"/>
      <color theme="1"/>
      <name val="RinkiyMJ"/>
    </font>
    <font>
      <b/>
      <sz val="1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sz val="14"/>
      <color theme="1"/>
      <name val="SugondhaEMJ "/>
    </font>
    <font>
      <sz val="26"/>
      <color theme="1"/>
      <name val="Arial"/>
      <family val="2"/>
    </font>
    <font>
      <sz val="24"/>
      <color theme="5" tint="-0.249977111117893"/>
      <name val="Arial"/>
      <family val="2"/>
    </font>
    <font>
      <sz val="24"/>
      <color rgb="FF0000CC"/>
      <name val="Arial"/>
      <family val="2"/>
    </font>
    <font>
      <sz val="24"/>
      <color rgb="FF0000FF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Arial"/>
      <family val="2"/>
    </font>
    <font>
      <sz val="36"/>
      <color theme="1"/>
      <name val="Arial"/>
      <family val="2"/>
    </font>
    <font>
      <sz val="11"/>
      <color rgb="FFFF0000"/>
      <name val="Arial"/>
      <family val="2"/>
    </font>
    <font>
      <sz val="22"/>
      <color theme="1"/>
      <name val="Arial"/>
      <family val="2"/>
    </font>
    <font>
      <sz val="28"/>
      <color theme="1"/>
      <name val="Arial"/>
      <family val="2"/>
    </font>
    <font>
      <sz val="16"/>
      <color theme="1"/>
      <name val="Arial"/>
      <family val="2"/>
    </font>
    <font>
      <sz val="14"/>
      <color rgb="FF0000FF"/>
      <name val="Arial"/>
      <family val="2"/>
    </font>
    <font>
      <b/>
      <sz val="14"/>
      <color theme="1"/>
      <name val="Arial"/>
      <family val="2"/>
    </font>
    <font>
      <b/>
      <sz val="14"/>
      <color rgb="FFCCFFCC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color indexed="9"/>
      <name val="Arial"/>
      <family val="2"/>
    </font>
    <font>
      <sz val="14"/>
      <color indexed="9"/>
      <name val="Arial"/>
      <family val="2"/>
    </font>
    <font>
      <b/>
      <sz val="11"/>
      <color indexed="17"/>
      <name val="Arial"/>
      <family val="2"/>
    </font>
    <font>
      <b/>
      <sz val="16"/>
      <color rgb="FF800000"/>
      <name val="Arial"/>
      <family val="2"/>
    </font>
    <font>
      <b/>
      <sz val="20"/>
      <color rgb="FF800000"/>
      <name val="Arial"/>
      <family val="2"/>
    </font>
    <font>
      <b/>
      <sz val="22"/>
      <color rgb="FF800000"/>
      <name val="Arial"/>
      <family val="2"/>
    </font>
    <font>
      <b/>
      <sz val="24"/>
      <color rgb="FF800000"/>
      <name val="Arial"/>
      <family val="2"/>
    </font>
    <font>
      <b/>
      <sz val="16.8"/>
      <color rgb="FF800000"/>
      <name val="Arial"/>
      <family val="2"/>
    </font>
    <font>
      <b/>
      <sz val="15"/>
      <color rgb="FF800000"/>
      <name val="Arial"/>
      <family val="2"/>
    </font>
    <font>
      <sz val="16"/>
      <name val="Arial"/>
      <family val="2"/>
    </font>
    <font>
      <sz val="10"/>
      <color rgb="FF0909F7"/>
      <name val="Arial"/>
      <family val="2"/>
    </font>
    <font>
      <b/>
      <sz val="10"/>
      <color rgb="FF0909F7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  <font>
      <b/>
      <sz val="12"/>
      <color rgb="FF0909F7"/>
      <name val="Arial"/>
      <family val="2"/>
    </font>
    <font>
      <sz val="10"/>
      <color indexed="57"/>
      <name val="Arial"/>
      <family val="2"/>
    </font>
    <font>
      <sz val="10"/>
      <color indexed="56"/>
      <name val="Arial"/>
      <family val="2"/>
    </font>
    <font>
      <u/>
      <sz val="10"/>
      <name val="Arial"/>
      <family val="2"/>
    </font>
    <font>
      <sz val="14"/>
      <color indexed="12"/>
      <name val="Arial"/>
      <family val="2"/>
    </font>
    <font>
      <sz val="14"/>
      <color indexed="8"/>
      <name val="Arial"/>
      <family val="2"/>
    </font>
    <font>
      <b/>
      <sz val="14"/>
      <color indexed="8"/>
      <name val="Arial"/>
      <family val="2"/>
    </font>
    <font>
      <sz val="11"/>
      <color indexed="11"/>
      <name val="Arial"/>
      <family val="2"/>
    </font>
    <font>
      <sz val="11"/>
      <color indexed="53"/>
      <name val="Arial"/>
      <family val="2"/>
    </font>
    <font>
      <b/>
      <sz val="12"/>
      <color theme="1"/>
      <name val="Arial"/>
      <family val="2"/>
    </font>
    <font>
      <sz val="11"/>
      <color indexed="18"/>
      <name val="Arial"/>
      <family val="2"/>
    </font>
    <font>
      <sz val="13"/>
      <color theme="1"/>
      <name val="Arial"/>
      <family val="2"/>
    </font>
    <font>
      <u/>
      <sz val="11"/>
      <name val="Arial"/>
      <family val="2"/>
    </font>
    <font>
      <b/>
      <sz val="12"/>
      <color indexed="8"/>
      <name val="Arial"/>
      <family val="2"/>
    </font>
    <font>
      <sz val="12"/>
      <color indexed="8"/>
      <name val="Times New Roman"/>
      <family val="1"/>
    </font>
    <font>
      <sz val="10.5"/>
      <color rgb="FF0909F7"/>
      <name val="Arial"/>
      <family val="2"/>
    </font>
    <font>
      <sz val="9"/>
      <name val="Arial"/>
      <family val="2"/>
    </font>
    <font>
      <b/>
      <sz val="10"/>
      <name val="Times New Roman"/>
      <family val="1"/>
    </font>
    <font>
      <u/>
      <sz val="14"/>
      <name val="Times New Roman"/>
      <family val="1"/>
    </font>
    <font>
      <b/>
      <u/>
      <sz val="16"/>
      <name val="Times New Roman"/>
      <family val="1"/>
    </font>
    <font>
      <i/>
      <sz val="12"/>
      <name val="Times New Roman"/>
      <family val="1"/>
    </font>
    <font>
      <sz val="12"/>
      <name val="Times New Roman"/>
      <family val="1"/>
    </font>
    <font>
      <sz val="13"/>
      <name val="Times New Roman"/>
      <family val="1"/>
    </font>
    <font>
      <sz val="11"/>
      <color theme="1" tint="0.14999847407452621"/>
      <name val="Times New Roman"/>
      <family val="1"/>
    </font>
    <font>
      <sz val="11"/>
      <color indexed="12"/>
      <name val="Times New Roman"/>
      <family val="1"/>
    </font>
    <font>
      <u/>
      <sz val="12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4"/>
      <name val="Times New Roman"/>
      <family val="1"/>
    </font>
    <font>
      <b/>
      <sz val="14"/>
      <name val="Times New Roman"/>
      <family val="1"/>
    </font>
    <font>
      <b/>
      <sz val="14"/>
      <color indexed="16"/>
      <name val="Arial"/>
      <family val="2"/>
    </font>
    <font>
      <sz val="14"/>
      <color indexed="16"/>
      <name val="Arial"/>
      <family val="2"/>
    </font>
    <font>
      <sz val="11"/>
      <color indexed="10"/>
      <name val="Times New Roman"/>
      <family val="1"/>
    </font>
    <font>
      <b/>
      <sz val="14"/>
      <color indexed="16"/>
      <name val="Times New Roman"/>
      <family val="1"/>
    </font>
    <font>
      <sz val="16"/>
      <color indexed="16"/>
      <name val="Arial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9" tint="-0.499984740745262"/>
      <name val="Arial"/>
      <family val="2"/>
    </font>
    <font>
      <b/>
      <sz val="18"/>
      <color indexed="16"/>
      <name val="Times New Roman"/>
      <family val="1"/>
    </font>
    <font>
      <sz val="13.5"/>
      <name val="Times New Roman"/>
      <family val="1"/>
    </font>
    <font>
      <sz val="12"/>
      <color rgb="FF0909F7"/>
      <name val="Times New Roman"/>
      <family val="1"/>
    </font>
    <font>
      <i/>
      <sz val="16"/>
      <color indexed="12"/>
      <name val="Arial"/>
      <family val="2"/>
    </font>
    <font>
      <sz val="10"/>
      <color indexed="60"/>
      <name val="Arial"/>
      <family val="2"/>
    </font>
    <font>
      <sz val="8"/>
      <color indexed="60"/>
      <name val="Arial"/>
      <family val="2"/>
    </font>
    <font>
      <i/>
      <sz val="12"/>
      <color indexed="12"/>
      <name val="Arial"/>
      <family val="2"/>
    </font>
    <font>
      <sz val="12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rgb="FFFF33CC"/>
      <name val="Arial"/>
      <family val="2"/>
    </font>
    <font>
      <sz val="10"/>
      <color theme="1" tint="0.14999847407452621"/>
      <name val="Arial"/>
      <family val="2"/>
    </font>
    <font>
      <b/>
      <sz val="11"/>
      <color rgb="FF000000"/>
      <name val="Arial"/>
      <family val="2"/>
    </font>
    <font>
      <sz val="16"/>
      <color indexed="8"/>
      <name val="Arial"/>
      <family val="2"/>
    </font>
    <font>
      <b/>
      <sz val="12"/>
      <color indexed="17"/>
      <name val="Arial"/>
      <family val="2"/>
    </font>
    <font>
      <sz val="10"/>
      <color rgb="FF000080"/>
      <name val="Arial"/>
      <family val="2"/>
    </font>
    <font>
      <b/>
      <i/>
      <sz val="10"/>
      <color indexed="12"/>
      <name val="Arial"/>
      <family val="2"/>
    </font>
    <font>
      <b/>
      <sz val="14"/>
      <color indexed="17"/>
      <name val="Arial"/>
      <family val="2"/>
    </font>
    <font>
      <sz val="11"/>
      <color indexed="17"/>
      <name val="Arial"/>
      <family val="2"/>
    </font>
    <font>
      <b/>
      <sz val="9"/>
      <name val="Arial"/>
      <family val="2"/>
    </font>
    <font>
      <sz val="10.5"/>
      <color theme="1"/>
      <name val="Times New Roman"/>
      <family val="1"/>
    </font>
    <font>
      <sz val="16"/>
      <color rgb="FF0000FF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color indexed="9"/>
      <name val="Arial"/>
      <family val="2"/>
    </font>
    <font>
      <sz val="10"/>
      <color rgb="FF0000FF"/>
      <name val="Arial"/>
      <family val="2"/>
    </font>
    <font>
      <sz val="10"/>
      <color theme="1"/>
      <name val="Times New Roman"/>
      <family val="1"/>
    </font>
    <font>
      <sz val="12"/>
      <name val="Calibri"/>
      <family val="2"/>
      <scheme val="minor"/>
    </font>
    <font>
      <sz val="13"/>
      <name val="SutonnyMJ"/>
    </font>
    <font>
      <b/>
      <sz val="18"/>
      <color theme="1"/>
      <name val="Arial"/>
      <family val="2"/>
    </font>
    <font>
      <b/>
      <sz val="14"/>
      <color theme="0"/>
      <name val="Arial"/>
      <family val="2"/>
    </font>
    <font>
      <sz val="14"/>
      <color rgb="FF0909F7"/>
      <name val="Arial"/>
      <family val="2"/>
    </font>
    <font>
      <b/>
      <i/>
      <sz val="14"/>
      <color rgb="FF0909F7"/>
      <name val="Arial"/>
      <family val="2"/>
    </font>
    <font>
      <i/>
      <sz val="14"/>
      <color rgb="FF0909F7"/>
      <name val="Arial"/>
      <family val="2"/>
    </font>
    <font>
      <sz val="14"/>
      <color rgb="FFFF0000"/>
      <name val="Arial"/>
      <family val="2"/>
    </font>
    <font>
      <sz val="14"/>
      <color theme="0"/>
      <name val="Arial"/>
      <family val="2"/>
    </font>
    <font>
      <sz val="22"/>
      <name val="Arial"/>
      <family val="2"/>
    </font>
    <font>
      <sz val="8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rgb="FF0000FF"/>
      <name val="Arial"/>
      <family val="2"/>
    </font>
    <font>
      <b/>
      <sz val="11"/>
      <color indexed="8"/>
      <name val="Bookman Old Style"/>
      <family val="1"/>
    </font>
    <font>
      <b/>
      <u/>
      <sz val="11"/>
      <color indexed="8"/>
      <name val="Bookman Old Style"/>
      <family val="1"/>
    </font>
    <font>
      <sz val="10"/>
      <name val="Arial"/>
      <family val="2"/>
    </font>
    <font>
      <sz val="9"/>
      <color theme="1"/>
      <name val="Arial"/>
      <family val="2"/>
    </font>
    <font>
      <b/>
      <sz val="18"/>
      <color indexed="16"/>
      <name val="Arial"/>
      <family val="2"/>
    </font>
    <font>
      <sz val="18"/>
      <color rgb="FF0000CC"/>
      <name val="Arial"/>
      <family val="2"/>
    </font>
    <font>
      <sz val="18"/>
      <color indexed="12"/>
      <name val="Arial"/>
      <family val="2"/>
    </font>
    <font>
      <sz val="16"/>
      <name val="Arial"/>
      <family val="2"/>
    </font>
    <font>
      <sz val="16"/>
      <color theme="0"/>
      <name val="Arial"/>
      <family val="2"/>
    </font>
    <font>
      <b/>
      <sz val="28"/>
      <name val="Arial"/>
      <family val="2"/>
    </font>
    <font>
      <sz val="18"/>
      <color rgb="FF0000FF"/>
      <name val="Calibri"/>
      <family val="2"/>
      <scheme val="minor"/>
    </font>
    <font>
      <sz val="16"/>
      <color rgb="FF0000FF"/>
      <name val="Arial"/>
      <family val="2"/>
    </font>
    <font>
      <sz val="12"/>
      <color theme="0"/>
      <name val="Arial"/>
      <family val="2"/>
    </font>
    <font>
      <sz val="16"/>
      <color indexed="8"/>
      <name val="Arial"/>
      <family val="2"/>
    </font>
    <font>
      <sz val="14"/>
      <name val="Calibri"/>
      <family val="2"/>
      <scheme val="minor"/>
    </font>
    <font>
      <b/>
      <i/>
      <sz val="14"/>
      <name val="Arial"/>
      <family val="2"/>
    </font>
    <font>
      <i/>
      <sz val="14"/>
      <name val="Arial"/>
      <family val="2"/>
    </font>
    <font>
      <u/>
      <sz val="18"/>
      <name val="Arial"/>
      <family val="2"/>
    </font>
    <font>
      <sz val="18"/>
      <color theme="1"/>
      <name val="SugondhaEMJ "/>
    </font>
    <font>
      <b/>
      <sz val="22"/>
      <name val="Arial"/>
      <family val="2"/>
    </font>
    <font>
      <sz val="12"/>
      <name val="Arial"/>
      <family val="2"/>
    </font>
    <font>
      <sz val="8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1"/>
      <name val="Arial"/>
      <family val="2"/>
    </font>
    <font>
      <sz val="14"/>
      <color indexed="20"/>
      <name val="Arial"/>
      <family val="2"/>
    </font>
    <font>
      <i/>
      <sz val="11"/>
      <color rgb="FFC00000"/>
      <name val="Calibri"/>
      <family val="2"/>
      <scheme val="minor"/>
    </font>
    <font>
      <sz val="12"/>
      <color rgb="FFFF0000"/>
      <name val="Arial"/>
      <family val="2"/>
    </font>
    <font>
      <sz val="11"/>
      <color theme="1" tint="4.9989318521683403E-2"/>
      <name val="Arial"/>
      <family val="2"/>
    </font>
    <font>
      <sz val="16"/>
      <color rgb="FFC00000"/>
      <name val="Arial"/>
      <family val="2"/>
    </font>
    <font>
      <sz val="16"/>
      <color theme="0"/>
      <name val="Arial"/>
      <family val="2"/>
    </font>
    <font>
      <b/>
      <sz val="14"/>
      <color indexed="59"/>
      <name val="Arial"/>
      <family val="2"/>
    </font>
    <font>
      <sz val="14"/>
      <color indexed="16"/>
      <name val="Arial"/>
      <family val="2"/>
    </font>
    <font>
      <sz val="14"/>
      <name val="Arial"/>
      <family val="2"/>
    </font>
    <font>
      <b/>
      <sz val="20"/>
      <color theme="0"/>
      <name val="Arial"/>
      <family val="2"/>
    </font>
    <font>
      <sz val="16"/>
      <color rgb="FF0000FF"/>
      <name val="Arial"/>
      <family val="2"/>
    </font>
    <font>
      <sz val="18"/>
      <color theme="1"/>
      <name val="Arial"/>
      <family val="2"/>
    </font>
    <font>
      <sz val="18"/>
      <color rgb="FF0000CC"/>
      <name val="Arial"/>
      <family val="2"/>
    </font>
    <font>
      <sz val="18"/>
      <color indexed="12"/>
      <name val="Arial"/>
      <family val="2"/>
    </font>
    <font>
      <sz val="16"/>
      <color rgb="FFFF0000"/>
      <name val="Arial"/>
      <family val="2"/>
    </font>
    <font>
      <sz val="11"/>
      <color theme="1"/>
      <name val="Arial"/>
      <family val="2"/>
    </font>
    <font>
      <sz val="16"/>
      <color theme="0"/>
      <name val="Arial"/>
      <family val="2"/>
    </font>
    <font>
      <b/>
      <sz val="11"/>
      <color rgb="FFFF0000"/>
      <name val="Arial"/>
      <family val="2"/>
    </font>
    <font>
      <sz val="20"/>
      <color indexed="20"/>
      <name val="Arial"/>
      <family val="2"/>
    </font>
    <font>
      <sz val="6"/>
      <color theme="1"/>
      <name val="Arial"/>
      <family val="2"/>
    </font>
    <font>
      <sz val="9"/>
      <color theme="1"/>
      <name val="Arial"/>
      <family val="2"/>
    </font>
    <font>
      <sz val="9"/>
      <name val="SutonnyMJ"/>
    </font>
    <font>
      <sz val="9"/>
      <color indexed="61"/>
      <name val="SutonnyMJ"/>
    </font>
    <font>
      <sz val="13"/>
      <name val="Times New Roman"/>
      <family val="1"/>
    </font>
    <font>
      <sz val="12"/>
      <name val="Times New Roman"/>
      <family val="1"/>
    </font>
    <font>
      <sz val="11"/>
      <color indexed="12"/>
      <name val="Times New Roman"/>
      <family val="1"/>
    </font>
    <font>
      <b/>
      <sz val="18"/>
      <name val="Arial"/>
      <family val="2"/>
    </font>
    <font>
      <sz val="22"/>
      <color theme="1"/>
      <name val="Times New Roman"/>
      <family val="1"/>
    </font>
    <font>
      <sz val="22"/>
      <color indexed="16"/>
      <name val="Arial"/>
      <family val="2"/>
    </font>
    <font>
      <sz val="18"/>
      <color theme="1"/>
      <name val="Times New Roman"/>
      <family val="1"/>
    </font>
    <font>
      <sz val="24"/>
      <color theme="1"/>
      <name val="Arial"/>
      <family val="2"/>
    </font>
    <font>
      <b/>
      <sz val="10"/>
      <name val="SutonnyMJ"/>
    </font>
    <font>
      <sz val="18"/>
      <color indexed="16"/>
      <name val="Times New Roman"/>
      <family val="1"/>
    </font>
    <font>
      <sz val="18"/>
      <color theme="1"/>
      <name val="Times New Roman"/>
      <family val="1"/>
    </font>
    <font>
      <sz val="20"/>
      <name val="Arial"/>
      <family val="2"/>
    </font>
    <font>
      <sz val="18"/>
      <name val="Times New Roman"/>
      <family val="1"/>
    </font>
    <font>
      <sz val="16"/>
      <color rgb="FF0000FF"/>
      <name val="Arial"/>
      <family val="2"/>
    </font>
    <font>
      <sz val="22"/>
      <color theme="1"/>
      <name val="Arial"/>
      <family val="2"/>
    </font>
    <font>
      <b/>
      <sz val="24"/>
      <color theme="1"/>
      <name val="Calibri"/>
      <family val="2"/>
      <scheme val="minor"/>
    </font>
    <font>
      <sz val="12"/>
      <color indexed="8"/>
      <name val="Arial"/>
      <family val="2"/>
    </font>
    <font>
      <sz val="12"/>
      <name val="Arial"/>
      <family val="2"/>
    </font>
    <font>
      <b/>
      <sz val="22"/>
      <name val="Arial"/>
      <family val="2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Arial"/>
      <family val="2"/>
    </font>
    <font>
      <b/>
      <sz val="12"/>
      <name val="Arial"/>
      <family val="2"/>
    </font>
    <font>
      <b/>
      <sz val="14"/>
      <color indexed="59"/>
      <name val="Arial"/>
      <family val="2"/>
    </font>
    <font>
      <sz val="11"/>
      <color theme="1"/>
      <name val="Arial"/>
      <family val="2"/>
    </font>
    <font>
      <sz val="10"/>
      <color rgb="FF0000FF"/>
      <name val="Calibri"/>
      <family val="2"/>
      <scheme val="minor"/>
    </font>
    <font>
      <sz val="16"/>
      <color indexed="12"/>
      <name val="Arial"/>
      <family val="2"/>
    </font>
    <font>
      <b/>
      <sz val="12"/>
      <color indexed="9"/>
      <name val="Arial"/>
      <family val="2"/>
    </font>
    <font>
      <sz val="10"/>
      <color theme="0"/>
      <name val="Arial"/>
      <family val="2"/>
    </font>
    <font>
      <sz val="18"/>
      <color theme="1"/>
      <name val="Arial"/>
      <family val="2"/>
    </font>
    <font>
      <sz val="22"/>
      <color theme="1"/>
      <name val="Arial"/>
      <family val="2"/>
    </font>
    <font>
      <sz val="10"/>
      <color indexed="9"/>
      <name val="Arial"/>
      <family val="2"/>
    </font>
    <font>
      <sz val="12"/>
      <name val="Times New Roman"/>
      <family val="1"/>
    </font>
    <font>
      <sz val="23"/>
      <color theme="1"/>
      <name val="Arial"/>
      <family val="2"/>
    </font>
    <font>
      <sz val="16"/>
      <color theme="0"/>
      <name val="Arial"/>
      <family val="2"/>
    </font>
    <font>
      <sz val="24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sz val="23"/>
      <color theme="1"/>
      <name val="Times New Roman"/>
      <family val="1"/>
    </font>
    <font>
      <sz val="26"/>
      <color theme="1"/>
      <name val="Times New Roman"/>
      <family val="1"/>
    </font>
    <font>
      <sz val="23"/>
      <name val="Arial"/>
      <family val="2"/>
    </font>
    <font>
      <b/>
      <sz val="11"/>
      <name val="Arial"/>
      <family val="2"/>
    </font>
    <font>
      <sz val="23"/>
      <color theme="1"/>
      <name val="Arial"/>
      <family val="2"/>
    </font>
    <font>
      <sz val="22"/>
      <color theme="1"/>
      <name val="Times New Roman"/>
      <family val="1"/>
    </font>
    <font>
      <sz val="11"/>
      <color theme="1"/>
      <name val="Times New Roman"/>
      <family val="1"/>
    </font>
    <font>
      <sz val="22"/>
      <name val="Times New Roman"/>
      <family val="1"/>
    </font>
    <font>
      <sz val="11"/>
      <color indexed="10"/>
      <name val="Arial"/>
      <family val="2"/>
    </font>
    <font>
      <sz val="24"/>
      <name val="Times New Roman"/>
      <family val="1"/>
    </font>
    <font>
      <sz val="16"/>
      <color theme="0"/>
      <name val="Arial"/>
      <family val="2"/>
    </font>
    <font>
      <sz val="23"/>
      <color theme="1"/>
      <name val="Arial"/>
      <family val="2"/>
    </font>
    <font>
      <b/>
      <sz val="10"/>
      <color rgb="FF006600"/>
      <name val="Arial"/>
      <family val="2"/>
    </font>
    <font>
      <b/>
      <i/>
      <sz val="10"/>
      <color rgb="FF006600"/>
      <name val="Arial"/>
      <family val="2"/>
    </font>
    <font>
      <b/>
      <sz val="10"/>
      <color indexed="16"/>
      <name val="Arial"/>
      <family val="2"/>
    </font>
    <font>
      <b/>
      <sz val="10"/>
      <color indexed="61"/>
      <name val="Arial"/>
      <family val="2"/>
    </font>
    <font>
      <b/>
      <sz val="11"/>
      <name val="Times New Roman"/>
      <family val="1"/>
    </font>
    <font>
      <sz val="10"/>
      <color rgb="FF0000FF"/>
      <name val="Calibri"/>
      <family val="2"/>
    </font>
    <font>
      <i/>
      <sz val="10"/>
      <color indexed="16"/>
      <name val="Arial"/>
      <family val="2"/>
    </font>
    <font>
      <i/>
      <sz val="10"/>
      <name val="Arial"/>
      <family val="2"/>
    </font>
    <font>
      <sz val="10"/>
      <color rgb="FF800000"/>
      <name val="Arial"/>
      <family val="2"/>
    </font>
    <font>
      <b/>
      <sz val="10"/>
      <color rgb="FFFF0000"/>
      <name val="Arial"/>
      <family val="2"/>
    </font>
    <font>
      <sz val="21"/>
      <name val="Arial"/>
      <family val="2"/>
    </font>
    <font>
      <sz val="21"/>
      <color theme="1"/>
      <name val="Arial"/>
      <family val="2"/>
    </font>
    <font>
      <sz val="21"/>
      <color theme="1"/>
      <name val="Times New Roman"/>
      <family val="1"/>
    </font>
    <font>
      <sz val="21"/>
      <color theme="1"/>
      <name val="Arial"/>
      <family val="2"/>
    </font>
    <font>
      <sz val="21"/>
      <name val="Times New Roman"/>
      <family val="1"/>
    </font>
    <font>
      <sz val="23"/>
      <color theme="1"/>
      <name val="Times New Roman"/>
      <family val="1"/>
    </font>
    <font>
      <sz val="21"/>
      <color theme="1"/>
      <name val="Times New Roman"/>
      <family val="1"/>
    </font>
    <font>
      <sz val="23"/>
      <color theme="1"/>
      <name val="Arial"/>
      <family val="2"/>
    </font>
    <font>
      <sz val="16"/>
      <name val="Arial"/>
      <family val="2"/>
    </font>
    <font>
      <sz val="22"/>
      <color theme="1"/>
      <name val="Arial"/>
      <family val="2"/>
    </font>
    <font>
      <sz val="23"/>
      <color theme="1"/>
      <name val="Arial"/>
      <family val="2"/>
    </font>
    <font>
      <sz val="21"/>
      <color theme="1"/>
      <name val="Arial"/>
      <family val="2"/>
    </font>
    <font>
      <sz val="21"/>
      <color theme="1"/>
      <name val="Times New Roman"/>
      <family val="1"/>
    </font>
    <font>
      <sz val="23"/>
      <color theme="1"/>
      <name val="Times New Roman"/>
      <family val="1"/>
    </font>
    <font>
      <sz val="11"/>
      <color theme="1"/>
      <name val="Times New Roman"/>
      <family val="1"/>
    </font>
    <font>
      <sz val="26"/>
      <color theme="1"/>
      <name val="Times New Roman"/>
      <family val="1"/>
    </font>
    <font>
      <sz val="18"/>
      <name val="Arial"/>
      <family val="2"/>
    </font>
    <font>
      <sz val="18"/>
      <color indexed="8"/>
      <name val="Arial"/>
      <family val="2"/>
    </font>
    <font>
      <b/>
      <sz val="18"/>
      <name val="Arial"/>
      <family val="2"/>
    </font>
    <font>
      <b/>
      <sz val="18"/>
      <color indexed="8"/>
      <name val="Arial"/>
      <family val="2"/>
    </font>
    <font>
      <i/>
      <sz val="18"/>
      <name val="Arial"/>
      <family val="2"/>
    </font>
    <font>
      <b/>
      <sz val="18"/>
      <color indexed="16"/>
      <name val="Arial"/>
      <family val="2"/>
    </font>
    <font>
      <b/>
      <sz val="8"/>
      <color indexed="16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8"/>
      <color indexed="8"/>
      <name val="Arial"/>
      <family val="2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u/>
      <sz val="10"/>
      <color theme="1"/>
      <name val="Times New Roman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4"/>
      <color rgb="FF000000"/>
      <name val="Arial"/>
      <family val="2"/>
    </font>
    <font>
      <sz val="2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4"/>
      <color indexed="12"/>
      <name val="Times New Roman"/>
      <family val="1"/>
    </font>
    <font>
      <sz val="14"/>
      <color rgb="FF0909F7"/>
      <name val="Times New Roman"/>
      <family val="1"/>
    </font>
    <font>
      <sz val="14"/>
      <color rgb="FF0000FF"/>
      <name val="Times New Roman"/>
      <family val="1"/>
    </font>
    <font>
      <sz val="24"/>
      <color theme="1"/>
      <name val="Times New Roman"/>
      <family val="1"/>
    </font>
    <font>
      <b/>
      <sz val="24"/>
      <color theme="0"/>
      <name val="Arial"/>
      <family val="2"/>
    </font>
    <font>
      <sz val="22"/>
      <name val="Arial"/>
      <family val="2"/>
    </font>
    <font>
      <b/>
      <sz val="16"/>
      <name val="Times New Roman"/>
      <family val="1"/>
    </font>
    <font>
      <b/>
      <sz val="22"/>
      <name val="Arial"/>
      <family val="2"/>
    </font>
    <font>
      <sz val="22"/>
      <color theme="1"/>
      <name val="Times New Roman"/>
      <family val="1"/>
    </font>
    <font>
      <sz val="11"/>
      <color rgb="FFFFFFCC"/>
      <name val="Calibri"/>
      <family val="2"/>
      <scheme val="minor"/>
    </font>
    <font>
      <sz val="25"/>
      <name val="Arial"/>
      <family val="2"/>
    </font>
    <font>
      <sz val="24"/>
      <name val="Arial"/>
      <family val="2"/>
    </font>
    <font>
      <b/>
      <sz val="18"/>
      <color indexed="8"/>
      <name val="Arial"/>
      <family val="2"/>
    </font>
    <font>
      <b/>
      <sz val="16"/>
      <color rgb="FF0000FF"/>
      <name val="Arial"/>
      <family val="2"/>
    </font>
    <font>
      <sz val="23"/>
      <name val="Arial"/>
      <family val="2"/>
    </font>
    <font>
      <sz val="11"/>
      <color theme="1"/>
      <name val="Calibri"/>
      <family val="2"/>
      <scheme val="minor"/>
    </font>
    <font>
      <sz val="14"/>
      <color rgb="FF000000"/>
      <name val="Arial"/>
      <family val="2"/>
    </font>
    <font>
      <sz val="12"/>
      <color indexed="20"/>
      <name val="Arial"/>
      <family val="2"/>
    </font>
    <font>
      <b/>
      <sz val="12"/>
      <color indexed="16"/>
      <name val="Arial"/>
      <family val="2"/>
    </font>
    <font>
      <b/>
      <sz val="8"/>
      <color theme="1"/>
      <name val="Arial"/>
      <family val="2"/>
    </font>
    <font>
      <b/>
      <sz val="12"/>
      <color rgb="FF0000FF"/>
      <name val="Arial"/>
      <family val="2"/>
    </font>
    <font>
      <b/>
      <i/>
      <sz val="11"/>
      <name val="Arial"/>
      <family val="2"/>
    </font>
    <font>
      <b/>
      <i/>
      <sz val="11"/>
      <color rgb="FF0000FF"/>
      <name val="Arial"/>
      <family val="2"/>
    </font>
    <font>
      <b/>
      <i/>
      <sz val="11"/>
      <color rgb="FF0909F7"/>
      <name val="Arial"/>
      <family val="2"/>
    </font>
    <font>
      <b/>
      <sz val="14"/>
      <color theme="1"/>
      <name val="Times New Roman"/>
      <family val="1"/>
    </font>
    <font>
      <b/>
      <sz val="16"/>
      <color theme="0"/>
      <name val="Arial"/>
      <family val="2"/>
    </font>
    <font>
      <sz val="18"/>
      <color theme="1"/>
      <name val="Arial"/>
      <family val="2"/>
    </font>
    <font>
      <sz val="14"/>
      <color rgb="FF000000"/>
      <name val="Times New Roman"/>
      <family val="1"/>
    </font>
    <font>
      <sz val="15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8"/>
      <name val="Times New Roman"/>
      <family val="1"/>
    </font>
    <font>
      <sz val="20"/>
      <name val="Arial"/>
      <family val="2"/>
    </font>
    <font>
      <b/>
      <sz val="14"/>
      <color rgb="FF0000FF"/>
      <name val="Times New Roman"/>
      <family val="1"/>
    </font>
    <font>
      <sz val="10"/>
      <color theme="3" tint="-0.499984740745262"/>
      <name val="Arial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Arial"/>
      <family val="2"/>
    </font>
    <font>
      <b/>
      <sz val="12"/>
      <color theme="1"/>
      <name val="Arial"/>
      <family val="2"/>
    </font>
    <font>
      <b/>
      <sz val="10"/>
      <color rgb="FF660000"/>
      <name val="Arial"/>
      <family val="2"/>
    </font>
    <font>
      <b/>
      <sz val="10"/>
      <color theme="1"/>
      <name val="Arial"/>
      <family val="2"/>
    </font>
    <font>
      <b/>
      <sz val="12"/>
      <color rgb="FF0000FF"/>
      <name val="Times New Roman"/>
      <family val="1"/>
    </font>
    <font>
      <sz val="16"/>
      <color indexed="8"/>
      <name val="Arial"/>
      <family val="2"/>
    </font>
    <font>
      <sz val="16"/>
      <name val="Times New Roman"/>
      <family val="1"/>
    </font>
    <font>
      <u/>
      <sz val="16"/>
      <name val="Times New Roman"/>
      <family val="1"/>
    </font>
    <font>
      <b/>
      <sz val="16"/>
      <color indexed="16"/>
      <name val="Arial"/>
      <family val="2"/>
    </font>
    <font>
      <sz val="16"/>
      <color rgb="FF800000"/>
      <name val="Times New Roman"/>
      <family val="1"/>
    </font>
    <font>
      <sz val="16"/>
      <color rgb="FF800000"/>
      <name val="Arial"/>
      <family val="2"/>
    </font>
    <font>
      <b/>
      <sz val="22"/>
      <color theme="5" tint="-0.249977111117893"/>
      <name val="Arial"/>
      <family val="2"/>
    </font>
    <font>
      <sz val="22"/>
      <color theme="5" tint="-0.249977111117893"/>
      <name val="Arial"/>
      <family val="2"/>
    </font>
    <font>
      <b/>
      <sz val="22"/>
      <color theme="1" tint="0.14999847407452621"/>
      <name val="Arial"/>
      <family val="2"/>
    </font>
    <font>
      <sz val="12"/>
      <color theme="1" tint="0.14999847407452621"/>
      <name val="SutonnyMJ"/>
    </font>
    <font>
      <sz val="12"/>
      <color theme="1" tint="4.9989318521683403E-2"/>
      <name val="SutonnyMJ"/>
    </font>
    <font>
      <b/>
      <sz val="12"/>
      <color theme="0"/>
      <name val="Arial"/>
      <family val="2"/>
    </font>
    <font>
      <sz val="22"/>
      <color theme="1"/>
      <name val="Times New Roman"/>
      <family val="1"/>
    </font>
    <font>
      <sz val="16"/>
      <color theme="1"/>
      <name val="Arial"/>
      <family val="2"/>
    </font>
    <font>
      <sz val="18"/>
      <name val="Calibri"/>
      <family val="2"/>
      <scheme val="minor"/>
    </font>
    <font>
      <sz val="24"/>
      <name val="Aral"/>
    </font>
    <font>
      <sz val="24"/>
      <color theme="1"/>
      <name val="Aral"/>
    </font>
    <font>
      <sz val="24"/>
      <color theme="1"/>
      <name val="Arial"/>
      <family val="2"/>
    </font>
    <font>
      <sz val="23"/>
      <color theme="1"/>
      <name val="Aral"/>
    </font>
    <font>
      <sz val="23"/>
      <color theme="1"/>
      <name val="Arial"/>
      <family val="2"/>
    </font>
    <font>
      <sz val="24"/>
      <name val="Arial"/>
      <family val="2"/>
    </font>
    <font>
      <b/>
      <sz val="12"/>
      <color indexed="16"/>
      <name val="SutonnyMJ"/>
    </font>
    <font>
      <b/>
      <sz val="12"/>
      <color theme="1" tint="4.9989318521683403E-2"/>
      <name val="SutonnyMJ"/>
    </font>
    <font>
      <b/>
      <sz val="12"/>
      <color theme="1" tint="0.14999847407452621"/>
      <name val="SutonnyMJ"/>
    </font>
    <font>
      <b/>
      <sz val="10"/>
      <color theme="1" tint="0.14999847407452621"/>
      <name val="Arial"/>
      <family val="2"/>
    </font>
    <font>
      <b/>
      <sz val="10"/>
      <color theme="1" tint="4.9989318521683403E-2"/>
      <name val="Arial"/>
      <family val="2"/>
    </font>
    <font>
      <sz val="10"/>
      <color theme="1"/>
      <name val="Verdana"/>
      <family val="2"/>
    </font>
    <font>
      <sz val="16"/>
      <color theme="0"/>
      <name val="Arial"/>
      <family val="2"/>
    </font>
    <font>
      <b/>
      <sz val="12"/>
      <color rgb="FF000000"/>
      <name val="Arial"/>
      <family val="2"/>
    </font>
    <font>
      <b/>
      <sz val="18"/>
      <name val="Arial"/>
      <family val="2"/>
    </font>
    <font>
      <sz val="24"/>
      <color theme="1"/>
      <name val="Arial"/>
      <family val="2"/>
    </font>
    <font>
      <b/>
      <sz val="24"/>
      <name val="Arial"/>
      <family val="2"/>
    </font>
    <font>
      <sz val="23"/>
      <name val="Arial"/>
      <family val="2"/>
    </font>
    <font>
      <sz val="11"/>
      <color theme="1"/>
      <name val="Times New Roman"/>
      <family val="1"/>
    </font>
    <font>
      <b/>
      <sz val="22"/>
      <color theme="1"/>
      <name val="Arial"/>
      <family val="2"/>
    </font>
    <font>
      <sz val="18"/>
      <color theme="1"/>
      <name val="Arial"/>
      <family val="2"/>
    </font>
    <font>
      <b/>
      <sz val="24"/>
      <color theme="1"/>
      <name val="Arial"/>
      <family val="2"/>
    </font>
    <font>
      <b/>
      <sz val="23"/>
      <name val="Arial"/>
      <family val="2"/>
    </font>
    <font>
      <sz val="24"/>
      <color theme="1"/>
      <name val="Arial"/>
      <family val="2"/>
    </font>
    <font>
      <sz val="24"/>
      <name val="Arial"/>
      <family val="2"/>
    </font>
    <font>
      <sz val="26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1" tint="0.14999847407452621"/>
      <name val="Times New Roman"/>
      <family val="1"/>
    </font>
    <font>
      <sz val="16"/>
      <color theme="1" tint="0.14999847407452621"/>
      <name val="Arial"/>
      <family val="2"/>
    </font>
    <font>
      <b/>
      <sz val="24"/>
      <name val="Times New Roman"/>
      <family val="1"/>
    </font>
    <font>
      <b/>
      <sz val="14"/>
      <color indexed="5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6"/>
      <color theme="1" tint="4.9989318521683403E-2"/>
      <name val="Arial"/>
      <family val="2"/>
    </font>
    <font>
      <sz val="16"/>
      <color theme="0"/>
      <name val="Arial"/>
      <family val="2"/>
    </font>
    <font>
      <b/>
      <sz val="14"/>
      <color theme="0"/>
      <name val="Arial"/>
      <family val="2"/>
    </font>
    <font>
      <sz val="20"/>
      <name val="Times New Roman"/>
      <family val="1"/>
    </font>
    <font>
      <b/>
      <sz val="26"/>
      <color theme="1"/>
      <name val="Arial"/>
      <family val="2"/>
    </font>
    <font>
      <b/>
      <sz val="26"/>
      <color theme="1"/>
      <name val="Times New Roman"/>
      <family val="1"/>
    </font>
    <font>
      <b/>
      <sz val="26"/>
      <name val="Arial"/>
      <family val="2"/>
    </font>
    <font>
      <b/>
      <sz val="22"/>
      <color indexed="16"/>
      <name val="Arial"/>
      <family val="2"/>
    </font>
    <font>
      <b/>
      <sz val="22"/>
      <name val="Times New Roman"/>
      <family val="1"/>
    </font>
    <font>
      <sz val="22"/>
      <color indexed="12"/>
      <name val="Arial"/>
      <family val="2"/>
    </font>
    <font>
      <i/>
      <u/>
      <sz val="22"/>
      <name val="Arial"/>
      <family val="2"/>
    </font>
    <font>
      <sz val="22"/>
      <color indexed="9"/>
      <name val="Arial"/>
      <family val="2"/>
    </font>
    <font>
      <b/>
      <u/>
      <sz val="22"/>
      <name val="Arial"/>
      <family val="2"/>
    </font>
    <font>
      <sz val="22"/>
      <color indexed="16"/>
      <name val="Times New Roman"/>
      <family val="1"/>
    </font>
    <font>
      <sz val="22"/>
      <color rgb="FF800000"/>
      <name val="Times New Roman"/>
      <family val="1"/>
    </font>
    <font>
      <b/>
      <sz val="22"/>
      <color indexed="16"/>
      <name val="Times New Roman"/>
      <family val="1"/>
    </font>
    <font>
      <sz val="24"/>
      <color theme="1"/>
      <name val="Arial"/>
      <family val="2"/>
    </font>
    <font>
      <b/>
      <sz val="20"/>
      <color rgb="FFFF0000"/>
      <name val="Arial"/>
      <family val="2"/>
    </font>
    <font>
      <sz val="40"/>
      <color theme="1"/>
      <name val="Arial"/>
      <family val="2"/>
    </font>
    <font>
      <sz val="9"/>
      <color rgb="FF0000FF"/>
      <name val="Arial"/>
      <family val="2"/>
    </font>
    <font>
      <sz val="11"/>
      <color theme="1"/>
      <name val="Arial"/>
      <family val="2"/>
    </font>
    <font>
      <sz val="26"/>
      <color theme="1"/>
      <name val="Arial"/>
      <family val="2"/>
    </font>
    <font>
      <sz val="23.7"/>
      <color theme="1"/>
      <name val="Arial"/>
      <family val="2"/>
    </font>
    <font>
      <sz val="24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Times New Roman"/>
      <family val="1"/>
    </font>
    <font>
      <sz val="40"/>
      <color theme="1"/>
      <name val="Arial"/>
      <family val="2"/>
    </font>
    <font>
      <sz val="16"/>
      <color theme="0"/>
      <name val="Arial"/>
      <family val="2"/>
    </font>
    <font>
      <sz val="14"/>
      <name val="Arial"/>
      <family val="2"/>
    </font>
    <font>
      <sz val="12"/>
      <color rgb="FF233A44"/>
      <name val="Arial"/>
      <family val="2"/>
    </font>
    <font>
      <sz val="14"/>
      <color rgb="FF000000"/>
      <name val="Arial"/>
      <family val="2"/>
    </font>
    <font>
      <sz val="10"/>
      <color theme="1"/>
      <name val="Verdana"/>
      <family val="2"/>
    </font>
    <font>
      <b/>
      <sz val="12"/>
      <color rgb="FF233A44"/>
      <name val="Arial"/>
      <family val="2"/>
    </font>
    <font>
      <sz val="14"/>
      <color rgb="FF233A44"/>
      <name val="Arial"/>
      <family val="2"/>
    </font>
    <font>
      <sz val="12"/>
      <color theme="1"/>
      <name val="Arial"/>
      <family val="2"/>
    </font>
    <font>
      <sz val="16"/>
      <color rgb="FF233A44"/>
      <name val="Arial"/>
      <family val="2"/>
    </font>
    <font>
      <b/>
      <sz val="12"/>
      <color rgb="FF000000"/>
      <name val="Arial"/>
      <family val="2"/>
    </font>
    <font>
      <sz val="16"/>
      <color theme="1"/>
      <name val="Calibri"/>
      <family val="2"/>
      <scheme val="minor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20"/>
      <color theme="1"/>
      <name val="Arial"/>
      <family val="2"/>
    </font>
    <font>
      <sz val="11"/>
      <color theme="1"/>
      <name val="Calibri"/>
      <family val="2"/>
    </font>
    <font>
      <sz val="10"/>
      <color rgb="FFFF0000"/>
      <name val="Arial"/>
      <family val="2"/>
    </font>
    <font>
      <sz val="12"/>
      <color theme="1"/>
      <name val="Verdana"/>
      <family val="2"/>
    </font>
    <font>
      <sz val="12"/>
      <color rgb="FF1D1B10"/>
      <name val="Times New Roman"/>
      <family val="1"/>
    </font>
    <font>
      <sz val="12"/>
      <color rgb="FF000000"/>
      <name val="&quot;Times New Roman&quot;"/>
    </font>
    <font>
      <sz val="12"/>
      <color rgb="FF0000FF"/>
      <name val="&quot;Times New Roman&quot;"/>
    </font>
    <font>
      <b/>
      <sz val="20"/>
      <color theme="1"/>
      <name val="Arial"/>
      <family val="2"/>
    </font>
    <font>
      <sz val="14"/>
      <color theme="3"/>
      <name val="Times New Roman"/>
      <family val="1"/>
    </font>
    <font>
      <b/>
      <sz val="18"/>
      <color theme="1"/>
      <name val="Arial"/>
      <family val="2"/>
    </font>
    <font>
      <b/>
      <sz val="8"/>
      <color theme="1"/>
      <name val="Arial"/>
      <family val="2"/>
    </font>
    <font>
      <b/>
      <sz val="22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Arial"/>
      <family val="2"/>
    </font>
    <font>
      <sz val="12"/>
      <color rgb="FF0909F7"/>
      <name val="Arial"/>
      <family val="2"/>
    </font>
    <font>
      <b/>
      <sz val="22"/>
      <color theme="5" tint="-0.249977111117893"/>
      <name val="Arial"/>
      <family val="2"/>
    </font>
    <font>
      <sz val="20"/>
      <color indexed="20"/>
      <name val="Arial"/>
      <family val="2"/>
    </font>
    <font>
      <sz val="12"/>
      <color rgb="FF233A44"/>
      <name val="Arial"/>
      <family val="2"/>
    </font>
    <font>
      <sz val="14"/>
      <color rgb="FF000000"/>
      <name val="Arial"/>
      <family val="2"/>
    </font>
    <font>
      <sz val="14"/>
      <color rgb="FF233A44"/>
      <name val="Arial"/>
      <family val="2"/>
    </font>
    <font>
      <sz val="10"/>
      <color rgb="FF233A44"/>
      <name val="Arial"/>
      <family val="2"/>
    </font>
    <font>
      <b/>
      <sz val="12"/>
      <color rgb="FF233A44"/>
      <name val="Arial"/>
      <family val="2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name val="Arial"/>
      <family val="2"/>
    </font>
    <font>
      <sz val="16"/>
      <color rgb="FF233A44"/>
      <name val="Arial"/>
      <family val="2"/>
    </font>
    <font>
      <sz val="10"/>
      <color rgb="FF000000"/>
      <name val="Arial"/>
      <family val="2"/>
    </font>
    <font>
      <sz val="12"/>
      <name val="Arial"/>
      <family val="2"/>
    </font>
    <font>
      <sz val="18"/>
      <color indexed="16"/>
      <name val="Arial"/>
      <family val="2"/>
    </font>
    <font>
      <b/>
      <sz val="8"/>
      <color theme="1" tint="4.9989318521683403E-2"/>
      <name val="Arial"/>
      <family val="2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2060"/>
      <name val="Calibri"/>
      <family val="2"/>
      <scheme val="minor"/>
    </font>
    <font>
      <b/>
      <sz val="10"/>
      <color rgb="FF00B050"/>
      <name val="Arial"/>
      <family val="2"/>
    </font>
    <font>
      <sz val="18"/>
      <name val="Arial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color rgb="FFFF0000"/>
      <name val="Times New Roman"/>
      <family val="1"/>
    </font>
    <font>
      <b/>
      <sz val="12"/>
      <color rgb="FF1155CC"/>
      <name val="Times New Roman"/>
      <family val="1"/>
    </font>
    <font>
      <sz val="26"/>
      <color theme="1"/>
      <name val="Arial"/>
      <family val="2"/>
    </font>
    <font>
      <sz val="20"/>
      <color theme="1"/>
      <name val="Arial"/>
      <family val="2"/>
    </font>
    <font>
      <sz val="18"/>
      <name val="Arial"/>
      <family val="2"/>
    </font>
    <font>
      <sz val="12"/>
      <color theme="1"/>
      <name val="Times New Roman"/>
      <family val="1"/>
    </font>
    <font>
      <sz val="14"/>
      <color rgb="FF233A44"/>
      <name val="Arial"/>
      <family val="2"/>
    </font>
    <font>
      <sz val="16"/>
      <color theme="0"/>
      <name val="Arial"/>
      <family val="2"/>
    </font>
    <font>
      <b/>
      <sz val="12"/>
      <color rgb="FF000000"/>
      <name val="&quot;Times New Roman&quot;"/>
    </font>
    <font>
      <sz val="12"/>
      <color theme="1"/>
      <name val="Arial"/>
      <family val="2"/>
    </font>
    <font>
      <sz val="24"/>
      <color indexed="16"/>
      <name val="Arial"/>
      <family val="2"/>
    </font>
    <font>
      <sz val="24"/>
      <color indexed="16"/>
      <name val="Times New Roman"/>
      <family val="1"/>
    </font>
    <font>
      <b/>
      <sz val="24"/>
      <color indexed="16"/>
      <name val="Arial"/>
      <family val="2"/>
    </font>
    <font>
      <sz val="26"/>
      <color theme="1" tint="4.9989318521683403E-2"/>
      <name val="Arial"/>
      <family val="2"/>
    </font>
    <font>
      <sz val="14"/>
      <name val="Times New Roman"/>
      <family val="1"/>
    </font>
    <font>
      <sz val="14"/>
      <color rgb="FF0000FF"/>
      <name val="Times New Roman"/>
      <family val="1"/>
    </font>
    <font>
      <b/>
      <sz val="12"/>
      <color rgb="FF000000"/>
      <name val="Arial"/>
      <family val="2"/>
    </font>
    <font>
      <sz val="14"/>
      <color rgb="FF000000"/>
      <name val="Arial"/>
      <family val="2"/>
    </font>
    <font>
      <sz val="10"/>
      <color theme="1"/>
      <name val="Verdana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sz val="26"/>
      <color theme="1"/>
      <name val="Arial"/>
      <family val="2"/>
    </font>
    <font>
      <sz val="22"/>
      <color theme="1"/>
      <name val="Arial"/>
      <family val="2"/>
    </font>
    <font>
      <b/>
      <sz val="14"/>
      <color rgb="FF0000FF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8"/>
      <color indexed="16"/>
      <name val="Arial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rgb="FF002060"/>
      <name val="Calibri"/>
      <family val="2"/>
      <scheme val="minor"/>
    </font>
    <font>
      <sz val="22"/>
      <color theme="1" tint="0.14999847407452621"/>
      <name val="Arial"/>
      <family val="2"/>
    </font>
    <font>
      <b/>
      <i/>
      <sz val="14"/>
      <color rgb="FFFF0000"/>
      <name val="Calibri"/>
      <family val="2"/>
      <scheme val="minor"/>
    </font>
    <font>
      <sz val="18"/>
      <name val="Arial"/>
      <family val="2"/>
    </font>
    <font>
      <b/>
      <sz val="18"/>
      <name val="Arial"/>
      <family val="2"/>
    </font>
    <font>
      <sz val="22"/>
      <name val="Arial"/>
      <family val="2"/>
    </font>
    <font>
      <sz val="18"/>
      <color indexed="8"/>
      <name val="Arial"/>
      <family val="2"/>
    </font>
    <font>
      <sz val="14"/>
      <color theme="1"/>
      <name val="Verdana"/>
      <family val="2"/>
    </font>
    <font>
      <sz val="26"/>
      <name val="Arial"/>
      <family val="2"/>
    </font>
    <font>
      <sz val="26"/>
      <color theme="1" tint="4.9989318521683403E-2"/>
      <name val="Arial"/>
      <family val="2"/>
    </font>
    <font>
      <sz val="26"/>
      <color theme="1"/>
      <name val="Arial"/>
      <family val="2"/>
    </font>
    <font>
      <sz val="26"/>
      <color theme="1"/>
      <name val="Calibri"/>
      <family val="2"/>
      <scheme val="minor"/>
    </font>
    <font>
      <sz val="18"/>
      <name val="Arial"/>
      <family val="2"/>
    </font>
    <font>
      <b/>
      <sz val="18"/>
      <name val="Arial"/>
      <family val="2"/>
    </font>
    <font>
      <sz val="10"/>
      <color theme="1"/>
      <name val="&quot;Times New Roman&quot;"/>
    </font>
    <font>
      <sz val="11"/>
      <color theme="1"/>
      <name val="&quot;Times New Roman&quot;"/>
    </font>
    <font>
      <sz val="12"/>
      <color theme="1"/>
      <name val="&quot;Times New Roman&quot;"/>
    </font>
    <font>
      <sz val="12"/>
      <color rgb="FF4285F4"/>
      <name val="&quot;Times New Roman&quot;"/>
    </font>
    <font>
      <sz val="16"/>
      <color theme="1"/>
      <name val="Arial"/>
      <family val="2"/>
    </font>
    <font>
      <sz val="16"/>
      <color indexed="12"/>
      <name val="Arial"/>
      <family val="2"/>
    </font>
    <font>
      <sz val="12"/>
      <color indexed="12"/>
      <name val="Arial"/>
      <family val="2"/>
    </font>
    <font>
      <sz val="16"/>
      <color rgb="FF0000FF"/>
      <name val="Arial"/>
      <family val="2"/>
    </font>
    <font>
      <b/>
      <sz val="16"/>
      <color rgb="FF0000FF"/>
      <name val="Arial"/>
      <family val="2"/>
    </font>
    <font>
      <sz val="26"/>
      <color theme="1"/>
      <name val="SutonnyMJ"/>
    </font>
  </fonts>
  <fills count="1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gray0625">
        <bgColor indexed="12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theme="2" tint="-9.9948118533890809E-2"/>
      </patternFill>
    </fill>
    <fill>
      <patternFill patternType="solid">
        <fgColor rgb="FFFFFF00"/>
        <bgColor theme="2" tint="-9.9948118533890809E-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0625">
        <bgColor rgb="FFFFFF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00FF"/>
        <bgColor theme="2" tint="-9.9948118533890809E-2"/>
      </patternFill>
    </fill>
    <fill>
      <patternFill patternType="solid">
        <fgColor rgb="FF00B0F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FF"/>
        <bgColor theme="2" tint="-9.9948118533890809E-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theme="2" tint="-9.9948118533890809E-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theme="2" tint="-9.9948118533890809E-2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99CC00"/>
        <bgColor theme="2" tint="-9.9948118533890809E-2"/>
      </patternFill>
    </fill>
    <fill>
      <patternFill patternType="gray0625">
        <bgColor theme="5" tint="-0.249977111117893"/>
      </patternFill>
    </fill>
    <fill>
      <patternFill patternType="gray0625">
        <bgColor rgb="FF66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theme="2" tint="-9.9948118533890809E-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39997558519241921"/>
        <bgColor theme="2" tint="-9.9948118533890809E-2"/>
      </patternFill>
    </fill>
    <fill>
      <patternFill patternType="solid">
        <fgColor theme="9" tint="0.39997558519241921"/>
        <bgColor theme="2" tint="-9.9948118533890809E-2"/>
      </patternFill>
    </fill>
    <fill>
      <patternFill patternType="solid">
        <fgColor rgb="FFFFFF99"/>
        <bgColor theme="2" tint="-9.9948118533890809E-2"/>
      </patternFill>
    </fill>
    <fill>
      <patternFill patternType="solid">
        <fgColor rgb="FF99FFCC"/>
        <bgColor theme="2" tint="-9.9948118533890809E-2"/>
      </patternFill>
    </fill>
    <fill>
      <patternFill patternType="solid">
        <fgColor rgb="FF99FFCC"/>
        <bgColor indexed="64"/>
      </patternFill>
    </fill>
    <fill>
      <patternFill patternType="solid">
        <fgColor rgb="FFFFCCFF"/>
        <bgColor theme="2" tint="-9.9948118533890809E-2"/>
      </patternFill>
    </fill>
    <fill>
      <patternFill patternType="solid">
        <fgColor theme="6" tint="0.79998168889431442"/>
        <bgColor theme="2" tint="-9.9948118533890809E-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2" tint="-9.9948118533890809E-2"/>
      </patternFill>
    </fill>
    <fill>
      <patternFill patternType="solid">
        <fgColor theme="9" tint="0.79998168889431442"/>
        <bgColor theme="2" tint="-9.9948118533890809E-2"/>
      </patternFill>
    </fill>
    <fill>
      <patternFill patternType="solid">
        <fgColor theme="7" tint="0.79998168889431442"/>
        <bgColor theme="2" tint="-9.9948118533890809E-2"/>
      </patternFill>
    </fill>
    <fill>
      <patternFill patternType="solid">
        <fgColor theme="3" tint="0.79998168889431442"/>
        <bgColor indexed="64"/>
      </patternFill>
    </fill>
    <fill>
      <patternFill patternType="gray0625">
        <bgColor theme="5" tint="0.39997558519241921"/>
      </patternFill>
    </fill>
    <fill>
      <patternFill patternType="solid">
        <fgColor rgb="FF00B050"/>
        <bgColor theme="2" tint="-9.9948118533890809E-2"/>
      </patternFill>
    </fill>
    <fill>
      <patternFill patternType="solid">
        <fgColor theme="5" tint="0.39997558519241921"/>
        <bgColor theme="2" tint="-9.9948118533890809E-2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CC00"/>
        <bgColor rgb="FFFFCC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EFEFEF"/>
      </patternFill>
    </fill>
    <fill>
      <patternFill patternType="solid">
        <fgColor indexed="65"/>
        <bgColor rgb="FFEFEFEF"/>
      </patternFill>
    </fill>
    <fill>
      <patternFill patternType="solid">
        <fgColor rgb="FFEC2504"/>
        <bgColor indexed="64"/>
      </patternFill>
    </fill>
    <fill>
      <patternFill patternType="gray0625">
        <bgColor rgb="FF0000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CCFFFF"/>
        <bgColor rgb="FFCCFFFF"/>
      </patternFill>
    </fill>
    <fill>
      <patternFill patternType="solid">
        <fgColor rgb="FFE4EDD3"/>
        <bgColor indexed="64"/>
      </patternFill>
    </fill>
    <fill>
      <patternFill patternType="solid">
        <fgColor rgb="FFFFFFBD"/>
        <bgColor indexed="64"/>
      </patternFill>
    </fill>
    <fill>
      <patternFill patternType="solid">
        <fgColor rgb="FFFDE8D7"/>
        <bgColor indexed="64"/>
      </patternFill>
    </fill>
    <fill>
      <patternFill patternType="solid">
        <fgColor rgb="FFE3ECD0"/>
        <bgColor indexed="64"/>
      </patternFill>
    </fill>
    <fill>
      <patternFill patternType="solid">
        <fgColor rgb="FF00FFFF"/>
        <bgColor rgb="FFFFCC00"/>
      </patternFill>
    </fill>
    <fill>
      <patternFill patternType="solid">
        <fgColor rgb="FFF3F3F3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rgb="FF00FFFF"/>
        <bgColor rgb="FF00FFFF"/>
      </patternFill>
    </fill>
  </fills>
  <borders count="67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1"/>
      </bottom>
      <diagonal/>
    </border>
    <border>
      <left/>
      <right/>
      <top/>
      <bottom style="medium">
        <color indexed="61"/>
      </bottom>
      <diagonal/>
    </border>
    <border>
      <left style="thin">
        <color indexed="64"/>
      </left>
      <right style="thin">
        <color indexed="64"/>
      </right>
      <top/>
      <bottom style="medium">
        <color indexed="6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/>
      <right/>
      <top style="thin">
        <color indexed="16"/>
      </top>
      <bottom style="hair">
        <color indexed="1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indexed="64"/>
      </top>
      <bottom style="medium">
        <color theme="0"/>
      </bottom>
      <diagonal/>
    </border>
    <border>
      <left/>
      <right/>
      <top/>
      <bottom style="hair">
        <color rgb="FFC00000"/>
      </bottom>
      <diagonal/>
    </border>
    <border>
      <left style="medium">
        <color rgb="FFFF0000"/>
      </left>
      <right style="medium">
        <color rgb="FFFF0000"/>
      </right>
      <top style="medium">
        <color indexed="64"/>
      </top>
      <bottom/>
      <diagonal/>
    </border>
    <border>
      <left style="hair">
        <color rgb="FFFF0000"/>
      </left>
      <right style="hair">
        <color rgb="FFFF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16"/>
      </bottom>
      <diagonal/>
    </border>
    <border>
      <left style="medium">
        <color indexed="64"/>
      </left>
      <right/>
      <top/>
      <bottom style="hair">
        <color indexed="16"/>
      </bottom>
      <diagonal/>
    </border>
    <border>
      <left/>
      <right style="medium">
        <color indexed="64"/>
      </right>
      <top/>
      <bottom style="hair">
        <color indexed="16"/>
      </bottom>
      <diagonal/>
    </border>
    <border>
      <left style="medium">
        <color indexed="64"/>
      </left>
      <right style="thin">
        <color indexed="64"/>
      </right>
      <top/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medium">
        <color auto="1"/>
      </left>
      <right/>
      <top/>
      <bottom style="hair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thin">
        <color indexed="64"/>
      </right>
      <top style="hair">
        <color indexed="16"/>
      </top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rgb="FFC00000"/>
      </bottom>
      <diagonal/>
    </border>
    <border>
      <left/>
      <right style="hair">
        <color indexed="16"/>
      </right>
      <top/>
      <bottom style="hair">
        <color indexed="16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/>
      <right style="medium">
        <color indexed="64"/>
      </right>
      <top style="thin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thin">
        <color indexed="16"/>
      </top>
      <bottom style="hair">
        <color indexed="16"/>
      </bottom>
      <diagonal/>
    </border>
    <border>
      <left style="medium">
        <color indexed="64"/>
      </left>
      <right/>
      <top style="thin">
        <color indexed="16"/>
      </top>
      <bottom style="hair">
        <color indexed="16"/>
      </bottom>
      <diagonal/>
    </border>
    <border>
      <left style="medium">
        <color indexed="64"/>
      </left>
      <right style="hair">
        <color indexed="16"/>
      </right>
      <top style="hair">
        <color indexed="16"/>
      </top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60"/>
      </top>
      <bottom style="hair">
        <color indexed="60"/>
      </bottom>
      <diagonal/>
    </border>
    <border>
      <left style="medium">
        <color indexed="64"/>
      </left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/>
      <diagonal/>
    </border>
    <border>
      <left style="medium">
        <color indexed="64"/>
      </left>
      <right style="hair">
        <color indexed="16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0"/>
      </top>
      <bottom/>
      <diagonal/>
    </border>
    <border>
      <left style="thin">
        <color indexed="64"/>
      </left>
      <right/>
      <top style="thin">
        <color indexed="37"/>
      </top>
      <bottom/>
      <diagonal/>
    </border>
    <border>
      <left/>
      <right style="hair">
        <color indexed="16"/>
      </right>
      <top style="thin">
        <color indexed="16"/>
      </top>
      <bottom style="thin">
        <color indexed="16"/>
      </bottom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hair">
        <color indexed="16"/>
      </left>
      <right style="hair">
        <color indexed="16"/>
      </right>
      <top style="hair">
        <color indexed="1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16"/>
      </right>
      <top style="thin">
        <color indexed="16"/>
      </top>
      <bottom/>
      <diagonal/>
    </border>
    <border>
      <left style="medium">
        <color indexed="64"/>
      </left>
      <right style="hair">
        <color indexed="16"/>
      </right>
      <top/>
      <bottom style="thin">
        <color indexed="64"/>
      </bottom>
      <diagonal/>
    </border>
    <border>
      <left style="hair">
        <color indexed="16"/>
      </left>
      <right/>
      <top style="hair">
        <color indexed="16"/>
      </top>
      <bottom style="thin">
        <color indexed="64"/>
      </bottom>
      <diagonal/>
    </border>
    <border>
      <left/>
      <right style="hair">
        <color indexed="16"/>
      </right>
      <top style="hair">
        <color indexed="16"/>
      </top>
      <bottom style="thin">
        <color indexed="16"/>
      </bottom>
      <diagonal/>
    </border>
    <border>
      <left style="medium">
        <color indexed="64"/>
      </left>
      <right style="hair">
        <color indexed="64"/>
      </right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16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16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/>
      <top style="hair">
        <color rgb="FFFF0000"/>
      </top>
      <bottom style="hair">
        <color rgb="FFFF0000"/>
      </bottom>
      <diagonal/>
    </border>
    <border>
      <left/>
      <right/>
      <top style="thin">
        <color indexed="37"/>
      </top>
      <bottom/>
      <diagonal/>
    </border>
    <border>
      <left/>
      <right/>
      <top style="hair">
        <color indexed="60"/>
      </top>
      <bottom/>
      <diagonal/>
    </border>
    <border>
      <left style="medium">
        <color indexed="64"/>
      </left>
      <right/>
      <top style="thin">
        <color indexed="16"/>
      </top>
      <bottom style="thin">
        <color indexed="16"/>
      </bottom>
      <diagonal/>
    </border>
    <border>
      <left style="hair">
        <color indexed="16"/>
      </left>
      <right style="medium">
        <color indexed="64"/>
      </right>
      <top style="thin">
        <color indexed="16"/>
      </top>
      <bottom style="thin">
        <color indexed="16"/>
      </bottom>
      <diagonal/>
    </border>
    <border>
      <left style="hair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thin">
        <color indexed="60"/>
      </top>
      <bottom/>
      <diagonal/>
    </border>
    <border>
      <left style="medium">
        <color indexed="64"/>
      </left>
      <right/>
      <top style="thin">
        <color indexed="16"/>
      </top>
      <bottom/>
      <diagonal/>
    </border>
    <border>
      <left/>
      <right style="hair">
        <color indexed="16"/>
      </right>
      <top style="thin">
        <color indexed="16"/>
      </top>
      <bottom/>
      <diagonal/>
    </border>
    <border>
      <left style="hair">
        <color indexed="16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16"/>
      </top>
      <bottom style="medium">
        <color indexed="64"/>
      </bottom>
      <diagonal/>
    </border>
    <border>
      <left/>
      <right/>
      <top style="hair">
        <color indexed="16"/>
      </top>
      <bottom style="medium">
        <color indexed="64"/>
      </bottom>
      <diagonal/>
    </border>
    <border>
      <left/>
      <right style="hair">
        <color indexed="16"/>
      </right>
      <top style="hair">
        <color indexed="64"/>
      </top>
      <bottom style="medium">
        <color indexed="64"/>
      </bottom>
      <diagonal/>
    </border>
    <border>
      <left style="hair">
        <color indexed="16"/>
      </left>
      <right/>
      <top style="hair">
        <color indexed="16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16"/>
      </bottom>
      <diagonal/>
    </border>
    <border>
      <left style="thin">
        <color indexed="64"/>
      </left>
      <right/>
      <top style="hair">
        <color indexed="16"/>
      </top>
      <bottom style="hair">
        <color indexed="16"/>
      </bottom>
      <diagonal/>
    </border>
    <border>
      <left style="thin">
        <color indexed="64"/>
      </left>
      <right/>
      <top style="hair">
        <color indexed="16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16"/>
      </top>
      <bottom style="hair">
        <color indexed="16"/>
      </bottom>
      <diagonal/>
    </border>
    <border>
      <left style="medium">
        <color indexed="64"/>
      </left>
      <right style="thin">
        <color indexed="64"/>
      </right>
      <top style="thin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/>
      <bottom style="hair">
        <color rgb="FFC00000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hair">
        <color indexed="16"/>
      </bottom>
      <diagonal/>
    </border>
    <border>
      <left/>
      <right style="medium">
        <color indexed="64"/>
      </right>
      <top style="medium">
        <color indexed="64"/>
      </top>
      <bottom style="hair">
        <color indexed="16"/>
      </bottom>
      <diagonal/>
    </border>
    <border>
      <left style="medium">
        <color indexed="64"/>
      </left>
      <right/>
      <top/>
      <bottom style="hair">
        <color rgb="FFC00000"/>
      </bottom>
      <diagonal/>
    </border>
    <border>
      <left style="thin">
        <color indexed="64"/>
      </left>
      <right/>
      <top/>
      <bottom style="hair">
        <color rgb="FFC00000"/>
      </bottom>
      <diagonal/>
    </border>
    <border>
      <left style="medium">
        <color indexed="64"/>
      </left>
      <right style="hair">
        <color indexed="16"/>
      </right>
      <top/>
      <bottom style="hair">
        <color indexed="16"/>
      </bottom>
      <diagonal/>
    </border>
    <border>
      <left/>
      <right/>
      <top/>
      <bottom style="hair">
        <color indexed="60"/>
      </bottom>
      <diagonal/>
    </border>
    <border>
      <left style="medium">
        <color indexed="64"/>
      </left>
      <right style="hair">
        <color indexed="16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hair">
        <color indexed="16"/>
      </right>
      <top style="medium">
        <color indexed="64"/>
      </top>
      <bottom/>
      <diagonal/>
    </border>
    <border>
      <left style="medium">
        <color indexed="64"/>
      </left>
      <right style="hair">
        <color indexed="16"/>
      </right>
      <top/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 style="thin">
        <color indexed="60"/>
      </right>
      <top/>
      <bottom/>
      <diagonal/>
    </border>
    <border>
      <left style="hair">
        <color indexed="16"/>
      </left>
      <right/>
      <top style="medium">
        <color indexed="64"/>
      </top>
      <bottom style="hair">
        <color indexed="16"/>
      </bottom>
      <diagonal/>
    </border>
    <border>
      <left/>
      <right/>
      <top style="medium">
        <color indexed="64"/>
      </top>
      <bottom style="hair">
        <color indexed="16"/>
      </bottom>
      <diagonal/>
    </border>
    <border>
      <left/>
      <right style="medium">
        <color indexed="64"/>
      </right>
      <top style="hair">
        <color indexed="16"/>
      </top>
      <bottom style="thin">
        <color indexed="64"/>
      </bottom>
      <diagonal/>
    </border>
    <border>
      <left style="hair">
        <color indexed="16"/>
      </left>
      <right/>
      <top/>
      <bottom style="medium">
        <color indexed="64"/>
      </bottom>
      <diagonal/>
    </border>
    <border>
      <left style="hair">
        <color indexed="16"/>
      </left>
      <right style="hair">
        <color indexed="16"/>
      </right>
      <top style="medium">
        <color indexed="64"/>
      </top>
      <bottom/>
      <diagonal/>
    </border>
    <border>
      <left style="hair">
        <color indexed="16"/>
      </left>
      <right/>
      <top style="medium">
        <color indexed="64"/>
      </top>
      <bottom/>
      <diagonal/>
    </border>
    <border>
      <left style="hair">
        <color indexed="16"/>
      </left>
      <right style="hair">
        <color indexed="16"/>
      </right>
      <top/>
      <bottom style="medium">
        <color indexed="64"/>
      </bottom>
      <diagonal/>
    </border>
    <border>
      <left style="hair">
        <color indexed="16"/>
      </left>
      <right style="hair">
        <color indexed="16"/>
      </right>
      <top style="hair">
        <color indexed="16"/>
      </top>
      <bottom style="medium">
        <color indexed="64"/>
      </bottom>
      <diagonal/>
    </border>
    <border>
      <left/>
      <right style="medium">
        <color indexed="64"/>
      </right>
      <top style="hair">
        <color indexed="16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16"/>
      </bottom>
      <diagonal/>
    </border>
    <border>
      <left/>
      <right style="hair">
        <color indexed="16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37"/>
      </bottom>
      <diagonal/>
    </border>
    <border>
      <left style="medium">
        <color indexed="64"/>
      </left>
      <right style="medium">
        <color indexed="64"/>
      </right>
      <top style="hair">
        <color rgb="FFC00000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16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16"/>
      </bottom>
      <diagonal/>
    </border>
    <border>
      <left/>
      <right style="medium">
        <color indexed="16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/>
      <diagonal/>
    </border>
    <border>
      <left style="thin">
        <color indexed="64"/>
      </left>
      <right/>
      <top style="hair">
        <color indexed="16"/>
      </top>
      <bottom/>
      <diagonal/>
    </border>
    <border>
      <left/>
      <right/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thin">
        <color indexed="64"/>
      </left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16"/>
      </top>
      <bottom style="hair">
        <color indexed="64"/>
      </bottom>
      <diagonal/>
    </border>
    <border>
      <left style="medium">
        <color indexed="64"/>
      </left>
      <right/>
      <top style="hair">
        <color indexed="16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16"/>
      </left>
      <right style="medium">
        <color indexed="16"/>
      </right>
      <top style="hair">
        <color indexed="16"/>
      </top>
      <bottom style="hair">
        <color indexed="16"/>
      </bottom>
      <diagonal/>
    </border>
    <border>
      <left style="medium">
        <color indexed="16"/>
      </left>
      <right style="medium">
        <color indexed="16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thin">
        <color indexed="64"/>
      </left>
      <right/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16"/>
      </left>
      <right/>
      <top style="hair">
        <color indexed="16"/>
      </top>
      <bottom style="medium">
        <color indexed="16"/>
      </bottom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 style="hair">
        <color indexed="16"/>
      </right>
      <top style="medium">
        <color indexed="16"/>
      </top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hair">
        <color indexed="64"/>
      </bottom>
      <diagonal/>
    </border>
    <border>
      <left style="double">
        <color rgb="FF0000FF"/>
      </left>
      <right style="double">
        <color rgb="FF0000FF"/>
      </right>
      <top style="hair">
        <color indexed="64"/>
      </top>
      <bottom style="hair">
        <color indexed="64"/>
      </bottom>
      <diagonal/>
    </border>
    <border>
      <left style="double">
        <color rgb="FF0000FF"/>
      </left>
      <right style="double">
        <color rgb="FF0000FF"/>
      </right>
      <top style="hair">
        <color indexed="64"/>
      </top>
      <bottom style="double">
        <color rgb="FF0000FF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medium">
        <color indexed="64"/>
      </bottom>
      <diagonal/>
    </border>
    <border>
      <left style="double">
        <color rgb="FF0000FF"/>
      </left>
      <right style="double">
        <color rgb="FF0000FF"/>
      </right>
      <top/>
      <bottom style="hair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medium">
        <color rgb="FFFF0000"/>
      </left>
      <right/>
      <top style="medium">
        <color indexed="64"/>
      </top>
      <bottom style="medium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hair">
        <color rgb="FF0000FF"/>
      </top>
      <bottom style="hair">
        <color rgb="FF0000FF"/>
      </bottom>
      <diagonal/>
    </border>
    <border>
      <left style="medium">
        <color indexed="64"/>
      </left>
      <right style="medium">
        <color indexed="64"/>
      </right>
      <top/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auto="1"/>
      </left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theme="1"/>
      </left>
      <right style="medium">
        <color auto="1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rgb="FF0000FF"/>
      </left>
      <right style="double">
        <color rgb="FF0000FF"/>
      </right>
      <top style="hair">
        <color indexed="64"/>
      </top>
      <bottom style="hair">
        <color indexed="64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hair">
        <color rgb="FF0000FF"/>
      </bottom>
      <diagonal/>
    </border>
    <border>
      <left style="double">
        <color rgb="FF0000FF"/>
      </left>
      <right style="double">
        <color rgb="FF0000FF"/>
      </right>
      <top style="hair">
        <color rgb="FF0000FF"/>
      </top>
      <bottom style="hair">
        <color rgb="FF0000FF"/>
      </bottom>
      <diagonal/>
    </border>
    <border>
      <left style="thin">
        <color rgb="FF000000"/>
      </left>
      <right style="double">
        <color rgb="FF0000FF"/>
      </right>
      <top style="hair">
        <color rgb="FF0000FF"/>
      </top>
      <bottom style="hair">
        <color rgb="FF0000FF"/>
      </bottom>
      <diagonal/>
    </border>
    <border>
      <left style="double">
        <color rgb="FF0000FF"/>
      </left>
      <right style="thin">
        <color rgb="FF000000"/>
      </right>
      <top style="hair">
        <color rgb="FF0000FF"/>
      </top>
      <bottom style="hair">
        <color rgb="FF0000FF"/>
      </bottom>
      <diagonal/>
    </border>
    <border>
      <left/>
      <right style="thin">
        <color rgb="FF000000"/>
      </right>
      <top style="hair">
        <color rgb="FF0000FF"/>
      </top>
      <bottom style="hair">
        <color rgb="FF0000FF"/>
      </bottom>
      <diagonal/>
    </border>
    <border>
      <left style="double">
        <color rgb="FF0000FF"/>
      </left>
      <right/>
      <top style="hair">
        <color rgb="FF0000FF"/>
      </top>
      <bottom style="hair">
        <color rgb="FF0000FF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FF"/>
      </right>
      <top style="hair">
        <color rgb="FF0000FF"/>
      </top>
      <bottom style="hair">
        <color rgb="FF0000FF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 style="thin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16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double">
        <color rgb="FF0000FF"/>
      </left>
      <right style="double">
        <color rgb="FF0000FF"/>
      </right>
      <top style="hair">
        <color rgb="FF0000FF"/>
      </top>
      <bottom style="double">
        <color rgb="FF0000FF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double">
        <color rgb="FF0000FF"/>
      </left>
      <right style="double">
        <color rgb="FF0000FF"/>
      </right>
      <top style="double">
        <color rgb="FF000000"/>
      </top>
      <bottom style="hair">
        <color rgb="FF0000FF"/>
      </bottom>
      <diagonal/>
    </border>
    <border>
      <left style="double">
        <color rgb="FF0000FF"/>
      </left>
      <right style="double">
        <color rgb="FF0000FF"/>
      </right>
      <top style="hair">
        <color rgb="FF0000FF"/>
      </top>
      <bottom style="medium">
        <color rgb="FF000000"/>
      </bottom>
      <diagonal/>
    </border>
    <border>
      <left style="double">
        <color rgb="FF0000FF"/>
      </left>
      <right style="double">
        <color rgb="FF0000FF"/>
      </right>
      <top style="double">
        <color rgb="FF000000"/>
      </top>
      <bottom style="hair">
        <color rgb="FF000000"/>
      </bottom>
      <diagonal/>
    </border>
    <border>
      <left style="double">
        <color rgb="FF0000FF"/>
      </left>
      <right style="double">
        <color rgb="FF0000FF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double">
        <color rgb="FF0000FF"/>
      </right>
      <top style="hair">
        <color rgb="FF000000"/>
      </top>
      <bottom style="hair">
        <color rgb="FF000000"/>
      </bottom>
      <diagonal/>
    </border>
    <border>
      <left style="double">
        <color rgb="FF0000FF"/>
      </left>
      <right style="double">
        <color rgb="FF0000FF"/>
      </right>
      <top style="hair">
        <color rgb="FF0000FF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rgb="FFCCCCCC"/>
      </left>
      <right style="double">
        <color rgb="FF0000FF"/>
      </right>
      <top style="hair">
        <color rgb="FF0000FF"/>
      </top>
      <bottom style="hair">
        <color rgb="FF0000FF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rgb="FF0000FF"/>
      </left>
      <right style="double">
        <color rgb="FF0000FF"/>
      </right>
      <top/>
      <bottom style="thin">
        <color rgb="FF000000"/>
      </bottom>
      <diagonal/>
    </border>
    <border>
      <left style="double">
        <color rgb="FF0000FF"/>
      </left>
      <right style="double">
        <color rgb="FF0000FF"/>
      </right>
      <top style="thin">
        <color rgb="FF000000"/>
      </top>
      <bottom style="thin">
        <color rgb="FF000000"/>
      </bottom>
      <diagonal/>
    </border>
    <border>
      <left style="double">
        <color rgb="FF0000FF"/>
      </left>
      <right style="double">
        <color rgb="FF0000FF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rgb="FF0000FF"/>
      </left>
      <right style="double">
        <color rgb="FF0000FF"/>
      </right>
      <top style="hair">
        <color rgb="FF0000FF"/>
      </top>
      <bottom style="hair">
        <color indexed="64"/>
      </bottom>
      <diagonal/>
    </border>
    <border>
      <left style="double">
        <color rgb="FF0000FF"/>
      </left>
      <right style="double">
        <color rgb="FF0000FF"/>
      </right>
      <top style="hair">
        <color indexed="64"/>
      </top>
      <bottom style="double">
        <color rgb="FF0000FF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/>
      <bottom style="hair">
        <color indexed="16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double">
        <color rgb="FF000000"/>
      </bottom>
      <diagonal/>
    </border>
  </borders>
  <cellStyleXfs count="557">
    <xf numFmtId="0" fontId="0" fillId="0" borderId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3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4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6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7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8" fillId="11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12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9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0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5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6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7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8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3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4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59" fillId="19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0" fillId="3" borderId="0" applyNumberFormat="0" applyBorder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1" fillId="20" borderId="1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0" fontId="62" fillId="21" borderId="2" applyNumberFormat="0" applyAlignment="0" applyProtection="0"/>
    <xf numFmtId="43" fontId="89" fillId="0" borderId="0" applyFon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4" fillId="4" borderId="0" applyNumberFormat="0" applyBorder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6" fillId="0" borderId="4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5" applyNumberFormat="0" applyFill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68" fillId="7" borderId="1" applyNumberFormat="0" applyAlignment="0" applyProtection="0"/>
    <xf numFmtId="0" fontId="68" fillId="7" borderId="1" applyNumberFormat="0" applyAlignment="0" applyProtection="0"/>
    <xf numFmtId="0" fontId="68" fillId="7" borderId="1" applyNumberFormat="0" applyAlignment="0" applyProtection="0"/>
    <xf numFmtId="0" fontId="68" fillId="7" borderId="1" applyNumberFormat="0" applyAlignment="0" applyProtection="0"/>
    <xf numFmtId="0" fontId="68" fillId="7" borderId="1" applyNumberFormat="0" applyAlignment="0" applyProtection="0"/>
    <xf numFmtId="0" fontId="68" fillId="7" borderId="1" applyNumberFormat="0" applyAlignment="0" applyProtection="0"/>
    <xf numFmtId="0" fontId="68" fillId="7" borderId="1" applyNumberFormat="0" applyAlignment="0" applyProtection="0"/>
    <xf numFmtId="0" fontId="68" fillId="7" borderId="1" applyNumberFormat="0" applyAlignment="0" applyProtection="0"/>
    <xf numFmtId="0" fontId="68" fillId="7" borderId="1" applyNumberFormat="0" applyAlignment="0" applyProtection="0"/>
    <xf numFmtId="0" fontId="68" fillId="7" borderId="1" applyNumberFormat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69" fillId="0" borderId="6" applyNumberFormat="0" applyFill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86" fillId="0" borderId="0"/>
    <xf numFmtId="0" fontId="86" fillId="0" borderId="0"/>
    <xf numFmtId="0" fontId="86" fillId="0" borderId="0"/>
    <xf numFmtId="171" fontId="8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71" fontId="89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171" fontId="89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171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0" fontId="90" fillId="0" borderId="0"/>
    <xf numFmtId="0" fontId="7" fillId="0" borderId="0"/>
    <xf numFmtId="171" fontId="7" fillId="0" borderId="0"/>
    <xf numFmtId="0" fontId="7" fillId="0" borderId="0"/>
    <xf numFmtId="171" fontId="7" fillId="0" borderId="0"/>
    <xf numFmtId="0" fontId="7" fillId="0" borderId="0" applyBorder="0" applyAlignment="0"/>
    <xf numFmtId="171" fontId="7" fillId="0" borderId="0" applyBorder="0" applyAlignment="0"/>
    <xf numFmtId="171" fontId="7" fillId="0" borderId="0" applyBorder="0" applyAlignment="0"/>
    <xf numFmtId="171" fontId="7" fillId="0" borderId="0"/>
    <xf numFmtId="0" fontId="7" fillId="0" borderId="0">
      <alignment vertical="center"/>
    </xf>
    <xf numFmtId="171" fontId="7" fillId="0" borderId="0">
      <alignment vertical="center"/>
    </xf>
    <xf numFmtId="0" fontId="86" fillId="23" borderId="7" applyNumberFormat="0" applyFont="0" applyAlignment="0" applyProtection="0"/>
    <xf numFmtId="0" fontId="86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86" fillId="23" borderId="7" applyNumberFormat="0" applyFont="0" applyAlignment="0" applyProtection="0"/>
    <xf numFmtId="0" fontId="86" fillId="23" borderId="7" applyNumberFormat="0" applyFont="0" applyAlignment="0" applyProtection="0"/>
    <xf numFmtId="0" fontId="86" fillId="23" borderId="7" applyNumberFormat="0" applyFont="0" applyAlignment="0" applyProtection="0"/>
    <xf numFmtId="0" fontId="86" fillId="23" borderId="7" applyNumberFormat="0" applyFont="0" applyAlignment="0" applyProtection="0"/>
    <xf numFmtId="0" fontId="86" fillId="23" borderId="7" applyNumberFormat="0" applyFont="0" applyAlignment="0" applyProtection="0"/>
    <xf numFmtId="0" fontId="86" fillId="23" borderId="7" applyNumberFormat="0" applyFon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0" fontId="71" fillId="20" borderId="8" applyNumberFormat="0" applyAlignment="0" applyProtection="0"/>
    <xf numFmtId="9" fontId="89" fillId="0" borderId="0" applyFont="0" applyFill="0" applyBorder="0" applyAlignment="0" applyProtection="0"/>
    <xf numFmtId="0" fontId="7" fillId="0" borderId="0">
      <alignment textRotation="75"/>
    </xf>
    <xf numFmtId="0" fontId="86" fillId="0" borderId="0">
      <alignment textRotation="75"/>
    </xf>
    <xf numFmtId="0" fontId="86" fillId="0" borderId="0">
      <alignment textRotation="75"/>
    </xf>
    <xf numFmtId="0" fontId="86" fillId="0" borderId="0">
      <alignment textRotation="75"/>
    </xf>
    <xf numFmtId="0" fontId="86" fillId="0" borderId="0">
      <alignment textRotation="75"/>
    </xf>
    <xf numFmtId="0" fontId="86" fillId="0" borderId="0">
      <alignment textRotation="75"/>
    </xf>
    <xf numFmtId="0" fontId="86" fillId="0" borderId="0">
      <alignment textRotation="75"/>
    </xf>
    <xf numFmtId="0" fontId="86" fillId="0" borderId="0">
      <alignment textRotation="75"/>
    </xf>
    <xf numFmtId="0" fontId="86" fillId="0" borderId="0">
      <alignment textRotation="75"/>
    </xf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41" fontId="89" fillId="0" borderId="0" applyFont="0" applyFill="0" applyBorder="0" applyAlignment="0" applyProtection="0"/>
    <xf numFmtId="0" fontId="7" fillId="0" borderId="0"/>
    <xf numFmtId="0" fontId="7" fillId="0" borderId="0"/>
    <xf numFmtId="171" fontId="7" fillId="0" borderId="0" applyBorder="0" applyAlignment="0"/>
    <xf numFmtId="44" fontId="7" fillId="0" borderId="0" applyFont="0" applyFill="0" applyBorder="0" applyAlignment="0" applyProtection="0"/>
    <xf numFmtId="0" fontId="7" fillId="0" borderId="0"/>
    <xf numFmtId="0" fontId="230" fillId="0" borderId="0"/>
    <xf numFmtId="187" fontId="89" fillId="0" borderId="0"/>
    <xf numFmtId="9" fontId="89" fillId="0" borderId="0" applyFont="0" applyFill="0" applyBorder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67" fillId="0" borderId="275" applyNumberFormat="0" applyFill="0" applyAlignment="0" applyProtection="0"/>
    <xf numFmtId="0" fontId="7" fillId="0" borderId="0"/>
    <xf numFmtId="0" fontId="7" fillId="0" borderId="0"/>
    <xf numFmtId="0" fontId="7" fillId="0" borderId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07" fillId="0" borderId="0"/>
    <xf numFmtId="0" fontId="407" fillId="0" borderId="0"/>
  </cellStyleXfs>
  <cellXfs count="5332">
    <xf numFmtId="0" fontId="0" fillId="0" borderId="0" xfId="0"/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92" fillId="0" borderId="0" xfId="0" applyFont="1"/>
    <xf numFmtId="0" fontId="93" fillId="0" borderId="0" xfId="0" applyFont="1"/>
    <xf numFmtId="0" fontId="92" fillId="31" borderId="0" xfId="0" applyFont="1" applyFill="1"/>
    <xf numFmtId="0" fontId="94" fillId="0" borderId="0" xfId="0" applyFont="1"/>
    <xf numFmtId="0" fontId="94" fillId="0" borderId="0" xfId="0" applyFont="1" applyAlignment="1">
      <alignment vertical="center"/>
    </xf>
    <xf numFmtId="0" fontId="28" fillId="0" borderId="0" xfId="0" applyFont="1" applyFill="1" applyAlignment="1">
      <alignment horizontal="left" vertical="center"/>
    </xf>
    <xf numFmtId="2" fontId="94" fillId="0" borderId="0" xfId="0" applyNumberFormat="1" applyFont="1" applyFill="1" applyAlignment="1">
      <alignment vertical="center"/>
    </xf>
    <xf numFmtId="2" fontId="94" fillId="0" borderId="0" xfId="0" applyNumberFormat="1" applyFont="1" applyFill="1" applyAlignment="1">
      <alignment horizontal="center" vertical="center"/>
    </xf>
    <xf numFmtId="0" fontId="94" fillId="0" borderId="0" xfId="0" applyFont="1" applyFill="1" applyAlignment="1">
      <alignment horizontal="center" vertical="center"/>
    </xf>
    <xf numFmtId="0" fontId="94" fillId="0" borderId="0" xfId="0" applyFont="1" applyFill="1" applyAlignment="1">
      <alignment vertical="center"/>
    </xf>
    <xf numFmtId="0" fontId="92" fillId="0" borderId="0" xfId="0" applyFont="1" applyFill="1"/>
    <xf numFmtId="166" fontId="43" fillId="31" borderId="0" xfId="271" applyNumberFormat="1" applyFont="1" applyFill="1" applyBorder="1" applyAlignment="1">
      <alignment horizontal="center" vertical="center"/>
    </xf>
    <xf numFmtId="166" fontId="44" fillId="31" borderId="0" xfId="271" applyNumberFormat="1" applyFont="1" applyFill="1" applyBorder="1" applyAlignment="1" applyProtection="1">
      <alignment horizontal="center" vertical="center"/>
      <protection locked="0"/>
    </xf>
    <xf numFmtId="1" fontId="5" fillId="31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>
      <alignment horizontal="center" vertical="center"/>
    </xf>
    <xf numFmtId="0" fontId="35" fillId="0" borderId="0" xfId="0" applyNumberFormat="1" applyFont="1" applyFill="1" applyBorder="1" applyAlignment="1">
      <alignment horizontal="center" vertical="center"/>
    </xf>
    <xf numFmtId="0" fontId="92" fillId="0" borderId="0" xfId="0" applyNumberFormat="1" applyFont="1" applyBorder="1"/>
    <xf numFmtId="166" fontId="46" fillId="31" borderId="0" xfId="271" applyNumberFormat="1" applyFont="1" applyFill="1" applyBorder="1" applyAlignment="1">
      <alignment horizontal="center" vertical="center"/>
    </xf>
    <xf numFmtId="173" fontId="89" fillId="0" borderId="0" xfId="375" applyNumberFormat="1" applyFont="1"/>
    <xf numFmtId="173" fontId="89" fillId="0" borderId="0" xfId="375" applyNumberFormat="1" applyFont="1" applyAlignment="1">
      <alignment horizontal="left"/>
    </xf>
    <xf numFmtId="0" fontId="91" fillId="0" borderId="0" xfId="375" applyNumberFormat="1" applyFont="1" applyAlignment="1">
      <alignment horizontal="center"/>
    </xf>
    <xf numFmtId="0" fontId="102" fillId="37" borderId="10" xfId="375" applyNumberFormat="1" applyFont="1" applyFill="1" applyBorder="1" applyAlignment="1">
      <alignment horizontal="center" vertical="center"/>
    </xf>
    <xf numFmtId="0" fontId="103" fillId="37" borderId="10" xfId="375" applyNumberFormat="1" applyFont="1" applyFill="1" applyBorder="1" applyAlignment="1">
      <alignment horizontal="center" vertical="center"/>
    </xf>
    <xf numFmtId="20" fontId="8" fillId="38" borderId="30" xfId="431" applyNumberFormat="1" applyFont="1" applyFill="1" applyBorder="1" applyAlignment="1">
      <alignment horizontal="center" vertical="center"/>
    </xf>
    <xf numFmtId="0" fontId="102" fillId="0" borderId="10" xfId="375" applyNumberFormat="1" applyFont="1" applyBorder="1" applyAlignment="1">
      <alignment horizontal="center" vertical="center"/>
    </xf>
    <xf numFmtId="0" fontId="103" fillId="0" borderId="10" xfId="375" applyNumberFormat="1" applyFont="1" applyBorder="1" applyAlignment="1">
      <alignment horizontal="center" vertical="center"/>
    </xf>
    <xf numFmtId="0" fontId="102" fillId="0" borderId="10" xfId="375" applyNumberFormat="1" applyFont="1" applyBorder="1" applyAlignment="1">
      <alignment horizontal="left" vertical="center"/>
    </xf>
    <xf numFmtId="20" fontId="8" fillId="0" borderId="30" xfId="431" applyNumberFormat="1" applyFont="1" applyFill="1" applyBorder="1" applyAlignment="1">
      <alignment horizontal="center" vertical="center"/>
    </xf>
    <xf numFmtId="173" fontId="89" fillId="0" borderId="0" xfId="401" applyNumberFormat="1" applyFont="1"/>
    <xf numFmtId="173" fontId="13" fillId="0" borderId="0" xfId="435" applyNumberFormat="1" applyFont="1"/>
    <xf numFmtId="173" fontId="13" fillId="0" borderId="0" xfId="435" applyNumberFormat="1" applyFont="1" applyProtection="1"/>
    <xf numFmtId="173" fontId="13" fillId="0" borderId="0" xfId="435" applyNumberFormat="1" applyFont="1" applyBorder="1" applyProtection="1"/>
    <xf numFmtId="173" fontId="13" fillId="0" borderId="0" xfId="435" applyNumberFormat="1" applyFont="1" applyBorder="1"/>
    <xf numFmtId="1" fontId="13" fillId="0" borderId="0" xfId="435" applyNumberFormat="1" applyFont="1" applyBorder="1"/>
    <xf numFmtId="173" fontId="89" fillId="0" borderId="0" xfId="401" applyNumberFormat="1" applyFont="1" applyAlignment="1">
      <alignment vertical="center"/>
    </xf>
    <xf numFmtId="1" fontId="13" fillId="0" borderId="14" xfId="435" applyNumberFormat="1" applyFont="1" applyBorder="1" applyAlignment="1" applyProtection="1">
      <alignment horizontal="center"/>
    </xf>
    <xf numFmtId="173" fontId="13" fillId="0" borderId="19" xfId="435" applyNumberFormat="1" applyFont="1" applyBorder="1" applyProtection="1"/>
    <xf numFmtId="173" fontId="15" fillId="0" borderId="0" xfId="435" applyNumberFormat="1" applyFont="1" applyBorder="1"/>
    <xf numFmtId="173" fontId="15" fillId="0" borderId="13" xfId="435" applyNumberFormat="1" applyFont="1" applyBorder="1" applyProtection="1"/>
    <xf numFmtId="1" fontId="13" fillId="0" borderId="31" xfId="435" applyNumberFormat="1" applyFont="1" applyBorder="1" applyAlignment="1" applyProtection="1">
      <alignment horizontal="center"/>
    </xf>
    <xf numFmtId="173" fontId="18" fillId="0" borderId="0" xfId="401" applyNumberFormat="1" applyFont="1" applyBorder="1" applyAlignment="1">
      <alignment vertical="center"/>
    </xf>
    <xf numFmtId="173" fontId="104" fillId="0" borderId="13" xfId="401" applyNumberFormat="1" applyFont="1" applyBorder="1" applyAlignment="1"/>
    <xf numFmtId="173" fontId="89" fillId="0" borderId="0" xfId="401" applyNumberFormat="1" applyFont="1" applyBorder="1" applyAlignment="1">
      <alignment vertical="center"/>
    </xf>
    <xf numFmtId="173" fontId="89" fillId="0" borderId="42" xfId="401" applyNumberFormat="1" applyFont="1" applyBorder="1" applyAlignment="1">
      <alignment vertical="center"/>
    </xf>
    <xf numFmtId="173" fontId="89" fillId="0" borderId="41" xfId="401" applyNumberFormat="1" applyFont="1" applyBorder="1" applyAlignment="1"/>
    <xf numFmtId="173" fontId="106" fillId="0" borderId="24" xfId="401" applyNumberFormat="1" applyFont="1" applyBorder="1" applyAlignment="1"/>
    <xf numFmtId="173" fontId="13" fillId="0" borderId="13" xfId="435" applyNumberFormat="1" applyFont="1" applyBorder="1" applyAlignment="1"/>
    <xf numFmtId="173" fontId="13" fillId="0" borderId="0" xfId="435" applyNumberFormat="1" applyFont="1" applyBorder="1" applyAlignment="1" applyProtection="1"/>
    <xf numFmtId="173" fontId="13" fillId="0" borderId="13" xfId="435" applyNumberFormat="1" applyFont="1" applyBorder="1" applyAlignment="1" applyProtection="1"/>
    <xf numFmtId="173" fontId="13" fillId="0" borderId="0" xfId="435" applyNumberFormat="1" applyFont="1" applyBorder="1" applyAlignment="1"/>
    <xf numFmtId="173" fontId="13" fillId="0" borderId="43" xfId="435" applyNumberFormat="1" applyFont="1" applyBorder="1" applyAlignment="1" applyProtection="1"/>
    <xf numFmtId="173" fontId="17" fillId="0" borderId="13" xfId="435" applyNumberFormat="1" applyFont="1" applyBorder="1" applyAlignment="1" applyProtection="1"/>
    <xf numFmtId="173" fontId="13" fillId="0" borderId="19" xfId="435" applyNumberFormat="1" applyFont="1" applyBorder="1"/>
    <xf numFmtId="173" fontId="13" fillId="0" borderId="13" xfId="435" applyNumberFormat="1" applyFont="1" applyBorder="1" applyProtection="1"/>
    <xf numFmtId="1" fontId="13" fillId="0" borderId="0" xfId="435" applyNumberFormat="1" applyFont="1" applyBorder="1" applyAlignment="1">
      <alignment horizontal="center"/>
    </xf>
    <xf numFmtId="1" fontId="13" fillId="0" borderId="0" xfId="435" applyNumberFormat="1" applyFont="1" applyBorder="1" applyAlignment="1" applyProtection="1">
      <alignment horizontal="center"/>
    </xf>
    <xf numFmtId="165" fontId="13" fillId="0" borderId="0" xfId="435" applyNumberFormat="1" applyFont="1" applyBorder="1" applyAlignment="1" applyProtection="1">
      <alignment horizontal="center"/>
    </xf>
    <xf numFmtId="170" fontId="14" fillId="0" borderId="30" xfId="435" applyNumberFormat="1" applyFont="1" applyBorder="1" applyAlignment="1" applyProtection="1">
      <alignment horizontal="left"/>
    </xf>
    <xf numFmtId="173" fontId="13" fillId="0" borderId="15" xfId="435" applyNumberFormat="1" applyFont="1" applyBorder="1" applyAlignment="1">
      <alignment horizontal="center"/>
    </xf>
    <xf numFmtId="173" fontId="13" fillId="0" borderId="15" xfId="435" applyNumberFormat="1" applyFont="1" applyBorder="1" applyProtection="1"/>
    <xf numFmtId="173" fontId="13" fillId="0" borderId="15" xfId="435" applyNumberFormat="1" applyFont="1" applyBorder="1"/>
    <xf numFmtId="173" fontId="13" fillId="0" borderId="14" xfId="435" applyNumberFormat="1" applyFont="1" applyBorder="1" applyProtection="1"/>
    <xf numFmtId="169" fontId="14" fillId="0" borderId="30" xfId="435" applyNumberFormat="1" applyFont="1" applyBorder="1"/>
    <xf numFmtId="173" fontId="13" fillId="0" borderId="15" xfId="435" applyNumberFormat="1" applyFont="1" applyBorder="1" applyAlignment="1" applyProtection="1">
      <alignment horizontal="center"/>
    </xf>
    <xf numFmtId="20" fontId="16" fillId="0" borderId="15" xfId="433" applyNumberFormat="1" applyFont="1" applyBorder="1" applyAlignment="1">
      <alignment horizontal="center"/>
    </xf>
    <xf numFmtId="173" fontId="14" fillId="0" borderId="0" xfId="435" applyNumberFormat="1" applyFont="1"/>
    <xf numFmtId="173" fontId="15" fillId="0" borderId="0" xfId="435" applyNumberFormat="1" applyFont="1" applyBorder="1" applyAlignment="1">
      <alignment horizontal="center"/>
    </xf>
    <xf numFmtId="173" fontId="92" fillId="0" borderId="0" xfId="414" applyNumberFormat="1" applyFont="1"/>
    <xf numFmtId="168" fontId="12" fillId="0" borderId="0" xfId="434" quotePrefix="1" applyNumberFormat="1" applyFont="1" applyFill="1" applyBorder="1" applyAlignment="1">
      <alignment horizontal="left" indent="1"/>
    </xf>
    <xf numFmtId="1" fontId="92" fillId="0" borderId="0" xfId="414" applyNumberFormat="1" applyFont="1"/>
    <xf numFmtId="173" fontId="11" fillId="0" borderId="0" xfId="434" applyNumberFormat="1" applyFont="1"/>
    <xf numFmtId="173" fontId="11" fillId="0" borderId="0" xfId="434" applyNumberFormat="1" applyFont="1" applyBorder="1"/>
    <xf numFmtId="173" fontId="11" fillId="0" borderId="0" xfId="434" applyNumberFormat="1" applyFont="1" applyBorder="1" applyAlignment="1">
      <alignment horizontal="center"/>
    </xf>
    <xf numFmtId="173" fontId="2" fillId="0" borderId="0" xfId="414" applyNumberFormat="1" applyFont="1" applyAlignment="1">
      <alignment vertical="center"/>
    </xf>
    <xf numFmtId="173" fontId="2" fillId="0" borderId="0" xfId="414" applyNumberFormat="1" applyFont="1" applyFill="1" applyAlignment="1">
      <alignment vertical="center"/>
    </xf>
    <xf numFmtId="173" fontId="7" fillId="0" borderId="0" xfId="414" applyNumberFormat="1" applyFont="1" applyAlignment="1">
      <alignment vertical="center"/>
    </xf>
    <xf numFmtId="173" fontId="7" fillId="0" borderId="0" xfId="414" applyNumberFormat="1" applyFont="1" applyAlignment="1" applyProtection="1">
      <alignment vertical="center"/>
    </xf>
    <xf numFmtId="173" fontId="2" fillId="0" borderId="0" xfId="414" applyNumberFormat="1" applyFont="1" applyFill="1" applyAlignment="1" applyProtection="1">
      <alignment vertical="center"/>
    </xf>
    <xf numFmtId="173" fontId="92" fillId="0" borderId="0" xfId="414" applyNumberFormat="1" applyFont="1" applyFill="1" applyBorder="1"/>
    <xf numFmtId="173" fontId="7" fillId="0" borderId="0" xfId="414" applyNumberFormat="1" applyFont="1" applyFill="1" applyBorder="1" applyAlignment="1">
      <alignment vertical="center"/>
    </xf>
    <xf numFmtId="173" fontId="108" fillId="0" borderId="0" xfId="414" applyNumberFormat="1" applyFont="1"/>
    <xf numFmtId="173" fontId="75" fillId="0" borderId="0" xfId="414" applyNumberFormat="1" applyFont="1" applyFill="1" applyBorder="1" applyAlignment="1">
      <alignment vertical="center"/>
    </xf>
    <xf numFmtId="14" fontId="49" fillId="0" borderId="0" xfId="414" applyNumberFormat="1" applyFont="1" applyFill="1" applyBorder="1" applyAlignment="1">
      <alignment vertical="center"/>
    </xf>
    <xf numFmtId="0" fontId="91" fillId="0" borderId="0" xfId="375" applyNumberFormat="1" applyFont="1" applyFill="1" applyBorder="1" applyAlignment="1">
      <alignment horizontal="center"/>
    </xf>
    <xf numFmtId="173" fontId="89" fillId="0" borderId="0" xfId="375" applyNumberFormat="1" applyFont="1" applyFill="1" applyBorder="1"/>
    <xf numFmtId="20" fontId="8" fillId="40" borderId="30" xfId="431" applyNumberFormat="1" applyFont="1" applyFill="1" applyBorder="1" applyAlignment="1">
      <alignment horizontal="center" vertical="center"/>
    </xf>
    <xf numFmtId="0" fontId="102" fillId="38" borderId="10" xfId="375" applyNumberFormat="1" applyFont="1" applyFill="1" applyBorder="1" applyAlignment="1">
      <alignment horizontal="left" vertical="center"/>
    </xf>
    <xf numFmtId="0" fontId="107" fillId="0" borderId="0" xfId="375" applyNumberFormat="1" applyFont="1" applyFill="1" applyBorder="1" applyAlignment="1">
      <alignment horizontal="center"/>
    </xf>
    <xf numFmtId="0" fontId="92" fillId="0" borderId="0" xfId="0" applyFont="1" applyFill="1" applyAlignment="1">
      <alignment vertical="center"/>
    </xf>
    <xf numFmtId="0" fontId="76" fillId="0" borderId="0" xfId="0" applyFont="1" applyFill="1" applyBorder="1" applyAlignment="1">
      <alignment horizontal="center" vertical="center"/>
    </xf>
    <xf numFmtId="0" fontId="109" fillId="0" borderId="0" xfId="0" applyFont="1" applyAlignment="1">
      <alignment vertical="center"/>
    </xf>
    <xf numFmtId="0" fontId="49" fillId="0" borderId="0" xfId="430" applyFont="1"/>
    <xf numFmtId="173" fontId="49" fillId="0" borderId="0" xfId="430" applyNumberFormat="1" applyFont="1" applyBorder="1"/>
    <xf numFmtId="173" fontId="108" fillId="0" borderId="0" xfId="0" applyNumberFormat="1" applyFont="1"/>
    <xf numFmtId="0" fontId="108" fillId="0" borderId="0" xfId="0" applyFont="1"/>
    <xf numFmtId="0" fontId="109" fillId="0" borderId="0" xfId="0" applyFont="1"/>
    <xf numFmtId="173" fontId="49" fillId="0" borderId="0" xfId="430" applyNumberFormat="1" applyFont="1" applyFill="1" applyBorder="1"/>
    <xf numFmtId="173" fontId="79" fillId="0" borderId="0" xfId="430" applyNumberFormat="1" applyFont="1" applyFill="1" applyBorder="1"/>
    <xf numFmtId="0" fontId="49" fillId="0" borderId="0" xfId="430" applyFont="1" applyAlignment="1">
      <alignment vertical="center"/>
    </xf>
    <xf numFmtId="173" fontId="108" fillId="0" borderId="0" xfId="0" applyNumberFormat="1" applyFont="1" applyAlignment="1">
      <alignment vertical="center"/>
    </xf>
    <xf numFmtId="0" fontId="109" fillId="0" borderId="0" xfId="0" applyFont="1" applyBorder="1"/>
    <xf numFmtId="0" fontId="112" fillId="0" borderId="0" xfId="0" applyFont="1"/>
    <xf numFmtId="0" fontId="98" fillId="0" borderId="0" xfId="0" applyFont="1" applyAlignment="1">
      <alignment horizontal="center"/>
    </xf>
    <xf numFmtId="173" fontId="56" fillId="0" borderId="0" xfId="434" applyNumberFormat="1" applyFont="1" applyFill="1" applyBorder="1" applyAlignment="1">
      <alignment vertical="center"/>
    </xf>
    <xf numFmtId="1" fontId="56" fillId="0" borderId="0" xfId="434" applyNumberFormat="1" applyFont="1" applyFill="1" applyBorder="1" applyAlignment="1" applyProtection="1">
      <alignment horizontal="right" vertical="center"/>
    </xf>
    <xf numFmtId="168" fontId="55" fillId="0" borderId="0" xfId="434" quotePrefix="1" applyNumberFormat="1" applyFont="1" applyFill="1" applyBorder="1" applyAlignment="1">
      <alignment horizontal="left" vertical="center"/>
    </xf>
    <xf numFmtId="49" fontId="56" fillId="0" borderId="0" xfId="434" applyNumberFormat="1" applyFont="1" applyFill="1" applyBorder="1" applyAlignment="1">
      <alignment horizontal="right" vertical="center"/>
    </xf>
    <xf numFmtId="49" fontId="56" fillId="0" borderId="0" xfId="434" applyNumberFormat="1" applyFont="1" applyFill="1" applyBorder="1" applyAlignment="1">
      <alignment horizontal="left" vertical="center"/>
    </xf>
    <xf numFmtId="1" fontId="81" fillId="0" borderId="0" xfId="434" applyNumberFormat="1" applyFont="1" applyFill="1" applyBorder="1" applyAlignment="1" applyProtection="1">
      <alignment vertical="center"/>
    </xf>
    <xf numFmtId="173" fontId="56" fillId="0" borderId="0" xfId="414" applyNumberFormat="1" applyFont="1" applyBorder="1" applyAlignment="1">
      <alignment vertical="center"/>
    </xf>
    <xf numFmtId="165" fontId="56" fillId="0" borderId="0" xfId="434" applyNumberFormat="1" applyFont="1" applyFill="1" applyBorder="1" applyAlignment="1" applyProtection="1">
      <alignment horizontal="left" vertical="center"/>
    </xf>
    <xf numFmtId="1" fontId="55" fillId="0" borderId="0" xfId="434" applyNumberFormat="1" applyFont="1" applyFill="1" applyBorder="1" applyAlignment="1" applyProtection="1">
      <alignment horizontal="right" vertical="center"/>
    </xf>
    <xf numFmtId="1" fontId="81" fillId="0" borderId="0" xfId="434" applyNumberFormat="1" applyFont="1" applyFill="1" applyBorder="1" applyAlignment="1" applyProtection="1">
      <alignment horizontal="right" vertical="center"/>
    </xf>
    <xf numFmtId="173" fontId="56" fillId="0" borderId="0" xfId="434" applyNumberFormat="1" applyFont="1" applyBorder="1" applyAlignment="1" applyProtection="1">
      <alignment horizontal="left" vertical="center"/>
      <protection locked="0"/>
    </xf>
    <xf numFmtId="173" fontId="56" fillId="0" borderId="0" xfId="434" applyNumberFormat="1" applyFont="1" applyAlignment="1">
      <alignment vertical="center"/>
    </xf>
    <xf numFmtId="173" fontId="56" fillId="0" borderId="0" xfId="434" applyNumberFormat="1" applyFont="1" applyBorder="1" applyAlignment="1">
      <alignment vertical="center"/>
    </xf>
    <xf numFmtId="173" fontId="56" fillId="0" borderId="0" xfId="434" applyNumberFormat="1" applyFont="1" applyBorder="1" applyAlignment="1">
      <alignment horizontal="center"/>
    </xf>
    <xf numFmtId="1" fontId="55" fillId="0" borderId="0" xfId="434" applyNumberFormat="1" applyFont="1" applyFill="1" applyBorder="1" applyAlignment="1" applyProtection="1">
      <alignment horizontal="center" vertical="center"/>
    </xf>
    <xf numFmtId="173" fontId="57" fillId="0" borderId="0" xfId="434" applyNumberFormat="1" applyFont="1" applyBorder="1" applyAlignment="1">
      <alignment vertical="center"/>
    </xf>
    <xf numFmtId="173" fontId="56" fillId="0" borderId="0" xfId="434" applyNumberFormat="1" applyFont="1"/>
    <xf numFmtId="173" fontId="56" fillId="0" borderId="0" xfId="434" applyNumberFormat="1" applyFont="1" applyBorder="1"/>
    <xf numFmtId="173" fontId="57" fillId="0" borderId="0" xfId="434" applyNumberFormat="1" applyFont="1" applyBorder="1" applyAlignment="1" applyProtection="1">
      <alignment horizontal="left" vertical="center"/>
      <protection locked="0"/>
    </xf>
    <xf numFmtId="0" fontId="56" fillId="0" borderId="0" xfId="414" applyNumberFormat="1" applyFont="1" applyFill="1" applyBorder="1" applyAlignment="1">
      <alignment vertical="center"/>
    </xf>
    <xf numFmtId="0" fontId="57" fillId="0" borderId="0" xfId="414" applyNumberFormat="1" applyFont="1" applyFill="1" applyBorder="1" applyAlignment="1">
      <alignment vertical="center"/>
    </xf>
    <xf numFmtId="0" fontId="57" fillId="0" borderId="0" xfId="434" applyNumberFormat="1" applyFont="1" applyFill="1" applyBorder="1" applyAlignment="1">
      <alignment horizontal="center" vertical="center"/>
    </xf>
    <xf numFmtId="0" fontId="81" fillId="0" borderId="0" xfId="434" applyNumberFormat="1" applyFont="1" applyFill="1" applyBorder="1" applyAlignment="1">
      <alignment vertical="center"/>
    </xf>
    <xf numFmtId="0" fontId="56" fillId="0" borderId="0" xfId="414" applyNumberFormat="1" applyFont="1" applyFill="1" applyBorder="1" applyAlignment="1">
      <alignment horizontal="center" vertical="center"/>
    </xf>
    <xf numFmtId="0" fontId="113" fillId="0" borderId="0" xfId="0" applyFont="1"/>
    <xf numFmtId="173" fontId="82" fillId="0" borderId="39" xfId="430" applyNumberFormat="1" applyFont="1" applyFill="1" applyBorder="1"/>
    <xf numFmtId="2" fontId="56" fillId="0" borderId="0" xfId="434" applyNumberFormat="1" applyFont="1" applyBorder="1" applyAlignment="1">
      <alignment vertical="center"/>
    </xf>
    <xf numFmtId="2" fontId="56" fillId="0" borderId="0" xfId="434" applyNumberFormat="1" applyFont="1" applyBorder="1" applyAlignment="1">
      <alignment horizontal="center"/>
    </xf>
    <xf numFmtId="0" fontId="92" fillId="0" borderId="0" xfId="0" applyFont="1" applyAlignment="1">
      <alignment vertical="center"/>
    </xf>
    <xf numFmtId="0" fontId="118" fillId="0" borderId="0" xfId="0" applyFont="1"/>
    <xf numFmtId="1" fontId="92" fillId="0" borderId="0" xfId="0" applyNumberFormat="1" applyFont="1" applyFill="1"/>
    <xf numFmtId="0" fontId="119" fillId="0" borderId="0" xfId="0" applyFont="1"/>
    <xf numFmtId="1" fontId="0" fillId="0" borderId="0" xfId="0" applyNumberFormat="1"/>
    <xf numFmtId="1" fontId="92" fillId="0" borderId="0" xfId="0" applyNumberFormat="1" applyFont="1"/>
    <xf numFmtId="9" fontId="109" fillId="0" borderId="0" xfId="0" applyNumberFormat="1" applyFont="1"/>
    <xf numFmtId="173" fontId="85" fillId="0" borderId="0" xfId="435" applyNumberFormat="1" applyFont="1"/>
    <xf numFmtId="0" fontId="121" fillId="0" borderId="0" xfId="0" applyFont="1"/>
    <xf numFmtId="0" fontId="92" fillId="0" borderId="0" xfId="0" applyFont="1"/>
    <xf numFmtId="0" fontId="109" fillId="34" borderId="0" xfId="0" applyFont="1" applyFill="1"/>
    <xf numFmtId="0" fontId="92" fillId="31" borderId="0" xfId="0" applyFont="1" applyFill="1" applyBorder="1"/>
    <xf numFmtId="1" fontId="80" fillId="41" borderId="0" xfId="0" applyNumberFormat="1" applyFont="1" applyFill="1" applyBorder="1" applyAlignment="1" applyProtection="1">
      <alignment horizontal="center" vertical="center"/>
      <protection locked="0"/>
    </xf>
    <xf numFmtId="1" fontId="80" fillId="41" borderId="0" xfId="0" applyNumberFormat="1" applyFont="1" applyFill="1" applyBorder="1" applyAlignment="1">
      <alignment horizontal="center" vertical="center"/>
    </xf>
    <xf numFmtId="173" fontId="80" fillId="41" borderId="0" xfId="0" applyNumberFormat="1" applyFont="1" applyFill="1" applyBorder="1" applyAlignment="1">
      <alignment horizontal="center" vertical="center"/>
    </xf>
    <xf numFmtId="1" fontId="114" fillId="41" borderId="0" xfId="0" applyNumberFormat="1" applyFont="1" applyFill="1" applyBorder="1" applyAlignment="1" applyProtection="1">
      <alignment horizontal="center" vertical="center"/>
      <protection locked="0"/>
    </xf>
    <xf numFmtId="1" fontId="116" fillId="41" borderId="0" xfId="0" applyNumberFormat="1" applyFont="1" applyFill="1" applyBorder="1" applyAlignment="1" applyProtection="1">
      <alignment horizontal="center" vertical="center"/>
      <protection locked="0"/>
    </xf>
    <xf numFmtId="1" fontId="115" fillId="41" borderId="0" xfId="0" applyNumberFormat="1" applyFont="1" applyFill="1" applyBorder="1" applyAlignment="1" applyProtection="1">
      <alignment horizontal="center" vertical="center"/>
      <protection locked="0"/>
    </xf>
    <xf numFmtId="0" fontId="80" fillId="41" borderId="0" xfId="0" applyFont="1" applyFill="1" applyBorder="1" applyAlignment="1">
      <alignment horizontal="center" vertical="center"/>
    </xf>
    <xf numFmtId="1" fontId="116" fillId="41" borderId="0" xfId="0" applyNumberFormat="1" applyFont="1" applyFill="1" applyBorder="1" applyAlignment="1">
      <alignment horizontal="center" vertical="center"/>
    </xf>
    <xf numFmtId="0" fontId="113" fillId="31" borderId="0" xfId="0" applyFont="1" applyFill="1" applyBorder="1"/>
    <xf numFmtId="0" fontId="121" fillId="31" borderId="0" xfId="0" applyFont="1" applyFill="1" applyBorder="1"/>
    <xf numFmtId="164" fontId="113" fillId="0" borderId="0" xfId="0" applyNumberFormat="1" applyFont="1" applyAlignment="1">
      <alignment vertical="center"/>
    </xf>
    <xf numFmtId="0" fontId="92" fillId="31" borderId="0" xfId="0" applyNumberFormat="1" applyFont="1" applyFill="1" applyBorder="1"/>
    <xf numFmtId="20" fontId="8" fillId="38" borderId="23" xfId="431" applyNumberFormat="1" applyFont="1" applyFill="1" applyBorder="1" applyAlignment="1">
      <alignment horizontal="center" vertical="center"/>
    </xf>
    <xf numFmtId="20" fontId="9" fillId="47" borderId="22" xfId="431" applyNumberFormat="1" applyFont="1" applyFill="1" applyBorder="1" applyAlignment="1">
      <alignment horizontal="center" vertical="center"/>
    </xf>
    <xf numFmtId="1" fontId="113" fillId="0" borderId="0" xfId="0" applyNumberFormat="1" applyFont="1" applyAlignment="1">
      <alignment horizontal="right"/>
    </xf>
    <xf numFmtId="1" fontId="124" fillId="0" borderId="0" xfId="0" applyNumberFormat="1" applyFont="1"/>
    <xf numFmtId="0" fontId="125" fillId="0" borderId="0" xfId="0" applyFont="1"/>
    <xf numFmtId="0" fontId="78" fillId="0" borderId="0" xfId="414" applyNumberFormat="1" applyFont="1" applyFill="1" applyBorder="1" applyAlignment="1">
      <alignment vertical="top"/>
    </xf>
    <xf numFmtId="173" fontId="117" fillId="0" borderId="0" xfId="375" applyNumberFormat="1" applyFont="1"/>
    <xf numFmtId="0" fontId="102" fillId="36" borderId="30" xfId="375" applyNumberFormat="1" applyFont="1" applyFill="1" applyBorder="1" applyAlignment="1">
      <alignment horizontal="left" vertical="center"/>
    </xf>
    <xf numFmtId="0" fontId="102" fillId="49" borderId="30" xfId="375" applyNumberFormat="1" applyFont="1" applyFill="1" applyBorder="1" applyAlignment="1">
      <alignment horizontal="left" vertical="center"/>
    </xf>
    <xf numFmtId="0" fontId="102" fillId="49" borderId="30" xfId="375" applyNumberFormat="1" applyFont="1" applyFill="1" applyBorder="1" applyAlignment="1">
      <alignment horizontal="center" vertical="center"/>
    </xf>
    <xf numFmtId="1" fontId="123" fillId="0" borderId="0" xfId="0" applyNumberFormat="1" applyFont="1"/>
    <xf numFmtId="20" fontId="123" fillId="0" borderId="0" xfId="0" applyNumberFormat="1" applyFont="1"/>
    <xf numFmtId="0" fontId="128" fillId="0" borderId="0" xfId="0" applyFont="1"/>
    <xf numFmtId="0" fontId="2" fillId="0" borderId="0" xfId="430" applyFont="1" applyAlignment="1">
      <alignment vertical="center"/>
    </xf>
    <xf numFmtId="0" fontId="130" fillId="0" borderId="0" xfId="0" applyFont="1" applyAlignment="1">
      <alignment vertical="center"/>
    </xf>
    <xf numFmtId="0" fontId="109" fillId="0" borderId="0" xfId="0" applyFont="1" applyProtection="1">
      <protection locked="0"/>
    </xf>
    <xf numFmtId="0" fontId="22" fillId="0" borderId="0" xfId="341" applyAlignment="1" applyProtection="1">
      <protection locked="0"/>
    </xf>
    <xf numFmtId="0" fontId="109" fillId="0" borderId="0" xfId="0" quotePrefix="1" applyFont="1" applyProtection="1">
      <protection locked="0"/>
    </xf>
    <xf numFmtId="0" fontId="88" fillId="0" borderId="0" xfId="341" applyFont="1" applyAlignment="1" applyProtection="1">
      <protection locked="0"/>
    </xf>
    <xf numFmtId="0" fontId="120" fillId="0" borderId="0" xfId="0" applyFont="1"/>
    <xf numFmtId="165" fontId="49" fillId="0" borderId="0" xfId="430" applyNumberFormat="1" applyFont="1"/>
    <xf numFmtId="1" fontId="47" fillId="0" borderId="13" xfId="0" quotePrefix="1" applyNumberFormat="1" applyFont="1" applyFill="1" applyBorder="1" applyAlignment="1">
      <alignment horizontal="right" vertical="center"/>
    </xf>
    <xf numFmtId="0" fontId="92" fillId="0" borderId="0" xfId="0" applyFont="1" applyBorder="1"/>
    <xf numFmtId="0" fontId="92" fillId="0" borderId="0" xfId="0" applyFont="1" applyFill="1" applyBorder="1"/>
    <xf numFmtId="1" fontId="96" fillId="0" borderId="0" xfId="0" applyNumberFormat="1" applyFont="1" applyFill="1" applyBorder="1" applyAlignment="1" applyProtection="1">
      <alignment horizontal="center" vertical="center"/>
      <protection locked="0"/>
    </xf>
    <xf numFmtId="1" fontId="1" fillId="0" borderId="0" xfId="0" applyNumberFormat="1" applyFont="1" applyFill="1" applyBorder="1" applyAlignment="1" applyProtection="1">
      <alignment horizontal="center" vertical="center"/>
      <protection locked="0"/>
    </xf>
    <xf numFmtId="1" fontId="115" fillId="0" borderId="0" xfId="0" applyNumberFormat="1" applyFont="1" applyFill="1" applyBorder="1" applyAlignment="1" applyProtection="1">
      <alignment horizontal="center" vertical="center"/>
      <protection locked="0"/>
    </xf>
    <xf numFmtId="0" fontId="132" fillId="51" borderId="88" xfId="0" applyNumberFormat="1" applyFont="1" applyFill="1" applyBorder="1" applyAlignment="1">
      <alignment horizontal="center" vertical="center" wrapText="1"/>
    </xf>
    <xf numFmtId="0" fontId="133" fillId="51" borderId="39" xfId="0" applyNumberFormat="1" applyFont="1" applyFill="1" applyBorder="1" applyAlignment="1">
      <alignment horizontal="center" vertical="center" wrapText="1"/>
    </xf>
    <xf numFmtId="0" fontId="31" fillId="43" borderId="10" xfId="0" applyFont="1" applyFill="1" applyBorder="1" applyAlignment="1">
      <alignment horizontal="center" vertical="center"/>
    </xf>
    <xf numFmtId="0" fontId="30" fillId="43" borderId="10" xfId="0" applyFont="1" applyFill="1" applyBorder="1" applyAlignment="1">
      <alignment horizontal="center" vertical="center"/>
    </xf>
    <xf numFmtId="0" fontId="87" fillId="0" borderId="0" xfId="341" applyFont="1" applyAlignment="1" applyProtection="1">
      <alignment horizontal="left"/>
    </xf>
    <xf numFmtId="0" fontId="135" fillId="0" borderId="0" xfId="428" applyFont="1" applyBorder="1" applyAlignment="1">
      <alignment vertical="center"/>
    </xf>
    <xf numFmtId="0" fontId="136" fillId="0" borderId="0" xfId="428" applyFont="1" applyBorder="1" applyAlignment="1">
      <alignment vertical="center"/>
    </xf>
    <xf numFmtId="0" fontId="137" fillId="0" borderId="0" xfId="428" applyFont="1" applyBorder="1" applyAlignment="1">
      <alignment vertical="center"/>
    </xf>
    <xf numFmtId="0" fontId="138" fillId="0" borderId="0" xfId="428" applyFont="1" applyBorder="1" applyAlignment="1">
      <alignment vertical="center"/>
    </xf>
    <xf numFmtId="0" fontId="57" fillId="0" borderId="0" xfId="428" applyFont="1" applyAlignment="1">
      <alignment vertical="center"/>
    </xf>
    <xf numFmtId="0" fontId="56" fillId="0" borderId="0" xfId="0" applyFont="1" applyAlignment="1">
      <alignment vertical="center"/>
    </xf>
    <xf numFmtId="0" fontId="140" fillId="0" borderId="0" xfId="428" applyFont="1" applyBorder="1" applyAlignment="1">
      <alignment vertical="center"/>
    </xf>
    <xf numFmtId="169" fontId="140" fillId="0" borderId="0" xfId="428" applyNumberFormat="1" applyFont="1" applyBorder="1" applyAlignment="1">
      <alignment horizontal="left" vertical="center"/>
    </xf>
    <xf numFmtId="174" fontId="140" fillId="0" borderId="0" xfId="428" applyNumberFormat="1" applyFont="1" applyBorder="1" applyAlignment="1">
      <alignment horizontal="left" vertical="center"/>
    </xf>
    <xf numFmtId="0" fontId="141" fillId="0" borderId="0" xfId="428" applyFont="1" applyBorder="1" applyAlignment="1">
      <alignment vertical="center"/>
    </xf>
    <xf numFmtId="0" fontId="141" fillId="0" borderId="0" xfId="428" applyFont="1" applyBorder="1" applyAlignment="1">
      <alignment horizontal="right" vertical="center"/>
    </xf>
    <xf numFmtId="0" fontId="9" fillId="0" borderId="0" xfId="428" applyFont="1" applyBorder="1" applyAlignment="1">
      <alignment horizontal="right" vertical="center"/>
    </xf>
    <xf numFmtId="15" fontId="9" fillId="0" borderId="0" xfId="428" applyNumberFormat="1" applyFont="1" applyBorder="1" applyAlignment="1">
      <alignment vertical="center"/>
    </xf>
    <xf numFmtId="175" fontId="141" fillId="0" borderId="0" xfId="428" applyNumberFormat="1" applyFont="1" applyBorder="1" applyAlignment="1">
      <alignment horizontal="left"/>
    </xf>
    <xf numFmtId="0" fontId="10" fillId="0" borderId="0" xfId="428" applyFont="1" applyBorder="1" applyAlignment="1">
      <alignment vertical="center"/>
    </xf>
    <xf numFmtId="0" fontId="141" fillId="0" borderId="0" xfId="428" applyFont="1" applyBorder="1" applyAlignment="1">
      <alignment horizontal="left" vertical="center"/>
    </xf>
    <xf numFmtId="0" fontId="141" fillId="0" borderId="0" xfId="428" applyFont="1" applyFill="1" applyBorder="1" applyAlignment="1">
      <alignment vertical="center"/>
    </xf>
    <xf numFmtId="15" fontId="10" fillId="0" borderId="0" xfId="428" applyNumberFormat="1" applyFont="1" applyBorder="1" applyAlignment="1">
      <alignment horizontal="left" vertical="center"/>
    </xf>
    <xf numFmtId="14" fontId="141" fillId="0" borderId="0" xfId="428" applyNumberFormat="1" applyFont="1" applyAlignment="1">
      <alignment vertical="center"/>
    </xf>
    <xf numFmtId="14" fontId="141" fillId="0" borderId="0" xfId="428" applyNumberFormat="1" applyFont="1" applyFill="1" applyAlignment="1">
      <alignment vertical="center"/>
    </xf>
    <xf numFmtId="0" fontId="56" fillId="0" borderId="0" xfId="0" applyFont="1" applyBorder="1" applyAlignment="1">
      <alignment vertical="center"/>
    </xf>
    <xf numFmtId="20" fontId="83" fillId="0" borderId="0" xfId="436" applyNumberFormat="1" applyFont="1" applyFill="1" applyBorder="1" applyAlignment="1">
      <alignment horizontal="center" textRotation="90"/>
    </xf>
    <xf numFmtId="0" fontId="56" fillId="0" borderId="0" xfId="436" applyFont="1" applyFill="1" applyBorder="1">
      <alignment vertical="center"/>
    </xf>
    <xf numFmtId="0" fontId="56" fillId="0" borderId="0" xfId="436" applyFont="1" applyFill="1" applyBorder="1" applyAlignment="1">
      <alignment horizontal="left" vertical="center"/>
    </xf>
    <xf numFmtId="14" fontId="143" fillId="0" borderId="109" xfId="428" applyNumberFormat="1" applyFont="1" applyFill="1" applyBorder="1" applyAlignment="1">
      <alignment vertical="center"/>
    </xf>
    <xf numFmtId="14" fontId="143" fillId="0" borderId="109" xfId="428" applyNumberFormat="1" applyFont="1" applyFill="1" applyBorder="1" applyAlignment="1">
      <alignment horizontal="left" vertical="center"/>
    </xf>
    <xf numFmtId="1" fontId="56" fillId="0" borderId="0" xfId="436" applyNumberFormat="1" applyFont="1" applyFill="1" applyBorder="1">
      <alignment vertical="center"/>
    </xf>
    <xf numFmtId="0" fontId="56" fillId="0" borderId="0" xfId="0" applyFont="1" applyFill="1" applyBorder="1" applyAlignment="1">
      <alignment vertical="center"/>
    </xf>
    <xf numFmtId="0" fontId="7" fillId="0" borderId="85" xfId="436" applyFont="1" applyFill="1" applyBorder="1" applyAlignment="1">
      <alignment horizontal="center" vertical="center"/>
    </xf>
    <xf numFmtId="14" fontId="143" fillId="0" borderId="113" xfId="428" applyNumberFormat="1" applyFont="1" applyFill="1" applyBorder="1" applyAlignment="1">
      <alignment horizontal="left" vertical="center"/>
    </xf>
    <xf numFmtId="1" fontId="56" fillId="0" borderId="0" xfId="436" applyNumberFormat="1" applyFont="1" applyFill="1" applyBorder="1" applyAlignment="1">
      <alignment horizontal="left" vertical="center"/>
    </xf>
    <xf numFmtId="1" fontId="57" fillId="0" borderId="0" xfId="436" applyNumberFormat="1" applyFont="1" applyFill="1" applyBorder="1" applyAlignment="1">
      <alignment horizontal="left" vertical="center"/>
    </xf>
    <xf numFmtId="14" fontId="143" fillId="0" borderId="113" xfId="428" applyNumberFormat="1" applyFont="1" applyFill="1" applyBorder="1" applyAlignment="1">
      <alignment vertical="center"/>
    </xf>
    <xf numFmtId="14" fontId="142" fillId="0" borderId="113" xfId="428" applyNumberFormat="1" applyFont="1" applyFill="1" applyBorder="1" applyAlignment="1">
      <alignment horizontal="left" vertical="center"/>
    </xf>
    <xf numFmtId="0" fontId="7" fillId="0" borderId="85" xfId="428" applyFont="1" applyFill="1" applyBorder="1" applyAlignment="1">
      <alignment horizontal="center" vertical="center"/>
    </xf>
    <xf numFmtId="0" fontId="55" fillId="0" borderId="0" xfId="436" applyFont="1" applyFill="1" applyBorder="1" applyAlignment="1" applyProtection="1">
      <alignment horizontal="left" vertical="center"/>
      <protection locked="0"/>
    </xf>
    <xf numFmtId="20" fontId="143" fillId="0" borderId="113" xfId="428" applyNumberFormat="1" applyFont="1" applyFill="1" applyBorder="1" applyAlignment="1">
      <alignment vertical="center"/>
    </xf>
    <xf numFmtId="0" fontId="56" fillId="0" borderId="0" xfId="0" applyFont="1" applyFill="1" applyAlignment="1">
      <alignment vertical="center"/>
    </xf>
    <xf numFmtId="0" fontId="7" fillId="0" borderId="85" xfId="0" applyFont="1" applyFill="1" applyBorder="1" applyAlignment="1">
      <alignment horizontal="center" vertical="center"/>
    </xf>
    <xf numFmtId="0" fontId="92" fillId="34" borderId="0" xfId="0" applyFont="1" applyFill="1" applyBorder="1"/>
    <xf numFmtId="0" fontId="2" fillId="0" borderId="0" xfId="436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100" fillId="0" borderId="0" xfId="0" applyFont="1" applyBorder="1"/>
    <xf numFmtId="0" fontId="7" fillId="0" borderId="108" xfId="428" applyFont="1" applyFill="1" applyBorder="1" applyAlignment="1">
      <alignment horizontal="center" vertical="center"/>
    </xf>
    <xf numFmtId="0" fontId="7" fillId="0" borderId="112" xfId="428" applyFont="1" applyFill="1" applyBorder="1" applyAlignment="1">
      <alignment horizontal="center" vertical="center"/>
    </xf>
    <xf numFmtId="0" fontId="7" fillId="0" borderId="112" xfId="0" applyFont="1" applyFill="1" applyBorder="1" applyAlignment="1">
      <alignment horizontal="center" vertical="center"/>
    </xf>
    <xf numFmtId="0" fontId="7" fillId="0" borderId="118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7" fillId="0" borderId="47" xfId="0" applyFont="1" applyFill="1" applyBorder="1" applyAlignment="1">
      <alignment horizontal="center" vertical="center"/>
    </xf>
    <xf numFmtId="14" fontId="143" fillId="0" borderId="119" xfId="428" applyNumberFormat="1" applyFont="1" applyFill="1" applyBorder="1" applyAlignment="1">
      <alignment vertical="center"/>
    </xf>
    <xf numFmtId="0" fontId="56" fillId="0" borderId="0" xfId="428" applyFont="1" applyFill="1" applyBorder="1" applyAlignment="1">
      <alignment horizontal="center" vertical="center"/>
    </xf>
    <xf numFmtId="0" fontId="7" fillId="0" borderId="47" xfId="428" applyFont="1" applyFill="1" applyBorder="1" applyAlignment="1">
      <alignment horizontal="center" vertical="center"/>
    </xf>
    <xf numFmtId="14" fontId="142" fillId="0" borderId="109" xfId="428" applyNumberFormat="1" applyFont="1" applyFill="1" applyBorder="1" applyAlignment="1">
      <alignment horizontal="left" vertical="center"/>
    </xf>
    <xf numFmtId="1" fontId="55" fillId="0" borderId="0" xfId="428" applyNumberFormat="1" applyFont="1" applyFill="1" applyBorder="1" applyAlignment="1">
      <alignment horizontal="left" vertical="center"/>
    </xf>
    <xf numFmtId="14" fontId="142" fillId="0" borderId="0" xfId="428" applyNumberFormat="1" applyFont="1" applyFill="1" applyBorder="1" applyAlignment="1">
      <alignment horizontal="left" vertical="center"/>
    </xf>
    <xf numFmtId="0" fontId="7" fillId="0" borderId="118" xfId="428" applyFont="1" applyFill="1" applyBorder="1" applyAlignment="1">
      <alignment horizontal="center" vertical="center"/>
    </xf>
    <xf numFmtId="14" fontId="142" fillId="0" borderId="119" xfId="428" applyNumberFormat="1" applyFont="1" applyFill="1" applyBorder="1" applyAlignment="1">
      <alignment horizontal="left" vertical="center"/>
    </xf>
    <xf numFmtId="1" fontId="2" fillId="0" borderId="0" xfId="432" applyNumberFormat="1" applyFont="1" applyFill="1" applyBorder="1" applyAlignment="1" applyProtection="1">
      <alignment horizontal="center"/>
      <protection locked="0"/>
    </xf>
    <xf numFmtId="14" fontId="143" fillId="0" borderId="119" xfId="428" applyNumberFormat="1" applyFont="1" applyFill="1" applyBorder="1" applyAlignment="1">
      <alignment horizontal="left" vertical="center"/>
    </xf>
    <xf numFmtId="0" fontId="56" fillId="54" borderId="0" xfId="0" applyFont="1" applyFill="1" applyBorder="1" applyAlignment="1">
      <alignment vertical="center"/>
    </xf>
    <xf numFmtId="1" fontId="7" fillId="0" borderId="0" xfId="436" applyNumberFormat="1" applyFont="1" applyFill="1" applyBorder="1" applyAlignment="1">
      <alignment horizontal="left" vertical="center"/>
    </xf>
    <xf numFmtId="0" fontId="7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1" fontId="7" fillId="0" borderId="0" xfId="436" applyNumberFormat="1" applyFont="1" applyFill="1" applyBorder="1">
      <alignment vertical="center"/>
    </xf>
    <xf numFmtId="1" fontId="20" fillId="0" borderId="0" xfId="428" applyNumberFormat="1" applyFont="1" applyBorder="1" applyAlignment="1">
      <alignment vertical="center"/>
    </xf>
    <xf numFmtId="0" fontId="146" fillId="0" borderId="0" xfId="428" applyFont="1" applyFill="1" applyBorder="1" applyAlignment="1">
      <alignment horizontal="left" vertical="center"/>
    </xf>
    <xf numFmtId="0" fontId="7" fillId="0" borderId="0" xfId="436" applyFont="1" applyFill="1" applyBorder="1">
      <alignment vertical="center"/>
    </xf>
    <xf numFmtId="0" fontId="7" fillId="0" borderId="0" xfId="436" applyFont="1">
      <alignment vertical="center"/>
    </xf>
    <xf numFmtId="165" fontId="9" fillId="0" borderId="0" xfId="436" applyNumberFormat="1" applyFont="1" applyFill="1" applyBorder="1" applyAlignment="1">
      <alignment horizontal="center" vertical="center"/>
    </xf>
    <xf numFmtId="1" fontId="56" fillId="0" borderId="0" xfId="428" applyNumberFormat="1" applyFont="1" applyFill="1" applyBorder="1" applyAlignment="1">
      <alignment horizontal="center" vertical="center"/>
    </xf>
    <xf numFmtId="0" fontId="56" fillId="0" borderId="0" xfId="436" applyFont="1" applyFill="1" applyBorder="1" applyAlignment="1">
      <alignment vertical="center"/>
    </xf>
    <xf numFmtId="0" fontId="7" fillId="0" borderId="0" xfId="436" applyFont="1" applyFill="1" applyBorder="1" applyAlignment="1">
      <alignment horizontal="center" vertical="center"/>
    </xf>
    <xf numFmtId="1" fontId="78" fillId="0" borderId="0" xfId="436" quotePrefix="1" applyNumberFormat="1" applyFont="1" applyFill="1" applyBorder="1" applyAlignment="1">
      <alignment horizontal="center" vertical="center"/>
    </xf>
    <xf numFmtId="0" fontId="49" fillId="0" borderId="0" xfId="436" applyFont="1" applyFill="1" applyBorder="1" applyAlignment="1">
      <alignment horizontal="center" vertical="center"/>
    </xf>
    <xf numFmtId="165" fontId="78" fillId="0" borderId="0" xfId="436" applyNumberFormat="1" applyFont="1" applyFill="1" applyBorder="1" applyAlignment="1">
      <alignment horizontal="center" vertical="center"/>
    </xf>
    <xf numFmtId="0" fontId="150" fillId="0" borderId="0" xfId="0" applyFont="1" applyFill="1" applyBorder="1" applyAlignment="1">
      <alignment vertical="center"/>
    </xf>
    <xf numFmtId="0" fontId="49" fillId="0" borderId="0" xfId="0" applyFont="1" applyAlignment="1">
      <alignment vertical="center"/>
    </xf>
    <xf numFmtId="10" fontId="151" fillId="0" borderId="0" xfId="436" applyNumberFormat="1" applyFont="1" applyFill="1" applyBorder="1" applyAlignment="1">
      <alignment horizontal="center" vertical="center"/>
    </xf>
    <xf numFmtId="1" fontId="56" fillId="0" borderId="0" xfId="428" quotePrefix="1" applyNumberFormat="1" applyFont="1" applyFill="1" applyBorder="1" applyAlignment="1">
      <alignment horizontal="center" vertical="center"/>
    </xf>
    <xf numFmtId="0" fontId="49" fillId="0" borderId="154" xfId="428" applyFont="1" applyBorder="1" applyAlignment="1">
      <alignment vertical="center"/>
    </xf>
    <xf numFmtId="0" fontId="56" fillId="0" borderId="47" xfId="428" applyFont="1" applyBorder="1" applyAlignment="1">
      <alignment vertical="center"/>
    </xf>
    <xf numFmtId="0" fontId="56" fillId="0" borderId="0" xfId="428" applyFont="1" applyBorder="1" applyAlignment="1">
      <alignment vertical="center"/>
    </xf>
    <xf numFmtId="14" fontId="56" fillId="0" borderId="0" xfId="502" applyNumberFormat="1" applyFont="1" applyBorder="1" applyAlignment="1">
      <alignment horizontal="center" vertical="center"/>
    </xf>
    <xf numFmtId="0" fontId="56" fillId="0" borderId="0" xfId="0" applyFont="1" applyBorder="1" applyAlignment="1">
      <alignment horizontal="center" vertical="center"/>
    </xf>
    <xf numFmtId="0" fontId="56" fillId="0" borderId="0" xfId="436" applyFont="1" applyBorder="1" applyAlignment="1">
      <alignment vertical="center"/>
    </xf>
    <xf numFmtId="0" fontId="56" fillId="0" borderId="48" xfId="436" applyFont="1" applyBorder="1" applyAlignment="1">
      <alignment vertical="center"/>
    </xf>
    <xf numFmtId="0" fontId="153" fillId="0" borderId="47" xfId="436" applyFont="1" applyBorder="1" applyAlignment="1">
      <alignment vertical="center"/>
    </xf>
    <xf numFmtId="0" fontId="153" fillId="0" borderId="0" xfId="436" applyFont="1" applyBorder="1" applyAlignment="1">
      <alignment vertical="center"/>
    </xf>
    <xf numFmtId="0" fontId="154" fillId="0" borderId="0" xfId="436" applyFont="1" applyBorder="1" applyAlignment="1">
      <alignment vertical="center"/>
    </xf>
    <xf numFmtId="0" fontId="56" fillId="0" borderId="0" xfId="436" applyFont="1" applyBorder="1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56" fillId="0" borderId="47" xfId="436" applyFont="1" applyBorder="1" applyAlignment="1">
      <alignment vertical="center"/>
    </xf>
    <xf numFmtId="0" fontId="57" fillId="0" borderId="0" xfId="436" applyFont="1" applyBorder="1" applyAlignment="1">
      <alignment horizontal="left" vertical="center"/>
    </xf>
    <xf numFmtId="0" fontId="92" fillId="0" borderId="0" xfId="0" applyFont="1" applyBorder="1" applyAlignment="1"/>
    <xf numFmtId="0" fontId="100" fillId="0" borderId="0" xfId="0" applyFont="1" applyBorder="1" applyAlignment="1"/>
    <xf numFmtId="0" fontId="84" fillId="0" borderId="0" xfId="0" applyFont="1" applyAlignment="1">
      <alignment vertical="center"/>
    </xf>
    <xf numFmtId="0" fontId="113" fillId="0" borderId="0" xfId="0" applyFont="1" applyBorder="1"/>
    <xf numFmtId="0" fontId="56" fillId="0" borderId="158" xfId="436" applyFont="1" applyBorder="1" applyAlignment="1">
      <alignment vertical="center"/>
    </xf>
    <xf numFmtId="17" fontId="57" fillId="0" borderId="158" xfId="436" applyNumberFormat="1" applyFont="1" applyBorder="1" applyAlignment="1">
      <alignment horizontal="left" vertical="center"/>
    </xf>
    <xf numFmtId="0" fontId="56" fillId="0" borderId="159" xfId="436" applyFont="1" applyBorder="1" applyAlignment="1">
      <alignment vertical="center"/>
    </xf>
    <xf numFmtId="0" fontId="56" fillId="0" borderId="0" xfId="436" applyFont="1" applyAlignment="1">
      <alignment vertical="center"/>
    </xf>
    <xf numFmtId="0" fontId="8" fillId="0" borderId="0" xfId="436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436" applyFont="1" applyFill="1" applyAlignment="1">
      <alignment vertical="center"/>
    </xf>
    <xf numFmtId="179" fontId="2" fillId="0" borderId="0" xfId="436" applyNumberFormat="1" applyFont="1" applyAlignment="1">
      <alignment vertical="center"/>
    </xf>
    <xf numFmtId="0" fontId="56" fillId="0" borderId="0" xfId="428" applyFont="1" applyAlignment="1">
      <alignment vertical="center"/>
    </xf>
    <xf numFmtId="0" fontId="56" fillId="0" borderId="0" xfId="428" applyFont="1" applyFill="1" applyAlignment="1">
      <alignment vertical="center"/>
    </xf>
    <xf numFmtId="0" fontId="56" fillId="0" borderId="0" xfId="436" applyFont="1" applyFill="1" applyAlignment="1">
      <alignment vertical="center"/>
    </xf>
    <xf numFmtId="0" fontId="57" fillId="0" borderId="0" xfId="436" applyFont="1" applyAlignment="1">
      <alignment vertical="center"/>
    </xf>
    <xf numFmtId="0" fontId="7" fillId="0" borderId="0" xfId="428" applyFont="1" applyFill="1" applyBorder="1" applyAlignment="1">
      <alignment horizontal="center" vertical="center"/>
    </xf>
    <xf numFmtId="0" fontId="2" fillId="0" borderId="0" xfId="428" applyFont="1" applyFill="1" applyBorder="1" applyAlignment="1">
      <alignment horizontal="center" vertical="center"/>
    </xf>
    <xf numFmtId="1" fontId="100" fillId="0" borderId="0" xfId="428" applyNumberFormat="1" applyFont="1" applyFill="1" applyBorder="1" applyAlignment="1">
      <alignment horizontal="center" vertical="center"/>
    </xf>
    <xf numFmtId="0" fontId="52" fillId="0" borderId="0" xfId="428" applyFont="1" applyFill="1" applyBorder="1" applyAlignment="1">
      <alignment horizontal="center" vertical="center"/>
    </xf>
    <xf numFmtId="1" fontId="2" fillId="0" borderId="0" xfId="428" applyNumberFormat="1" applyFont="1" applyFill="1" applyBorder="1" applyAlignment="1">
      <alignment horizontal="center" vertical="center"/>
    </xf>
    <xf numFmtId="0" fontId="143" fillId="0" borderId="0" xfId="0" applyFont="1" applyFill="1" applyBorder="1"/>
    <xf numFmtId="14" fontId="143" fillId="0" borderId="0" xfId="428" applyNumberFormat="1" applyFont="1" applyFill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165" fontId="56" fillId="0" borderId="0" xfId="0" applyNumberFormat="1" applyFont="1" applyFill="1" applyAlignment="1">
      <alignment vertical="center"/>
    </xf>
    <xf numFmtId="0" fontId="156" fillId="0" borderId="0" xfId="428" applyFont="1" applyFill="1" applyBorder="1" applyAlignment="1">
      <alignment horizontal="left" vertical="center"/>
    </xf>
    <xf numFmtId="0" fontId="157" fillId="0" borderId="0" xfId="0" applyFont="1" applyBorder="1"/>
    <xf numFmtId="179" fontId="92" fillId="0" borderId="0" xfId="0" applyNumberFormat="1" applyFont="1" applyBorder="1"/>
    <xf numFmtId="176" fontId="92" fillId="0" borderId="0" xfId="0" applyNumberFormat="1" applyFont="1" applyBorder="1"/>
    <xf numFmtId="0" fontId="26" fillId="0" borderId="0" xfId="436" applyFont="1">
      <alignment vertical="center"/>
    </xf>
    <xf numFmtId="0" fontId="2" fillId="0" borderId="0" xfId="436" applyFont="1" applyFill="1" applyAlignment="1">
      <alignment vertical="center"/>
    </xf>
    <xf numFmtId="0" fontId="78" fillId="0" borderId="0" xfId="436" applyFont="1" applyFill="1" applyAlignment="1">
      <alignment horizontal="center" vertical="center"/>
    </xf>
    <xf numFmtId="0" fontId="8" fillId="0" borderId="0" xfId="436" applyFont="1" applyFill="1" applyAlignment="1">
      <alignment horizontal="center" vertical="center"/>
    </xf>
    <xf numFmtId="0" fontId="149" fillId="0" borderId="0" xfId="428" applyFont="1" applyAlignment="1">
      <alignment vertical="center"/>
    </xf>
    <xf numFmtId="0" fontId="158" fillId="0" borderId="0" xfId="428" applyFont="1" applyAlignment="1">
      <alignment vertical="center"/>
    </xf>
    <xf numFmtId="0" fontId="26" fillId="0" borderId="0" xfId="436" applyFont="1" applyFill="1" applyBorder="1">
      <alignment vertical="center"/>
    </xf>
    <xf numFmtId="0" fontId="9" fillId="0" borderId="0" xfId="436" applyFont="1">
      <alignment vertical="center"/>
    </xf>
    <xf numFmtId="165" fontId="9" fillId="0" borderId="0" xfId="436" applyNumberFormat="1" applyFont="1">
      <alignment vertical="center"/>
    </xf>
    <xf numFmtId="172" fontId="9" fillId="0" borderId="0" xfId="458" applyNumberFormat="1" applyFont="1" applyAlignment="1">
      <alignment vertical="center"/>
    </xf>
    <xf numFmtId="0" fontId="57" fillId="0" borderId="0" xfId="436" applyFont="1">
      <alignment vertical="center"/>
    </xf>
    <xf numFmtId="1" fontId="26" fillId="29" borderId="0" xfId="436" applyNumberFormat="1" applyFont="1" applyFill="1">
      <alignment vertical="center"/>
    </xf>
    <xf numFmtId="1" fontId="26" fillId="25" borderId="0" xfId="436" applyNumberFormat="1" applyFont="1" applyFill="1">
      <alignment vertical="center"/>
    </xf>
    <xf numFmtId="0" fontId="9" fillId="0" borderId="24" xfId="436" applyFont="1" applyBorder="1" applyAlignment="1">
      <alignment horizontal="right" vertical="center"/>
    </xf>
    <xf numFmtId="0" fontId="9" fillId="0" borderId="41" xfId="436" applyFont="1" applyBorder="1">
      <alignment vertical="center"/>
    </xf>
    <xf numFmtId="0" fontId="9" fillId="0" borderId="15" xfId="436" applyFont="1" applyBorder="1">
      <alignment vertical="center"/>
    </xf>
    <xf numFmtId="0" fontId="9" fillId="0" borderId="22" xfId="436" applyFont="1" applyBorder="1">
      <alignment vertical="center"/>
    </xf>
    <xf numFmtId="0" fontId="9" fillId="0" borderId="18" xfId="436" applyFont="1" applyBorder="1">
      <alignment vertical="center"/>
    </xf>
    <xf numFmtId="1" fontId="8" fillId="0" borderId="11" xfId="436" applyNumberFormat="1" applyFont="1" applyFill="1" applyBorder="1" applyAlignment="1">
      <alignment horizontal="center" vertical="center"/>
    </xf>
    <xf numFmtId="0" fontId="8" fillId="0" borderId="167" xfId="436" applyFont="1" applyFill="1" applyBorder="1" applyAlignment="1">
      <alignment horizontal="center" vertical="center"/>
    </xf>
    <xf numFmtId="9" fontId="9" fillId="0" borderId="24" xfId="458" applyFont="1" applyBorder="1" applyAlignment="1">
      <alignment horizontal="left" vertical="center"/>
    </xf>
    <xf numFmtId="0" fontId="9" fillId="0" borderId="41" xfId="0" applyFont="1" applyBorder="1" applyAlignment="1">
      <alignment vertical="center"/>
    </xf>
    <xf numFmtId="1" fontId="160" fillId="29" borderId="11" xfId="0" applyNumberFormat="1" applyFont="1" applyFill="1" applyBorder="1" applyAlignment="1">
      <alignment horizontal="center" vertical="center"/>
    </xf>
    <xf numFmtId="0" fontId="8" fillId="0" borderId="29" xfId="436" applyFont="1" applyFill="1" applyBorder="1" applyAlignment="1">
      <alignment horizontal="center" vertical="center"/>
    </xf>
    <xf numFmtId="0" fontId="9" fillId="0" borderId="13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8" fillId="0" borderId="174" xfId="436" applyFont="1" applyFill="1" applyBorder="1" applyAlignment="1">
      <alignment horizontal="center" vertical="center"/>
    </xf>
    <xf numFmtId="1" fontId="8" fillId="0" borderId="15" xfId="436" applyNumberFormat="1" applyFont="1" applyFill="1" applyBorder="1" applyAlignment="1">
      <alignment horizontal="center" vertical="center"/>
    </xf>
    <xf numFmtId="0" fontId="8" fillId="0" borderId="178" xfId="436" applyFont="1" applyFill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9" fillId="0" borderId="30" xfId="0" applyFont="1" applyBorder="1" applyAlignment="1">
      <alignment vertical="center"/>
    </xf>
    <xf numFmtId="0" fontId="21" fillId="0" borderId="42" xfId="436" applyFont="1" applyFill="1" applyBorder="1" applyAlignment="1" applyProtection="1">
      <alignment horizontal="left" vertical="center"/>
      <protection locked="0"/>
    </xf>
    <xf numFmtId="0" fontId="4" fillId="0" borderId="42" xfId="436" applyFont="1" applyFill="1" applyBorder="1" applyProtection="1">
      <alignment vertical="center"/>
      <protection locked="0"/>
    </xf>
    <xf numFmtId="0" fontId="4" fillId="0" borderId="42" xfId="0" applyFont="1" applyFill="1" applyBorder="1" applyAlignment="1" applyProtection="1">
      <alignment vertical="center"/>
      <protection locked="0"/>
    </xf>
    <xf numFmtId="0" fontId="92" fillId="0" borderId="42" xfId="0" applyFont="1" applyBorder="1" applyAlignment="1" applyProtection="1">
      <alignment vertical="center"/>
      <protection locked="0"/>
    </xf>
    <xf numFmtId="0" fontId="94" fillId="0" borderId="0" xfId="0" applyFont="1" applyAlignment="1" applyProtection="1">
      <alignment vertical="center"/>
      <protection locked="0"/>
    </xf>
    <xf numFmtId="0" fontId="152" fillId="0" borderId="0" xfId="436" applyFont="1" applyFill="1" applyBorder="1" applyAlignment="1" applyProtection="1">
      <alignment horizontal="left" vertical="center"/>
      <protection locked="0"/>
    </xf>
    <xf numFmtId="0" fontId="4" fillId="0" borderId="0" xfId="436" applyFont="1" applyFill="1" applyProtection="1">
      <alignment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92" fillId="0" borderId="0" xfId="0" applyFont="1" applyAlignment="1" applyProtection="1">
      <alignment vertical="center"/>
      <protection locked="0"/>
    </xf>
    <xf numFmtId="0" fontId="77" fillId="0" borderId="0" xfId="436" applyFont="1" applyAlignment="1" applyProtection="1">
      <alignment horizontal="left" vertical="center"/>
      <protection locked="0"/>
    </xf>
    <xf numFmtId="0" fontId="56" fillId="0" borderId="0" xfId="436" applyFont="1" applyProtection="1">
      <alignment vertical="center"/>
      <protection locked="0"/>
    </xf>
    <xf numFmtId="0" fontId="56" fillId="0" borderId="0" xfId="0" applyFont="1" applyAlignment="1" applyProtection="1">
      <alignment vertical="center"/>
      <protection locked="0"/>
    </xf>
    <xf numFmtId="0" fontId="7" fillId="0" borderId="0" xfId="436" applyFont="1" applyAlignment="1" applyProtection="1">
      <alignment horizontal="left"/>
      <protection locked="0"/>
    </xf>
    <xf numFmtId="0" fontId="26" fillId="0" borderId="0" xfId="436" applyFont="1" applyProtection="1">
      <alignment vertical="center"/>
      <protection locked="0"/>
    </xf>
    <xf numFmtId="0" fontId="2" fillId="0" borderId="0" xfId="428" applyFont="1" applyFill="1" applyBorder="1" applyAlignment="1">
      <alignment horizontal="left"/>
    </xf>
    <xf numFmtId="0" fontId="7" fillId="0" borderId="0" xfId="436" applyFont="1" applyProtection="1">
      <alignment vertical="center"/>
      <protection locked="0"/>
    </xf>
    <xf numFmtId="0" fontId="7" fillId="0" borderId="0" xfId="428" applyFont="1"/>
    <xf numFmtId="0" fontId="56" fillId="0" borderId="0" xfId="436" applyFont="1" applyAlignment="1">
      <alignment horizontal="left" vertical="center"/>
    </xf>
    <xf numFmtId="0" fontId="7" fillId="0" borderId="0" xfId="436" applyFont="1" applyFill="1" applyAlignment="1" applyProtection="1">
      <alignment horizontal="left" vertical="center" indent="1"/>
      <protection locked="0"/>
    </xf>
    <xf numFmtId="0" fontId="7" fillId="0" borderId="0" xfId="436" applyFont="1" applyFill="1" applyProtection="1">
      <alignment vertical="center"/>
      <protection locked="0"/>
    </xf>
    <xf numFmtId="0" fontId="57" fillId="0" borderId="0" xfId="436" applyFont="1" applyFill="1" applyProtection="1">
      <alignment vertical="center"/>
      <protection locked="0"/>
    </xf>
    <xf numFmtId="0" fontId="162" fillId="0" borderId="0" xfId="436" applyFont="1" applyAlignment="1">
      <alignment horizontal="left" vertical="center"/>
    </xf>
    <xf numFmtId="0" fontId="32" fillId="0" borderId="0" xfId="436" applyFont="1" applyProtection="1">
      <alignment vertical="center"/>
      <protection locked="0"/>
    </xf>
    <xf numFmtId="14" fontId="32" fillId="0" borderId="0" xfId="436" applyNumberFormat="1" applyFont="1" applyAlignment="1" applyProtection="1">
      <alignment horizontal="center" vertical="center"/>
      <protection locked="0"/>
    </xf>
    <xf numFmtId="0" fontId="32" fillId="0" borderId="0" xfId="436" applyFont="1">
      <alignment vertical="center"/>
    </xf>
    <xf numFmtId="0" fontId="26" fillId="0" borderId="0" xfId="436" applyFont="1" applyBorder="1" applyProtection="1">
      <alignment vertical="center"/>
      <protection locked="0"/>
    </xf>
    <xf numFmtId="14" fontId="32" fillId="0" borderId="0" xfId="436" applyNumberFormat="1" applyFont="1" applyAlignment="1">
      <alignment horizontal="center" vertical="center"/>
    </xf>
    <xf numFmtId="0" fontId="26" fillId="0" borderId="0" xfId="436" applyFont="1" applyBorder="1">
      <alignment vertical="center"/>
    </xf>
    <xf numFmtId="0" fontId="163" fillId="0" borderId="0" xfId="0" applyFont="1" applyBorder="1" applyAlignment="1">
      <alignment vertical="center"/>
    </xf>
    <xf numFmtId="14" fontId="51" fillId="0" borderId="0" xfId="436" applyNumberFormat="1" applyFont="1">
      <alignment vertical="center"/>
    </xf>
    <xf numFmtId="0" fontId="94" fillId="0" borderId="0" xfId="0" applyFont="1" applyBorder="1"/>
    <xf numFmtId="0" fontId="29" fillId="0" borderId="10" xfId="0" applyFont="1" applyBorder="1" applyAlignment="1">
      <alignment horizontal="center" vertical="center"/>
    </xf>
    <xf numFmtId="0" fontId="29" fillId="0" borderId="14" xfId="428" applyFont="1" applyFill="1" applyBorder="1" applyAlignment="1">
      <alignment vertical="center"/>
    </xf>
    <xf numFmtId="0" fontId="29" fillId="0" borderId="15" xfId="0" applyFont="1" applyBorder="1" applyAlignment="1">
      <alignment vertical="center"/>
    </xf>
    <xf numFmtId="0" fontId="29" fillId="0" borderId="30" xfId="0" applyFont="1" applyBorder="1" applyAlignment="1">
      <alignment vertical="center"/>
    </xf>
    <xf numFmtId="0" fontId="29" fillId="31" borderId="31" xfId="0" applyFont="1" applyFill="1" applyBorder="1" applyAlignment="1">
      <alignment horizontal="center" vertical="center"/>
    </xf>
    <xf numFmtId="0" fontId="29" fillId="31" borderId="22" xfId="428" applyFont="1" applyFill="1" applyBorder="1" applyAlignment="1">
      <alignment horizontal="left" vertical="center"/>
    </xf>
    <xf numFmtId="0" fontId="29" fillId="31" borderId="17" xfId="428" applyFont="1" applyFill="1" applyBorder="1" applyAlignment="1">
      <alignment horizontal="left" vertical="center"/>
    </xf>
    <xf numFmtId="0" fontId="29" fillId="31" borderId="18" xfId="428" applyFont="1" applyFill="1" applyBorder="1" applyAlignment="1">
      <alignment horizontal="left" vertical="center"/>
    </xf>
    <xf numFmtId="0" fontId="29" fillId="0" borderId="14" xfId="428" applyFont="1" applyBorder="1" applyAlignment="1">
      <alignment vertical="center"/>
    </xf>
    <xf numFmtId="0" fontId="29" fillId="31" borderId="14" xfId="436" applyFont="1" applyFill="1" applyBorder="1">
      <alignment vertical="center"/>
    </xf>
    <xf numFmtId="0" fontId="29" fillId="31" borderId="15" xfId="0" applyFont="1" applyFill="1" applyBorder="1" applyAlignment="1">
      <alignment vertical="center"/>
    </xf>
    <xf numFmtId="0" fontId="29" fillId="31" borderId="30" xfId="0" applyFont="1" applyFill="1" applyBorder="1" applyAlignment="1">
      <alignment vertical="center"/>
    </xf>
    <xf numFmtId="0" fontId="29" fillId="31" borderId="10" xfId="0" applyFont="1" applyFill="1" applyBorder="1" applyAlignment="1">
      <alignment horizontal="center" vertical="center"/>
    </xf>
    <xf numFmtId="0" fontId="29" fillId="0" borderId="14" xfId="436" applyFont="1" applyBorder="1">
      <alignment vertical="center"/>
    </xf>
    <xf numFmtId="0" fontId="29" fillId="0" borderId="10" xfId="436" applyFont="1" applyFill="1" applyBorder="1" applyAlignment="1">
      <alignment horizontal="center" vertical="center"/>
    </xf>
    <xf numFmtId="0" fontId="29" fillId="0" borderId="15" xfId="428" applyFont="1" applyFill="1" applyBorder="1" applyAlignment="1">
      <alignment vertical="center"/>
    </xf>
    <xf numFmtId="0" fontId="168" fillId="0" borderId="10" xfId="0" applyFont="1" applyBorder="1" applyAlignment="1">
      <alignment horizontal="center" vertical="center"/>
    </xf>
    <xf numFmtId="0" fontId="94" fillId="0" borderId="0" xfId="0" applyFont="1" applyBorder="1" applyAlignment="1">
      <alignment vertical="center"/>
    </xf>
    <xf numFmtId="0" fontId="171" fillId="0" borderId="0" xfId="428" applyFont="1" applyAlignment="1">
      <alignment vertical="center"/>
    </xf>
    <xf numFmtId="0" fontId="2" fillId="0" borderId="0" xfId="0" applyFont="1" applyAlignment="1">
      <alignment horizontal="left" vertical="center"/>
    </xf>
    <xf numFmtId="15" fontId="2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2" fillId="0" borderId="18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1" fontId="2" fillId="0" borderId="10" xfId="0" applyNumberFormat="1" applyFont="1" applyBorder="1" applyAlignment="1">
      <alignment horizontal="center" vertical="center"/>
    </xf>
    <xf numFmtId="1" fontId="2" fillId="0" borderId="14" xfId="0" applyNumberFormat="1" applyFont="1" applyBorder="1" applyAlignment="1">
      <alignment horizontal="center" vertical="center"/>
    </xf>
    <xf numFmtId="165" fontId="2" fillId="0" borderId="23" xfId="432" applyNumberFormat="1" applyFont="1" applyFill="1" applyBorder="1" applyAlignment="1" applyProtection="1">
      <alignment horizontal="left"/>
    </xf>
    <xf numFmtId="173" fontId="7" fillId="0" borderId="0" xfId="0" applyNumberFormat="1" applyFont="1" applyFill="1" applyBorder="1" applyAlignment="1">
      <alignment vertical="center"/>
    </xf>
    <xf numFmtId="0" fontId="2" fillId="0" borderId="20" xfId="0" applyFont="1" applyBorder="1" applyAlignment="1">
      <alignment horizontal="left" vertical="center"/>
    </xf>
    <xf numFmtId="0" fontId="2" fillId="0" borderId="171" xfId="0" applyFont="1" applyBorder="1" applyAlignment="1">
      <alignment horizontal="left" vertical="center"/>
    </xf>
    <xf numFmtId="0" fontId="172" fillId="0" borderId="43" xfId="0" applyFont="1" applyBorder="1" applyAlignment="1">
      <alignment horizontal="left"/>
    </xf>
    <xf numFmtId="173" fontId="93" fillId="0" borderId="0" xfId="0" applyNumberFormat="1" applyFont="1" applyBorder="1" applyAlignment="1"/>
    <xf numFmtId="173" fontId="0" fillId="0" borderId="43" xfId="0" applyNumberFormat="1" applyBorder="1" applyAlignment="1">
      <alignment vertical="top"/>
    </xf>
    <xf numFmtId="173" fontId="92" fillId="0" borderId="43" xfId="415" applyNumberFormat="1" applyFont="1" applyBorder="1" applyAlignment="1">
      <alignment vertical="top"/>
    </xf>
    <xf numFmtId="173" fontId="107" fillId="0" borderId="0" xfId="415" applyNumberFormat="1" applyFont="1" applyFill="1" applyBorder="1" applyAlignment="1">
      <alignment horizontal="left" vertical="center"/>
    </xf>
    <xf numFmtId="173" fontId="173" fillId="0" borderId="43" xfId="0" applyNumberFormat="1" applyFont="1" applyBorder="1" applyAlignment="1">
      <alignment horizontal="center" vertical="top"/>
    </xf>
    <xf numFmtId="173" fontId="92" fillId="0" borderId="43" xfId="415" applyNumberFormat="1" applyFont="1" applyBorder="1" applyAlignment="1">
      <alignment horizontal="left" vertical="top"/>
    </xf>
    <xf numFmtId="173" fontId="92" fillId="0" borderId="43" xfId="415" applyNumberFormat="1" applyFont="1" applyBorder="1" applyAlignment="1">
      <alignment horizontal="center"/>
    </xf>
    <xf numFmtId="0" fontId="2" fillId="0" borderId="43" xfId="0" applyFont="1" applyBorder="1" applyAlignment="1">
      <alignment horizontal="center" vertical="center"/>
    </xf>
    <xf numFmtId="0" fontId="2" fillId="0" borderId="21" xfId="0" applyFont="1" applyBorder="1" applyAlignment="1">
      <alignment horizontal="left" vertical="center"/>
    </xf>
    <xf numFmtId="0" fontId="2" fillId="0" borderId="181" xfId="0" applyFont="1" applyBorder="1" applyAlignment="1">
      <alignment horizontal="left" vertical="center"/>
    </xf>
    <xf numFmtId="0" fontId="2" fillId="0" borderId="43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30" xfId="0" applyFont="1" applyBorder="1" applyAlignment="1">
      <alignment horizontal="left" vertical="center"/>
    </xf>
    <xf numFmtId="20" fontId="2" fillId="0" borderId="31" xfId="0" applyNumberFormat="1" applyFont="1" applyBorder="1" applyAlignment="1">
      <alignment horizontal="center" vertical="center"/>
    </xf>
    <xf numFmtId="0" fontId="2" fillId="0" borderId="0" xfId="436" applyFont="1" applyAlignment="1">
      <alignment horizontal="left" vertical="center"/>
    </xf>
    <xf numFmtId="0" fontId="8" fillId="0" borderId="0" xfId="436" applyFont="1" applyAlignment="1">
      <alignment horizontal="left" vertical="center"/>
    </xf>
    <xf numFmtId="0" fontId="8" fillId="0" borderId="0" xfId="436" applyFont="1" applyFill="1" applyProtection="1">
      <alignment vertical="center"/>
      <protection locked="0"/>
    </xf>
    <xf numFmtId="0" fontId="174" fillId="0" borderId="0" xfId="0" applyFont="1" applyAlignment="1">
      <alignment vertical="center"/>
    </xf>
    <xf numFmtId="165" fontId="29" fillId="0" borderId="0" xfId="432" applyNumberFormat="1" applyFont="1" applyFill="1" applyBorder="1" applyAlignment="1" applyProtection="1">
      <alignment horizontal="left"/>
    </xf>
    <xf numFmtId="0" fontId="49" fillId="0" borderId="0" xfId="436" applyFont="1" applyBorder="1" applyAlignment="1">
      <alignment vertical="center"/>
    </xf>
    <xf numFmtId="0" fontId="49" fillId="0" borderId="0" xfId="0" applyFont="1" applyBorder="1" applyAlignment="1">
      <alignment vertical="center"/>
    </xf>
    <xf numFmtId="0" fontId="49" fillId="0" borderId="0" xfId="436" applyFont="1" applyFill="1" applyBorder="1" applyAlignment="1">
      <alignment horizontal="left" vertical="center"/>
    </xf>
    <xf numFmtId="20" fontId="178" fillId="0" borderId="0" xfId="436" quotePrefix="1" applyNumberFormat="1" applyFont="1" applyFill="1" applyBorder="1" applyAlignment="1">
      <alignment horizontal="center" vertical="center"/>
    </xf>
    <xf numFmtId="1" fontId="178" fillId="0" borderId="0" xfId="436" applyNumberFormat="1" applyFont="1" applyBorder="1" applyAlignment="1">
      <alignment horizontal="left" vertical="center"/>
    </xf>
    <xf numFmtId="9" fontId="178" fillId="0" borderId="0" xfId="458" applyFont="1" applyAlignment="1">
      <alignment vertical="center"/>
    </xf>
    <xf numFmtId="0" fontId="29" fillId="0" borderId="0" xfId="436" applyFont="1">
      <alignment vertical="center"/>
    </xf>
    <xf numFmtId="0" fontId="78" fillId="0" borderId="0" xfId="436" applyFont="1" applyBorder="1" applyAlignment="1">
      <alignment vertical="center"/>
    </xf>
    <xf numFmtId="0" fontId="98" fillId="0" borderId="0" xfId="0" applyFont="1"/>
    <xf numFmtId="0" fontId="94" fillId="0" borderId="48" xfId="0" applyFont="1" applyBorder="1"/>
    <xf numFmtId="0" fontId="94" fillId="0" borderId="46" xfId="0" applyFont="1" applyBorder="1"/>
    <xf numFmtId="0" fontId="127" fillId="0" borderId="10" xfId="0" applyFont="1" applyBorder="1"/>
    <xf numFmtId="0" fontId="108" fillId="0" borderId="10" xfId="0" applyFont="1" applyBorder="1"/>
    <xf numFmtId="20" fontId="183" fillId="0" borderId="0" xfId="0" applyNumberFormat="1" applyFont="1" applyBorder="1" applyAlignment="1">
      <alignment horizontal="left"/>
    </xf>
    <xf numFmtId="0" fontId="10" fillId="0" borderId="0" xfId="436" applyFont="1" applyFill="1" applyBorder="1" applyAlignment="1">
      <alignment vertical="center"/>
    </xf>
    <xf numFmtId="0" fontId="10" fillId="0" borderId="0" xfId="436" applyFont="1" applyFill="1" applyAlignment="1">
      <alignment vertical="center"/>
    </xf>
    <xf numFmtId="0" fontId="10" fillId="31" borderId="0" xfId="436" applyFont="1" applyFill="1" applyBorder="1" applyAlignment="1">
      <alignment vertical="center"/>
    </xf>
    <xf numFmtId="0" fontId="7" fillId="31" borderId="0" xfId="436" applyFont="1" applyFill="1" applyBorder="1" applyAlignment="1">
      <alignment horizontal="center" vertical="center"/>
    </xf>
    <xf numFmtId="0" fontId="7" fillId="0" borderId="0" xfId="436" applyFont="1" applyFill="1">
      <alignment vertical="center"/>
    </xf>
    <xf numFmtId="0" fontId="56" fillId="0" borderId="0" xfId="436" applyFont="1" applyBorder="1">
      <alignment vertical="center"/>
    </xf>
    <xf numFmtId="0" fontId="56" fillId="0" borderId="0" xfId="436" applyFont="1" applyBorder="1" applyAlignment="1">
      <alignment horizontal="center" vertical="center"/>
    </xf>
    <xf numFmtId="182" fontId="56" fillId="0" borderId="0" xfId="436" applyNumberFormat="1" applyFont="1" applyFill="1" applyBorder="1">
      <alignment vertical="center"/>
    </xf>
    <xf numFmtId="0" fontId="7" fillId="0" borderId="47" xfId="436" applyFont="1" applyBorder="1" applyAlignment="1">
      <alignment horizontal="right" vertical="center"/>
    </xf>
    <xf numFmtId="182" fontId="56" fillId="0" borderId="0" xfId="436" applyNumberFormat="1" applyFont="1" applyFill="1" applyBorder="1" applyAlignment="1">
      <alignment horizontal="center" vertical="center"/>
    </xf>
    <xf numFmtId="0" fontId="57" fillId="0" borderId="0" xfId="436" applyFont="1" applyBorder="1" applyAlignment="1">
      <alignment horizontal="center" vertical="center"/>
    </xf>
    <xf numFmtId="0" fontId="57" fillId="0" borderId="0" xfId="436" applyNumberFormat="1" applyFont="1" applyFill="1" applyBorder="1" applyAlignment="1">
      <alignment horizontal="center" vertical="center"/>
    </xf>
    <xf numFmtId="0" fontId="57" fillId="0" borderId="0" xfId="436" applyNumberFormat="1" applyFont="1" applyFill="1" applyBorder="1" applyAlignment="1">
      <alignment horizontal="right" vertical="center"/>
    </xf>
    <xf numFmtId="0" fontId="56" fillId="0" borderId="0" xfId="436" applyFont="1" applyFill="1" applyBorder="1" applyProtection="1">
      <alignment vertical="center"/>
      <protection locked="0"/>
    </xf>
    <xf numFmtId="0" fontId="56" fillId="0" borderId="0" xfId="436" applyFont="1">
      <alignment vertical="center"/>
    </xf>
    <xf numFmtId="165" fontId="57" fillId="0" borderId="0" xfId="436" applyNumberFormat="1" applyFont="1" applyFill="1" applyBorder="1" applyAlignment="1">
      <alignment horizontal="center" vertical="center"/>
    </xf>
    <xf numFmtId="1" fontId="57" fillId="0" borderId="0" xfId="436" applyNumberFormat="1" applyFont="1" applyFill="1" applyBorder="1" applyAlignment="1">
      <alignment horizontal="right" vertical="center"/>
    </xf>
    <xf numFmtId="0" fontId="56" fillId="0" borderId="0" xfId="436" applyFont="1" applyFill="1">
      <alignment vertical="center"/>
    </xf>
    <xf numFmtId="0" fontId="155" fillId="0" borderId="0" xfId="0" applyFont="1" applyBorder="1"/>
    <xf numFmtId="0" fontId="108" fillId="0" borderId="0" xfId="0" applyFont="1" applyAlignment="1">
      <alignment vertical="center"/>
    </xf>
    <xf numFmtId="0" fontId="10" fillId="0" borderId="0" xfId="436" applyFont="1" applyAlignment="1"/>
    <xf numFmtId="0" fontId="78" fillId="0" borderId="0" xfId="436" applyFont="1" applyFill="1" applyAlignment="1">
      <alignment vertical="center"/>
    </xf>
    <xf numFmtId="0" fontId="49" fillId="0" borderId="0" xfId="436" applyFont="1" applyFill="1">
      <alignment vertical="center"/>
    </xf>
    <xf numFmtId="0" fontId="7" fillId="0" borderId="0" xfId="436" applyFont="1" applyFill="1" applyAlignment="1">
      <alignment vertical="center"/>
    </xf>
    <xf numFmtId="0" fontId="25" fillId="0" borderId="0" xfId="436" applyFont="1" applyFill="1">
      <alignment vertical="center"/>
    </xf>
    <xf numFmtId="20" fontId="8" fillId="0" borderId="0" xfId="436" applyNumberFormat="1" applyFont="1" applyFill="1" applyAlignment="1">
      <alignment horizontal="center" vertical="center"/>
    </xf>
    <xf numFmtId="15" fontId="8" fillId="0" borderId="0" xfId="436" applyNumberFormat="1" applyFont="1" applyFill="1" applyAlignment="1">
      <alignment horizontal="left" vertical="center"/>
    </xf>
    <xf numFmtId="0" fontId="57" fillId="0" borderId="0" xfId="436" applyFont="1" applyFill="1">
      <alignment vertical="center"/>
    </xf>
    <xf numFmtId="0" fontId="57" fillId="0" borderId="39" xfId="436" applyFont="1" applyBorder="1">
      <alignment vertical="center"/>
    </xf>
    <xf numFmtId="0" fontId="57" fillId="0" borderId="37" xfId="436" applyFont="1" applyFill="1" applyBorder="1">
      <alignment vertical="center"/>
    </xf>
    <xf numFmtId="0" fontId="57" fillId="0" borderId="37" xfId="436" applyFont="1" applyBorder="1">
      <alignment vertical="center"/>
    </xf>
    <xf numFmtId="0" fontId="57" fillId="0" borderId="38" xfId="436" applyFont="1" applyFill="1" applyBorder="1">
      <alignment vertical="center"/>
    </xf>
    <xf numFmtId="0" fontId="101" fillId="0" borderId="38" xfId="0" applyFont="1" applyBorder="1"/>
    <xf numFmtId="0" fontId="56" fillId="0" borderId="47" xfId="436" applyFont="1" applyBorder="1">
      <alignment vertical="center"/>
    </xf>
    <xf numFmtId="1" fontId="56" fillId="0" borderId="90" xfId="436" applyNumberFormat="1" applyFont="1" applyFill="1" applyBorder="1" applyAlignment="1">
      <alignment horizontal="left" vertical="center"/>
    </xf>
    <xf numFmtId="0" fontId="57" fillId="0" borderId="0" xfId="436" applyFont="1" applyFill="1" applyBorder="1">
      <alignment vertical="center"/>
    </xf>
    <xf numFmtId="0" fontId="92" fillId="0" borderId="48" xfId="0" applyFont="1" applyBorder="1"/>
    <xf numFmtId="0" fontId="56" fillId="0" borderId="102" xfId="436" applyFont="1" applyBorder="1">
      <alignment vertical="center"/>
    </xf>
    <xf numFmtId="0" fontId="56" fillId="0" borderId="154" xfId="436" applyFont="1" applyFill="1" applyBorder="1">
      <alignment vertical="center"/>
    </xf>
    <xf numFmtId="0" fontId="56" fillId="0" borderId="154" xfId="436" applyFont="1" applyBorder="1">
      <alignment vertical="center"/>
    </xf>
    <xf numFmtId="1" fontId="56" fillId="0" borderId="174" xfId="436" applyNumberFormat="1" applyFont="1" applyFill="1" applyBorder="1" applyAlignment="1">
      <alignment horizontal="left" vertical="center"/>
    </xf>
    <xf numFmtId="0" fontId="57" fillId="0" borderId="154" xfId="436" applyFont="1" applyFill="1" applyBorder="1">
      <alignment vertical="center"/>
    </xf>
    <xf numFmtId="0" fontId="56" fillId="0" borderId="68" xfId="436" applyFont="1" applyBorder="1">
      <alignment vertical="center"/>
    </xf>
    <xf numFmtId="0" fontId="56" fillId="0" borderId="190" xfId="436" applyFont="1" applyFill="1" applyBorder="1">
      <alignment vertical="center"/>
    </xf>
    <xf numFmtId="1" fontId="56" fillId="0" borderId="29" xfId="436" applyNumberFormat="1" applyFont="1" applyFill="1" applyBorder="1" applyAlignment="1">
      <alignment horizontal="left" vertical="center"/>
    </xf>
    <xf numFmtId="0" fontId="92" fillId="0" borderId="191" xfId="0" applyFont="1" applyBorder="1"/>
    <xf numFmtId="0" fontId="56" fillId="0" borderId="157" xfId="436" applyFont="1" applyFill="1" applyBorder="1">
      <alignment vertical="center"/>
    </xf>
    <xf numFmtId="0" fontId="56" fillId="0" borderId="158" xfId="436" applyFont="1" applyFill="1" applyBorder="1">
      <alignment vertical="center"/>
    </xf>
    <xf numFmtId="0" fontId="56" fillId="0" borderId="192" xfId="436" applyFont="1" applyFill="1" applyBorder="1">
      <alignment vertical="center"/>
    </xf>
    <xf numFmtId="0" fontId="56" fillId="0" borderId="193" xfId="436" applyFont="1" applyFill="1" applyBorder="1">
      <alignment vertical="center"/>
    </xf>
    <xf numFmtId="0" fontId="92" fillId="0" borderId="159" xfId="0" applyFont="1" applyBorder="1"/>
    <xf numFmtId="0" fontId="7" fillId="0" borderId="39" xfId="436" applyFont="1" applyFill="1" applyBorder="1">
      <alignment vertical="center"/>
    </xf>
    <xf numFmtId="0" fontId="7" fillId="0" borderId="37" xfId="436" applyFont="1" applyFill="1" applyBorder="1">
      <alignment vertical="center"/>
    </xf>
    <xf numFmtId="1" fontId="8" fillId="0" borderId="158" xfId="436" applyNumberFormat="1" applyFont="1" applyFill="1" applyBorder="1">
      <alignment vertical="center"/>
    </xf>
    <xf numFmtId="0" fontId="92" fillId="0" borderId="38" xfId="0" applyFont="1" applyBorder="1"/>
    <xf numFmtId="0" fontId="9" fillId="0" borderId="0" xfId="436" applyFont="1" applyAlignment="1"/>
    <xf numFmtId="183" fontId="53" fillId="0" borderId="0" xfId="436" applyNumberFormat="1" applyFont="1" applyBorder="1" applyAlignment="1" applyProtection="1">
      <alignment horizontal="center" vertical="center"/>
      <protection locked="0"/>
    </xf>
    <xf numFmtId="0" fontId="100" fillId="0" borderId="0" xfId="0" applyFont="1" applyAlignment="1">
      <alignment horizontal="center" vertical="center"/>
    </xf>
    <xf numFmtId="20" fontId="94" fillId="0" borderId="0" xfId="0" applyNumberFormat="1" applyFont="1"/>
    <xf numFmtId="0" fontId="100" fillId="0" borderId="0" xfId="0" applyFont="1"/>
    <xf numFmtId="0" fontId="2" fillId="0" borderId="0" xfId="436" applyFont="1" applyFill="1">
      <alignment vertical="center"/>
    </xf>
    <xf numFmtId="0" fontId="57" fillId="0" borderId="0" xfId="436" applyFont="1" applyBorder="1" applyAlignment="1" applyProtection="1">
      <alignment vertical="center"/>
      <protection locked="0"/>
    </xf>
    <xf numFmtId="0" fontId="57" fillId="0" borderId="0" xfId="436" applyFont="1" applyProtection="1">
      <alignment vertical="center"/>
      <protection locked="0"/>
    </xf>
    <xf numFmtId="0" fontId="184" fillId="0" borderId="0" xfId="0" applyFont="1" applyBorder="1" applyAlignment="1">
      <alignment vertical="center"/>
    </xf>
    <xf numFmtId="0" fontId="168" fillId="0" borderId="0" xfId="0" applyFont="1" applyAlignment="1">
      <alignment vertical="center"/>
    </xf>
    <xf numFmtId="0" fontId="179" fillId="0" borderId="0" xfId="0" applyFont="1" applyBorder="1" applyAlignment="1">
      <alignment vertical="center"/>
    </xf>
    <xf numFmtId="0" fontId="179" fillId="0" borderId="0" xfId="0" applyFont="1" applyBorder="1" applyAlignment="1">
      <alignment horizontal="center" vertical="center"/>
    </xf>
    <xf numFmtId="0" fontId="185" fillId="0" borderId="0" xfId="436" applyFont="1" applyBorder="1" applyAlignment="1">
      <alignment vertical="center"/>
    </xf>
    <xf numFmtId="0" fontId="167" fillId="0" borderId="0" xfId="436" applyFont="1" applyBorder="1" applyAlignment="1">
      <alignment vertical="center"/>
    </xf>
    <xf numFmtId="15" fontId="167" fillId="0" borderId="0" xfId="436" applyNumberFormat="1" applyFont="1" applyBorder="1" applyAlignment="1">
      <alignment vertical="center"/>
    </xf>
    <xf numFmtId="15" fontId="168" fillId="0" borderId="0" xfId="0" applyNumberFormat="1" applyFont="1" applyAlignment="1">
      <alignment vertical="center"/>
    </xf>
    <xf numFmtId="15" fontId="167" fillId="0" borderId="0" xfId="436" applyNumberFormat="1" applyFont="1" applyBorder="1" applyAlignment="1">
      <alignment horizontal="left" vertical="center"/>
    </xf>
    <xf numFmtId="184" fontId="167" fillId="0" borderId="17" xfId="0" applyNumberFormat="1" applyFont="1" applyBorder="1" applyAlignment="1">
      <alignment vertical="center"/>
    </xf>
    <xf numFmtId="0" fontId="167" fillId="0" borderId="0" xfId="0" applyFont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4" xfId="0" applyFont="1" applyBorder="1" applyAlignment="1">
      <alignment vertical="center"/>
    </xf>
    <xf numFmtId="0" fontId="27" fillId="0" borderId="15" xfId="0" applyFont="1" applyBorder="1" applyAlignment="1">
      <alignment vertical="center"/>
    </xf>
    <xf numFmtId="0" fontId="27" fillId="0" borderId="30" xfId="0" applyFont="1" applyBorder="1" applyAlignment="1">
      <alignment vertical="center"/>
    </xf>
    <xf numFmtId="0" fontId="168" fillId="43" borderId="10" xfId="0" applyFont="1" applyFill="1" applyBorder="1" applyAlignment="1">
      <alignment vertical="center"/>
    </xf>
    <xf numFmtId="0" fontId="27" fillId="0" borderId="23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 wrapText="1"/>
    </xf>
    <xf numFmtId="0" fontId="168" fillId="43" borderId="10" xfId="428" applyFont="1" applyFill="1" applyBorder="1" applyAlignment="1">
      <alignment horizontal="center" vertical="center"/>
    </xf>
    <xf numFmtId="172" fontId="168" fillId="43" borderId="10" xfId="0" applyNumberFormat="1" applyFont="1" applyFill="1" applyBorder="1" applyAlignment="1">
      <alignment horizontal="center" vertical="center"/>
    </xf>
    <xf numFmtId="0" fontId="167" fillId="0" borderId="10" xfId="428" applyFont="1" applyBorder="1" applyAlignment="1">
      <alignment horizontal="center" vertical="center"/>
    </xf>
    <xf numFmtId="1" fontId="167" fillId="0" borderId="10" xfId="0" applyNumberFormat="1" applyFont="1" applyBorder="1" applyAlignment="1">
      <alignment horizontal="center" vertical="center"/>
    </xf>
    <xf numFmtId="1" fontId="186" fillId="0" borderId="10" xfId="0" applyNumberFormat="1" applyFont="1" applyBorder="1" applyAlignment="1">
      <alignment horizontal="center" vertical="center"/>
    </xf>
    <xf numFmtId="0" fontId="27" fillId="0" borderId="10" xfId="428" applyFont="1" applyBorder="1" applyAlignment="1">
      <alignment horizontal="center" vertical="center"/>
    </xf>
    <xf numFmtId="1" fontId="27" fillId="0" borderId="10" xfId="0" applyNumberFormat="1" applyFont="1" applyBorder="1" applyAlignment="1">
      <alignment horizontal="center" vertical="center"/>
    </xf>
    <xf numFmtId="0" fontId="168" fillId="48" borderId="10" xfId="0" applyFont="1" applyFill="1" applyBorder="1" applyAlignment="1">
      <alignment vertical="center"/>
    </xf>
    <xf numFmtId="1" fontId="168" fillId="43" borderId="10" xfId="0" applyNumberFormat="1" applyFont="1" applyFill="1" applyBorder="1" applyAlignment="1">
      <alignment vertical="center"/>
    </xf>
    <xf numFmtId="0" fontId="168" fillId="0" borderId="0" xfId="0" applyFont="1"/>
    <xf numFmtId="0" fontId="4" fillId="0" borderId="0" xfId="428" applyFont="1" applyAlignment="1">
      <alignment horizontal="left"/>
    </xf>
    <xf numFmtId="0" fontId="159" fillId="0" borderId="0" xfId="428" applyFont="1" applyAlignment="1"/>
    <xf numFmtId="0" fontId="97" fillId="0" borderId="0" xfId="0" applyFont="1"/>
    <xf numFmtId="0" fontId="41" fillId="0" borderId="0" xfId="428" applyFont="1" applyFill="1" applyAlignment="1">
      <alignment horizontal="left"/>
    </xf>
    <xf numFmtId="0" fontId="187" fillId="0" borderId="0" xfId="428" applyFont="1" applyAlignment="1">
      <alignment horizontal="center"/>
    </xf>
    <xf numFmtId="0" fontId="180" fillId="0" borderId="0" xfId="428" applyFont="1" applyFill="1" applyAlignment="1">
      <alignment horizontal="center"/>
    </xf>
    <xf numFmtId="0" fontId="180" fillId="0" borderId="0" xfId="428" applyFont="1" applyFill="1" applyAlignment="1">
      <alignment horizontal="left"/>
    </xf>
    <xf numFmtId="14" fontId="7" fillId="0" borderId="0" xfId="428" applyNumberFormat="1" applyFont="1"/>
    <xf numFmtId="0" fontId="7" fillId="0" borderId="0" xfId="428" applyFont="1" applyAlignment="1">
      <alignment horizontal="center"/>
    </xf>
    <xf numFmtId="1" fontId="7" fillId="0" borderId="0" xfId="428" applyNumberFormat="1" applyFont="1"/>
    <xf numFmtId="0" fontId="100" fillId="0" borderId="0" xfId="0" applyFont="1" applyAlignment="1">
      <alignment vertical="center"/>
    </xf>
    <xf numFmtId="0" fontId="155" fillId="0" borderId="0" xfId="0" applyFont="1"/>
    <xf numFmtId="1" fontId="2" fillId="0" borderId="0" xfId="428" applyNumberFormat="1" applyFont="1"/>
    <xf numFmtId="0" fontId="2" fillId="0" borderId="0" xfId="428" applyFont="1"/>
    <xf numFmtId="0" fontId="25" fillId="0" borderId="0" xfId="428" applyFont="1"/>
    <xf numFmtId="0" fontId="92" fillId="0" borderId="0" xfId="0" quotePrefix="1" applyFont="1"/>
    <xf numFmtId="0" fontId="190" fillId="0" borderId="0" xfId="428" applyFont="1"/>
    <xf numFmtId="173" fontId="190" fillId="0" borderId="0" xfId="428" applyNumberFormat="1" applyFont="1"/>
    <xf numFmtId="0" fontId="88" fillId="0" borderId="0" xfId="428" applyFont="1"/>
    <xf numFmtId="0" fontId="190" fillId="0" borderId="0" xfId="428" applyFont="1" applyFill="1"/>
    <xf numFmtId="0" fontId="8" fillId="0" borderId="0" xfId="428" applyFont="1" applyAlignment="1">
      <alignment horizontal="right"/>
    </xf>
    <xf numFmtId="164" fontId="8" fillId="0" borderId="0" xfId="428" applyNumberFormat="1" applyFont="1" applyAlignment="1">
      <alignment horizontal="left"/>
    </xf>
    <xf numFmtId="164" fontId="8" fillId="0" borderId="0" xfId="428" applyNumberFormat="1" applyFont="1"/>
    <xf numFmtId="164" fontId="155" fillId="0" borderId="0" xfId="0" applyNumberFormat="1" applyFont="1"/>
    <xf numFmtId="0" fontId="191" fillId="0" borderId="0" xfId="0" applyFont="1"/>
    <xf numFmtId="0" fontId="92" fillId="0" borderId="0" xfId="0" applyFont="1" applyAlignment="1" applyProtection="1">
      <protection locked="0"/>
    </xf>
    <xf numFmtId="0" fontId="192" fillId="0" borderId="0" xfId="0" applyFont="1"/>
    <xf numFmtId="0" fontId="193" fillId="0" borderId="0" xfId="0" applyFont="1"/>
    <xf numFmtId="0" fontId="194" fillId="0" borderId="0" xfId="0" applyFont="1" applyAlignment="1">
      <alignment horizontal="left" readingOrder="2"/>
    </xf>
    <xf numFmtId="0" fontId="92" fillId="0" borderId="0" xfId="0" applyFont="1" applyAlignment="1">
      <alignment horizontal="center" wrapText="1"/>
    </xf>
    <xf numFmtId="0" fontId="195" fillId="0" borderId="0" xfId="0" applyFont="1"/>
    <xf numFmtId="1" fontId="92" fillId="0" borderId="0" xfId="0" applyNumberFormat="1" applyFont="1" applyAlignment="1">
      <alignment vertical="center"/>
    </xf>
    <xf numFmtId="165" fontId="92" fillId="0" borderId="0" xfId="0" applyNumberFormat="1" applyFont="1" applyAlignment="1">
      <alignment vertical="center"/>
    </xf>
    <xf numFmtId="165" fontId="7" fillId="0" borderId="0" xfId="428" applyNumberFormat="1" applyFont="1" applyFill="1" applyBorder="1" applyAlignment="1">
      <alignment horizontal="center"/>
    </xf>
    <xf numFmtId="0" fontId="7" fillId="0" borderId="0" xfId="428" applyFont="1" applyFill="1"/>
    <xf numFmtId="49" fontId="7" fillId="0" borderId="0" xfId="428" quotePrefix="1" applyNumberFormat="1" applyFont="1" applyFill="1" applyBorder="1" applyAlignment="1">
      <alignment horizontal="left"/>
    </xf>
    <xf numFmtId="49" fontId="7" fillId="0" borderId="0" xfId="428" quotePrefix="1" applyNumberFormat="1" applyFont="1" applyFill="1" applyBorder="1" applyAlignment="1">
      <alignment horizontal="right"/>
    </xf>
    <xf numFmtId="49" fontId="7" fillId="0" borderId="0" xfId="428" quotePrefix="1" applyNumberFormat="1" applyFont="1" applyFill="1" applyAlignment="1">
      <alignment horizontal="center"/>
    </xf>
    <xf numFmtId="49" fontId="7" fillId="0" borderId="0" xfId="428" applyNumberFormat="1" applyFont="1" applyFill="1"/>
    <xf numFmtId="49" fontId="7" fillId="0" borderId="0" xfId="428" quotePrefix="1" applyNumberFormat="1" applyFont="1" applyFill="1"/>
    <xf numFmtId="0" fontId="172" fillId="0" borderId="0" xfId="0" applyFont="1"/>
    <xf numFmtId="0" fontId="127" fillId="0" borderId="0" xfId="428" applyFont="1" applyAlignment="1"/>
    <xf numFmtId="0" fontId="8" fillId="0" borderId="0" xfId="428" applyFont="1"/>
    <xf numFmtId="15" fontId="197" fillId="0" borderId="0" xfId="428" applyNumberFormat="1" applyFont="1" applyAlignment="1">
      <alignment horizontal="center"/>
    </xf>
    <xf numFmtId="0" fontId="10" fillId="0" borderId="0" xfId="428" applyFont="1"/>
    <xf numFmtId="0" fontId="198" fillId="0" borderId="0" xfId="0" applyFont="1" applyAlignment="1">
      <alignment horizontal="left" readingOrder="2"/>
    </xf>
    <xf numFmtId="0" fontId="199" fillId="0" borderId="0" xfId="428" applyFont="1"/>
    <xf numFmtId="9" fontId="200" fillId="0" borderId="0" xfId="458" applyFont="1"/>
    <xf numFmtId="0" fontId="199" fillId="0" borderId="0" xfId="428" applyFont="1" applyBorder="1"/>
    <xf numFmtId="164" fontId="57" fillId="0" borderId="0" xfId="428" applyNumberFormat="1" applyFont="1"/>
    <xf numFmtId="0" fontId="9" fillId="0" borderId="0" xfId="428" applyFont="1"/>
    <xf numFmtId="0" fontId="7" fillId="0" borderId="0" xfId="428" applyFont="1" applyBorder="1"/>
    <xf numFmtId="0" fontId="75" fillId="0" borderId="0" xfId="428" applyFont="1" applyAlignment="1">
      <alignment horizontal="center"/>
    </xf>
    <xf numFmtId="0" fontId="200" fillId="0" borderId="0" xfId="428" quotePrefix="1" applyFont="1" applyAlignment="1">
      <alignment horizontal="center"/>
    </xf>
    <xf numFmtId="0" fontId="56" fillId="0" borderId="0" xfId="436" applyFont="1" applyFill="1" applyProtection="1">
      <alignment vertical="center"/>
      <protection locked="0"/>
    </xf>
    <xf numFmtId="0" fontId="134" fillId="0" borderId="0" xfId="428" quotePrefix="1" applyFont="1" applyAlignment="1">
      <alignment horizontal="center"/>
    </xf>
    <xf numFmtId="0" fontId="56" fillId="0" borderId="0" xfId="428" applyFont="1"/>
    <xf numFmtId="0" fontId="8" fillId="0" borderId="0" xfId="436" applyFont="1" applyAlignment="1">
      <alignment horizontal="right" vertical="center"/>
    </xf>
    <xf numFmtId="164" fontId="8" fillId="0" borderId="0" xfId="436" applyNumberFormat="1" applyFont="1" applyAlignment="1">
      <alignment horizontal="left" vertical="center"/>
    </xf>
    <xf numFmtId="49" fontId="9" fillId="26" borderId="26" xfId="0" applyNumberFormat="1" applyFont="1" applyFill="1" applyBorder="1" applyAlignment="1">
      <alignment horizontal="center" vertical="center"/>
    </xf>
    <xf numFmtId="20" fontId="9" fillId="36" borderId="26" xfId="0" applyNumberFormat="1" applyFont="1" applyFill="1" applyBorder="1" applyAlignment="1">
      <alignment horizontal="center" vertical="center"/>
    </xf>
    <xf numFmtId="20" fontId="9" fillId="36" borderId="36" xfId="0" applyNumberFormat="1" applyFont="1" applyFill="1" applyBorder="1" applyAlignment="1">
      <alignment horizontal="center" vertical="center"/>
    </xf>
    <xf numFmtId="0" fontId="2" fillId="0" borderId="0" xfId="436" applyFont="1" applyFill="1" applyBorder="1">
      <alignment vertical="center"/>
    </xf>
    <xf numFmtId="0" fontId="182" fillId="0" borderId="0" xfId="0" applyFont="1"/>
    <xf numFmtId="0" fontId="203" fillId="0" borderId="0" xfId="0" applyFont="1"/>
    <xf numFmtId="0" fontId="133" fillId="52" borderId="39" xfId="0" applyNumberFormat="1" applyFont="1" applyFill="1" applyBorder="1" applyAlignment="1">
      <alignment horizontal="center" vertical="center" wrapText="1"/>
    </xf>
    <xf numFmtId="0" fontId="133" fillId="51" borderId="72" xfId="0" applyNumberFormat="1" applyFont="1" applyFill="1" applyBorder="1" applyAlignment="1">
      <alignment horizontal="center" vertical="center" wrapText="1"/>
    </xf>
    <xf numFmtId="0" fontId="133" fillId="52" borderId="88" xfId="0" applyNumberFormat="1" applyFont="1" applyFill="1" applyBorder="1" applyAlignment="1">
      <alignment horizontal="center" vertical="center" wrapText="1"/>
    </xf>
    <xf numFmtId="0" fontId="132" fillId="51" borderId="39" xfId="0" applyNumberFormat="1" applyFont="1" applyFill="1" applyBorder="1" applyAlignment="1">
      <alignment horizontal="center" vertical="center" wrapText="1"/>
    </xf>
    <xf numFmtId="20" fontId="180" fillId="26" borderId="101" xfId="0" quotePrefix="1" applyNumberFormat="1" applyFont="1" applyFill="1" applyBorder="1" applyAlignment="1">
      <alignment horizontal="center" vertical="center"/>
    </xf>
    <xf numFmtId="20" fontId="180" fillId="26" borderId="68" xfId="0" quotePrefix="1" applyNumberFormat="1" applyFont="1" applyFill="1" applyBorder="1" applyAlignment="1">
      <alignment horizontal="center" vertical="center"/>
    </xf>
    <xf numFmtId="20" fontId="180" fillId="26" borderId="68" xfId="0" applyNumberFormat="1" applyFont="1" applyFill="1" applyBorder="1" applyAlignment="1">
      <alignment horizontal="center" vertical="center"/>
    </xf>
    <xf numFmtId="20" fontId="180" fillId="26" borderId="102" xfId="0" quotePrefix="1" applyNumberFormat="1" applyFont="1" applyFill="1" applyBorder="1" applyAlignment="1">
      <alignment horizontal="center" vertical="center"/>
    </xf>
    <xf numFmtId="0" fontId="49" fillId="0" borderId="0" xfId="430" applyNumberFormat="1" applyFont="1" applyFill="1" applyBorder="1"/>
    <xf numFmtId="1" fontId="132" fillId="51" borderId="88" xfId="0" applyNumberFormat="1" applyFont="1" applyFill="1" applyBorder="1" applyAlignment="1">
      <alignment horizontal="center" vertical="center" wrapText="1"/>
    </xf>
    <xf numFmtId="164" fontId="204" fillId="34" borderId="72" xfId="0" applyNumberFormat="1" applyFont="1" applyFill="1" applyBorder="1" applyAlignment="1">
      <alignment horizontal="center" vertical="center"/>
    </xf>
    <xf numFmtId="0" fontId="92" fillId="0" borderId="0" xfId="414" applyNumberFormat="1" applyFont="1" applyBorder="1" applyAlignment="1">
      <alignment horizontal="center" vertical="center" wrapText="1"/>
    </xf>
    <xf numFmtId="0" fontId="92" fillId="0" borderId="0" xfId="414" applyNumberFormat="1" applyFont="1" applyBorder="1" applyAlignment="1">
      <alignment horizontal="center"/>
    </xf>
    <xf numFmtId="0" fontId="42" fillId="0" borderId="0" xfId="0" applyNumberFormat="1" applyFont="1" applyFill="1" applyBorder="1" applyAlignment="1">
      <alignment horizontal="center" vertical="center" wrapText="1"/>
    </xf>
    <xf numFmtId="2" fontId="92" fillId="0" borderId="0" xfId="0" quotePrefix="1" applyNumberFormat="1" applyFont="1" applyFill="1" applyAlignment="1">
      <alignment vertical="center"/>
    </xf>
    <xf numFmtId="0" fontId="188" fillId="59" borderId="10" xfId="428" applyFont="1" applyFill="1" applyBorder="1" applyAlignment="1">
      <alignment horizontal="center" vertical="center"/>
    </xf>
    <xf numFmtId="0" fontId="188" fillId="60" borderId="10" xfId="428" applyFont="1" applyFill="1" applyBorder="1" applyAlignment="1">
      <alignment horizontal="center" vertical="center"/>
    </xf>
    <xf numFmtId="0" fontId="189" fillId="32" borderId="10" xfId="428" applyFont="1" applyFill="1" applyBorder="1" applyAlignment="1">
      <alignment horizontal="center" vertical="center"/>
    </xf>
    <xf numFmtId="0" fontId="188" fillId="56" borderId="10" xfId="428" applyFont="1" applyFill="1" applyBorder="1" applyAlignment="1">
      <alignment horizontal="center" vertical="center"/>
    </xf>
    <xf numFmtId="0" fontId="25" fillId="44" borderId="10" xfId="428" applyFont="1" applyFill="1" applyBorder="1" applyAlignment="1">
      <alignment horizontal="center" vertical="center"/>
    </xf>
    <xf numFmtId="0" fontId="25" fillId="33" borderId="10" xfId="428" applyFont="1" applyFill="1" applyBorder="1" applyAlignment="1">
      <alignment horizontal="center" vertical="center"/>
    </xf>
    <xf numFmtId="0" fontId="7" fillId="48" borderId="10" xfId="428" applyFont="1" applyFill="1" applyBorder="1" applyAlignment="1">
      <alignment horizontal="center" vertical="center"/>
    </xf>
    <xf numFmtId="165" fontId="92" fillId="62" borderId="10" xfId="0" applyNumberFormat="1" applyFont="1" applyFill="1" applyBorder="1" applyAlignment="1">
      <alignment horizontal="center" vertical="center"/>
    </xf>
    <xf numFmtId="0" fontId="92" fillId="34" borderId="10" xfId="0" applyFont="1" applyFill="1" applyBorder="1" applyAlignment="1">
      <alignment horizontal="center" vertical="center"/>
    </xf>
    <xf numFmtId="20" fontId="206" fillId="55" borderId="10" xfId="428" applyNumberFormat="1" applyFont="1" applyFill="1" applyBorder="1" applyAlignment="1">
      <alignment horizontal="center"/>
    </xf>
    <xf numFmtId="1" fontId="7" fillId="59" borderId="10" xfId="428" quotePrefix="1" applyNumberFormat="1" applyFont="1" applyFill="1" applyBorder="1" applyAlignment="1">
      <alignment horizontal="left"/>
    </xf>
    <xf numFmtId="1" fontId="7" fillId="60" borderId="10" xfId="428" quotePrefix="1" applyNumberFormat="1" applyFont="1" applyFill="1" applyBorder="1" applyAlignment="1">
      <alignment horizontal="left"/>
    </xf>
    <xf numFmtId="1" fontId="7" fillId="32" borderId="10" xfId="428" quotePrefix="1" applyNumberFormat="1" applyFont="1" applyFill="1" applyBorder="1" applyAlignment="1">
      <alignment horizontal="left"/>
    </xf>
    <xf numFmtId="1" fontId="7" fillId="56" borderId="10" xfId="428" quotePrefix="1" applyNumberFormat="1" applyFont="1" applyFill="1" applyBorder="1" applyAlignment="1">
      <alignment horizontal="left"/>
    </xf>
    <xf numFmtId="1" fontId="7" fillId="44" borderId="10" xfId="428" quotePrefix="1" applyNumberFormat="1" applyFont="1" applyFill="1" applyBorder="1" applyAlignment="1">
      <alignment horizontal="left"/>
    </xf>
    <xf numFmtId="1" fontId="7" fillId="33" borderId="10" xfId="428" quotePrefix="1" applyNumberFormat="1" applyFont="1" applyFill="1" applyBorder="1" applyAlignment="1">
      <alignment horizontal="left"/>
    </xf>
    <xf numFmtId="1" fontId="7" fillId="48" borderId="10" xfId="428" quotePrefix="1" applyNumberFormat="1" applyFont="1" applyFill="1" applyBorder="1" applyAlignment="1">
      <alignment horizontal="left"/>
    </xf>
    <xf numFmtId="1" fontId="7" fillId="62" borderId="10" xfId="428" quotePrefix="1" applyNumberFormat="1" applyFont="1" applyFill="1" applyBorder="1" applyAlignment="1">
      <alignment horizontal="left"/>
    </xf>
    <xf numFmtId="1" fontId="7" fillId="34" borderId="10" xfId="428" quotePrefix="1" applyNumberFormat="1" applyFont="1" applyFill="1" applyBorder="1" applyAlignment="1">
      <alignment horizontal="left"/>
    </xf>
    <xf numFmtId="20" fontId="206" fillId="55" borderId="10" xfId="428" applyNumberFormat="1" applyFont="1" applyFill="1" applyBorder="1" applyAlignment="1">
      <alignment horizontal="center" vertical="center"/>
    </xf>
    <xf numFmtId="1" fontId="148" fillId="59" borderId="10" xfId="428" applyNumberFormat="1" applyFont="1" applyFill="1" applyBorder="1" applyAlignment="1">
      <alignment horizontal="right"/>
    </xf>
    <xf numFmtId="1" fontId="148" fillId="60" borderId="10" xfId="428" applyNumberFormat="1" applyFont="1" applyFill="1" applyBorder="1" applyAlignment="1">
      <alignment horizontal="right"/>
    </xf>
    <xf numFmtId="1" fontId="148" fillId="32" borderId="10" xfId="428" applyNumberFormat="1" applyFont="1" applyFill="1" applyBorder="1" applyAlignment="1">
      <alignment horizontal="right"/>
    </xf>
    <xf numFmtId="1" fontId="148" fillId="56" borderId="10" xfId="428" applyNumberFormat="1" applyFont="1" applyFill="1" applyBorder="1" applyAlignment="1">
      <alignment horizontal="right"/>
    </xf>
    <xf numFmtId="1" fontId="148" fillId="44" borderId="10" xfId="428" applyNumberFormat="1" applyFont="1" applyFill="1" applyBorder="1" applyAlignment="1">
      <alignment horizontal="right"/>
    </xf>
    <xf numFmtId="1" fontId="148" fillId="33" borderId="10" xfId="428" applyNumberFormat="1" applyFont="1" applyFill="1" applyBorder="1" applyAlignment="1">
      <alignment horizontal="right"/>
    </xf>
    <xf numFmtId="1" fontId="148" fillId="48" borderId="10" xfId="428" applyNumberFormat="1" applyFont="1" applyFill="1" applyBorder="1" applyAlignment="1">
      <alignment horizontal="right"/>
    </xf>
    <xf numFmtId="1" fontId="148" fillId="62" borderId="10" xfId="428" applyNumberFormat="1" applyFont="1" applyFill="1" applyBorder="1" applyAlignment="1">
      <alignment horizontal="right"/>
    </xf>
    <xf numFmtId="1" fontId="148" fillId="34" borderId="10" xfId="428" applyNumberFormat="1" applyFont="1" applyFill="1" applyBorder="1" applyAlignment="1">
      <alignment horizontal="right"/>
    </xf>
    <xf numFmtId="20" fontId="206" fillId="55" borderId="10" xfId="428" quotePrefix="1" applyNumberFormat="1" applyFont="1" applyFill="1" applyBorder="1" applyAlignment="1">
      <alignment horizontal="center"/>
    </xf>
    <xf numFmtId="0" fontId="207" fillId="55" borderId="10" xfId="428" applyFont="1" applyFill="1" applyBorder="1" applyAlignment="1">
      <alignment horizontal="center"/>
    </xf>
    <xf numFmtId="1" fontId="196" fillId="27" borderId="51" xfId="0" applyNumberFormat="1" applyFont="1" applyFill="1" applyBorder="1" applyAlignment="1" applyProtection="1">
      <alignment horizontal="center" vertical="center"/>
      <protection locked="0"/>
    </xf>
    <xf numFmtId="1" fontId="196" fillId="27" borderId="62" xfId="0" applyNumberFormat="1" applyFont="1" applyFill="1" applyBorder="1" applyAlignment="1" applyProtection="1">
      <alignment horizontal="center" vertical="center"/>
      <protection locked="0"/>
    </xf>
    <xf numFmtId="1" fontId="141" fillId="64" borderId="72" xfId="0" applyNumberFormat="1" applyFont="1" applyFill="1" applyBorder="1" applyAlignment="1" applyProtection="1">
      <alignment horizontal="center" vertical="center"/>
      <protection locked="0"/>
    </xf>
    <xf numFmtId="0" fontId="92" fillId="0" borderId="0" xfId="0" applyFont="1" applyBorder="1" applyAlignment="1">
      <alignment vertical="center"/>
    </xf>
    <xf numFmtId="1" fontId="141" fillId="63" borderId="72" xfId="0" applyNumberFormat="1" applyFont="1" applyFill="1" applyBorder="1" applyAlignment="1" applyProtection="1">
      <alignment horizontal="center" vertical="center"/>
      <protection locked="0"/>
    </xf>
    <xf numFmtId="166" fontId="205" fillId="54" borderId="72" xfId="271" applyNumberFormat="1" applyFont="1" applyFill="1" applyBorder="1" applyAlignment="1">
      <alignment horizontal="left" vertical="center"/>
    </xf>
    <xf numFmtId="166" fontId="205" fillId="0" borderId="0" xfId="271" applyNumberFormat="1" applyFont="1" applyFill="1" applyBorder="1" applyAlignment="1">
      <alignment horizontal="left" vertical="center"/>
    </xf>
    <xf numFmtId="166" fontId="141" fillId="54" borderId="72" xfId="271" applyNumberFormat="1" applyFont="1" applyFill="1" applyBorder="1" applyAlignment="1">
      <alignment vertical="center"/>
    </xf>
    <xf numFmtId="1" fontId="7" fillId="66" borderId="10" xfId="428" applyNumberFormat="1" applyFont="1" applyFill="1" applyBorder="1" applyAlignment="1">
      <alignment horizontal="left"/>
    </xf>
    <xf numFmtId="1" fontId="7" fillId="65" borderId="10" xfId="428" applyNumberFormat="1" applyFont="1" applyFill="1" applyBorder="1" applyAlignment="1">
      <alignment horizontal="left"/>
    </xf>
    <xf numFmtId="0" fontId="7" fillId="62" borderId="10" xfId="428" applyFont="1" applyFill="1" applyBorder="1" applyAlignment="1">
      <alignment horizontal="left"/>
    </xf>
    <xf numFmtId="1" fontId="7" fillId="62" borderId="10" xfId="428" applyNumberFormat="1" applyFont="1" applyFill="1" applyBorder="1" applyAlignment="1">
      <alignment horizontal="left"/>
    </xf>
    <xf numFmtId="1" fontId="209" fillId="62" borderId="10" xfId="428" applyNumberFormat="1" applyFont="1" applyFill="1" applyBorder="1" applyAlignment="1">
      <alignment horizontal="right"/>
    </xf>
    <xf numFmtId="1" fontId="209" fillId="62" borderId="10" xfId="428" applyNumberFormat="1" applyFont="1" applyFill="1" applyBorder="1"/>
    <xf numFmtId="0" fontId="209" fillId="66" borderId="10" xfId="428" applyFont="1" applyFill="1" applyBorder="1"/>
    <xf numFmtId="0" fontId="209" fillId="65" borderId="10" xfId="428" applyFont="1" applyFill="1" applyBorder="1"/>
    <xf numFmtId="1" fontId="209" fillId="66" borderId="10" xfId="428" applyNumberFormat="1" applyFont="1" applyFill="1" applyBorder="1" applyAlignment="1">
      <alignment horizontal="right"/>
    </xf>
    <xf numFmtId="1" fontId="209" fillId="65" borderId="10" xfId="428" applyNumberFormat="1" applyFont="1" applyFill="1" applyBorder="1" applyAlignment="1">
      <alignment horizontal="right"/>
    </xf>
    <xf numFmtId="0" fontId="7" fillId="62" borderId="10" xfId="428" applyFont="1" applyFill="1" applyBorder="1" applyAlignment="1">
      <alignment horizontal="center" vertical="center"/>
    </xf>
    <xf numFmtId="0" fontId="7" fillId="66" borderId="10" xfId="428" applyFont="1" applyFill="1" applyBorder="1" applyAlignment="1">
      <alignment horizontal="center" vertical="center"/>
    </xf>
    <xf numFmtId="0" fontId="7" fillId="65" borderId="10" xfId="428" applyFont="1" applyFill="1" applyBorder="1" applyAlignment="1">
      <alignment horizontal="center" vertical="center"/>
    </xf>
    <xf numFmtId="0" fontId="7" fillId="0" borderId="0" xfId="428" applyFont="1" applyFill="1" applyBorder="1" applyAlignment="1">
      <alignment horizontal="left"/>
    </xf>
    <xf numFmtId="0" fontId="21" fillId="0" borderId="0" xfId="428" applyFont="1" applyFill="1" applyBorder="1" applyAlignment="1">
      <alignment horizontal="center"/>
    </xf>
    <xf numFmtId="165" fontId="21" fillId="0" borderId="0" xfId="428" applyNumberFormat="1" applyFont="1" applyFill="1" applyBorder="1" applyAlignment="1">
      <alignment horizontal="center"/>
    </xf>
    <xf numFmtId="20" fontId="21" fillId="0" borderId="0" xfId="428" applyNumberFormat="1" applyFont="1" applyFill="1" applyBorder="1" applyAlignment="1">
      <alignment horizontal="center"/>
    </xf>
    <xf numFmtId="0" fontId="7" fillId="0" borderId="0" xfId="428" applyFont="1" applyFill="1" applyBorder="1"/>
    <xf numFmtId="1" fontId="7" fillId="0" borderId="0" xfId="428" applyNumberFormat="1" applyFont="1" applyFill="1" applyBorder="1"/>
    <xf numFmtId="0" fontId="7" fillId="0" borderId="0" xfId="428" applyFont="1" applyFill="1" applyBorder="1" applyAlignment="1">
      <alignment horizontal="center"/>
    </xf>
    <xf numFmtId="1" fontId="7" fillId="0" borderId="0" xfId="428" applyNumberFormat="1" applyFont="1" applyFill="1" applyBorder="1" applyAlignment="1">
      <alignment horizontal="center"/>
    </xf>
    <xf numFmtId="0" fontId="149" fillId="0" borderId="0" xfId="428" applyFont="1" applyFill="1" applyBorder="1"/>
    <xf numFmtId="0" fontId="20" fillId="0" borderId="0" xfId="428" applyNumberFormat="1" applyFont="1" applyFill="1" applyBorder="1"/>
    <xf numFmtId="1" fontId="20" fillId="0" borderId="0" xfId="428" applyNumberFormat="1" applyFont="1" applyFill="1" applyBorder="1"/>
    <xf numFmtId="0" fontId="7" fillId="55" borderId="88" xfId="428" applyFont="1" applyFill="1" applyBorder="1"/>
    <xf numFmtId="0" fontId="7" fillId="55" borderId="179" xfId="428" applyFont="1" applyFill="1" applyBorder="1"/>
    <xf numFmtId="0" fontId="7" fillId="55" borderId="46" xfId="428" applyFont="1" applyFill="1" applyBorder="1"/>
    <xf numFmtId="0" fontId="188" fillId="55" borderId="26" xfId="428" applyFont="1" applyFill="1" applyBorder="1" applyAlignment="1">
      <alignment horizontal="center"/>
    </xf>
    <xf numFmtId="0" fontId="7" fillId="46" borderId="27" xfId="428" applyFont="1" applyFill="1" applyBorder="1" applyAlignment="1">
      <alignment horizontal="center" vertical="center"/>
    </xf>
    <xf numFmtId="20" fontId="9" fillId="55" borderId="26" xfId="428" applyNumberFormat="1" applyFont="1" applyFill="1" applyBorder="1" applyAlignment="1">
      <alignment horizontal="center"/>
    </xf>
    <xf numFmtId="0" fontId="7" fillId="46" borderId="27" xfId="428" applyFont="1" applyFill="1" applyBorder="1"/>
    <xf numFmtId="20" fontId="24" fillId="55" borderId="26" xfId="428" applyNumberFormat="1" applyFont="1" applyFill="1" applyBorder="1" applyAlignment="1">
      <alignment horizontal="center" vertical="center"/>
    </xf>
    <xf numFmtId="20" fontId="147" fillId="55" borderId="26" xfId="428" applyNumberFormat="1" applyFont="1" applyFill="1" applyBorder="1" applyAlignment="1">
      <alignment horizontal="center" vertical="center"/>
    </xf>
    <xf numFmtId="20" fontId="6" fillId="55" borderId="26" xfId="428" applyNumberFormat="1" applyFont="1" applyFill="1" applyBorder="1" applyAlignment="1">
      <alignment horizontal="center"/>
    </xf>
    <xf numFmtId="20" fontId="6" fillId="55" borderId="26" xfId="428" quotePrefix="1" applyNumberFormat="1" applyFont="1" applyFill="1" applyBorder="1" applyAlignment="1">
      <alignment horizontal="center"/>
    </xf>
    <xf numFmtId="20" fontId="7" fillId="55" borderId="157" xfId="428" applyNumberFormat="1" applyFont="1" applyFill="1" applyBorder="1"/>
    <xf numFmtId="0" fontId="7" fillId="55" borderId="158" xfId="428" applyFont="1" applyFill="1" applyBorder="1"/>
    <xf numFmtId="0" fontId="7" fillId="55" borderId="159" xfId="428" applyFont="1" applyFill="1" applyBorder="1"/>
    <xf numFmtId="20" fontId="2" fillId="57" borderId="10" xfId="428" applyNumberFormat="1" applyFont="1" applyFill="1" applyBorder="1" applyAlignment="1">
      <alignment horizontal="center"/>
    </xf>
    <xf numFmtId="20" fontId="2" fillId="48" borderId="10" xfId="428" applyNumberFormat="1" applyFont="1" applyFill="1" applyBorder="1" applyAlignment="1">
      <alignment horizontal="center"/>
    </xf>
    <xf numFmtId="20" fontId="2" fillId="28" borderId="10" xfId="428" applyNumberFormat="1" applyFont="1" applyFill="1" applyBorder="1" applyAlignment="1">
      <alignment horizontal="center"/>
    </xf>
    <xf numFmtId="1" fontId="55" fillId="0" borderId="0" xfId="428" applyNumberFormat="1" applyFont="1" applyBorder="1" applyAlignment="1">
      <alignment horizontal="left" vertical="center"/>
    </xf>
    <xf numFmtId="0" fontId="7" fillId="0" borderId="0" xfId="436" applyFont="1" applyBorder="1" applyAlignment="1">
      <alignment horizontal="right" vertical="center"/>
    </xf>
    <xf numFmtId="2" fontId="92" fillId="0" borderId="0" xfId="0" applyNumberFormat="1" applyFont="1" applyFill="1" applyBorder="1"/>
    <xf numFmtId="49" fontId="7" fillId="0" borderId="0" xfId="434" applyNumberFormat="1" applyFont="1" applyFill="1" applyBorder="1" applyProtection="1"/>
    <xf numFmtId="49" fontId="7" fillId="0" borderId="0" xfId="434" applyNumberFormat="1" applyFont="1" applyFill="1" applyBorder="1" applyProtection="1">
      <protection locked="0"/>
    </xf>
    <xf numFmtId="173" fontId="7" fillId="0" borderId="0" xfId="414" applyNumberFormat="1" applyFont="1" applyFill="1" applyBorder="1" applyAlignment="1" applyProtection="1">
      <alignment vertical="center"/>
    </xf>
    <xf numFmtId="1" fontId="23" fillId="0" borderId="0" xfId="414" applyNumberFormat="1" applyFont="1" applyFill="1" applyBorder="1" applyAlignment="1">
      <alignment horizontal="left" vertical="center"/>
    </xf>
    <xf numFmtId="1" fontId="6" fillId="0" borderId="0" xfId="414" applyNumberFormat="1" applyFont="1" applyFill="1" applyBorder="1" applyAlignment="1">
      <alignment horizontal="left" vertical="center"/>
    </xf>
    <xf numFmtId="0" fontId="92" fillId="0" borderId="0" xfId="414" applyNumberFormat="1" applyFont="1"/>
    <xf numFmtId="49" fontId="56" fillId="59" borderId="10" xfId="434" applyNumberFormat="1" applyFont="1" applyFill="1" applyBorder="1" applyAlignment="1">
      <alignment horizontal="left" vertical="center"/>
    </xf>
    <xf numFmtId="2" fontId="19" fillId="59" borderId="10" xfId="414" applyNumberFormat="1" applyFont="1" applyFill="1" applyBorder="1" applyAlignment="1">
      <alignment horizontal="center" vertical="center"/>
    </xf>
    <xf numFmtId="1" fontId="92" fillId="59" borderId="10" xfId="414" applyNumberFormat="1" applyFont="1" applyFill="1" applyBorder="1" applyAlignment="1">
      <alignment horizontal="center"/>
    </xf>
    <xf numFmtId="9" fontId="92" fillId="59" borderId="10" xfId="458" applyFont="1" applyFill="1" applyBorder="1" applyAlignment="1">
      <alignment horizontal="center"/>
    </xf>
    <xf numFmtId="173" fontId="92" fillId="59" borderId="10" xfId="414" applyNumberFormat="1" applyFont="1" applyFill="1" applyBorder="1"/>
    <xf numFmtId="2" fontId="7" fillId="59" borderId="10" xfId="414" applyNumberFormat="1" applyFont="1" applyFill="1" applyBorder="1" applyAlignment="1">
      <alignment horizontal="center" vertical="center"/>
    </xf>
    <xf numFmtId="1" fontId="7" fillId="59" borderId="10" xfId="414" applyNumberFormat="1" applyFont="1" applyFill="1" applyBorder="1" applyAlignment="1">
      <alignment horizontal="center" vertical="center"/>
    </xf>
    <xf numFmtId="173" fontId="92" fillId="56" borderId="10" xfId="414" applyNumberFormat="1" applyFont="1" applyFill="1" applyBorder="1"/>
    <xf numFmtId="173" fontId="92" fillId="56" borderId="10" xfId="414" applyNumberFormat="1" applyFont="1" applyFill="1" applyBorder="1" applyAlignment="1">
      <alignment horizontal="center"/>
    </xf>
    <xf numFmtId="0" fontId="56" fillId="54" borderId="24" xfId="0" applyFont="1" applyFill="1" applyBorder="1" applyAlignment="1">
      <alignment vertical="center"/>
    </xf>
    <xf numFmtId="0" fontId="56" fillId="54" borderId="42" xfId="0" applyFont="1" applyFill="1" applyBorder="1" applyAlignment="1">
      <alignment vertical="center"/>
    </xf>
    <xf numFmtId="0" fontId="56" fillId="54" borderId="13" xfId="0" applyFont="1" applyFill="1" applyBorder="1" applyAlignment="1">
      <alignment vertical="center"/>
    </xf>
    <xf numFmtId="164" fontId="56" fillId="54" borderId="0" xfId="0" applyNumberFormat="1" applyFont="1" applyFill="1" applyBorder="1" applyAlignment="1">
      <alignment vertical="center"/>
    </xf>
    <xf numFmtId="14" fontId="56" fillId="54" borderId="0" xfId="0" applyNumberFormat="1" applyFont="1" applyFill="1" applyBorder="1" applyAlignment="1">
      <alignment vertical="center"/>
    </xf>
    <xf numFmtId="0" fontId="56" fillId="54" borderId="22" xfId="0" applyFont="1" applyFill="1" applyBorder="1" applyAlignment="1">
      <alignment vertical="center"/>
    </xf>
    <xf numFmtId="0" fontId="56" fillId="54" borderId="17" xfId="0" applyFont="1" applyFill="1" applyBorder="1" applyAlignment="1">
      <alignment vertical="center"/>
    </xf>
    <xf numFmtId="0" fontId="7" fillId="0" borderId="205" xfId="428" applyNumberFormat="1" applyFont="1" applyFill="1" applyBorder="1" applyAlignment="1">
      <alignment horizontal="center" vertical="center"/>
    </xf>
    <xf numFmtId="0" fontId="9" fillId="0" borderId="0" xfId="428" applyNumberFormat="1" applyFont="1" applyBorder="1" applyAlignment="1">
      <alignment horizontal="left" vertical="center"/>
    </xf>
    <xf numFmtId="1" fontId="26" fillId="0" borderId="0" xfId="436" applyNumberFormat="1" applyFont="1" applyFill="1">
      <alignment vertical="center"/>
    </xf>
    <xf numFmtId="0" fontId="20" fillId="0" borderId="0" xfId="0" applyFont="1" applyFill="1" applyAlignment="1">
      <alignment vertical="center"/>
    </xf>
    <xf numFmtId="0" fontId="19" fillId="0" borderId="0" xfId="436" applyFont="1" applyFill="1" applyBorder="1" applyAlignment="1">
      <alignment horizontal="center" vertical="center"/>
    </xf>
    <xf numFmtId="178" fontId="7" fillId="0" borderId="0" xfId="436" applyNumberFormat="1" applyFont="1" applyFill="1" applyBorder="1" applyAlignment="1">
      <alignment horizontal="center" vertical="center"/>
    </xf>
    <xf numFmtId="172" fontId="21" fillId="0" borderId="0" xfId="458" applyNumberFormat="1" applyFont="1" applyFill="1" applyBorder="1" applyAlignment="1">
      <alignment horizontal="center" vertical="center"/>
    </xf>
    <xf numFmtId="10" fontId="21" fillId="0" borderId="0" xfId="436" applyNumberFormat="1" applyFont="1" applyFill="1" applyBorder="1" applyAlignment="1">
      <alignment horizontal="center" vertical="center"/>
    </xf>
    <xf numFmtId="1" fontId="7" fillId="0" borderId="0" xfId="0" applyNumberFormat="1" applyFont="1" applyFill="1" applyAlignment="1">
      <alignment vertical="center"/>
    </xf>
    <xf numFmtId="165" fontId="9" fillId="0" borderId="0" xfId="436" applyNumberFormat="1" applyFont="1" applyFill="1" applyBorder="1" applyAlignment="1">
      <alignment horizontal="left" vertical="center"/>
    </xf>
    <xf numFmtId="1" fontId="7" fillId="68" borderId="10" xfId="0" applyNumberFormat="1" applyFont="1" applyFill="1" applyBorder="1" applyAlignment="1">
      <alignment vertical="center"/>
    </xf>
    <xf numFmtId="1" fontId="209" fillId="68" borderId="10" xfId="0" applyNumberFormat="1" applyFont="1" applyFill="1" applyBorder="1" applyAlignment="1">
      <alignment vertical="center"/>
    </xf>
    <xf numFmtId="9" fontId="7" fillId="68" borderId="10" xfId="458" applyFont="1" applyFill="1" applyBorder="1" applyAlignment="1">
      <alignment vertical="center"/>
    </xf>
    <xf numFmtId="49" fontId="9" fillId="67" borderId="10" xfId="432" applyNumberFormat="1" applyFont="1" applyFill="1" applyBorder="1" applyAlignment="1">
      <alignment horizontal="left"/>
    </xf>
    <xf numFmtId="2" fontId="19" fillId="68" borderId="10" xfId="414" applyNumberFormat="1" applyFont="1" applyFill="1" applyBorder="1" applyAlignment="1">
      <alignment horizontal="center" vertical="center"/>
    </xf>
    <xf numFmtId="0" fontId="145" fillId="68" borderId="10" xfId="0" applyFont="1" applyFill="1" applyBorder="1" applyAlignment="1">
      <alignment vertical="center"/>
    </xf>
    <xf numFmtId="2" fontId="9" fillId="67" borderId="23" xfId="436" applyNumberFormat="1" applyFont="1" applyFill="1" applyBorder="1" applyAlignment="1">
      <alignment horizontal="center" vertical="center"/>
    </xf>
    <xf numFmtId="2" fontId="9" fillId="68" borderId="23" xfId="0" applyNumberFormat="1" applyFont="1" applyFill="1" applyBorder="1" applyAlignment="1">
      <alignment vertical="center"/>
    </xf>
    <xf numFmtId="1" fontId="9" fillId="68" borderId="23" xfId="0" applyNumberFormat="1" applyFont="1" applyFill="1" applyBorder="1" applyAlignment="1">
      <alignment vertical="center"/>
    </xf>
    <xf numFmtId="9" fontId="9" fillId="68" borderId="23" xfId="458" applyFont="1" applyFill="1" applyBorder="1" applyAlignment="1">
      <alignment vertical="center"/>
    </xf>
    <xf numFmtId="0" fontId="7" fillId="32" borderId="10" xfId="0" applyFont="1" applyFill="1" applyBorder="1" applyAlignment="1">
      <alignment vertical="center"/>
    </xf>
    <xf numFmtId="1" fontId="7" fillId="32" borderId="10" xfId="0" applyNumberFormat="1" applyFont="1" applyFill="1" applyBorder="1" applyAlignment="1">
      <alignment vertical="center"/>
    </xf>
    <xf numFmtId="1" fontId="9" fillId="59" borderId="30" xfId="436" applyNumberFormat="1" applyFont="1" applyFill="1" applyBorder="1" applyAlignment="1">
      <alignment vertical="center"/>
    </xf>
    <xf numFmtId="0" fontId="56" fillId="54" borderId="10" xfId="0" applyFont="1" applyFill="1" applyBorder="1" applyAlignment="1">
      <alignment horizontal="center" vertical="center"/>
    </xf>
    <xf numFmtId="0" fontId="56" fillId="54" borderId="14" xfId="0" applyFont="1" applyFill="1" applyBorder="1" applyAlignment="1">
      <alignment horizontal="center" vertical="center"/>
    </xf>
    <xf numFmtId="1" fontId="204" fillId="69" borderId="28" xfId="0" applyNumberFormat="1" applyFont="1" applyFill="1" applyBorder="1" applyAlignment="1">
      <alignment horizontal="center" vertical="center"/>
    </xf>
    <xf numFmtId="1" fontId="204" fillId="69" borderId="25" xfId="0" applyNumberFormat="1" applyFont="1" applyFill="1" applyBorder="1" applyAlignment="1">
      <alignment horizontal="center" vertical="center"/>
    </xf>
    <xf numFmtId="1" fontId="111" fillId="36" borderId="10" xfId="430" applyNumberFormat="1" applyFont="1" applyFill="1" applyBorder="1" applyAlignment="1">
      <alignment horizontal="center" vertical="center"/>
    </xf>
    <xf numFmtId="20" fontId="111" fillId="36" borderId="10" xfId="0" applyNumberFormat="1" applyFont="1" applyFill="1" applyBorder="1" applyAlignment="1">
      <alignment horizontal="center" vertical="center"/>
    </xf>
    <xf numFmtId="0" fontId="130" fillId="70" borderId="0" xfId="0" applyFont="1" applyFill="1" applyAlignment="1">
      <alignment horizontal="center" vertical="center"/>
    </xf>
    <xf numFmtId="0" fontId="130" fillId="70" borderId="10" xfId="0" applyFont="1" applyFill="1" applyBorder="1" applyAlignment="1">
      <alignment horizontal="center" vertical="center"/>
    </xf>
    <xf numFmtId="20" fontId="94" fillId="0" borderId="0" xfId="0" applyNumberFormat="1" applyFont="1" applyFill="1" applyAlignment="1">
      <alignment horizontal="center" vertical="center"/>
    </xf>
    <xf numFmtId="1" fontId="7" fillId="46" borderId="27" xfId="428" applyNumberFormat="1" applyFont="1" applyFill="1" applyBorder="1"/>
    <xf numFmtId="1" fontId="204" fillId="71" borderId="28" xfId="0" applyNumberFormat="1" applyFont="1" applyFill="1" applyBorder="1" applyAlignment="1" applyProtection="1">
      <alignment horizontal="center" vertical="center"/>
      <protection locked="0"/>
    </xf>
    <xf numFmtId="1" fontId="204" fillId="71" borderId="28" xfId="0" applyNumberFormat="1" applyFont="1" applyFill="1" applyBorder="1" applyAlignment="1">
      <alignment horizontal="center" vertical="center"/>
    </xf>
    <xf numFmtId="1" fontId="204" fillId="71" borderId="25" xfId="0" applyNumberFormat="1" applyFont="1" applyFill="1" applyBorder="1" applyAlignment="1" applyProtection="1">
      <alignment horizontal="center" vertical="center"/>
      <protection locked="0"/>
    </xf>
    <xf numFmtId="1" fontId="204" fillId="71" borderId="25" xfId="0" applyNumberFormat="1" applyFont="1" applyFill="1" applyBorder="1" applyAlignment="1">
      <alignment horizontal="center" vertical="center"/>
    </xf>
    <xf numFmtId="1" fontId="204" fillId="71" borderId="103" xfId="0" applyNumberFormat="1" applyFont="1" applyFill="1" applyBorder="1" applyAlignment="1" applyProtection="1">
      <alignment horizontal="center" vertical="center"/>
      <protection locked="0"/>
    </xf>
    <xf numFmtId="1" fontId="204" fillId="71" borderId="67" xfId="0" applyNumberFormat="1" applyFont="1" applyFill="1" applyBorder="1" applyAlignment="1" applyProtection="1">
      <alignment horizontal="center" vertical="center"/>
      <protection locked="0"/>
    </xf>
    <xf numFmtId="1" fontId="204" fillId="39" borderId="28" xfId="0" applyNumberFormat="1" applyFont="1" applyFill="1" applyBorder="1" applyAlignment="1" applyProtection="1">
      <alignment horizontal="center" vertical="center"/>
      <protection locked="0"/>
    </xf>
    <xf numFmtId="1" fontId="204" fillId="39" borderId="201" xfId="0" applyNumberFormat="1" applyFont="1" applyFill="1" applyBorder="1" applyAlignment="1" applyProtection="1">
      <alignment horizontal="center" vertical="center"/>
      <protection locked="0"/>
    </xf>
    <xf numFmtId="1" fontId="204" fillId="39" borderId="25" xfId="0" applyNumberFormat="1" applyFont="1" applyFill="1" applyBorder="1" applyAlignment="1" applyProtection="1">
      <alignment horizontal="center" vertical="center"/>
      <protection locked="0"/>
    </xf>
    <xf numFmtId="1" fontId="204" fillId="39" borderId="170" xfId="0" applyNumberFormat="1" applyFont="1" applyFill="1" applyBorder="1" applyAlignment="1" applyProtection="1">
      <alignment horizontal="center" vertical="center"/>
      <protection locked="0"/>
    </xf>
    <xf numFmtId="1" fontId="204" fillId="32" borderId="28" xfId="0" applyNumberFormat="1" applyFont="1" applyFill="1" applyBorder="1" applyAlignment="1" applyProtection="1">
      <alignment horizontal="center" vertical="center"/>
      <protection locked="0"/>
    </xf>
    <xf numFmtId="1" fontId="204" fillId="32" borderId="25" xfId="0" applyNumberFormat="1" applyFont="1" applyFill="1" applyBorder="1" applyAlignment="1" applyProtection="1">
      <alignment horizontal="center" vertical="center"/>
      <protection locked="0"/>
    </xf>
    <xf numFmtId="0" fontId="56" fillId="0" borderId="0" xfId="428" applyFont="1" applyFill="1" applyBorder="1" applyAlignment="1">
      <alignment horizontal="left" vertical="center"/>
    </xf>
    <xf numFmtId="1" fontId="56" fillId="0" borderId="179" xfId="428" applyNumberFormat="1" applyFont="1" applyFill="1" applyBorder="1" applyAlignment="1">
      <alignment horizontal="center" vertical="center"/>
    </xf>
    <xf numFmtId="1" fontId="9" fillId="59" borderId="14" xfId="436" applyNumberFormat="1" applyFont="1" applyFill="1" applyBorder="1" applyAlignment="1">
      <alignment horizontal="right" vertical="center"/>
    </xf>
    <xf numFmtId="1" fontId="8" fillId="0" borderId="0" xfId="436" applyNumberFormat="1" applyFont="1" applyFill="1">
      <alignment vertical="center"/>
    </xf>
    <xf numFmtId="0" fontId="202" fillId="0" borderId="0" xfId="436" applyFont="1" applyFill="1">
      <alignment vertical="center"/>
    </xf>
    <xf numFmtId="0" fontId="9" fillId="0" borderId="0" xfId="436" applyFont="1" applyAlignment="1">
      <alignment horizontal="right" vertical="center"/>
    </xf>
    <xf numFmtId="15" fontId="8" fillId="0" borderId="0" xfId="436" applyNumberFormat="1" applyFont="1">
      <alignment vertical="center"/>
    </xf>
    <xf numFmtId="0" fontId="9" fillId="0" borderId="0" xfId="436" applyFont="1" applyFill="1">
      <alignment vertical="center"/>
    </xf>
    <xf numFmtId="20" fontId="9" fillId="0" borderId="0" xfId="436" applyNumberFormat="1" applyFont="1" applyAlignment="1">
      <alignment horizontal="center" vertical="center"/>
    </xf>
    <xf numFmtId="0" fontId="9" fillId="0" borderId="0" xfId="436" applyFont="1" applyFill="1" applyAlignment="1">
      <alignment horizontal="center" vertical="center"/>
    </xf>
    <xf numFmtId="0" fontId="9" fillId="0" borderId="0" xfId="436" applyFont="1" applyFill="1" applyBorder="1" applyAlignment="1">
      <alignment horizontal="center" vertical="center"/>
    </xf>
    <xf numFmtId="0" fontId="57" fillId="0" borderId="160" xfId="436" applyFont="1" applyFill="1" applyBorder="1">
      <alignment vertical="center"/>
    </xf>
    <xf numFmtId="0" fontId="8" fillId="0" borderId="161" xfId="436" applyFont="1" applyFill="1" applyBorder="1">
      <alignment vertical="center"/>
    </xf>
    <xf numFmtId="0" fontId="8" fillId="0" borderId="42" xfId="436" applyFont="1" applyFill="1" applyBorder="1" applyAlignment="1">
      <alignment horizontal="center" vertical="center"/>
    </xf>
    <xf numFmtId="0" fontId="8" fillId="0" borderId="91" xfId="436" applyFont="1" applyFill="1" applyBorder="1">
      <alignment vertical="center"/>
    </xf>
    <xf numFmtId="0" fontId="8" fillId="0" borderId="161" xfId="436" applyFont="1" applyFill="1" applyBorder="1" applyAlignment="1">
      <alignment horizontal="center" vertical="center"/>
    </xf>
    <xf numFmtId="0" fontId="8" fillId="0" borderId="161" xfId="436" applyFont="1" applyFill="1" applyBorder="1" applyAlignment="1">
      <alignment horizontal="left" vertical="center"/>
    </xf>
    <xf numFmtId="0" fontId="8" fillId="0" borderId="41" xfId="436" applyFont="1" applyFill="1" applyBorder="1">
      <alignment vertical="center"/>
    </xf>
    <xf numFmtId="0" fontId="57" fillId="0" borderId="162" xfId="436" applyFont="1" applyFill="1" applyBorder="1">
      <alignment vertical="center"/>
    </xf>
    <xf numFmtId="0" fontId="8" fillId="0" borderId="163" xfId="436" applyFont="1" applyFill="1" applyBorder="1">
      <alignment vertical="center"/>
    </xf>
    <xf numFmtId="0" fontId="9" fillId="0" borderId="17" xfId="436" applyFont="1" applyBorder="1" applyAlignment="1">
      <alignment horizontal="center" vertical="center"/>
    </xf>
    <xf numFmtId="0" fontId="9" fillId="0" borderId="164" xfId="436" applyFont="1" applyBorder="1">
      <alignment vertical="center"/>
    </xf>
    <xf numFmtId="0" fontId="9" fillId="0" borderId="163" xfId="436" applyFont="1" applyBorder="1" applyAlignment="1">
      <alignment horizontal="center" vertical="center"/>
    </xf>
    <xf numFmtId="0" fontId="9" fillId="0" borderId="164" xfId="436" applyFont="1" applyBorder="1" applyAlignment="1">
      <alignment horizontal="center" vertical="center"/>
    </xf>
    <xf numFmtId="0" fontId="8" fillId="0" borderId="164" xfId="436" applyFont="1" applyFill="1" applyBorder="1">
      <alignment vertical="center"/>
    </xf>
    <xf numFmtId="0" fontId="8" fillId="0" borderId="18" xfId="436" applyFont="1" applyFill="1" applyBorder="1">
      <alignment vertical="center"/>
    </xf>
    <xf numFmtId="0" fontId="57" fillId="0" borderId="165" xfId="436" applyFont="1" applyFill="1" applyBorder="1" applyAlignment="1">
      <alignment horizontal="left" vertical="center"/>
    </xf>
    <xf numFmtId="0" fontId="8" fillId="0" borderId="166" xfId="436" applyFont="1" applyFill="1" applyBorder="1">
      <alignment vertical="center"/>
    </xf>
    <xf numFmtId="0" fontId="8" fillId="0" borderId="167" xfId="436" applyFont="1" applyFill="1" applyBorder="1">
      <alignment vertical="center"/>
    </xf>
    <xf numFmtId="172" fontId="8" fillId="0" borderId="11" xfId="458" applyNumberFormat="1" applyFont="1" applyFill="1" applyBorder="1" applyAlignment="1">
      <alignment horizontal="center" vertical="center"/>
    </xf>
    <xf numFmtId="9" fontId="8" fillId="0" borderId="168" xfId="458" applyFont="1" applyFill="1" applyBorder="1" applyAlignment="1">
      <alignment vertical="center"/>
    </xf>
    <xf numFmtId="0" fontId="57" fillId="0" borderId="169" xfId="436" applyFont="1" applyFill="1" applyBorder="1" applyAlignment="1">
      <alignment horizontal="left" vertical="center"/>
    </xf>
    <xf numFmtId="0" fontId="8" fillId="0" borderId="170" xfId="436" applyFont="1" applyFill="1" applyBorder="1">
      <alignment vertical="center"/>
    </xf>
    <xf numFmtId="0" fontId="8" fillId="0" borderId="29" xfId="436" applyFont="1" applyFill="1" applyBorder="1">
      <alignment vertical="center"/>
    </xf>
    <xf numFmtId="9" fontId="8" fillId="0" borderId="171" xfId="458" applyFont="1" applyFill="1" applyBorder="1" applyAlignment="1">
      <alignment vertical="center"/>
    </xf>
    <xf numFmtId="0" fontId="57" fillId="0" borderId="172" xfId="436" applyFont="1" applyFill="1" applyBorder="1" applyAlignment="1">
      <alignment horizontal="left" vertical="center"/>
    </xf>
    <xf numFmtId="0" fontId="9" fillId="0" borderId="170" xfId="436" applyFont="1" applyBorder="1">
      <alignment vertical="center"/>
    </xf>
    <xf numFmtId="0" fontId="9" fillId="0" borderId="29" xfId="436" applyFont="1" applyBorder="1">
      <alignment vertical="center"/>
    </xf>
    <xf numFmtId="0" fontId="8" fillId="0" borderId="29" xfId="436" applyFont="1" applyBorder="1">
      <alignment vertical="center"/>
    </xf>
    <xf numFmtId="0" fontId="57" fillId="0" borderId="162" xfId="436" applyFont="1" applyFill="1" applyBorder="1" applyAlignment="1">
      <alignment horizontal="left" vertical="center"/>
    </xf>
    <xf numFmtId="9" fontId="8" fillId="0" borderId="18" xfId="436" applyNumberFormat="1" applyFont="1" applyFill="1" applyBorder="1">
      <alignment vertical="center"/>
    </xf>
    <xf numFmtId="0" fontId="56" fillId="0" borderId="42" xfId="436" applyFont="1" applyFill="1" applyBorder="1" applyAlignment="1">
      <alignment horizontal="left" vertical="center"/>
    </xf>
    <xf numFmtId="0" fontId="2" fillId="0" borderId="42" xfId="436" applyFont="1" applyFill="1" applyBorder="1">
      <alignment vertical="center"/>
    </xf>
    <xf numFmtId="165" fontId="2" fillId="0" borderId="42" xfId="436" applyNumberFormat="1" applyFont="1" applyFill="1" applyBorder="1" applyAlignment="1">
      <alignment horizontal="center" vertical="center"/>
    </xf>
    <xf numFmtId="1" fontId="2" fillId="0" borderId="42" xfId="436" applyNumberFormat="1" applyFont="1" applyFill="1" applyBorder="1" applyAlignment="1">
      <alignment horizontal="center" vertical="center"/>
    </xf>
    <xf numFmtId="10" fontId="2" fillId="0" borderId="42" xfId="458" applyNumberFormat="1" applyFont="1" applyFill="1" applyBorder="1" applyAlignment="1">
      <alignment horizontal="center" vertical="center"/>
    </xf>
    <xf numFmtId="165" fontId="2" fillId="0" borderId="0" xfId="436" applyNumberFormat="1" applyFont="1" applyFill="1" applyBorder="1" applyAlignment="1">
      <alignment horizontal="center" vertical="center"/>
    </xf>
    <xf numFmtId="10" fontId="2" fillId="0" borderId="0" xfId="458" applyNumberFormat="1" applyFont="1" applyFill="1" applyBorder="1" applyAlignment="1">
      <alignment horizontal="center" vertical="center"/>
    </xf>
    <xf numFmtId="14" fontId="2" fillId="0" borderId="0" xfId="436" applyNumberFormat="1" applyFont="1" applyFill="1">
      <alignment vertical="center"/>
    </xf>
    <xf numFmtId="0" fontId="8" fillId="0" borderId="0" xfId="436" applyFont="1" applyFill="1">
      <alignment vertical="center"/>
    </xf>
    <xf numFmtId="0" fontId="56" fillId="0" borderId="0" xfId="0" applyFont="1"/>
    <xf numFmtId="0" fontId="57" fillId="0" borderId="14" xfId="436" applyFont="1" applyFill="1" applyBorder="1">
      <alignment vertical="center"/>
    </xf>
    <xf numFmtId="0" fontId="8" fillId="0" borderId="15" xfId="436" applyFont="1" applyFill="1" applyBorder="1">
      <alignment vertical="center"/>
    </xf>
    <xf numFmtId="0" fontId="9" fillId="0" borderId="15" xfId="436" applyFont="1" applyBorder="1" applyAlignment="1">
      <alignment horizontal="center" vertical="center"/>
    </xf>
    <xf numFmtId="0" fontId="8" fillId="0" borderId="30" xfId="436" applyFont="1" applyFill="1" applyBorder="1">
      <alignment vertical="center"/>
    </xf>
    <xf numFmtId="9" fontId="8" fillId="0" borderId="11" xfId="458" applyNumberFormat="1" applyFont="1" applyFill="1" applyBorder="1" applyAlignment="1">
      <alignment horizontal="center" vertical="center"/>
    </xf>
    <xf numFmtId="0" fontId="8" fillId="0" borderId="168" xfId="0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8" fillId="0" borderId="171" xfId="0" applyFont="1" applyFill="1" applyBorder="1" applyAlignment="1">
      <alignment horizontal="center" vertical="center"/>
    </xf>
    <xf numFmtId="0" fontId="29" fillId="0" borderId="0" xfId="0" applyFont="1"/>
    <xf numFmtId="0" fontId="57" fillId="0" borderId="169" xfId="436" applyFont="1" applyFill="1" applyBorder="1" applyAlignment="1">
      <alignment vertical="center"/>
    </xf>
    <xf numFmtId="0" fontId="57" fillId="0" borderId="172" xfId="436" applyFont="1" applyFill="1" applyBorder="1" applyAlignment="1">
      <alignment vertical="center"/>
    </xf>
    <xf numFmtId="0" fontId="8" fillId="0" borderId="173" xfId="436" applyFont="1" applyFill="1" applyBorder="1">
      <alignment vertical="center"/>
    </xf>
    <xf numFmtId="0" fontId="8" fillId="0" borderId="175" xfId="0" applyFont="1" applyFill="1" applyBorder="1" applyAlignment="1">
      <alignment horizontal="center" vertical="center"/>
    </xf>
    <xf numFmtId="0" fontId="57" fillId="0" borderId="176" xfId="436" applyFont="1" applyFill="1" applyBorder="1" applyAlignment="1">
      <alignment horizontal="left" vertical="center"/>
    </xf>
    <xf numFmtId="0" fontId="8" fillId="0" borderId="177" xfId="436" applyFont="1" applyFill="1" applyBorder="1">
      <alignment vertical="center"/>
    </xf>
    <xf numFmtId="10" fontId="8" fillId="0" borderId="15" xfId="458" applyNumberFormat="1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1" fontId="29" fillId="0" borderId="0" xfId="0" applyNumberFormat="1" applyFont="1" applyFill="1" applyAlignment="1">
      <alignment horizontal="left" vertical="center"/>
    </xf>
    <xf numFmtId="0" fontId="9" fillId="26" borderId="10" xfId="0" applyFont="1" applyFill="1" applyBorder="1" applyAlignment="1">
      <alignment horizontal="center"/>
    </xf>
    <xf numFmtId="0" fontId="9" fillId="26" borderId="14" xfId="0" applyFont="1" applyFill="1" applyBorder="1" applyAlignment="1"/>
    <xf numFmtId="20" fontId="8" fillId="26" borderId="222" xfId="0" applyNumberFormat="1" applyFont="1" applyFill="1" applyBorder="1" applyAlignment="1">
      <alignment horizontal="center" vertical="center"/>
    </xf>
    <xf numFmtId="20" fontId="8" fillId="26" borderId="223" xfId="0" applyNumberFormat="1" applyFont="1" applyFill="1" applyBorder="1" applyAlignment="1">
      <alignment horizontal="center" vertical="center"/>
    </xf>
    <xf numFmtId="20" fontId="8" fillId="26" borderId="224" xfId="0" applyNumberFormat="1" applyFont="1" applyFill="1" applyBorder="1" applyAlignment="1">
      <alignment horizontal="center" vertical="center"/>
    </xf>
    <xf numFmtId="0" fontId="94" fillId="48" borderId="10" xfId="0" applyFont="1" applyFill="1" applyBorder="1" applyAlignment="1">
      <alignment vertical="center"/>
    </xf>
    <xf numFmtId="0" fontId="94" fillId="48" borderId="10" xfId="0" applyFont="1" applyFill="1" applyBorder="1" applyAlignment="1">
      <alignment horizontal="center" vertical="center"/>
    </xf>
    <xf numFmtId="0" fontId="31" fillId="43" borderId="23" xfId="0" applyFont="1" applyFill="1" applyBorder="1" applyAlignment="1">
      <alignment horizontal="center" vertical="center"/>
    </xf>
    <xf numFmtId="0" fontId="30" fillId="43" borderId="23" xfId="0" applyFont="1" applyFill="1" applyBorder="1" applyAlignment="1">
      <alignment horizontal="center" vertical="center"/>
    </xf>
    <xf numFmtId="0" fontId="94" fillId="48" borderId="31" xfId="0" applyFont="1" applyFill="1" applyBorder="1" applyAlignment="1">
      <alignment vertical="center"/>
    </xf>
    <xf numFmtId="0" fontId="34" fillId="48" borderId="31" xfId="0" applyFont="1" applyFill="1" applyBorder="1" applyAlignment="1">
      <alignment vertical="center"/>
    </xf>
    <xf numFmtId="0" fontId="210" fillId="48" borderId="59" xfId="0" applyFont="1" applyFill="1" applyBorder="1" applyAlignment="1">
      <alignment horizontal="center" vertical="center"/>
    </xf>
    <xf numFmtId="0" fontId="210" fillId="48" borderId="105" xfId="0" applyFont="1" applyFill="1" applyBorder="1" applyAlignment="1">
      <alignment horizontal="center" vertical="center"/>
    </xf>
    <xf numFmtId="0" fontId="33" fillId="48" borderId="39" xfId="0" applyFont="1" applyFill="1" applyBorder="1" applyAlignment="1">
      <alignment vertical="center"/>
    </xf>
    <xf numFmtId="0" fontId="99" fillId="48" borderId="54" xfId="0" applyFont="1" applyFill="1" applyBorder="1" applyAlignment="1">
      <alignment vertical="center"/>
    </xf>
    <xf numFmtId="0" fontId="99" fillId="48" borderId="89" xfId="0" applyFont="1" applyFill="1" applyBorder="1" applyAlignment="1">
      <alignment vertical="center"/>
    </xf>
    <xf numFmtId="0" fontId="210" fillId="48" borderId="106" xfId="0" applyFont="1" applyFill="1" applyBorder="1" applyAlignment="1">
      <alignment horizontal="center" vertical="center"/>
    </xf>
    <xf numFmtId="0" fontId="210" fillId="48" borderId="36" xfId="0" applyFont="1" applyFill="1" applyBorder="1" applyAlignment="1">
      <alignment horizontal="center" vertical="center"/>
    </xf>
    <xf numFmtId="0" fontId="210" fillId="43" borderId="10" xfId="0" applyFont="1" applyFill="1" applyBorder="1" applyAlignment="1">
      <alignment horizontal="center" vertical="center"/>
    </xf>
    <xf numFmtId="0" fontId="210" fillId="43" borderId="23" xfId="0" applyFont="1" applyFill="1" applyBorder="1" applyAlignment="1">
      <alignment horizontal="center" vertical="center"/>
    </xf>
    <xf numFmtId="20" fontId="41" fillId="45" borderId="10" xfId="0" quotePrefix="1" applyNumberFormat="1" applyFont="1" applyFill="1" applyBorder="1" applyAlignment="1">
      <alignment horizontal="center" vertical="center"/>
    </xf>
    <xf numFmtId="20" fontId="41" fillId="45" borderId="10" xfId="0" applyNumberFormat="1" applyFont="1" applyFill="1" applyBorder="1" applyAlignment="1">
      <alignment horizontal="center" vertical="center"/>
    </xf>
    <xf numFmtId="20" fontId="41" fillId="45" borderId="23" xfId="0" quotePrefix="1" applyNumberFormat="1" applyFont="1" applyFill="1" applyBorder="1" applyAlignment="1">
      <alignment horizontal="center" vertical="center"/>
    </xf>
    <xf numFmtId="2" fontId="9" fillId="59" borderId="14" xfId="436" applyNumberFormat="1" applyFont="1" applyFill="1" applyBorder="1" applyAlignment="1">
      <alignment vertical="center"/>
    </xf>
    <xf numFmtId="2" fontId="9" fillId="59" borderId="15" xfId="436" applyNumberFormat="1" applyFont="1" applyFill="1" applyBorder="1" applyAlignment="1">
      <alignment vertical="center"/>
    </xf>
    <xf numFmtId="2" fontId="9" fillId="59" borderId="30" xfId="436" applyNumberFormat="1" applyFont="1" applyFill="1" applyBorder="1" applyAlignment="1">
      <alignment vertical="center"/>
    </xf>
    <xf numFmtId="1" fontId="9" fillId="59" borderId="14" xfId="436" applyNumberFormat="1" applyFont="1" applyFill="1" applyBorder="1" applyAlignment="1">
      <alignment vertical="center"/>
    </xf>
    <xf numFmtId="1" fontId="9" fillId="59" borderId="15" xfId="436" applyNumberFormat="1" applyFont="1" applyFill="1" applyBorder="1" applyAlignment="1">
      <alignment vertical="center"/>
    </xf>
    <xf numFmtId="0" fontId="42" fillId="0" borderId="0" xfId="0" applyNumberFormat="1" applyFont="1" applyFill="1" applyBorder="1" applyAlignment="1">
      <alignment horizontal="center" vertical="center" wrapText="1"/>
    </xf>
    <xf numFmtId="1" fontId="109" fillId="54" borderId="10" xfId="0" applyNumberFormat="1" applyFont="1" applyFill="1" applyBorder="1" applyAlignment="1">
      <alignment horizontal="center"/>
    </xf>
    <xf numFmtId="1" fontId="129" fillId="54" borderId="27" xfId="0" applyNumberFormat="1" applyFont="1" applyFill="1" applyBorder="1" applyAlignment="1">
      <alignment horizontal="center"/>
    </xf>
    <xf numFmtId="1" fontId="109" fillId="54" borderId="35" xfId="0" applyNumberFormat="1" applyFont="1" applyFill="1" applyBorder="1" applyAlignment="1">
      <alignment horizontal="center" vertical="center"/>
    </xf>
    <xf numFmtId="1" fontId="129" fillId="54" borderId="105" xfId="0" applyNumberFormat="1" applyFont="1" applyFill="1" applyBorder="1" applyAlignment="1">
      <alignment horizontal="center" vertical="center"/>
    </xf>
    <xf numFmtId="173" fontId="8" fillId="44" borderId="97" xfId="0" applyNumberFormat="1" applyFont="1" applyFill="1" applyBorder="1" applyAlignment="1">
      <alignment horizontal="center" vertical="center"/>
    </xf>
    <xf numFmtId="173" fontId="8" fillId="44" borderId="98" xfId="0" applyNumberFormat="1" applyFont="1" applyFill="1" applyBorder="1" applyAlignment="1">
      <alignment horizontal="center" vertical="center"/>
    </xf>
    <xf numFmtId="0" fontId="211" fillId="44" borderId="46" xfId="0" applyFont="1" applyFill="1" applyBorder="1" applyAlignment="1">
      <alignment horizontal="center" vertical="center"/>
    </xf>
    <xf numFmtId="173" fontId="8" fillId="44" borderId="35" xfId="430" applyNumberFormat="1" applyFont="1" applyFill="1" applyBorder="1" applyAlignment="1">
      <alignment horizontal="center" vertical="center"/>
    </xf>
    <xf numFmtId="173" fontId="2" fillId="44" borderId="35" xfId="430" applyNumberFormat="1" applyFont="1" applyFill="1" applyBorder="1" applyAlignment="1">
      <alignment horizontal="center" vertical="center"/>
    </xf>
    <xf numFmtId="173" fontId="8" fillId="44" borderId="34" xfId="430" applyNumberFormat="1" applyFont="1" applyFill="1" applyBorder="1" applyAlignment="1">
      <alignment horizontal="center" vertical="center"/>
    </xf>
    <xf numFmtId="20" fontId="92" fillId="45" borderId="10" xfId="0" applyNumberFormat="1" applyFont="1" applyFill="1" applyBorder="1" applyAlignment="1">
      <alignment horizontal="center" vertical="center"/>
    </xf>
    <xf numFmtId="1" fontId="92" fillId="45" borderId="10" xfId="0" applyNumberFormat="1" applyFont="1" applyFill="1" applyBorder="1" applyAlignment="1">
      <alignment horizontal="center" vertical="center"/>
    </xf>
    <xf numFmtId="0" fontId="212" fillId="0" borderId="0" xfId="0" applyFont="1" applyAlignment="1">
      <alignment horizontal="center"/>
    </xf>
    <xf numFmtId="173" fontId="105" fillId="0" borderId="0" xfId="401" applyNumberFormat="1" applyFont="1"/>
    <xf numFmtId="2" fontId="36" fillId="0" borderId="0" xfId="0" applyNumberFormat="1" applyFont="1" applyFill="1" applyBorder="1" applyAlignment="1">
      <alignment horizontal="center" vertical="center"/>
    </xf>
    <xf numFmtId="0" fontId="42" fillId="0" borderId="39" xfId="0" applyNumberFormat="1" applyFont="1" applyFill="1" applyBorder="1" applyAlignment="1">
      <alignment vertical="center" wrapText="1"/>
    </xf>
    <xf numFmtId="0" fontId="42" fillId="0" borderId="37" xfId="0" applyNumberFormat="1" applyFont="1" applyFill="1" applyBorder="1" applyAlignment="1">
      <alignment vertical="center" wrapText="1"/>
    </xf>
    <xf numFmtId="0" fontId="92" fillId="0" borderId="72" xfId="0" applyFont="1" applyFill="1" applyBorder="1"/>
    <xf numFmtId="0" fontId="42" fillId="0" borderId="179" xfId="0" applyNumberFormat="1" applyFont="1" applyFill="1" applyBorder="1" applyAlignment="1">
      <alignment vertical="center" wrapText="1"/>
    </xf>
    <xf numFmtId="166" fontId="205" fillId="35" borderId="72" xfId="271" applyNumberFormat="1" applyFont="1" applyFill="1" applyBorder="1" applyAlignment="1">
      <alignment horizontal="center" vertical="center"/>
    </xf>
    <xf numFmtId="166" fontId="205" fillId="35" borderId="62" xfId="271" applyNumberFormat="1" applyFont="1" applyFill="1" applyBorder="1" applyAlignment="1">
      <alignment horizontal="center" vertical="center"/>
    </xf>
    <xf numFmtId="166" fontId="205" fillId="35" borderId="72" xfId="271" applyNumberFormat="1" applyFont="1" applyFill="1" applyBorder="1" applyAlignment="1">
      <alignment horizontal="left" vertical="center"/>
    </xf>
    <xf numFmtId="1" fontId="205" fillId="53" borderId="62" xfId="0" applyNumberFormat="1" applyFont="1" applyFill="1" applyBorder="1" applyAlignment="1" applyProtection="1">
      <alignment horizontal="center" vertical="center"/>
      <protection locked="0"/>
    </xf>
    <xf numFmtId="1" fontId="205" fillId="53" borderId="188" xfId="0" applyNumberFormat="1" applyFont="1" applyFill="1" applyBorder="1" applyAlignment="1" applyProtection="1">
      <alignment horizontal="center" vertical="center"/>
      <protection locked="0"/>
    </xf>
    <xf numFmtId="0" fontId="92" fillId="0" borderId="0" xfId="414" applyNumberFormat="1" applyFont="1" applyAlignment="1">
      <alignment horizontal="center"/>
    </xf>
    <xf numFmtId="0" fontId="118" fillId="0" borderId="0" xfId="0" applyFont="1" applyFill="1"/>
    <xf numFmtId="1" fontId="196" fillId="63" borderId="51" xfId="0" applyNumberFormat="1" applyFont="1" applyFill="1" applyBorder="1" applyAlignment="1" applyProtection="1">
      <alignment horizontal="center" vertical="center"/>
      <protection locked="0"/>
    </xf>
    <xf numFmtId="1" fontId="196" fillId="63" borderId="62" xfId="0" applyNumberFormat="1" applyFont="1" applyFill="1" applyBorder="1" applyAlignment="1" applyProtection="1">
      <alignment horizontal="center" vertical="center"/>
      <protection locked="0"/>
    </xf>
    <xf numFmtId="1" fontId="196" fillId="63" borderId="31" xfId="0" applyNumberFormat="1" applyFont="1" applyFill="1" applyBorder="1" applyAlignment="1" applyProtection="1">
      <alignment horizontal="center" vertical="center"/>
      <protection locked="0"/>
    </xf>
    <xf numFmtId="165" fontId="141" fillId="63" borderId="62" xfId="0" applyNumberFormat="1" applyFont="1" applyFill="1" applyBorder="1" applyAlignment="1" applyProtection="1">
      <alignment horizontal="center" vertical="center"/>
      <protection locked="0"/>
    </xf>
    <xf numFmtId="1" fontId="204" fillId="79" borderId="25" xfId="0" applyNumberFormat="1" applyFont="1" applyFill="1" applyBorder="1" applyAlignment="1" applyProtection="1">
      <alignment horizontal="center" vertical="center"/>
      <protection locked="0"/>
    </xf>
    <xf numFmtId="166" fontId="204" fillId="77" borderId="25" xfId="271" applyNumberFormat="1" applyFont="1" applyFill="1" applyBorder="1" applyAlignment="1">
      <alignment horizontal="center" vertical="center"/>
    </xf>
    <xf numFmtId="166" fontId="204" fillId="79" borderId="25" xfId="271" applyNumberFormat="1" applyFont="1" applyFill="1" applyBorder="1" applyAlignment="1">
      <alignment horizontal="center" vertical="center"/>
    </xf>
    <xf numFmtId="1" fontId="204" fillId="78" borderId="25" xfId="0" applyNumberFormat="1" applyFont="1" applyFill="1" applyBorder="1" applyAlignment="1" applyProtection="1">
      <alignment horizontal="center" vertical="center"/>
      <protection locked="0"/>
    </xf>
    <xf numFmtId="1" fontId="204" fillId="79" borderId="28" xfId="0" applyNumberFormat="1" applyFont="1" applyFill="1" applyBorder="1" applyAlignment="1" applyProtection="1">
      <alignment horizontal="center" vertical="center"/>
      <protection locked="0"/>
    </xf>
    <xf numFmtId="1" fontId="204" fillId="71" borderId="193" xfId="0" applyNumberFormat="1" applyFont="1" applyFill="1" applyBorder="1" applyAlignment="1">
      <alignment horizontal="center" vertical="center"/>
    </xf>
    <xf numFmtId="1" fontId="204" fillId="71" borderId="193" xfId="0" applyNumberFormat="1" applyFont="1" applyFill="1" applyBorder="1" applyAlignment="1" applyProtection="1">
      <alignment horizontal="center" vertical="center"/>
      <protection locked="0"/>
    </xf>
    <xf numFmtId="1" fontId="204" fillId="79" borderId="193" xfId="0" applyNumberFormat="1" applyFont="1" applyFill="1" applyBorder="1" applyAlignment="1" applyProtection="1">
      <alignment horizontal="center" vertical="center"/>
      <protection locked="0"/>
    </xf>
    <xf numFmtId="1" fontId="196" fillId="27" borderId="63" xfId="0" applyNumberFormat="1" applyFont="1" applyFill="1" applyBorder="1" applyAlignment="1" applyProtection="1">
      <alignment horizontal="center" vertical="center"/>
      <protection locked="0"/>
    </xf>
    <xf numFmtId="165" fontId="196" fillId="27" borderId="62" xfId="0" applyNumberFormat="1" applyFont="1" applyFill="1" applyBorder="1" applyAlignment="1" applyProtection="1">
      <alignment horizontal="center" vertical="center"/>
      <protection locked="0"/>
    </xf>
    <xf numFmtId="165" fontId="196" fillId="63" borderId="62" xfId="0" applyNumberFormat="1" applyFont="1" applyFill="1" applyBorder="1" applyAlignment="1" applyProtection="1">
      <alignment horizontal="center" vertical="center"/>
      <protection locked="0"/>
    </xf>
    <xf numFmtId="165" fontId="196" fillId="63" borderId="31" xfId="0" applyNumberFormat="1" applyFont="1" applyFill="1" applyBorder="1" applyAlignment="1" applyProtection="1">
      <alignment horizontal="center" vertical="center"/>
      <protection locked="0"/>
    </xf>
    <xf numFmtId="165" fontId="196" fillId="63" borderId="51" xfId="0" applyNumberFormat="1" applyFont="1" applyFill="1" applyBorder="1" applyAlignment="1" applyProtection="1">
      <alignment horizontal="center" vertical="center"/>
      <protection locked="0"/>
    </xf>
    <xf numFmtId="1" fontId="141" fillId="63" borderId="62" xfId="0" applyNumberFormat="1" applyFont="1" applyFill="1" applyBorder="1" applyAlignment="1" applyProtection="1">
      <alignment horizontal="center" vertical="center"/>
      <protection locked="0"/>
    </xf>
    <xf numFmtId="1" fontId="141" fillId="63" borderId="82" xfId="0" applyNumberFormat="1" applyFont="1" applyFill="1" applyBorder="1" applyAlignment="1" applyProtection="1">
      <alignment horizontal="center" vertical="center"/>
      <protection locked="0"/>
    </xf>
    <xf numFmtId="1" fontId="205" fillId="53" borderId="82" xfId="0" applyNumberFormat="1" applyFont="1" applyFill="1" applyBorder="1" applyAlignment="1" applyProtection="1">
      <alignment horizontal="center" vertical="center"/>
      <protection locked="0"/>
    </xf>
    <xf numFmtId="1" fontId="205" fillId="35" borderId="62" xfId="0" applyNumberFormat="1" applyFont="1" applyFill="1" applyBorder="1" applyAlignment="1" applyProtection="1">
      <alignment horizontal="center" vertical="center"/>
      <protection locked="0"/>
    </xf>
    <xf numFmtId="166" fontId="205" fillId="35" borderId="82" xfId="271" applyNumberFormat="1" applyFont="1" applyFill="1" applyBorder="1" applyAlignment="1">
      <alignment horizontal="center" vertical="center"/>
    </xf>
    <xf numFmtId="1" fontId="204" fillId="0" borderId="37" xfId="0" applyNumberFormat="1" applyFont="1" applyFill="1" applyBorder="1" applyAlignment="1" applyProtection="1">
      <alignment horizontal="center" vertical="center"/>
      <protection locked="0"/>
    </xf>
    <xf numFmtId="1" fontId="204" fillId="0" borderId="37" xfId="0" applyNumberFormat="1" applyFont="1" applyFill="1" applyBorder="1" applyAlignment="1">
      <alignment horizontal="center" vertical="center"/>
    </xf>
    <xf numFmtId="1" fontId="141" fillId="0" borderId="37" xfId="0" applyNumberFormat="1" applyFont="1" applyFill="1" applyBorder="1" applyAlignment="1" applyProtection="1">
      <alignment horizontal="center" vertical="center"/>
      <protection locked="0"/>
    </xf>
    <xf numFmtId="165" fontId="196" fillId="0" borderId="37" xfId="0" applyNumberFormat="1" applyFont="1" applyFill="1" applyBorder="1" applyAlignment="1" applyProtection="1">
      <alignment horizontal="center" vertical="center"/>
      <protection locked="0"/>
    </xf>
    <xf numFmtId="1" fontId="196" fillId="0" borderId="37" xfId="0" applyNumberFormat="1" applyFont="1" applyFill="1" applyBorder="1" applyAlignment="1" applyProtection="1">
      <alignment horizontal="center" vertical="center"/>
      <protection locked="0"/>
    </xf>
    <xf numFmtId="1" fontId="141" fillId="63" borderId="200" xfId="0" applyNumberFormat="1" applyFont="1" applyFill="1" applyBorder="1" applyAlignment="1" applyProtection="1">
      <alignment horizontal="center" vertical="center"/>
      <protection locked="0"/>
    </xf>
    <xf numFmtId="165" fontId="196" fillId="63" borderId="200" xfId="0" applyNumberFormat="1" applyFont="1" applyFill="1" applyBorder="1" applyAlignment="1" applyProtection="1">
      <alignment horizontal="center" vertical="center"/>
      <protection locked="0"/>
    </xf>
    <xf numFmtId="1" fontId="141" fillId="63" borderId="194" xfId="0" applyNumberFormat="1" applyFont="1" applyFill="1" applyBorder="1" applyAlignment="1" applyProtection="1">
      <alignment horizontal="center" vertical="center"/>
      <protection locked="0"/>
    </xf>
    <xf numFmtId="165" fontId="196" fillId="63" borderId="194" xfId="0" applyNumberFormat="1" applyFont="1" applyFill="1" applyBorder="1" applyAlignment="1" applyProtection="1">
      <alignment horizontal="center" vertical="center"/>
      <protection locked="0"/>
    </xf>
    <xf numFmtId="165" fontId="141" fillId="63" borderId="194" xfId="0" applyNumberFormat="1" applyFont="1" applyFill="1" applyBorder="1" applyAlignment="1" applyProtection="1">
      <alignment horizontal="center" vertical="center"/>
      <protection locked="0"/>
    </xf>
    <xf numFmtId="1" fontId="196" fillId="27" borderId="194" xfId="0" applyNumberFormat="1" applyFont="1" applyFill="1" applyBorder="1" applyAlignment="1" applyProtection="1">
      <alignment horizontal="center" vertical="center"/>
      <protection locked="0"/>
    </xf>
    <xf numFmtId="1" fontId="196" fillId="63" borderId="146" xfId="0" applyNumberFormat="1" applyFont="1" applyFill="1" applyBorder="1" applyAlignment="1" applyProtection="1">
      <alignment horizontal="center" vertical="center"/>
      <protection locked="0"/>
    </xf>
    <xf numFmtId="1" fontId="196" fillId="63" borderId="200" xfId="0" applyNumberFormat="1" applyFont="1" applyFill="1" applyBorder="1" applyAlignment="1" applyProtection="1">
      <alignment horizontal="center" vertical="center"/>
      <protection locked="0"/>
    </xf>
    <xf numFmtId="1" fontId="204" fillId="79" borderId="201" xfId="0" applyNumberFormat="1" applyFont="1" applyFill="1" applyBorder="1" applyAlignment="1" applyProtection="1">
      <alignment horizontal="center" vertical="center"/>
      <protection locked="0"/>
    </xf>
    <xf numFmtId="1" fontId="204" fillId="79" borderId="170" xfId="0" applyNumberFormat="1" applyFont="1" applyFill="1" applyBorder="1" applyAlignment="1" applyProtection="1">
      <alignment horizontal="center" vertical="center"/>
      <protection locked="0"/>
    </xf>
    <xf numFmtId="166" fontId="204" fillId="79" borderId="170" xfId="271" applyNumberFormat="1" applyFont="1" applyFill="1" applyBorder="1" applyAlignment="1">
      <alignment horizontal="center" vertical="center"/>
    </xf>
    <xf numFmtId="1" fontId="204" fillId="78" borderId="170" xfId="0" applyNumberFormat="1" applyFont="1" applyFill="1" applyBorder="1" applyAlignment="1" applyProtection="1">
      <alignment horizontal="center" vertical="center"/>
      <protection locked="0"/>
    </xf>
    <xf numFmtId="1" fontId="204" fillId="79" borderId="227" xfId="0" applyNumberFormat="1" applyFont="1" applyFill="1" applyBorder="1" applyAlignment="1" applyProtection="1">
      <alignment horizontal="center" vertical="center"/>
      <protection locked="0"/>
    </xf>
    <xf numFmtId="165" fontId="141" fillId="63" borderId="228" xfId="0" applyNumberFormat="1" applyFont="1" applyFill="1" applyBorder="1" applyAlignment="1" applyProtection="1">
      <alignment horizontal="center" vertical="center"/>
      <protection locked="0"/>
    </xf>
    <xf numFmtId="165" fontId="141" fillId="63" borderId="189" xfId="0" applyNumberFormat="1" applyFont="1" applyFill="1" applyBorder="1" applyAlignment="1" applyProtection="1">
      <alignment horizontal="center" vertical="center"/>
      <protection locked="0"/>
    </xf>
    <xf numFmtId="165" fontId="141" fillId="63" borderId="226" xfId="0" applyNumberFormat="1" applyFont="1" applyFill="1" applyBorder="1" applyAlignment="1" applyProtection="1">
      <alignment horizontal="center" vertical="center"/>
      <protection locked="0"/>
    </xf>
    <xf numFmtId="165" fontId="141" fillId="64" borderId="226" xfId="0" applyNumberFormat="1" applyFont="1" applyFill="1" applyBorder="1" applyAlignment="1" applyProtection="1">
      <alignment horizontal="center" vertical="center"/>
      <protection locked="0"/>
    </xf>
    <xf numFmtId="166" fontId="141" fillId="63" borderId="82" xfId="271" applyNumberFormat="1" applyFont="1" applyFill="1" applyBorder="1" applyAlignment="1">
      <alignment horizontal="center" vertical="center"/>
    </xf>
    <xf numFmtId="1" fontId="141" fillId="64" borderId="82" xfId="0" applyNumberFormat="1" applyFont="1" applyFill="1" applyBorder="1" applyAlignment="1" applyProtection="1">
      <alignment horizontal="center" vertical="center"/>
      <protection locked="0"/>
    </xf>
    <xf numFmtId="166" fontId="141" fillId="54" borderId="44" xfId="271" applyNumberFormat="1" applyFont="1" applyFill="1" applyBorder="1" applyAlignment="1">
      <alignment vertical="center"/>
    </xf>
    <xf numFmtId="1" fontId="205" fillId="53" borderId="62" xfId="0" applyNumberFormat="1" applyFont="1" applyFill="1" applyBorder="1" applyAlignment="1">
      <alignment horizontal="center" vertical="center"/>
    </xf>
    <xf numFmtId="165" fontId="196" fillId="0" borderId="38" xfId="0" applyNumberFormat="1" applyFont="1" applyFill="1" applyBorder="1" applyAlignment="1" applyProtection="1">
      <alignment horizontal="center" vertical="center"/>
      <protection locked="0"/>
    </xf>
    <xf numFmtId="1" fontId="100" fillId="45" borderId="10" xfId="0" applyNumberFormat="1" applyFont="1" applyFill="1" applyBorder="1" applyAlignment="1">
      <alignment horizontal="center" vertical="center"/>
    </xf>
    <xf numFmtId="20" fontId="92" fillId="45" borderId="30" xfId="271" applyNumberFormat="1" applyFont="1" applyFill="1" applyBorder="1" applyAlignment="1">
      <alignment horizontal="center" vertical="center"/>
    </xf>
    <xf numFmtId="1" fontId="92" fillId="0" borderId="0" xfId="0" applyNumberFormat="1" applyFont="1" applyAlignment="1">
      <alignment horizontal="center" vertical="center"/>
    </xf>
    <xf numFmtId="1" fontId="205" fillId="35" borderId="188" xfId="0" applyNumberFormat="1" applyFont="1" applyFill="1" applyBorder="1" applyAlignment="1" applyProtection="1">
      <alignment horizontal="center" vertical="center"/>
      <protection locked="0"/>
    </xf>
    <xf numFmtId="1" fontId="205" fillId="35" borderId="38" xfId="0" applyNumberFormat="1" applyFont="1" applyFill="1" applyBorder="1" applyAlignment="1" applyProtection="1">
      <alignment horizontal="center" vertical="center"/>
      <protection locked="0"/>
    </xf>
    <xf numFmtId="166" fontId="205" fillId="35" borderId="185" xfId="271" applyNumberFormat="1" applyFont="1" applyFill="1" applyBorder="1" applyAlignment="1">
      <alignment horizontal="center" vertical="center"/>
    </xf>
    <xf numFmtId="1" fontId="141" fillId="34" borderId="72" xfId="0" applyNumberFormat="1" applyFont="1" applyFill="1" applyBorder="1" applyAlignment="1" applyProtection="1">
      <alignment horizontal="center" vertical="center"/>
      <protection locked="0"/>
    </xf>
    <xf numFmtId="1" fontId="141" fillId="34" borderId="202" xfId="0" applyNumberFormat="1" applyFont="1" applyFill="1" applyBorder="1" applyAlignment="1" applyProtection="1">
      <alignment horizontal="center" vertical="center"/>
      <protection locked="0"/>
    </xf>
    <xf numFmtId="173" fontId="108" fillId="0" borderId="0" xfId="0" applyNumberFormat="1" applyFont="1" applyBorder="1"/>
    <xf numFmtId="173" fontId="78" fillId="0" borderId="0" xfId="430" applyNumberFormat="1" applyFont="1" applyFill="1" applyBorder="1" applyAlignment="1">
      <alignment horizontal="center" vertical="center"/>
    </xf>
    <xf numFmtId="1" fontId="50" fillId="0" borderId="0" xfId="430" applyNumberFormat="1" applyFont="1" applyFill="1" applyBorder="1" applyAlignment="1">
      <alignment horizontal="center" vertical="center"/>
    </xf>
    <xf numFmtId="1" fontId="10" fillId="0" borderId="0" xfId="430" applyNumberFormat="1" applyFont="1" applyFill="1" applyBorder="1" applyAlignment="1">
      <alignment horizontal="center" vertical="center"/>
    </xf>
    <xf numFmtId="173" fontId="8" fillId="44" borderId="51" xfId="430" applyNumberFormat="1" applyFont="1" applyFill="1" applyBorder="1" applyAlignment="1">
      <alignment horizontal="center" vertical="center"/>
    </xf>
    <xf numFmtId="1" fontId="110" fillId="32" borderId="10" xfId="0" applyNumberFormat="1" applyFont="1" applyFill="1" applyBorder="1" applyAlignment="1">
      <alignment horizontal="center"/>
    </xf>
    <xf numFmtId="1" fontId="110" fillId="32" borderId="35" xfId="0" applyNumberFormat="1" applyFont="1" applyFill="1" applyBorder="1" applyAlignment="1">
      <alignment horizontal="center" vertical="center"/>
    </xf>
    <xf numFmtId="0" fontId="0" fillId="0" borderId="18" xfId="0" applyBorder="1"/>
    <xf numFmtId="0" fontId="95" fillId="0" borderId="0" xfId="0" applyFont="1" applyFill="1" applyAlignment="1">
      <alignment vertical="center"/>
    </xf>
    <xf numFmtId="0" fontId="29" fillId="0" borderId="0" xfId="0" applyFont="1" applyFill="1"/>
    <xf numFmtId="0" fontId="94" fillId="0" borderId="0" xfId="0" applyFont="1" applyFill="1"/>
    <xf numFmtId="0" fontId="99" fillId="48" borderId="10" xfId="0" applyFont="1" applyFill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141" fillId="34" borderId="62" xfId="0" applyNumberFormat="1" applyFont="1" applyFill="1" applyBorder="1" applyAlignment="1" applyProtection="1">
      <alignment horizontal="center" vertical="center"/>
      <protection locked="0"/>
    </xf>
    <xf numFmtId="1" fontId="141" fillId="64" borderId="62" xfId="0" applyNumberFormat="1" applyFont="1" applyFill="1" applyBorder="1" applyAlignment="1" applyProtection="1">
      <alignment horizontal="center" vertical="center"/>
      <protection locked="0"/>
    </xf>
    <xf numFmtId="1" fontId="141" fillId="64" borderId="63" xfId="0" applyNumberFormat="1" applyFont="1" applyFill="1" applyBorder="1" applyAlignment="1" applyProtection="1">
      <alignment horizontal="center" vertical="center"/>
      <protection locked="0"/>
    </xf>
    <xf numFmtId="0" fontId="144" fillId="0" borderId="37" xfId="428" applyFont="1" applyFill="1" applyBorder="1" applyAlignment="1">
      <alignment horizontal="center" vertical="center"/>
    </xf>
    <xf numFmtId="1" fontId="57" fillId="0" borderId="37" xfId="436" applyNumberFormat="1" applyFont="1" applyFill="1" applyBorder="1" applyAlignment="1">
      <alignment horizontal="right" vertical="center"/>
    </xf>
    <xf numFmtId="1" fontId="56" fillId="0" borderId="28" xfId="436" applyNumberFormat="1" applyFont="1" applyFill="1" applyBorder="1" applyAlignment="1">
      <alignment horizontal="right" vertical="center"/>
    </xf>
    <xf numFmtId="1" fontId="56" fillId="0" borderId="80" xfId="436" applyNumberFormat="1" applyFont="1" applyFill="1" applyBorder="1" applyAlignment="1">
      <alignment horizontal="right" vertical="center"/>
    </xf>
    <xf numFmtId="1" fontId="56" fillId="0" borderId="25" xfId="436" applyNumberFormat="1" applyFont="1" applyFill="1" applyBorder="1" applyAlignment="1">
      <alignment horizontal="right" vertical="center"/>
    </xf>
    <xf numFmtId="164" fontId="10" fillId="0" borderId="0" xfId="428" applyNumberFormat="1" applyFont="1" applyAlignment="1">
      <alignment horizontal="left"/>
    </xf>
    <xf numFmtId="0" fontId="168" fillId="43" borderId="24" xfId="0" applyFont="1" applyFill="1" applyBorder="1" applyAlignment="1">
      <alignment vertical="center"/>
    </xf>
    <xf numFmtId="0" fontId="168" fillId="43" borderId="42" xfId="0" applyFont="1" applyFill="1" applyBorder="1" applyAlignment="1">
      <alignment vertical="center"/>
    </xf>
    <xf numFmtId="0" fontId="168" fillId="43" borderId="41" xfId="0" applyFont="1" applyFill="1" applyBorder="1" applyAlignment="1">
      <alignment vertical="center"/>
    </xf>
    <xf numFmtId="0" fontId="168" fillId="43" borderId="13" xfId="0" applyFont="1" applyFill="1" applyBorder="1" applyAlignment="1">
      <alignment vertical="center"/>
    </xf>
    <xf numFmtId="0" fontId="168" fillId="43" borderId="0" xfId="0" applyFont="1" applyFill="1" applyBorder="1" applyAlignment="1">
      <alignment vertical="center"/>
    </xf>
    <xf numFmtId="0" fontId="168" fillId="43" borderId="19" xfId="0" applyFont="1" applyFill="1" applyBorder="1" applyAlignment="1">
      <alignment vertical="center"/>
    </xf>
    <xf numFmtId="0" fontId="168" fillId="43" borderId="22" xfId="0" applyFont="1" applyFill="1" applyBorder="1" applyAlignment="1">
      <alignment vertical="center"/>
    </xf>
    <xf numFmtId="0" fontId="168" fillId="43" borderId="17" xfId="0" applyFont="1" applyFill="1" applyBorder="1" applyAlignment="1">
      <alignment vertical="center"/>
    </xf>
    <xf numFmtId="0" fontId="168" fillId="43" borderId="18" xfId="0" applyFont="1" applyFill="1" applyBorder="1" applyAlignment="1">
      <alignment vertical="center"/>
    </xf>
    <xf numFmtId="0" fontId="168" fillId="43" borderId="14" xfId="428" applyFont="1" applyFill="1" applyBorder="1" applyAlignment="1">
      <alignment horizontal="center" vertical="center"/>
    </xf>
    <xf numFmtId="172" fontId="168" fillId="43" borderId="15" xfId="0" applyNumberFormat="1" applyFont="1" applyFill="1" applyBorder="1" applyAlignment="1">
      <alignment horizontal="center" vertical="center"/>
    </xf>
    <xf numFmtId="172" fontId="168" fillId="43" borderId="30" xfId="0" applyNumberFormat="1" applyFont="1" applyFill="1" applyBorder="1" applyAlignment="1">
      <alignment horizontal="center" vertical="center"/>
    </xf>
    <xf numFmtId="0" fontId="214" fillId="0" borderId="0" xfId="0" applyFont="1" applyFill="1" applyBorder="1" applyAlignment="1">
      <alignment horizontal="center" vertical="center"/>
    </xf>
    <xf numFmtId="14" fontId="132" fillId="51" borderId="39" xfId="0" applyNumberFormat="1" applyFont="1" applyFill="1" applyBorder="1" applyAlignment="1">
      <alignment horizontal="center" vertical="center" wrapText="1"/>
    </xf>
    <xf numFmtId="1" fontId="204" fillId="71" borderId="201" xfId="0" applyNumberFormat="1" applyFont="1" applyFill="1" applyBorder="1" applyAlignment="1">
      <alignment horizontal="center" vertical="center"/>
    </xf>
    <xf numFmtId="1" fontId="204" fillId="71" borderId="170" xfId="0" applyNumberFormat="1" applyFont="1" applyFill="1" applyBorder="1" applyAlignment="1">
      <alignment horizontal="center" vertical="center"/>
    </xf>
    <xf numFmtId="1" fontId="205" fillId="53" borderId="188" xfId="0" applyNumberFormat="1" applyFont="1" applyFill="1" applyBorder="1" applyAlignment="1">
      <alignment horizontal="center" vertical="center"/>
    </xf>
    <xf numFmtId="1" fontId="205" fillId="35" borderId="226" xfId="0" applyNumberFormat="1" applyFont="1" applyFill="1" applyBorder="1" applyAlignment="1" applyProtection="1">
      <alignment horizontal="center" vertical="center"/>
      <protection locked="0"/>
    </xf>
    <xf numFmtId="1" fontId="204" fillId="71" borderId="199" xfId="0" applyNumberFormat="1" applyFont="1" applyFill="1" applyBorder="1" applyAlignment="1">
      <alignment horizontal="center" vertical="center"/>
    </xf>
    <xf numFmtId="1" fontId="204" fillId="71" borderId="190" xfId="0" applyNumberFormat="1" applyFont="1" applyFill="1" applyBorder="1" applyAlignment="1">
      <alignment horizontal="center" vertical="center"/>
    </xf>
    <xf numFmtId="1" fontId="205" fillId="35" borderId="226" xfId="0" applyNumberFormat="1" applyFont="1" applyFill="1" applyBorder="1" applyAlignment="1">
      <alignment horizontal="center" vertical="center"/>
    </xf>
    <xf numFmtId="1" fontId="204" fillId="39" borderId="198" xfId="0" applyNumberFormat="1" applyFont="1" applyFill="1" applyBorder="1" applyAlignment="1" applyProtection="1">
      <alignment horizontal="center" vertical="center"/>
      <protection locked="0"/>
    </xf>
    <xf numFmtId="1" fontId="204" fillId="39" borderId="191" xfId="0" applyNumberFormat="1" applyFont="1" applyFill="1" applyBorder="1" applyAlignment="1" applyProtection="1">
      <alignment horizontal="center" vertical="center"/>
      <protection locked="0"/>
    </xf>
    <xf numFmtId="0" fontId="92" fillId="0" borderId="0" xfId="0" applyFont="1" applyAlignment="1">
      <alignment horizontal="center"/>
    </xf>
    <xf numFmtId="14" fontId="92" fillId="0" borderId="0" xfId="0" applyNumberFormat="1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108" fillId="0" borderId="10" xfId="0" applyFont="1" applyBorder="1" applyAlignment="1">
      <alignment horizontal="center" vertical="center"/>
    </xf>
    <xf numFmtId="0" fontId="127" fillId="0" borderId="10" xfId="0" applyFont="1" applyBorder="1" applyAlignment="1">
      <alignment horizontal="center" vertical="center"/>
    </xf>
    <xf numFmtId="0" fontId="92" fillId="0" borderId="0" xfId="0" applyFont="1" applyBorder="1" applyAlignment="1">
      <alignment horizontal="center" vertical="center"/>
    </xf>
    <xf numFmtId="1" fontId="214" fillId="0" borderId="0" xfId="0" applyNumberFormat="1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center"/>
    </xf>
    <xf numFmtId="0" fontId="213" fillId="0" borderId="0" xfId="0" applyFont="1" applyFill="1" applyBorder="1" applyAlignment="1">
      <alignment vertical="center"/>
    </xf>
    <xf numFmtId="1" fontId="42" fillId="0" borderId="0" xfId="0" applyNumberFormat="1" applyFont="1" applyFill="1" applyBorder="1" applyAlignment="1">
      <alignment horizontal="center" vertical="center" wrapText="1"/>
    </xf>
    <xf numFmtId="1" fontId="109" fillId="0" borderId="0" xfId="0" applyNumberFormat="1" applyFont="1"/>
    <xf numFmtId="0" fontId="56" fillId="54" borderId="13" xfId="0" applyFont="1" applyFill="1" applyBorder="1" applyAlignment="1">
      <alignment horizontal="center" vertical="center"/>
    </xf>
    <xf numFmtId="0" fontId="56" fillId="54" borderId="19" xfId="0" applyFont="1" applyFill="1" applyBorder="1" applyAlignment="1">
      <alignment vertical="center"/>
    </xf>
    <xf numFmtId="0" fontId="56" fillId="54" borderId="18" xfId="0" applyFont="1" applyFill="1" applyBorder="1" applyAlignment="1">
      <alignment vertical="center"/>
    </xf>
    <xf numFmtId="164" fontId="56" fillId="0" borderId="0" xfId="0" applyNumberFormat="1" applyFont="1" applyFill="1" applyBorder="1" applyAlignment="1">
      <alignment vertical="center"/>
    </xf>
    <xf numFmtId="0" fontId="9" fillId="0" borderId="72" xfId="499" applyFont="1" applyFill="1" applyBorder="1" applyAlignment="1">
      <alignment vertical="center"/>
    </xf>
    <xf numFmtId="0" fontId="9" fillId="0" borderId="179" xfId="428" applyFont="1" applyFill="1" applyBorder="1" applyAlignment="1">
      <alignment vertical="center"/>
    </xf>
    <xf numFmtId="0" fontId="9" fillId="0" borderId="179" xfId="428" applyFont="1" applyFill="1" applyBorder="1" applyAlignment="1">
      <alignment horizontal="right" vertical="center"/>
    </xf>
    <xf numFmtId="0" fontId="9" fillId="0" borderId="72" xfId="499" applyFont="1" applyBorder="1" applyAlignment="1">
      <alignment vertical="center"/>
    </xf>
    <xf numFmtId="164" fontId="9" fillId="0" borderId="37" xfId="499" applyNumberFormat="1" applyFont="1" applyFill="1" applyBorder="1" applyAlignment="1">
      <alignment horizontal="center" vertical="center"/>
    </xf>
    <xf numFmtId="0" fontId="9" fillId="0" borderId="92" xfId="499" applyFont="1" applyBorder="1" applyAlignment="1">
      <alignment vertical="center"/>
    </xf>
    <xf numFmtId="0" fontId="143" fillId="0" borderId="38" xfId="428" applyFont="1" applyFill="1" applyBorder="1" applyAlignment="1">
      <alignment horizontal="left" vertical="center"/>
    </xf>
    <xf numFmtId="0" fontId="56" fillId="0" borderId="88" xfId="428" applyFont="1" applyBorder="1" applyAlignment="1">
      <alignment vertical="center"/>
    </xf>
    <xf numFmtId="0" fontId="56" fillId="0" borderId="179" xfId="428" applyFont="1" applyBorder="1" applyAlignment="1">
      <alignment vertical="center"/>
    </xf>
    <xf numFmtId="0" fontId="92" fillId="0" borderId="179" xfId="0" applyFont="1" applyBorder="1"/>
    <xf numFmtId="14" fontId="56" fillId="0" borderId="179" xfId="502" applyNumberFormat="1" applyFont="1" applyBorder="1" applyAlignment="1">
      <alignment horizontal="center" vertical="center"/>
    </xf>
    <xf numFmtId="0" fontId="56" fillId="0" borderId="179" xfId="0" applyFont="1" applyBorder="1" applyAlignment="1">
      <alignment horizontal="center" vertical="center"/>
    </xf>
    <xf numFmtId="1" fontId="56" fillId="0" borderId="179" xfId="428" quotePrefix="1" applyNumberFormat="1" applyFont="1" applyFill="1" applyBorder="1" applyAlignment="1">
      <alignment horizontal="center" vertical="center"/>
    </xf>
    <xf numFmtId="0" fontId="56" fillId="0" borderId="179" xfId="436" applyFont="1" applyBorder="1" applyAlignment="1">
      <alignment vertical="center"/>
    </xf>
    <xf numFmtId="0" fontId="56" fillId="0" borderId="46" xfId="436" applyFont="1" applyBorder="1" applyAlignment="1">
      <alignment vertical="center"/>
    </xf>
    <xf numFmtId="0" fontId="56" fillId="0" borderId="55" xfId="436" applyFont="1" applyBorder="1" applyAlignment="1">
      <alignment vertical="center"/>
    </xf>
    <xf numFmtId="0" fontId="7" fillId="61" borderId="14" xfId="428" applyFont="1" applyFill="1" applyBorder="1" applyAlignment="1"/>
    <xf numFmtId="0" fontId="7" fillId="61" borderId="15" xfId="428" applyFont="1" applyFill="1" applyBorder="1" applyAlignment="1"/>
    <xf numFmtId="0" fontId="7" fillId="61" borderId="30" xfId="428" applyFont="1" applyFill="1" applyBorder="1" applyAlignment="1"/>
    <xf numFmtId="10" fontId="92" fillId="45" borderId="14" xfId="458" applyNumberFormat="1" applyFont="1" applyFill="1" applyBorder="1" applyAlignment="1">
      <alignment horizontal="center" vertical="center"/>
    </xf>
    <xf numFmtId="0" fontId="92" fillId="43" borderId="14" xfId="0" applyFont="1" applyFill="1" applyBorder="1" applyAlignment="1">
      <alignment vertical="center"/>
    </xf>
    <xf numFmtId="0" fontId="92" fillId="43" borderId="30" xfId="0" applyFont="1" applyFill="1" applyBorder="1" applyAlignment="1">
      <alignment vertical="center"/>
    </xf>
    <xf numFmtId="0" fontId="0" fillId="45" borderId="30" xfId="0" applyFill="1" applyBorder="1" applyAlignment="1"/>
    <xf numFmtId="164" fontId="100" fillId="43" borderId="14" xfId="0" applyNumberFormat="1" applyFont="1" applyFill="1" applyBorder="1" applyAlignment="1">
      <alignment vertical="center"/>
    </xf>
    <xf numFmtId="164" fontId="100" fillId="43" borderId="30" xfId="0" applyNumberFormat="1" applyFont="1" applyFill="1" applyBorder="1" applyAlignment="1">
      <alignment vertical="center"/>
    </xf>
    <xf numFmtId="173" fontId="78" fillId="36" borderId="23" xfId="0" applyNumberFormat="1" applyFont="1" applyFill="1" applyBorder="1" applyAlignment="1">
      <alignment horizontal="center"/>
    </xf>
    <xf numFmtId="173" fontId="49" fillId="36" borderId="31" xfId="0" applyNumberFormat="1" applyFont="1" applyFill="1" applyBorder="1" applyAlignment="1">
      <alignment horizontal="center"/>
    </xf>
    <xf numFmtId="173" fontId="49" fillId="0" borderId="0" xfId="0" applyNumberFormat="1" applyFont="1" applyFill="1" applyBorder="1" applyAlignment="1">
      <alignment horizontal="center"/>
    </xf>
    <xf numFmtId="173" fontId="8" fillId="0" borderId="0" xfId="430" applyNumberFormat="1" applyFont="1" applyFill="1" applyBorder="1" applyAlignment="1">
      <alignment horizontal="center" vertical="center"/>
    </xf>
    <xf numFmtId="173" fontId="8" fillId="0" borderId="0" xfId="0" applyNumberFormat="1" applyFont="1" applyFill="1" applyBorder="1" applyAlignment="1">
      <alignment horizontal="center" vertical="center"/>
    </xf>
    <xf numFmtId="0" fontId="211" fillId="0" borderId="0" xfId="0" applyFont="1" applyFill="1" applyBorder="1" applyAlignment="1">
      <alignment horizontal="center" vertical="center"/>
    </xf>
    <xf numFmtId="1" fontId="110" fillId="0" borderId="0" xfId="0" applyNumberFormat="1" applyFont="1" applyFill="1" applyBorder="1" applyAlignment="1">
      <alignment horizontal="center"/>
    </xf>
    <xf numFmtId="1" fontId="109" fillId="0" borderId="0" xfId="0" applyNumberFormat="1" applyFont="1" applyFill="1" applyBorder="1" applyAlignment="1">
      <alignment horizontal="center"/>
    </xf>
    <xf numFmtId="1" fontId="129" fillId="0" borderId="0" xfId="0" applyNumberFormat="1" applyFont="1" applyFill="1" applyBorder="1" applyAlignment="1">
      <alignment horizontal="center"/>
    </xf>
    <xf numFmtId="173" fontId="2" fillId="0" borderId="0" xfId="430" applyNumberFormat="1" applyFont="1" applyFill="1" applyBorder="1" applyAlignment="1">
      <alignment horizontal="center" vertical="center"/>
    </xf>
    <xf numFmtId="20" fontId="180" fillId="0" borderId="0" xfId="0" quotePrefix="1" applyNumberFormat="1" applyFont="1" applyFill="1" applyBorder="1" applyAlignment="1">
      <alignment horizontal="center" vertical="center"/>
    </xf>
    <xf numFmtId="165" fontId="50" fillId="0" borderId="0" xfId="430" quotePrefix="1" applyNumberFormat="1" applyFont="1" applyFill="1" applyBorder="1" applyAlignment="1">
      <alignment horizontal="center" vertical="center"/>
    </xf>
    <xf numFmtId="1" fontId="45" fillId="0" borderId="0" xfId="430" applyNumberFormat="1" applyFont="1" applyFill="1" applyBorder="1" applyAlignment="1">
      <alignment horizontal="center" vertical="center"/>
    </xf>
    <xf numFmtId="165" fontId="50" fillId="0" borderId="0" xfId="430" applyNumberFormat="1" applyFont="1" applyFill="1" applyBorder="1" applyAlignment="1">
      <alignment horizontal="center" vertical="center"/>
    </xf>
    <xf numFmtId="20" fontId="180" fillId="0" borderId="0" xfId="0" applyNumberFormat="1" applyFont="1" applyFill="1" applyBorder="1" applyAlignment="1">
      <alignment horizontal="center" vertical="center"/>
    </xf>
    <xf numFmtId="0" fontId="208" fillId="51" borderId="44" xfId="0" applyNumberFormat="1" applyFont="1" applyFill="1" applyBorder="1" applyAlignment="1">
      <alignment vertical="center" wrapText="1"/>
    </xf>
    <xf numFmtId="173" fontId="42" fillId="51" borderId="44" xfId="0" applyNumberFormat="1" applyFont="1" applyFill="1" applyBorder="1" applyAlignment="1">
      <alignment vertical="center" wrapText="1"/>
    </xf>
    <xf numFmtId="173" fontId="42" fillId="51" borderId="93" xfId="0" applyNumberFormat="1" applyFont="1" applyFill="1" applyBorder="1" applyAlignment="1">
      <alignment vertical="center" wrapText="1"/>
    </xf>
    <xf numFmtId="173" fontId="42" fillId="51" borderId="187" xfId="0" applyNumberFormat="1" applyFont="1" applyFill="1" applyBorder="1" applyAlignment="1">
      <alignment vertical="center" wrapText="1"/>
    </xf>
    <xf numFmtId="173" fontId="42" fillId="51" borderId="43" xfId="0" applyNumberFormat="1" applyFont="1" applyFill="1" applyBorder="1" applyAlignment="1">
      <alignment vertical="center" wrapText="1"/>
    </xf>
    <xf numFmtId="0" fontId="208" fillId="51" borderId="202" xfId="0" applyNumberFormat="1" applyFont="1" applyFill="1" applyBorder="1" applyAlignment="1">
      <alignment vertical="center" wrapText="1"/>
    </xf>
    <xf numFmtId="173" fontId="42" fillId="51" borderId="202" xfId="0" applyNumberFormat="1" applyFont="1" applyFill="1" applyBorder="1" applyAlignment="1">
      <alignment vertical="center" wrapText="1"/>
    </xf>
    <xf numFmtId="173" fontId="42" fillId="51" borderId="203" xfId="0" applyNumberFormat="1" applyFont="1" applyFill="1" applyBorder="1" applyAlignment="1">
      <alignment vertical="center" wrapText="1"/>
    </xf>
    <xf numFmtId="173" fontId="42" fillId="51" borderId="196" xfId="0" applyNumberFormat="1" applyFont="1" applyFill="1" applyBorder="1" applyAlignment="1">
      <alignment vertical="center" wrapText="1"/>
    </xf>
    <xf numFmtId="173" fontId="42" fillId="51" borderId="195" xfId="0" applyNumberFormat="1" applyFont="1" applyFill="1" applyBorder="1" applyAlignment="1">
      <alignment vertical="center" wrapText="1"/>
    </xf>
    <xf numFmtId="173" fontId="78" fillId="0" borderId="0" xfId="430" applyNumberFormat="1" applyFont="1" applyFill="1" applyBorder="1" applyAlignment="1">
      <alignment vertical="center" wrapText="1"/>
    </xf>
    <xf numFmtId="173" fontId="78" fillId="0" borderId="0" xfId="430" applyNumberFormat="1" applyFont="1" applyFill="1" applyBorder="1" applyAlignment="1">
      <alignment vertical="center"/>
    </xf>
    <xf numFmtId="173" fontId="42" fillId="51" borderId="58" xfId="0" applyNumberFormat="1" applyFont="1" applyFill="1" applyBorder="1" applyAlignment="1">
      <alignment horizontal="center" vertical="center" wrapText="1"/>
    </xf>
    <xf numFmtId="1" fontId="215" fillId="0" borderId="0" xfId="428" applyNumberFormat="1" applyFont="1" applyFill="1" applyBorder="1" applyAlignment="1">
      <alignment horizontal="center" vertical="center"/>
    </xf>
    <xf numFmtId="0" fontId="216" fillId="0" borderId="0" xfId="428" applyFont="1" applyFill="1" applyBorder="1" applyAlignment="1">
      <alignment horizontal="center" vertical="center"/>
    </xf>
    <xf numFmtId="1" fontId="217" fillId="0" borderId="0" xfId="428" applyNumberFormat="1" applyFont="1" applyFill="1" applyBorder="1" applyAlignment="1">
      <alignment horizontal="center" vertical="center"/>
    </xf>
    <xf numFmtId="1" fontId="218" fillId="0" borderId="0" xfId="428" applyNumberFormat="1" applyFont="1" applyFill="1" applyBorder="1" applyAlignment="1">
      <alignment horizontal="center" vertical="center"/>
    </xf>
    <xf numFmtId="0" fontId="215" fillId="0" borderId="0" xfId="428" applyFont="1" applyFill="1" applyBorder="1" applyAlignment="1">
      <alignment horizontal="center" vertical="center"/>
    </xf>
    <xf numFmtId="1" fontId="215" fillId="0" borderId="0" xfId="0" applyNumberFormat="1" applyFont="1" applyFill="1" applyBorder="1" applyAlignment="1">
      <alignment horizontal="center" vertical="center"/>
    </xf>
    <xf numFmtId="0" fontId="92" fillId="0" borderId="0" xfId="414" applyNumberFormat="1" applyFont="1" applyFill="1" applyBorder="1" applyAlignment="1">
      <alignment horizontal="center"/>
    </xf>
    <xf numFmtId="1" fontId="49" fillId="0" borderId="0" xfId="428" applyNumberFormat="1" applyFont="1" applyFill="1" applyBorder="1" applyAlignment="1">
      <alignment horizontal="center" vertical="center"/>
    </xf>
    <xf numFmtId="173" fontId="42" fillId="51" borderId="186" xfId="0" applyNumberFormat="1" applyFont="1" applyFill="1" applyBorder="1" applyAlignment="1">
      <alignment horizontal="center" vertical="center" wrapText="1"/>
    </xf>
    <xf numFmtId="173" fontId="42" fillId="51" borderId="194" xfId="0" applyNumberFormat="1" applyFont="1" applyFill="1" applyBorder="1" applyAlignment="1">
      <alignment horizontal="center" vertical="center" wrapText="1"/>
    </xf>
    <xf numFmtId="0" fontId="208" fillId="51" borderId="58" xfId="0" applyNumberFormat="1" applyFont="1" applyFill="1" applyBorder="1" applyAlignment="1">
      <alignment horizontal="center" vertical="center" wrapText="1"/>
    </xf>
    <xf numFmtId="173" fontId="42" fillId="51" borderId="92" xfId="0" applyNumberFormat="1" applyFont="1" applyFill="1" applyBorder="1" applyAlignment="1">
      <alignment horizontal="center" vertical="center" wrapText="1"/>
    </xf>
    <xf numFmtId="1" fontId="45" fillId="81" borderId="31" xfId="430" applyNumberFormat="1" applyFont="1" applyFill="1" applyBorder="1" applyAlignment="1">
      <alignment horizontal="center" vertical="center"/>
    </xf>
    <xf numFmtId="1" fontId="50" fillId="81" borderId="31" xfId="430" applyNumberFormat="1" applyFont="1" applyFill="1" applyBorder="1" applyAlignment="1">
      <alignment horizontal="center" vertical="center"/>
    </xf>
    <xf numFmtId="1" fontId="50" fillId="81" borderId="22" xfId="430" applyNumberFormat="1" applyFont="1" applyFill="1" applyBorder="1" applyAlignment="1">
      <alignment horizontal="center" vertical="center"/>
    </xf>
    <xf numFmtId="1" fontId="45" fillId="81" borderId="10" xfId="430" applyNumberFormat="1" applyFont="1" applyFill="1" applyBorder="1" applyAlignment="1">
      <alignment horizontal="center" vertical="center"/>
    </xf>
    <xf numFmtId="1" fontId="50" fillId="81" borderId="10" xfId="430" applyNumberFormat="1" applyFont="1" applyFill="1" applyBorder="1" applyAlignment="1">
      <alignment horizontal="center" vertical="center"/>
    </xf>
    <xf numFmtId="1" fontId="50" fillId="81" borderId="14" xfId="430" applyNumberFormat="1" applyFont="1" applyFill="1" applyBorder="1" applyAlignment="1">
      <alignment horizontal="center" vertical="center"/>
    </xf>
    <xf numFmtId="20" fontId="180" fillId="81" borderId="115" xfId="0" quotePrefix="1" applyNumberFormat="1" applyFont="1" applyFill="1" applyBorder="1" applyAlignment="1">
      <alignment horizontal="center" vertical="center"/>
    </xf>
    <xf numFmtId="20" fontId="180" fillId="81" borderId="68" xfId="0" quotePrefix="1" applyNumberFormat="1" applyFont="1" applyFill="1" applyBorder="1" applyAlignment="1">
      <alignment horizontal="center" vertical="center"/>
    </xf>
    <xf numFmtId="20" fontId="180" fillId="81" borderId="68" xfId="0" applyNumberFormat="1" applyFont="1" applyFill="1" applyBorder="1" applyAlignment="1">
      <alignment horizontal="center" vertical="center"/>
    </xf>
    <xf numFmtId="20" fontId="180" fillId="82" borderId="68" xfId="0" applyNumberFormat="1" applyFont="1" applyFill="1" applyBorder="1" applyAlignment="1">
      <alignment horizontal="center" vertical="center"/>
    </xf>
    <xf numFmtId="1" fontId="45" fillId="82" borderId="10" xfId="430" applyNumberFormat="1" applyFont="1" applyFill="1" applyBorder="1" applyAlignment="1">
      <alignment horizontal="center" vertical="center"/>
    </xf>
    <xf numFmtId="1" fontId="50" fillId="82" borderId="10" xfId="430" applyNumberFormat="1" applyFont="1" applyFill="1" applyBorder="1" applyAlignment="1">
      <alignment horizontal="center" vertical="center"/>
    </xf>
    <xf numFmtId="1" fontId="50" fillId="82" borderId="14" xfId="430" applyNumberFormat="1" applyFont="1" applyFill="1" applyBorder="1" applyAlignment="1">
      <alignment horizontal="center" vertical="center"/>
    </xf>
    <xf numFmtId="20" fontId="180" fillId="82" borderId="102" xfId="0" quotePrefix="1" applyNumberFormat="1" applyFont="1" applyFill="1" applyBorder="1" applyAlignment="1">
      <alignment horizontal="center" vertical="center"/>
    </xf>
    <xf numFmtId="1" fontId="45" fillId="82" borderId="23" xfId="430" applyNumberFormat="1" applyFont="1" applyFill="1" applyBorder="1" applyAlignment="1">
      <alignment horizontal="center" vertical="center"/>
    </xf>
    <xf numFmtId="1" fontId="50" fillId="82" borderId="23" xfId="430" applyNumberFormat="1" applyFont="1" applyFill="1" applyBorder="1" applyAlignment="1">
      <alignment horizontal="center" vertical="center"/>
    </xf>
    <xf numFmtId="1" fontId="50" fillId="82" borderId="24" xfId="430" applyNumberFormat="1" applyFont="1" applyFill="1" applyBorder="1" applyAlignment="1">
      <alignment horizontal="center" vertical="center"/>
    </xf>
    <xf numFmtId="20" fontId="50" fillId="32" borderId="39" xfId="430" applyNumberFormat="1" applyFont="1" applyFill="1" applyBorder="1" applyAlignment="1">
      <alignment horizontal="center" vertical="center"/>
    </xf>
    <xf numFmtId="1" fontId="50" fillId="81" borderId="66" xfId="430" applyNumberFormat="1" applyFont="1" applyFill="1" applyBorder="1" applyAlignment="1">
      <alignment horizontal="center" vertical="center"/>
    </xf>
    <xf numFmtId="1" fontId="50" fillId="81" borderId="75" xfId="430" applyNumberFormat="1" applyFont="1" applyFill="1" applyBorder="1" applyAlignment="1">
      <alignment horizontal="center" vertical="center"/>
    </xf>
    <xf numFmtId="1" fontId="50" fillId="82" borderId="75" xfId="430" applyNumberFormat="1" applyFont="1" applyFill="1" applyBorder="1" applyAlignment="1">
      <alignment horizontal="center" vertical="center"/>
    </xf>
    <xf numFmtId="1" fontId="50" fillId="82" borderId="76" xfId="430" applyNumberFormat="1" applyFont="1" applyFill="1" applyBorder="1" applyAlignment="1">
      <alignment horizontal="center" vertical="center"/>
    </xf>
    <xf numFmtId="173" fontId="8" fillId="44" borderId="36" xfId="430" applyNumberFormat="1" applyFont="1" applyFill="1" applyBorder="1" applyAlignment="1">
      <alignment horizontal="center" vertical="center"/>
    </xf>
    <xf numFmtId="173" fontId="8" fillId="44" borderId="105" xfId="430" applyNumberFormat="1" applyFont="1" applyFill="1" applyBorder="1" applyAlignment="1">
      <alignment horizontal="center" vertical="center"/>
    </xf>
    <xf numFmtId="165" fontId="50" fillId="81" borderId="106" xfId="430" quotePrefix="1" applyNumberFormat="1" applyFont="1" applyFill="1" applyBorder="1" applyAlignment="1">
      <alignment horizontal="center" vertical="center"/>
    </xf>
    <xf numFmtId="165" fontId="50" fillId="81" borderId="59" xfId="430" applyNumberFormat="1" applyFont="1" applyFill="1" applyBorder="1" applyAlignment="1">
      <alignment horizontal="center" vertical="center"/>
    </xf>
    <xf numFmtId="165" fontId="50" fillId="82" borderId="106" xfId="430" quotePrefix="1" applyNumberFormat="1" applyFont="1" applyFill="1" applyBorder="1" applyAlignment="1">
      <alignment horizontal="center" vertical="center"/>
    </xf>
    <xf numFmtId="165" fontId="50" fillId="82" borderId="93" xfId="430" quotePrefix="1" applyNumberFormat="1" applyFont="1" applyFill="1" applyBorder="1" applyAlignment="1">
      <alignment horizontal="center" vertical="center"/>
    </xf>
    <xf numFmtId="1" fontId="10" fillId="44" borderId="63" xfId="430" applyNumberFormat="1" applyFont="1" applyFill="1" applyBorder="1" applyAlignment="1">
      <alignment horizontal="center" vertical="center"/>
    </xf>
    <xf numFmtId="173" fontId="92" fillId="0" borderId="0" xfId="414" applyNumberFormat="1" applyFont="1" applyBorder="1"/>
    <xf numFmtId="0" fontId="101" fillId="0" borderId="0" xfId="414" applyNumberFormat="1" applyFont="1" applyBorder="1" applyAlignment="1">
      <alignment horizontal="center"/>
    </xf>
    <xf numFmtId="173" fontId="219" fillId="35" borderId="0" xfId="414" applyNumberFormat="1" applyFont="1" applyFill="1" applyAlignment="1">
      <alignment horizontal="center" vertical="center"/>
    </xf>
    <xf numFmtId="166" fontId="141" fillId="54" borderId="48" xfId="271" applyNumberFormat="1" applyFont="1" applyFill="1" applyBorder="1" applyAlignment="1">
      <alignment vertical="center"/>
    </xf>
    <xf numFmtId="0" fontId="92" fillId="0" borderId="0" xfId="0" applyFont="1" applyFill="1" applyBorder="1" applyAlignment="1">
      <alignment vertical="center"/>
    </xf>
    <xf numFmtId="10" fontId="92" fillId="0" borderId="0" xfId="458" applyNumberFormat="1" applyFont="1" applyFill="1" applyBorder="1" applyAlignment="1">
      <alignment horizontal="center" vertical="center"/>
    </xf>
    <xf numFmtId="0" fontId="0" fillId="0" borderId="0" xfId="0" applyFill="1" applyBorder="1" applyAlignment="1"/>
    <xf numFmtId="0" fontId="210" fillId="0" borderId="0" xfId="0" applyFont="1"/>
    <xf numFmtId="0" fontId="221" fillId="0" borderId="0" xfId="0" applyFont="1" applyFill="1"/>
    <xf numFmtId="0" fontId="97" fillId="0" borderId="0" xfId="0" applyFont="1" applyFill="1"/>
    <xf numFmtId="0" fontId="221" fillId="83" borderId="0" xfId="0" applyFont="1" applyFill="1"/>
    <xf numFmtId="0" fontId="100" fillId="0" borderId="0" xfId="0" applyFont="1" applyFill="1"/>
    <xf numFmtId="0" fontId="101" fillId="0" borderId="0" xfId="0" applyFont="1" applyFill="1"/>
    <xf numFmtId="0" fontId="99" fillId="0" borderId="0" xfId="0" applyFont="1" applyFill="1"/>
    <xf numFmtId="0" fontId="210" fillId="0" borderId="0" xfId="0" applyFont="1" applyAlignment="1">
      <alignment horizontal="center"/>
    </xf>
    <xf numFmtId="0" fontId="210" fillId="31" borderId="0" xfId="0" applyFont="1" applyFill="1" applyAlignment="1">
      <alignment horizontal="center"/>
    </xf>
    <xf numFmtId="0" fontId="222" fillId="0" borderId="0" xfId="0" applyFont="1"/>
    <xf numFmtId="0" fontId="222" fillId="0" borderId="0" xfId="0" applyFont="1" applyAlignment="1">
      <alignment horizontal="center"/>
    </xf>
    <xf numFmtId="0" fontId="222" fillId="31" borderId="0" xfId="0" applyFont="1" applyFill="1" applyAlignment="1">
      <alignment horizontal="center"/>
    </xf>
    <xf numFmtId="0" fontId="92" fillId="0" borderId="13" xfId="0" applyFont="1" applyFill="1" applyBorder="1" applyAlignment="1">
      <alignment vertical="center"/>
    </xf>
    <xf numFmtId="0" fontId="93" fillId="0" borderId="0" xfId="0" applyFont="1" applyFill="1"/>
    <xf numFmtId="0" fontId="210" fillId="0" borderId="0" xfId="0" applyFont="1" applyFill="1"/>
    <xf numFmtId="0" fontId="222" fillId="0" borderId="0" xfId="0" applyFont="1" applyFill="1"/>
    <xf numFmtId="0" fontId="222" fillId="0" borderId="0" xfId="0" applyFont="1" applyFill="1" applyBorder="1"/>
    <xf numFmtId="0" fontId="210" fillId="0" borderId="0" xfId="0" applyFont="1" applyFill="1" applyAlignment="1">
      <alignment horizontal="center"/>
    </xf>
    <xf numFmtId="0" fontId="222" fillId="0" borderId="0" xfId="0" applyFont="1" applyFill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Border="1"/>
    <xf numFmtId="0" fontId="56" fillId="0" borderId="0" xfId="0" applyFont="1" applyBorder="1"/>
    <xf numFmtId="0" fontId="92" fillId="54" borderId="10" xfId="0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left" vertical="center"/>
    </xf>
    <xf numFmtId="0" fontId="92" fillId="0" borderId="0" xfId="0" applyFont="1" applyFill="1" applyBorder="1" applyAlignment="1">
      <alignment horizontal="center" vertical="center"/>
    </xf>
    <xf numFmtId="0" fontId="221" fillId="0" borderId="0" xfId="0" applyFont="1" applyFill="1" applyBorder="1" applyAlignment="1">
      <alignment horizontal="left"/>
    </xf>
    <xf numFmtId="0" fontId="221" fillId="0" borderId="0" xfId="0" applyFont="1" applyFill="1" applyBorder="1"/>
    <xf numFmtId="173" fontId="78" fillId="44" borderId="40" xfId="430" applyNumberFormat="1" applyFont="1" applyFill="1" applyBorder="1" applyAlignment="1">
      <alignment vertical="center"/>
    </xf>
    <xf numFmtId="173" fontId="78" fillId="44" borderId="49" xfId="430" applyNumberFormat="1" applyFont="1" applyFill="1" applyBorder="1" applyAlignment="1">
      <alignment vertical="center"/>
    </xf>
    <xf numFmtId="173" fontId="78" fillId="44" borderId="45" xfId="430" applyNumberFormat="1" applyFont="1" applyFill="1" applyBorder="1" applyAlignment="1">
      <alignment vertical="center"/>
    </xf>
    <xf numFmtId="165" fontId="92" fillId="45" borderId="10" xfId="271" applyNumberFormat="1" applyFont="1" applyFill="1" applyBorder="1" applyAlignment="1">
      <alignment horizontal="center" vertical="center"/>
    </xf>
    <xf numFmtId="185" fontId="219" fillId="35" borderId="0" xfId="414" applyNumberFormat="1" applyFont="1" applyFill="1" applyAlignment="1">
      <alignment horizontal="center" vertical="center"/>
    </xf>
    <xf numFmtId="0" fontId="92" fillId="48" borderId="10" xfId="0" applyFont="1" applyFill="1" applyBorder="1" applyAlignment="1">
      <alignment vertical="center"/>
    </xf>
    <xf numFmtId="2" fontId="92" fillId="0" borderId="0" xfId="0" applyNumberFormat="1" applyFont="1"/>
    <xf numFmtId="0" fontId="2" fillId="0" borderId="0" xfId="430" applyNumberFormat="1" applyFont="1" applyFill="1" applyBorder="1" applyAlignment="1">
      <alignment horizontal="center" vertical="center"/>
    </xf>
    <xf numFmtId="0" fontId="8" fillId="0" borderId="0" xfId="430" applyNumberFormat="1" applyFont="1" applyFill="1" applyBorder="1" applyAlignment="1">
      <alignment horizontal="center" vertical="center"/>
    </xf>
    <xf numFmtId="1" fontId="110" fillId="0" borderId="0" xfId="0" applyNumberFormat="1" applyFont="1" applyFill="1" applyBorder="1" applyAlignment="1">
      <alignment horizontal="center" vertical="center"/>
    </xf>
    <xf numFmtId="1" fontId="109" fillId="0" borderId="0" xfId="0" applyNumberFormat="1" applyFont="1" applyFill="1" applyBorder="1" applyAlignment="1">
      <alignment horizontal="center" vertical="center"/>
    </xf>
    <xf numFmtId="1" fontId="129" fillId="0" borderId="0" xfId="0" applyNumberFormat="1" applyFont="1" applyFill="1" applyBorder="1" applyAlignment="1">
      <alignment horizontal="center" vertical="center"/>
    </xf>
    <xf numFmtId="20" fontId="50" fillId="0" borderId="0" xfId="430" applyNumberFormat="1" applyFont="1" applyFill="1" applyBorder="1" applyAlignment="1">
      <alignment horizontal="center" vertical="center"/>
    </xf>
    <xf numFmtId="1" fontId="8" fillId="0" borderId="0" xfId="430" applyNumberFormat="1" applyFont="1" applyFill="1" applyBorder="1" applyAlignment="1">
      <alignment horizontal="center" vertical="center"/>
    </xf>
    <xf numFmtId="164" fontId="9" fillId="0" borderId="0" xfId="428" applyNumberFormat="1" applyFont="1"/>
    <xf numFmtId="0" fontId="125" fillId="68" borderId="10" xfId="0" applyFont="1" applyFill="1" applyBorder="1" applyAlignment="1">
      <alignment horizontal="left" vertical="center"/>
    </xf>
    <xf numFmtId="1" fontId="204" fillId="62" borderId="28" xfId="0" applyNumberFormat="1" applyFont="1" applyFill="1" applyBorder="1" applyAlignment="1" applyProtection="1">
      <alignment horizontal="center" vertical="center"/>
      <protection locked="0"/>
    </xf>
    <xf numFmtId="1" fontId="204" fillId="62" borderId="25" xfId="0" applyNumberFormat="1" applyFont="1" applyFill="1" applyBorder="1" applyAlignment="1" applyProtection="1">
      <alignment horizontal="center" vertical="center"/>
      <protection locked="0"/>
    </xf>
    <xf numFmtId="1" fontId="204" fillId="84" borderId="28" xfId="0" applyNumberFormat="1" applyFont="1" applyFill="1" applyBorder="1" applyAlignment="1" applyProtection="1">
      <alignment horizontal="center" vertical="center"/>
      <protection locked="0"/>
    </xf>
    <xf numFmtId="1" fontId="204" fillId="84" borderId="25" xfId="0" applyNumberFormat="1" applyFont="1" applyFill="1" applyBorder="1" applyAlignment="1" applyProtection="1">
      <alignment horizontal="center" vertical="center"/>
      <protection locked="0"/>
    </xf>
    <xf numFmtId="1" fontId="204" fillId="85" borderId="28" xfId="0" applyNumberFormat="1" applyFont="1" applyFill="1" applyBorder="1" applyAlignment="1">
      <alignment horizontal="center" vertical="center"/>
    </xf>
    <xf numFmtId="1" fontId="204" fillId="85" borderId="25" xfId="0" applyNumberFormat="1" applyFont="1" applyFill="1" applyBorder="1" applyAlignment="1">
      <alignment horizontal="center" vertical="center"/>
    </xf>
    <xf numFmtId="1" fontId="98" fillId="0" borderId="0" xfId="0" applyNumberFormat="1" applyFont="1" applyAlignment="1">
      <alignment horizontal="center"/>
    </xf>
    <xf numFmtId="177" fontId="92" fillId="34" borderId="10" xfId="0" applyNumberFormat="1" applyFont="1" applyFill="1" applyBorder="1" applyAlignment="1">
      <alignment vertical="center"/>
    </xf>
    <xf numFmtId="20" fontId="17" fillId="0" borderId="15" xfId="433" applyNumberFormat="1" applyFont="1" applyBorder="1" applyAlignment="1">
      <alignment horizontal="center"/>
    </xf>
    <xf numFmtId="0" fontId="223" fillId="34" borderId="10" xfId="0" applyFont="1" applyFill="1" applyBorder="1" applyAlignment="1">
      <alignment horizontal="center"/>
    </xf>
    <xf numFmtId="20" fontId="224" fillId="34" borderId="10" xfId="0" applyNumberFormat="1" applyFont="1" applyFill="1" applyBorder="1" applyAlignment="1">
      <alignment horizontal="center"/>
    </xf>
    <xf numFmtId="0" fontId="225" fillId="70" borderId="10" xfId="0" applyFont="1" applyFill="1" applyBorder="1" applyAlignment="1">
      <alignment horizontal="center"/>
    </xf>
    <xf numFmtId="0" fontId="10" fillId="70" borderId="10" xfId="0" quotePrefix="1" applyNumberFormat="1" applyFont="1" applyFill="1" applyBorder="1" applyAlignment="1">
      <alignment vertical="center"/>
    </xf>
    <xf numFmtId="1" fontId="223" fillId="70" borderId="10" xfId="0" applyNumberFormat="1" applyFont="1" applyFill="1" applyBorder="1" applyAlignment="1">
      <alignment horizontal="center"/>
    </xf>
    <xf numFmtId="1" fontId="226" fillId="70" borderId="10" xfId="0" applyNumberFormat="1" applyFont="1" applyFill="1" applyBorder="1" applyAlignment="1">
      <alignment horizontal="center"/>
    </xf>
    <xf numFmtId="0" fontId="10" fillId="70" borderId="10" xfId="0" applyNumberFormat="1" applyFont="1" applyFill="1" applyBorder="1" applyAlignment="1">
      <alignment vertical="center"/>
    </xf>
    <xf numFmtId="165" fontId="2" fillId="57" borderId="10" xfId="428" applyNumberFormat="1" applyFont="1" applyFill="1" applyBorder="1" applyAlignment="1">
      <alignment horizontal="center" vertical="center"/>
    </xf>
    <xf numFmtId="165" fontId="2" fillId="48" borderId="10" xfId="428" applyNumberFormat="1" applyFont="1" applyFill="1" applyBorder="1" applyAlignment="1">
      <alignment horizontal="center" vertical="center"/>
    </xf>
    <xf numFmtId="165" fontId="2" fillId="28" borderId="10" xfId="428" applyNumberFormat="1" applyFont="1" applyFill="1" applyBorder="1" applyAlignment="1">
      <alignment horizontal="center"/>
    </xf>
    <xf numFmtId="165" fontId="13" fillId="0" borderId="0" xfId="435" applyNumberFormat="1" applyFont="1" applyAlignment="1">
      <alignment horizontal="center"/>
    </xf>
    <xf numFmtId="165" fontId="13" fillId="0" borderId="0" xfId="435" applyNumberFormat="1" applyFont="1" applyBorder="1" applyAlignment="1">
      <alignment horizontal="center"/>
    </xf>
    <xf numFmtId="0" fontId="125" fillId="0" borderId="0" xfId="0" applyFont="1" applyFill="1" applyAlignment="1">
      <alignment horizontal="center"/>
    </xf>
    <xf numFmtId="0" fontId="125" fillId="0" borderId="0" xfId="0" applyFont="1" applyAlignment="1">
      <alignment horizontal="center"/>
    </xf>
    <xf numFmtId="166" fontId="227" fillId="73" borderId="82" xfId="271" applyNumberFormat="1" applyFont="1" applyFill="1" applyBorder="1" applyAlignment="1">
      <alignment horizontal="center" vertical="center"/>
    </xf>
    <xf numFmtId="0" fontId="228" fillId="0" borderId="0" xfId="436" applyFont="1" applyFill="1" applyBorder="1">
      <alignment vertical="center"/>
    </xf>
    <xf numFmtId="0" fontId="229" fillId="0" borderId="0" xfId="436" applyFont="1" applyFill="1" applyBorder="1">
      <alignment vertical="center"/>
    </xf>
    <xf numFmtId="0" fontId="149" fillId="0" borderId="0" xfId="504" applyFont="1" applyBorder="1"/>
    <xf numFmtId="0" fontId="230" fillId="0" borderId="0" xfId="504"/>
    <xf numFmtId="0" fontId="180" fillId="0" borderId="0" xfId="504" applyFont="1" applyFill="1" applyAlignment="1">
      <alignment horizontal="center" vertical="center"/>
    </xf>
    <xf numFmtId="15" fontId="180" fillId="0" borderId="0" xfId="504" applyNumberFormat="1" applyFont="1" applyFill="1" applyAlignment="1">
      <alignment horizontal="center" vertical="center"/>
    </xf>
    <xf numFmtId="0" fontId="8" fillId="59" borderId="23" xfId="504" applyFont="1" applyFill="1" applyBorder="1" applyAlignment="1">
      <alignment horizontal="center" vertical="center"/>
    </xf>
    <xf numFmtId="0" fontId="8" fillId="59" borderId="10" xfId="504" applyFont="1" applyFill="1" applyBorder="1" applyAlignment="1">
      <alignment horizontal="center" vertical="center"/>
    </xf>
    <xf numFmtId="0" fontId="8" fillId="59" borderId="14" xfId="504" applyFont="1" applyFill="1" applyBorder="1" applyAlignment="1">
      <alignment horizontal="center" vertical="center"/>
    </xf>
    <xf numFmtId="0" fontId="9" fillId="59" borderId="23" xfId="504" applyFont="1" applyFill="1" applyBorder="1" applyAlignment="1">
      <alignment horizontal="center" vertical="center"/>
    </xf>
    <xf numFmtId="0" fontId="9" fillId="59" borderId="41" xfId="504" applyFont="1" applyFill="1" applyBorder="1" applyAlignment="1">
      <alignment horizontal="center" vertical="center"/>
    </xf>
    <xf numFmtId="0" fontId="230" fillId="59" borderId="31" xfId="504" applyFill="1" applyBorder="1" applyAlignment="1">
      <alignment horizontal="center" vertical="center"/>
    </xf>
    <xf numFmtId="0" fontId="7" fillId="59" borderId="17" xfId="504" applyFont="1" applyFill="1" applyBorder="1" applyAlignment="1">
      <alignment horizontal="center" vertical="center"/>
    </xf>
    <xf numFmtId="0" fontId="7" fillId="59" borderId="22" xfId="504" applyFont="1" applyFill="1" applyBorder="1" applyAlignment="1">
      <alignment horizontal="center" vertical="center"/>
    </xf>
    <xf numFmtId="0" fontId="230" fillId="59" borderId="18" xfId="504" applyFill="1" applyBorder="1" applyAlignment="1">
      <alignment horizontal="center" vertical="center"/>
    </xf>
    <xf numFmtId="0" fontId="230" fillId="59" borderId="146" xfId="504" applyFill="1" applyBorder="1" applyAlignment="1">
      <alignment horizontal="left" vertical="center"/>
    </xf>
    <xf numFmtId="1" fontId="7" fillId="0" borderId="10" xfId="436" applyNumberFormat="1" applyFont="1" applyFill="1" applyBorder="1" applyAlignment="1">
      <alignment horizontal="center" vertical="center"/>
    </xf>
    <xf numFmtId="1" fontId="7" fillId="0" borderId="10" xfId="504" applyNumberFormat="1" applyFont="1" applyBorder="1" applyAlignment="1">
      <alignment horizontal="center" vertical="center"/>
    </xf>
    <xf numFmtId="1" fontId="56" fillId="0" borderId="10" xfId="428" quotePrefix="1" applyNumberFormat="1" applyFont="1" applyBorder="1" applyAlignment="1">
      <alignment horizontal="center" vertical="center"/>
    </xf>
    <xf numFmtId="9" fontId="230" fillId="0" borderId="144" xfId="504" applyNumberFormat="1" applyBorder="1" applyAlignment="1">
      <alignment horizontal="center" vertical="center"/>
    </xf>
    <xf numFmtId="0" fontId="230" fillId="0" borderId="41" xfId="504" applyBorder="1"/>
    <xf numFmtId="0" fontId="230" fillId="59" borderId="147" xfId="504" applyFill="1" applyBorder="1" applyAlignment="1">
      <alignment horizontal="left" vertical="center"/>
    </xf>
    <xf numFmtId="0" fontId="230" fillId="0" borderId="19" xfId="504" applyBorder="1"/>
    <xf numFmtId="0" fontId="7" fillId="59" borderId="147" xfId="504" applyFont="1" applyFill="1" applyBorder="1" applyAlignment="1">
      <alignment horizontal="left" vertical="center"/>
    </xf>
    <xf numFmtId="0" fontId="230" fillId="59" borderId="269" xfId="504" applyFill="1" applyBorder="1" applyAlignment="1">
      <alignment horizontal="left" vertical="center"/>
    </xf>
    <xf numFmtId="9" fontId="230" fillId="0" borderId="10" xfId="504" applyNumberFormat="1" applyBorder="1" applyAlignment="1">
      <alignment horizontal="center" vertical="center"/>
    </xf>
    <xf numFmtId="0" fontId="230" fillId="0" borderId="18" xfId="504" applyBorder="1"/>
    <xf numFmtId="0" fontId="9" fillId="59" borderId="31" xfId="504" applyFont="1" applyFill="1" applyBorder="1" applyAlignment="1">
      <alignment horizontal="center" vertical="center"/>
    </xf>
    <xf numFmtId="1" fontId="9" fillId="59" borderId="10" xfId="436" applyNumberFormat="1" applyFont="1" applyFill="1" applyBorder="1" applyAlignment="1">
      <alignment horizontal="center" vertical="center"/>
    </xf>
    <xf numFmtId="10" fontId="9" fillId="59" borderId="31" xfId="504" applyNumberFormat="1" applyFont="1" applyFill="1" applyBorder="1" applyAlignment="1">
      <alignment horizontal="center" vertical="center"/>
    </xf>
    <xf numFmtId="0" fontId="9" fillId="59" borderId="18" xfId="504" applyFont="1" applyFill="1" applyBorder="1"/>
    <xf numFmtId="0" fontId="56" fillId="0" borderId="0" xfId="436" applyFont="1" applyFill="1" applyBorder="1" applyAlignment="1" applyProtection="1">
      <alignment horizontal="left" vertical="center"/>
      <protection locked="0"/>
    </xf>
    <xf numFmtId="1" fontId="56" fillId="0" borderId="0" xfId="428" applyNumberFormat="1" applyFont="1" applyFill="1" applyBorder="1" applyAlignment="1">
      <alignment horizontal="left" vertical="center"/>
    </xf>
    <xf numFmtId="1" fontId="56" fillId="0" borderId="123" xfId="428" applyNumberFormat="1" applyFont="1" applyBorder="1" applyAlignment="1">
      <alignment horizontal="left" vertical="center"/>
    </xf>
    <xf numFmtId="0" fontId="57" fillId="0" borderId="0" xfId="428" applyFont="1" applyFill="1" applyBorder="1" applyAlignment="1">
      <alignment horizontal="left" vertical="center"/>
    </xf>
    <xf numFmtId="1" fontId="56" fillId="0" borderId="0" xfId="428" applyNumberFormat="1" applyFont="1" applyBorder="1" applyAlignment="1">
      <alignment horizontal="left" vertical="center"/>
    </xf>
    <xf numFmtId="0" fontId="56" fillId="0" borderId="0" xfId="0" applyFont="1" applyBorder="1" applyAlignment="1">
      <alignment horizontal="left" vertical="center"/>
    </xf>
    <xf numFmtId="168" fontId="231" fillId="0" borderId="0" xfId="414" applyNumberFormat="1" applyFont="1"/>
    <xf numFmtId="20" fontId="232" fillId="95" borderId="69" xfId="0" quotePrefix="1" applyNumberFormat="1" applyFont="1" applyFill="1" applyBorder="1" applyAlignment="1">
      <alignment horizontal="center" vertical="center"/>
    </xf>
    <xf numFmtId="1" fontId="98" fillId="0" borderId="0" xfId="0" applyNumberFormat="1" applyFont="1" applyFill="1"/>
    <xf numFmtId="0" fontId="98" fillId="0" borderId="0" xfId="0" applyFont="1" applyFill="1"/>
    <xf numFmtId="1" fontId="98" fillId="0" borderId="0" xfId="0" applyNumberFormat="1" applyFont="1"/>
    <xf numFmtId="20" fontId="232" fillId="95" borderId="12" xfId="0" quotePrefix="1" applyNumberFormat="1" applyFont="1" applyFill="1" applyBorder="1" applyAlignment="1">
      <alignment horizontal="center" vertical="center"/>
    </xf>
    <xf numFmtId="20" fontId="232" fillId="95" borderId="12" xfId="0" applyNumberFormat="1" applyFont="1" applyFill="1" applyBorder="1" applyAlignment="1">
      <alignment horizontal="center" vertical="center"/>
    </xf>
    <xf numFmtId="20" fontId="232" fillId="77" borderId="12" xfId="0" applyNumberFormat="1" applyFont="1" applyFill="1" applyBorder="1" applyAlignment="1">
      <alignment horizontal="center" vertical="center"/>
    </xf>
    <xf numFmtId="1" fontId="233" fillId="0" borderId="0" xfId="0" applyNumberFormat="1" applyFont="1" applyFill="1" applyBorder="1" applyAlignment="1" applyProtection="1">
      <alignment horizontal="center" vertical="center"/>
      <protection locked="0"/>
    </xf>
    <xf numFmtId="0" fontId="98" fillId="0" borderId="0" xfId="0" applyFont="1" applyFill="1" applyBorder="1"/>
    <xf numFmtId="1" fontId="234" fillId="0" borderId="0" xfId="0" applyNumberFormat="1" applyFont="1" applyFill="1" applyBorder="1" applyAlignment="1" applyProtection="1">
      <alignment horizontal="center" vertical="center"/>
      <protection locked="0"/>
    </xf>
    <xf numFmtId="20" fontId="232" fillId="26" borderId="12" xfId="0" applyNumberFormat="1" applyFont="1" applyFill="1" applyBorder="1" applyAlignment="1">
      <alignment horizontal="center" vertical="center"/>
    </xf>
    <xf numFmtId="20" fontId="232" fillId="49" borderId="12" xfId="0" applyNumberFormat="1" applyFont="1" applyFill="1" applyBorder="1" applyAlignment="1">
      <alignment horizontal="center" vertical="center"/>
    </xf>
    <xf numFmtId="20" fontId="232" fillId="49" borderId="81" xfId="0" quotePrefix="1" applyNumberFormat="1" applyFont="1" applyFill="1" applyBorder="1" applyAlignment="1">
      <alignment horizontal="center" vertical="center"/>
    </xf>
    <xf numFmtId="1" fontId="10" fillId="45" borderId="73" xfId="430" applyNumberFormat="1" applyFont="1" applyFill="1" applyBorder="1" applyAlignment="1">
      <alignment horizontal="center" vertical="center"/>
    </xf>
    <xf numFmtId="165" fontId="10" fillId="34" borderId="74" xfId="430" applyNumberFormat="1" applyFont="1" applyFill="1" applyBorder="1" applyAlignment="1">
      <alignment horizontal="center" vertical="center"/>
    </xf>
    <xf numFmtId="166" fontId="141" fillId="54" borderId="44" xfId="271" applyNumberFormat="1" applyFont="1" applyFill="1" applyBorder="1" applyAlignment="1">
      <alignment horizontal="center" vertical="center"/>
    </xf>
    <xf numFmtId="1" fontId="236" fillId="53" borderId="82" xfId="0" applyNumberFormat="1" applyFont="1" applyFill="1" applyBorder="1" applyAlignment="1" applyProtection="1">
      <alignment horizontal="center" vertical="center"/>
      <protection locked="0"/>
    </xf>
    <xf numFmtId="1" fontId="236" fillId="53" borderId="62" xfId="0" applyNumberFormat="1" applyFont="1" applyFill="1" applyBorder="1" applyAlignment="1" applyProtection="1">
      <alignment horizontal="center" vertical="center"/>
      <protection locked="0"/>
    </xf>
    <xf numFmtId="0" fontId="238" fillId="0" borderId="0" xfId="0" applyFont="1" applyAlignment="1">
      <alignment horizontal="center" vertical="center"/>
    </xf>
    <xf numFmtId="166" fontId="240" fillId="35" borderId="62" xfId="271" applyNumberFormat="1" applyFont="1" applyFill="1" applyBorder="1" applyAlignment="1">
      <alignment horizontal="center" vertical="center"/>
    </xf>
    <xf numFmtId="166" fontId="125" fillId="0" borderId="0" xfId="271" applyNumberFormat="1" applyFont="1" applyFill="1" applyBorder="1" applyAlignment="1">
      <alignment horizontal="center" vertical="center"/>
    </xf>
    <xf numFmtId="173" fontId="127" fillId="0" borderId="0" xfId="0" applyNumberFormat="1" applyFont="1" applyFill="1" applyBorder="1" applyAlignment="1">
      <alignment horizontal="center"/>
    </xf>
    <xf numFmtId="1" fontId="239" fillId="71" borderId="67" xfId="0" applyNumberFormat="1" applyFont="1" applyFill="1" applyBorder="1" applyAlignment="1" applyProtection="1">
      <alignment horizontal="center" vertical="center"/>
      <protection locked="0"/>
    </xf>
    <xf numFmtId="1" fontId="239" fillId="71" borderId="25" xfId="0" applyNumberFormat="1" applyFont="1" applyFill="1" applyBorder="1" applyAlignment="1" applyProtection="1">
      <alignment horizontal="center" vertical="center"/>
      <protection locked="0"/>
    </xf>
    <xf numFmtId="1" fontId="239" fillId="71" borderId="25" xfId="0" applyNumberFormat="1" applyFont="1" applyFill="1" applyBorder="1" applyAlignment="1">
      <alignment horizontal="center" vertical="center"/>
    </xf>
    <xf numFmtId="1" fontId="239" fillId="84" borderId="25" xfId="0" applyNumberFormat="1" applyFont="1" applyFill="1" applyBorder="1" applyAlignment="1" applyProtection="1">
      <alignment horizontal="center" vertical="center"/>
      <protection locked="0"/>
    </xf>
    <xf numFmtId="1" fontId="239" fillId="69" borderId="25" xfId="0" applyNumberFormat="1" applyFont="1" applyFill="1" applyBorder="1" applyAlignment="1">
      <alignment horizontal="center" vertical="center"/>
    </xf>
    <xf numFmtId="1" fontId="239" fillId="71" borderId="170" xfId="0" applyNumberFormat="1" applyFont="1" applyFill="1" applyBorder="1" applyAlignment="1">
      <alignment horizontal="center" vertical="center"/>
    </xf>
    <xf numFmtId="1" fontId="239" fillId="71" borderId="190" xfId="0" applyNumberFormat="1" applyFont="1" applyFill="1" applyBorder="1" applyAlignment="1">
      <alignment horizontal="center" vertical="center"/>
    </xf>
    <xf numFmtId="1" fontId="239" fillId="32" borderId="25" xfId="0" applyNumberFormat="1" applyFont="1" applyFill="1" applyBorder="1" applyAlignment="1" applyProtection="1">
      <alignment horizontal="center" vertical="center"/>
      <protection locked="0"/>
    </xf>
    <xf numFmtId="1" fontId="239" fillId="39" borderId="25" xfId="0" applyNumberFormat="1" applyFont="1" applyFill="1" applyBorder="1" applyAlignment="1" applyProtection="1">
      <alignment horizontal="center" vertical="center"/>
      <protection locked="0"/>
    </xf>
    <xf numFmtId="1" fontId="239" fillId="62" borderId="25" xfId="0" applyNumberFormat="1" applyFont="1" applyFill="1" applyBorder="1" applyAlignment="1" applyProtection="1">
      <alignment horizontal="center" vertical="center"/>
      <protection locked="0"/>
    </xf>
    <xf numFmtId="1" fontId="239" fillId="39" borderId="170" xfId="0" applyNumberFormat="1" applyFont="1" applyFill="1" applyBorder="1" applyAlignment="1" applyProtection="1">
      <alignment horizontal="center" vertical="center"/>
      <protection locked="0"/>
    </xf>
    <xf numFmtId="1" fontId="239" fillId="39" borderId="191" xfId="0" applyNumberFormat="1" applyFont="1" applyFill="1" applyBorder="1" applyAlignment="1" applyProtection="1">
      <alignment horizontal="center" vertical="center"/>
      <protection locked="0"/>
    </xf>
    <xf numFmtId="1" fontId="56" fillId="0" borderId="0" xfId="0" applyNumberFormat="1" applyFont="1" applyAlignment="1">
      <alignment vertical="center"/>
    </xf>
    <xf numFmtId="1" fontId="56" fillId="0" borderId="0" xfId="0" applyNumberFormat="1" applyFont="1" applyFill="1" applyBorder="1" applyAlignment="1">
      <alignment horizontal="center" vertical="center"/>
    </xf>
    <xf numFmtId="1" fontId="56" fillId="0" borderId="0" xfId="0" applyNumberFormat="1" applyFont="1" applyFill="1" applyBorder="1" applyAlignment="1">
      <alignment vertical="center"/>
    </xf>
    <xf numFmtId="1" fontId="178" fillId="0" borderId="48" xfId="436" applyNumberFormat="1" applyFont="1" applyBorder="1" applyAlignment="1">
      <alignment horizontal="right" vertical="center"/>
    </xf>
    <xf numFmtId="0" fontId="94" fillId="0" borderId="75" xfId="0" applyFont="1" applyBorder="1"/>
    <xf numFmtId="0" fontId="94" fillId="0" borderId="76" xfId="0" applyFont="1" applyBorder="1"/>
    <xf numFmtId="0" fontId="94" fillId="0" borderId="66" xfId="0" applyFont="1" applyBorder="1"/>
    <xf numFmtId="1" fontId="178" fillId="0" borderId="76" xfId="436" applyNumberFormat="1" applyFont="1" applyBorder="1" applyAlignment="1">
      <alignment horizontal="right" vertical="center"/>
    </xf>
    <xf numFmtId="1" fontId="178" fillId="0" borderId="75" xfId="436" applyNumberFormat="1" applyFont="1" applyBorder="1" applyAlignment="1">
      <alignment horizontal="right" vertical="center"/>
    </xf>
    <xf numFmtId="0" fontId="94" fillId="0" borderId="183" xfId="0" applyFont="1" applyBorder="1"/>
    <xf numFmtId="0" fontId="49" fillId="0" borderId="0" xfId="428" applyFont="1" applyBorder="1" applyAlignment="1">
      <alignment vertical="center"/>
    </xf>
    <xf numFmtId="20" fontId="78" fillId="0" borderId="0" xfId="436" applyNumberFormat="1" applyFont="1" applyFill="1" applyBorder="1" applyAlignment="1">
      <alignment horizontal="left" vertical="center"/>
    </xf>
    <xf numFmtId="15" fontId="78" fillId="0" borderId="0" xfId="436" applyNumberFormat="1" applyFont="1" applyFill="1" applyAlignment="1">
      <alignment horizontal="center" vertical="center"/>
    </xf>
    <xf numFmtId="15" fontId="49" fillId="0" borderId="0" xfId="436" applyNumberFormat="1" applyFont="1" applyFill="1" applyAlignment="1">
      <alignment horizontal="center" vertical="center"/>
    </xf>
    <xf numFmtId="0" fontId="49" fillId="0" borderId="0" xfId="436" applyFont="1" applyFill="1" applyBorder="1">
      <alignment vertical="center"/>
    </xf>
    <xf numFmtId="0" fontId="78" fillId="0" borderId="0" xfId="436" applyFont="1" applyFill="1" applyAlignment="1">
      <alignment horizontal="right" vertical="center"/>
    </xf>
    <xf numFmtId="0" fontId="78" fillId="0" borderId="58" xfId="499" applyFont="1" applyBorder="1" applyAlignment="1">
      <alignment horizontal="center" vertical="center" wrapText="1"/>
    </xf>
    <xf numFmtId="0" fontId="78" fillId="0" borderId="88" xfId="499" applyFont="1" applyBorder="1" applyAlignment="1">
      <alignment horizontal="center" vertical="center"/>
    </xf>
    <xf numFmtId="0" fontId="242" fillId="0" borderId="46" xfId="0" applyFont="1" applyBorder="1" applyAlignment="1">
      <alignment horizontal="center" vertical="center"/>
    </xf>
    <xf numFmtId="0" fontId="78" fillId="0" borderId="58" xfId="499" applyFont="1" applyBorder="1" applyAlignment="1">
      <alignment horizontal="center" vertical="center"/>
    </xf>
    <xf numFmtId="0" fontId="78" fillId="0" borderId="44" xfId="499" applyFont="1" applyBorder="1" applyAlignment="1">
      <alignment horizontal="center" vertical="center" wrapText="1"/>
    </xf>
    <xf numFmtId="0" fontId="78" fillId="0" borderId="47" xfId="499" applyFont="1" applyBorder="1" applyAlignment="1">
      <alignment horizontal="left" vertical="center"/>
    </xf>
    <xf numFmtId="0" fontId="242" fillId="0" borderId="48" xfId="0" applyFont="1" applyBorder="1" applyAlignment="1">
      <alignment horizontal="center" vertical="center"/>
    </xf>
    <xf numFmtId="0" fontId="78" fillId="0" borderId="44" xfId="499" applyFont="1" applyBorder="1" applyAlignment="1">
      <alignment horizontal="center" vertical="center"/>
    </xf>
    <xf numFmtId="0" fontId="242" fillId="0" borderId="202" xfId="0" applyFont="1" applyBorder="1" applyAlignment="1">
      <alignment horizontal="center" vertical="center"/>
    </xf>
    <xf numFmtId="0" fontId="242" fillId="0" borderId="157" xfId="0" applyFont="1" applyBorder="1" applyAlignment="1">
      <alignment horizontal="center" vertical="center"/>
    </xf>
    <xf numFmtId="0" fontId="242" fillId="0" borderId="159" xfId="0" applyFont="1" applyBorder="1" applyAlignment="1">
      <alignment horizontal="center" vertical="center"/>
    </xf>
    <xf numFmtId="0" fontId="78" fillId="0" borderId="202" xfId="499" applyFont="1" applyBorder="1" applyAlignment="1">
      <alignment horizontal="center" vertical="center" wrapText="1"/>
    </xf>
    <xf numFmtId="0" fontId="78" fillId="0" borderId="202" xfId="499" applyFont="1" applyBorder="1" applyAlignment="1">
      <alignment horizontal="center" vertical="center"/>
    </xf>
    <xf numFmtId="0" fontId="78" fillId="0" borderId="39" xfId="499" applyFont="1" applyBorder="1" applyAlignment="1">
      <alignment horizontal="center" vertical="center"/>
    </xf>
    <xf numFmtId="176" fontId="78" fillId="0" borderId="37" xfId="499" applyNumberFormat="1" applyFont="1" applyBorder="1" applyAlignment="1">
      <alignment vertical="center"/>
    </xf>
    <xf numFmtId="0" fontId="78" fillId="0" borderId="37" xfId="499" applyFont="1" applyFill="1" applyBorder="1" applyAlignment="1">
      <alignment vertical="center"/>
    </xf>
    <xf numFmtId="0" fontId="78" fillId="0" borderId="38" xfId="499" applyFont="1" applyFill="1" applyBorder="1" applyAlignment="1">
      <alignment horizontal="center" vertical="center"/>
    </xf>
    <xf numFmtId="0" fontId="78" fillId="0" borderId="72" xfId="499" applyFont="1" applyBorder="1" applyAlignment="1">
      <alignment horizontal="center" vertical="center"/>
    </xf>
    <xf numFmtId="14" fontId="78" fillId="0" borderId="202" xfId="499" applyNumberFormat="1" applyFont="1" applyBorder="1" applyAlignment="1">
      <alignment horizontal="center" vertical="center"/>
    </xf>
    <xf numFmtId="0" fontId="49" fillId="0" borderId="107" xfId="428" applyFont="1" applyFill="1" applyBorder="1" applyAlignment="1">
      <alignment horizontal="center" vertical="center"/>
    </xf>
    <xf numFmtId="0" fontId="49" fillId="0" borderId="109" xfId="428" applyFont="1" applyFill="1" applyBorder="1" applyAlignment="1">
      <alignment vertical="center"/>
    </xf>
    <xf numFmtId="1" fontId="49" fillId="0" borderId="84" xfId="428" applyNumberFormat="1" applyFont="1" applyFill="1" applyBorder="1" applyAlignment="1">
      <alignment horizontal="center" vertical="center"/>
    </xf>
    <xf numFmtId="1" fontId="49" fillId="0" borderId="110" xfId="428" applyNumberFormat="1" applyFont="1" applyFill="1" applyBorder="1" applyAlignment="1">
      <alignment horizontal="center" vertical="center"/>
    </xf>
    <xf numFmtId="0" fontId="49" fillId="0" borderId="111" xfId="428" applyFont="1" applyFill="1" applyBorder="1" applyAlignment="1">
      <alignment horizontal="center" vertical="center"/>
    </xf>
    <xf numFmtId="0" fontId="49" fillId="0" borderId="12" xfId="429" applyNumberFormat="1" applyFont="1" applyFill="1" applyBorder="1" applyAlignment="1">
      <alignment vertical="center"/>
    </xf>
    <xf numFmtId="0" fontId="49" fillId="0" borderId="113" xfId="428" applyFont="1" applyFill="1" applyBorder="1" applyAlignment="1">
      <alignment vertical="center"/>
    </xf>
    <xf numFmtId="0" fontId="49" fillId="0" borderId="85" xfId="436" applyFont="1" applyFill="1" applyBorder="1" applyAlignment="1">
      <alignment horizontal="center" vertical="center"/>
    </xf>
    <xf numFmtId="1" fontId="49" fillId="0" borderId="85" xfId="428" applyNumberFormat="1" applyFont="1" applyFill="1" applyBorder="1" applyAlignment="1">
      <alignment horizontal="center" vertical="center"/>
    </xf>
    <xf numFmtId="1" fontId="49" fillId="0" borderId="114" xfId="428" applyNumberFormat="1" applyFont="1" applyFill="1" applyBorder="1" applyAlignment="1">
      <alignment horizontal="center" vertical="center"/>
    </xf>
    <xf numFmtId="0" fontId="49" fillId="0" borderId="85" xfId="428" applyFont="1" applyFill="1" applyBorder="1" applyAlignment="1">
      <alignment horizontal="center" vertical="center"/>
    </xf>
    <xf numFmtId="1" fontId="49" fillId="0" borderId="114" xfId="428" applyNumberFormat="1" applyFont="1" applyFill="1" applyBorder="1" applyAlignment="1" applyProtection="1">
      <alignment horizontal="center" vertical="center"/>
    </xf>
    <xf numFmtId="0" fontId="49" fillId="31" borderId="12" xfId="429" applyNumberFormat="1" applyFont="1" applyFill="1" applyBorder="1" applyAlignment="1">
      <alignment vertical="center"/>
    </xf>
    <xf numFmtId="1" fontId="49" fillId="0" borderId="114" xfId="428" applyNumberFormat="1" applyFont="1" applyFill="1" applyBorder="1" applyAlignment="1" applyProtection="1">
      <alignment horizontal="center" vertical="center"/>
      <protection locked="0"/>
    </xf>
    <xf numFmtId="0" fontId="49" fillId="0" borderId="12" xfId="437" applyNumberFormat="1" applyFont="1" applyFill="1" applyBorder="1" applyAlignment="1">
      <alignment vertical="center"/>
    </xf>
    <xf numFmtId="0" fontId="49" fillId="0" borderId="113" xfId="436" applyFont="1" applyFill="1" applyBorder="1" applyAlignment="1">
      <alignment vertical="center"/>
    </xf>
    <xf numFmtId="0" fontId="49" fillId="0" borderId="111" xfId="436" applyFont="1" applyFill="1" applyBorder="1" applyAlignment="1">
      <alignment horizontal="center" vertical="center"/>
    </xf>
    <xf numFmtId="1" fontId="49" fillId="0" borderId="114" xfId="436" applyNumberFormat="1" applyFont="1" applyFill="1" applyBorder="1" applyAlignment="1">
      <alignment horizontal="center" vertical="center"/>
    </xf>
    <xf numFmtId="172" fontId="49" fillId="0" borderId="116" xfId="501" applyNumberFormat="1" applyFont="1" applyBorder="1" applyAlignment="1">
      <alignment horizontal="center" vertical="center"/>
    </xf>
    <xf numFmtId="0" fontId="49" fillId="31" borderId="12" xfId="437" applyNumberFormat="1" applyFont="1" applyFill="1" applyBorder="1" applyAlignment="1">
      <alignment vertical="center"/>
    </xf>
    <xf numFmtId="0" fontId="49" fillId="0" borderId="111" xfId="0" applyFont="1" applyFill="1" applyBorder="1" applyAlignment="1">
      <alignment horizontal="center" vertical="center"/>
    </xf>
    <xf numFmtId="0" fontId="49" fillId="0" borderId="85" xfId="0" applyFont="1" applyFill="1" applyBorder="1" applyAlignment="1">
      <alignment horizontal="center" vertical="center"/>
    </xf>
    <xf numFmtId="0" fontId="49" fillId="0" borderId="12" xfId="414" applyNumberFormat="1" applyFont="1" applyFill="1" applyBorder="1" applyAlignment="1">
      <alignment vertical="center"/>
    </xf>
    <xf numFmtId="0" fontId="49" fillId="0" borderId="113" xfId="0" applyFont="1" applyFill="1" applyBorder="1" applyAlignment="1">
      <alignment vertical="center"/>
    </xf>
    <xf numFmtId="1" fontId="49" fillId="0" borderId="114" xfId="0" applyNumberFormat="1" applyFont="1" applyFill="1" applyBorder="1" applyAlignment="1">
      <alignment horizontal="center" vertical="center"/>
    </xf>
    <xf numFmtId="1" fontId="49" fillId="0" borderId="112" xfId="428" applyNumberFormat="1" applyFont="1" applyFill="1" applyBorder="1" applyAlignment="1">
      <alignment horizontal="center" vertical="center"/>
    </xf>
    <xf numFmtId="0" fontId="49" fillId="0" borderId="117" xfId="0" applyFont="1" applyFill="1" applyBorder="1" applyAlignment="1">
      <alignment horizontal="center" vertical="center"/>
    </xf>
    <xf numFmtId="0" fontId="49" fillId="0" borderId="119" xfId="428" applyFont="1" applyFill="1" applyBorder="1" applyAlignment="1">
      <alignment vertical="center"/>
    </xf>
    <xf numFmtId="0" fontId="49" fillId="0" borderId="44" xfId="0" applyFont="1" applyFill="1" applyBorder="1" applyAlignment="1">
      <alignment horizontal="center" vertical="center"/>
    </xf>
    <xf numFmtId="0" fontId="49" fillId="0" borderId="86" xfId="0" applyFont="1" applyFill="1" applyBorder="1" applyAlignment="1">
      <alignment horizontal="center" vertical="center"/>
    </xf>
    <xf numFmtId="0" fontId="49" fillId="0" borderId="117" xfId="428" applyFont="1" applyFill="1" applyBorder="1" applyAlignment="1">
      <alignment horizontal="center" vertical="center"/>
    </xf>
    <xf numFmtId="1" fontId="49" fillId="0" borderId="120" xfId="428" applyNumberFormat="1" applyFont="1" applyFill="1" applyBorder="1" applyAlignment="1" applyProtection="1">
      <alignment horizontal="center" vertical="center"/>
      <protection locked="0"/>
    </xf>
    <xf numFmtId="0" fontId="49" fillId="0" borderId="44" xfId="428" applyFont="1" applyFill="1" applyBorder="1" applyAlignment="1">
      <alignment horizontal="center" vertical="center"/>
    </xf>
    <xf numFmtId="0" fontId="49" fillId="0" borderId="86" xfId="428" applyFont="1" applyFill="1" applyBorder="1" applyAlignment="1">
      <alignment horizontal="center" vertical="center"/>
    </xf>
    <xf numFmtId="1" fontId="49" fillId="0" borderId="86" xfId="428" applyNumberFormat="1" applyFont="1" applyFill="1" applyBorder="1" applyAlignment="1">
      <alignment horizontal="center" vertical="center"/>
    </xf>
    <xf numFmtId="0" fontId="243" fillId="0" borderId="39" xfId="428" applyFont="1" applyFill="1" applyBorder="1" applyAlignment="1">
      <alignment horizontal="center" vertical="center"/>
    </xf>
    <xf numFmtId="0" fontId="243" fillId="0" borderId="37" xfId="428" applyFont="1" applyFill="1" applyBorder="1" applyAlignment="1">
      <alignment vertical="center"/>
    </xf>
    <xf numFmtId="0" fontId="243" fillId="0" borderId="37" xfId="428" applyFont="1" applyFill="1" applyBorder="1" applyAlignment="1">
      <alignment horizontal="center" vertical="center"/>
    </xf>
    <xf numFmtId="1" fontId="243" fillId="0" borderId="72" xfId="428" applyNumberFormat="1" applyFont="1" applyFill="1" applyBorder="1" applyAlignment="1">
      <alignment horizontal="center" vertical="center"/>
    </xf>
    <xf numFmtId="0" fontId="49" fillId="0" borderId="72" xfId="423" applyNumberFormat="1" applyFont="1" applyBorder="1"/>
    <xf numFmtId="173" fontId="49" fillId="0" borderId="225" xfId="429" applyNumberFormat="1" applyFont="1" applyFill="1" applyBorder="1" applyAlignment="1">
      <alignment vertical="center"/>
    </xf>
    <xf numFmtId="0" fontId="49" fillId="0" borderId="84" xfId="428" applyFont="1" applyFill="1" applyBorder="1" applyAlignment="1">
      <alignment horizontal="center" vertical="center"/>
    </xf>
    <xf numFmtId="0" fontId="49" fillId="0" borderId="108" xfId="428" applyFont="1" applyFill="1" applyBorder="1" applyAlignment="1">
      <alignment horizontal="center" vertical="center"/>
    </xf>
    <xf numFmtId="173" fontId="49" fillId="0" borderId="12" xfId="429" applyNumberFormat="1" applyFont="1" applyFill="1" applyBorder="1" applyAlignment="1">
      <alignment vertical="center"/>
    </xf>
    <xf numFmtId="173" fontId="49" fillId="0" borderId="12" xfId="414" applyNumberFormat="1" applyFont="1" applyFill="1" applyBorder="1" applyAlignment="1">
      <alignment vertical="center"/>
    </xf>
    <xf numFmtId="0" fontId="49" fillId="31" borderId="113" xfId="428" applyFont="1" applyFill="1" applyBorder="1" applyAlignment="1">
      <alignment vertical="center"/>
    </xf>
    <xf numFmtId="0" fontId="49" fillId="0" borderId="112" xfId="0" applyFont="1" applyFill="1" applyBorder="1" applyAlignment="1">
      <alignment horizontal="center" vertical="center"/>
    </xf>
    <xf numFmtId="0" fontId="49" fillId="0" borderId="118" xfId="0" applyFont="1" applyFill="1" applyBorder="1" applyAlignment="1">
      <alignment horizontal="center" vertical="center"/>
    </xf>
    <xf numFmtId="173" fontId="49" fillId="31" borderId="12" xfId="414" applyNumberFormat="1" applyFont="1" applyFill="1" applyBorder="1" applyAlignment="1">
      <alignment vertical="center"/>
    </xf>
    <xf numFmtId="0" fontId="49" fillId="0" borderId="0" xfId="0" applyFont="1" applyFill="1" applyBorder="1" applyAlignment="1">
      <alignment horizontal="center" vertical="center"/>
    </xf>
    <xf numFmtId="0" fontId="49" fillId="0" borderId="47" xfId="428" applyFont="1" applyFill="1" applyBorder="1" applyAlignment="1">
      <alignment horizontal="center" vertical="center"/>
    </xf>
    <xf numFmtId="0" fontId="49" fillId="0" borderId="112" xfId="428" applyFont="1" applyFill="1" applyBorder="1" applyAlignment="1">
      <alignment horizontal="center" vertical="center"/>
    </xf>
    <xf numFmtId="173" fontId="78" fillId="0" borderId="68" xfId="429" applyNumberFormat="1" applyFont="1" applyFill="1" applyBorder="1" applyAlignment="1">
      <alignment vertical="center"/>
    </xf>
    <xf numFmtId="0" fontId="49" fillId="0" borderId="113" xfId="0" applyFont="1" applyFill="1" applyBorder="1" applyAlignment="1">
      <alignment vertical="top"/>
    </xf>
    <xf numFmtId="173" fontId="49" fillId="0" borderId="81" xfId="429" applyNumberFormat="1" applyFont="1" applyFill="1" applyBorder="1" applyAlignment="1">
      <alignment vertical="center"/>
    </xf>
    <xf numFmtId="0" fontId="49" fillId="0" borderId="119" xfId="0" applyFont="1" applyFill="1" applyBorder="1" applyAlignment="1">
      <alignment vertical="top"/>
    </xf>
    <xf numFmtId="0" fontId="243" fillId="0" borderId="38" xfId="428" applyFont="1" applyFill="1" applyBorder="1" applyAlignment="1">
      <alignment horizontal="center" vertical="center"/>
    </xf>
    <xf numFmtId="0" fontId="49" fillId="0" borderId="84" xfId="428" applyFont="1" applyFill="1" applyBorder="1" applyAlignment="1">
      <alignment vertical="center"/>
    </xf>
    <xf numFmtId="1" fontId="49" fillId="0" borderId="110" xfId="428" applyNumberFormat="1" applyFont="1" applyFill="1" applyBorder="1" applyAlignment="1" applyProtection="1">
      <alignment horizontal="center" vertical="center"/>
      <protection locked="0"/>
    </xf>
    <xf numFmtId="0" fontId="49" fillId="0" borderId="86" xfId="428" applyFont="1" applyFill="1" applyBorder="1" applyAlignment="1">
      <alignment vertical="center"/>
    </xf>
    <xf numFmtId="0" fontId="49" fillId="0" borderId="71" xfId="0" applyFont="1" applyFill="1" applyBorder="1" applyAlignment="1">
      <alignment horizontal="center" vertical="center"/>
    </xf>
    <xf numFmtId="0" fontId="49" fillId="0" borderId="154" xfId="428" applyFont="1" applyFill="1" applyBorder="1" applyAlignment="1">
      <alignment vertical="center"/>
    </xf>
    <xf numFmtId="0" fontId="49" fillId="0" borderId="81" xfId="0" applyFont="1" applyFill="1" applyBorder="1" applyAlignment="1">
      <alignment horizontal="center" vertical="center"/>
    </xf>
    <xf numFmtId="0" fontId="49" fillId="0" borderId="81" xfId="428" applyFont="1" applyFill="1" applyBorder="1" applyAlignment="1">
      <alignment horizontal="center" vertical="center"/>
    </xf>
    <xf numFmtId="1" fontId="49" fillId="0" borderId="154" xfId="428" applyNumberFormat="1" applyFont="1" applyFill="1" applyBorder="1" applyAlignment="1">
      <alignment horizontal="center" vertical="center"/>
    </xf>
    <xf numFmtId="1" fontId="49" fillId="0" borderId="81" xfId="428" applyNumberFormat="1" applyFont="1" applyFill="1" applyBorder="1" applyAlignment="1" applyProtection="1">
      <alignment horizontal="center" vertical="center"/>
      <protection locked="0"/>
    </xf>
    <xf numFmtId="0" fontId="49" fillId="0" borderId="118" xfId="428" applyFont="1" applyFill="1" applyBorder="1" applyAlignment="1">
      <alignment horizontal="center" vertical="center"/>
    </xf>
    <xf numFmtId="173" fontId="78" fillId="0" borderId="12" xfId="429" applyNumberFormat="1" applyFont="1" applyFill="1" applyBorder="1" applyAlignment="1">
      <alignment vertical="center"/>
    </xf>
    <xf numFmtId="0" fontId="49" fillId="0" borderId="85" xfId="428" applyFont="1" applyFill="1" applyBorder="1" applyAlignment="1">
      <alignment vertical="center"/>
    </xf>
    <xf numFmtId="1" fontId="49" fillId="0" borderId="111" xfId="436" applyNumberFormat="1" applyFont="1" applyFill="1" applyBorder="1" applyAlignment="1">
      <alignment horizontal="center" vertical="center"/>
    </xf>
    <xf numFmtId="173" fontId="49" fillId="31" borderId="12" xfId="429" applyNumberFormat="1" applyFont="1" applyFill="1" applyBorder="1" applyAlignment="1">
      <alignment vertical="center"/>
    </xf>
    <xf numFmtId="0" fontId="49" fillId="0" borderId="48" xfId="428" applyFont="1" applyFill="1" applyBorder="1" applyAlignment="1">
      <alignment vertical="center"/>
    </xf>
    <xf numFmtId="1" fontId="49" fillId="0" borderId="232" xfId="428" applyNumberFormat="1" applyFont="1" applyFill="1" applyBorder="1" applyAlignment="1">
      <alignment horizontal="center" vertical="center"/>
    </xf>
    <xf numFmtId="1" fontId="49" fillId="0" borderId="229" xfId="428" applyNumberFormat="1" applyFont="1" applyFill="1" applyBorder="1" applyAlignment="1">
      <alignment horizontal="center" vertical="center"/>
    </xf>
    <xf numFmtId="1" fontId="49" fillId="0" borderId="231" xfId="428" applyNumberFormat="1" applyFont="1" applyFill="1" applyBorder="1" applyAlignment="1">
      <alignment horizontal="center" vertical="center"/>
    </xf>
    <xf numFmtId="1" fontId="49" fillId="0" borderId="230" xfId="428" applyNumberFormat="1" applyFont="1" applyFill="1" applyBorder="1" applyAlignment="1">
      <alignment horizontal="center" vertical="center"/>
    </xf>
    <xf numFmtId="0" fontId="49" fillId="0" borderId="117" xfId="436" applyFont="1" applyFill="1" applyBorder="1" applyAlignment="1">
      <alignment horizontal="center" vertical="center"/>
    </xf>
    <xf numFmtId="173" fontId="49" fillId="0" borderId="68" xfId="429" applyNumberFormat="1" applyFont="1" applyFill="1" applyBorder="1" applyAlignment="1">
      <alignment vertical="center"/>
    </xf>
    <xf numFmtId="173" fontId="49" fillId="0" borderId="115" xfId="429" applyNumberFormat="1" applyFont="1" applyFill="1" applyBorder="1" applyAlignment="1">
      <alignment vertical="center"/>
    </xf>
    <xf numFmtId="0" fontId="244" fillId="0" borderId="48" xfId="428" applyFont="1" applyFill="1" applyBorder="1" applyAlignment="1">
      <alignment vertical="center"/>
    </xf>
    <xf numFmtId="0" fontId="244" fillId="0" borderId="0" xfId="428" applyFont="1" applyFill="1" applyBorder="1" applyAlignment="1">
      <alignment horizontal="center" vertical="center"/>
    </xf>
    <xf numFmtId="0" fontId="244" fillId="0" borderId="47" xfId="428" applyFont="1" applyFill="1" applyBorder="1" applyAlignment="1">
      <alignment horizontal="center" vertical="center"/>
    </xf>
    <xf numFmtId="0" fontId="244" fillId="0" borderId="44" xfId="436" applyFont="1" applyFill="1" applyBorder="1" applyAlignment="1">
      <alignment horizontal="center" vertical="center"/>
    </xf>
    <xf numFmtId="1" fontId="244" fillId="0" borderId="13" xfId="436" applyNumberFormat="1" applyFont="1" applyFill="1" applyBorder="1" applyAlignment="1">
      <alignment horizontal="center" vertical="center"/>
    </xf>
    <xf numFmtId="1" fontId="244" fillId="0" borderId="93" xfId="436" applyNumberFormat="1" applyFont="1" applyFill="1" applyBorder="1" applyAlignment="1">
      <alignment horizontal="center" vertical="center"/>
    </xf>
    <xf numFmtId="0" fontId="49" fillId="0" borderId="129" xfId="428" applyFont="1" applyFill="1" applyBorder="1" applyAlignment="1">
      <alignment vertical="center"/>
    </xf>
    <xf numFmtId="0" fontId="49" fillId="0" borderId="87" xfId="428" applyFont="1" applyFill="1" applyBorder="1" applyAlignment="1">
      <alignment horizontal="center" vertical="center"/>
    </xf>
    <xf numFmtId="0" fontId="49" fillId="0" borderId="131" xfId="428" applyFont="1" applyFill="1" applyBorder="1" applyAlignment="1">
      <alignment horizontal="center" vertical="center"/>
    </xf>
    <xf numFmtId="0" fontId="49" fillId="0" borderId="130" xfId="428" applyFont="1" applyFill="1" applyBorder="1" applyAlignment="1">
      <alignment horizontal="center" vertical="center"/>
    </xf>
    <xf numFmtId="1" fontId="49" fillId="0" borderId="233" xfId="428" applyNumberFormat="1" applyFont="1" applyFill="1" applyBorder="1" applyAlignment="1">
      <alignment horizontal="center" vertical="center"/>
    </xf>
    <xf numFmtId="1" fontId="49" fillId="0" borderId="234" xfId="428" applyNumberFormat="1" applyFont="1" applyFill="1" applyBorder="1" applyAlignment="1" applyProtection="1">
      <alignment horizontal="center" vertical="center"/>
      <protection locked="0"/>
    </xf>
    <xf numFmtId="0" fontId="243" fillId="0" borderId="179" xfId="428" applyFont="1" applyFill="1" applyBorder="1" applyAlignment="1">
      <alignment vertical="center"/>
    </xf>
    <xf numFmtId="0" fontId="243" fillId="0" borderId="179" xfId="428" applyFont="1" applyFill="1" applyBorder="1" applyAlignment="1">
      <alignment horizontal="center" vertical="center"/>
    </xf>
    <xf numFmtId="0" fontId="243" fillId="0" borderId="58" xfId="428" applyFont="1" applyFill="1" applyBorder="1" applyAlignment="1">
      <alignment horizontal="center" vertical="center"/>
    </xf>
    <xf numFmtId="14" fontId="78" fillId="0" borderId="58" xfId="429" applyNumberFormat="1" applyFont="1" applyFill="1" applyBorder="1" applyAlignment="1">
      <alignment horizontal="left" vertical="center"/>
    </xf>
    <xf numFmtId="14" fontId="243" fillId="0" borderId="38" xfId="428" applyNumberFormat="1" applyFont="1" applyFill="1" applyBorder="1" applyAlignment="1">
      <alignment vertical="center"/>
    </xf>
    <xf numFmtId="182" fontId="49" fillId="0" borderId="88" xfId="436" applyNumberFormat="1" applyFont="1" applyFill="1" applyBorder="1">
      <alignment vertical="center"/>
    </xf>
    <xf numFmtId="0" fontId="49" fillId="0" borderId="179" xfId="436" applyFont="1" applyFill="1" applyBorder="1" applyAlignment="1" applyProtection="1">
      <alignment vertical="center"/>
      <protection locked="0"/>
    </xf>
    <xf numFmtId="0" fontId="49" fillId="0" borderId="46" xfId="436" applyFont="1" applyFill="1" applyBorder="1" applyAlignment="1" applyProtection="1">
      <alignment vertical="center"/>
      <protection locked="0"/>
    </xf>
    <xf numFmtId="182" fontId="49" fillId="0" borderId="39" xfId="436" applyNumberFormat="1" applyFont="1" applyFill="1" applyBorder="1" applyAlignment="1">
      <alignment vertical="center"/>
    </xf>
    <xf numFmtId="182" fontId="49" fillId="0" borderId="37" xfId="436" applyNumberFormat="1" applyFont="1" applyFill="1" applyBorder="1" applyAlignment="1">
      <alignment vertical="center"/>
    </xf>
    <xf numFmtId="1" fontId="49" fillId="0" borderId="72" xfId="436" applyNumberFormat="1" applyFont="1" applyFill="1" applyBorder="1" applyAlignment="1">
      <alignment horizontal="center" vertical="center"/>
    </xf>
    <xf numFmtId="0" fontId="49" fillId="0" borderId="38" xfId="436" applyFont="1" applyFill="1" applyBorder="1" applyProtection="1">
      <alignment vertical="center"/>
      <protection locked="0"/>
    </xf>
    <xf numFmtId="0" fontId="141" fillId="0" borderId="0" xfId="428" applyFont="1" applyFill="1" applyBorder="1" applyAlignment="1">
      <alignment horizontal="left" vertical="center"/>
    </xf>
    <xf numFmtId="20" fontId="10" fillId="0" borderId="0" xfId="0" applyNumberFormat="1" applyFont="1" applyBorder="1" applyAlignment="1">
      <alignment horizontal="center" vertical="center"/>
    </xf>
    <xf numFmtId="0" fontId="109" fillId="0" borderId="0" xfId="0" applyFont="1" applyFill="1"/>
    <xf numFmtId="1" fontId="236" fillId="53" borderId="188" xfId="0" applyNumberFormat="1" applyFont="1" applyFill="1" applyBorder="1" applyAlignment="1" applyProtection="1">
      <alignment horizontal="center" vertical="center"/>
      <protection locked="0"/>
    </xf>
    <xf numFmtId="1" fontId="204" fillId="39" borderId="173" xfId="0" applyNumberFormat="1" applyFont="1" applyFill="1" applyBorder="1" applyAlignment="1" applyProtection="1">
      <alignment horizontal="center" vertical="center"/>
      <protection locked="0"/>
    </xf>
    <xf numFmtId="173" fontId="45" fillId="0" borderId="0" xfId="430" applyNumberFormat="1" applyFont="1" applyBorder="1"/>
    <xf numFmtId="173" fontId="98" fillId="0" borderId="0" xfId="0" applyNumberFormat="1" applyFont="1"/>
    <xf numFmtId="173" fontId="45" fillId="0" borderId="0" xfId="430" applyNumberFormat="1" applyFont="1" applyFill="1" applyBorder="1"/>
    <xf numFmtId="0" fontId="45" fillId="0" borderId="0" xfId="430" applyNumberFormat="1" applyFont="1" applyFill="1" applyBorder="1"/>
    <xf numFmtId="173" fontId="245" fillId="0" borderId="0" xfId="430" applyNumberFormat="1" applyFont="1" applyFill="1" applyBorder="1"/>
    <xf numFmtId="0" fontId="225" fillId="0" borderId="0" xfId="0" applyFont="1"/>
    <xf numFmtId="0" fontId="246" fillId="0" borderId="0" xfId="0" applyFont="1"/>
    <xf numFmtId="0" fontId="225" fillId="0" borderId="0" xfId="0" applyFont="1" applyProtection="1">
      <protection locked="0"/>
    </xf>
    <xf numFmtId="1" fontId="248" fillId="41" borderId="0" xfId="0" applyNumberFormat="1" applyFont="1" applyFill="1" applyBorder="1" applyAlignment="1" applyProtection="1">
      <alignment horizontal="center" vertical="center"/>
      <protection locked="0"/>
    </xf>
    <xf numFmtId="1" fontId="241" fillId="27" borderId="62" xfId="0" applyNumberFormat="1" applyFont="1" applyFill="1" applyBorder="1" applyAlignment="1" applyProtection="1">
      <alignment horizontal="center" vertical="center"/>
      <protection locked="0"/>
    </xf>
    <xf numFmtId="0" fontId="122" fillId="34" borderId="10" xfId="0" applyFont="1" applyFill="1" applyBorder="1"/>
    <xf numFmtId="0" fontId="249" fillId="34" borderId="10" xfId="0" applyFont="1" applyFill="1" applyBorder="1"/>
    <xf numFmtId="0" fontId="122" fillId="34" borderId="10" xfId="0" applyFont="1" applyFill="1" applyBorder="1" applyAlignment="1">
      <alignment horizontal="left" vertical="center"/>
    </xf>
    <xf numFmtId="0" fontId="122" fillId="34" borderId="10" xfId="0" applyFont="1" applyFill="1" applyBorder="1" applyAlignment="1">
      <alignment horizontal="center" vertical="center"/>
    </xf>
    <xf numFmtId="1" fontId="243" fillId="0" borderId="58" xfId="428" applyNumberFormat="1" applyFont="1" applyFill="1" applyBorder="1" applyAlignment="1">
      <alignment horizontal="center" vertical="center"/>
    </xf>
    <xf numFmtId="0" fontId="49" fillId="0" borderId="69" xfId="423" applyNumberFormat="1" applyFont="1" applyBorder="1"/>
    <xf numFmtId="0" fontId="49" fillId="0" borderId="12" xfId="423" applyNumberFormat="1" applyFont="1" applyBorder="1"/>
    <xf numFmtId="0" fontId="49" fillId="0" borderId="274" xfId="423" applyNumberFormat="1" applyFont="1" applyBorder="1"/>
    <xf numFmtId="1" fontId="49" fillId="0" borderId="69" xfId="428" applyNumberFormat="1" applyFont="1" applyFill="1" applyBorder="1" applyAlignment="1">
      <alignment horizontal="center" vertical="center"/>
    </xf>
    <xf numFmtId="1" fontId="49" fillId="0" borderId="12" xfId="428" applyNumberFormat="1" applyFont="1" applyFill="1" applyBorder="1" applyAlignment="1" applyProtection="1">
      <alignment horizontal="center" vertical="center"/>
      <protection locked="0"/>
    </xf>
    <xf numFmtId="165" fontId="92" fillId="45" borderId="10" xfId="0" applyNumberFormat="1" applyFont="1" applyFill="1" applyBorder="1" applyAlignment="1">
      <alignment horizontal="center" vertical="center"/>
    </xf>
    <xf numFmtId="165" fontId="92" fillId="0" borderId="0" xfId="0" applyNumberFormat="1" applyFont="1"/>
    <xf numFmtId="165" fontId="141" fillId="64" borderId="82" xfId="0" applyNumberFormat="1" applyFont="1" applyFill="1" applyBorder="1" applyAlignment="1" applyProtection="1">
      <alignment horizontal="center" vertical="center"/>
      <protection locked="0"/>
    </xf>
    <xf numFmtId="165" fontId="91" fillId="47" borderId="18" xfId="375" applyNumberFormat="1" applyFont="1" applyFill="1" applyBorder="1" applyAlignment="1">
      <alignment horizontal="center"/>
    </xf>
    <xf numFmtId="173" fontId="250" fillId="0" borderId="0" xfId="375" applyNumberFormat="1" applyFont="1" applyAlignment="1">
      <alignment horizontal="left" vertical="top"/>
    </xf>
    <xf numFmtId="173" fontId="250" fillId="0" borderId="0" xfId="375" applyNumberFormat="1" applyFont="1" applyFill="1" applyBorder="1" applyAlignment="1">
      <alignment horizontal="left" vertical="top"/>
    </xf>
    <xf numFmtId="165" fontId="251" fillId="47" borderId="18" xfId="375" applyNumberFormat="1" applyFont="1" applyFill="1" applyBorder="1" applyAlignment="1" applyProtection="1">
      <alignment horizontal="center"/>
    </xf>
    <xf numFmtId="20" fontId="202" fillId="0" borderId="30" xfId="431" applyNumberFormat="1" applyFont="1" applyFill="1" applyBorder="1" applyAlignment="1">
      <alignment horizontal="center" vertical="center"/>
    </xf>
    <xf numFmtId="20" fontId="252" fillId="0" borderId="113" xfId="428" applyNumberFormat="1" applyFont="1" applyFill="1" applyBorder="1" applyAlignment="1">
      <alignment vertical="center"/>
    </xf>
    <xf numFmtId="14" fontId="209" fillId="0" borderId="119" xfId="428" applyNumberFormat="1" applyFont="1" applyFill="1" applyBorder="1" applyAlignment="1">
      <alignment vertical="center"/>
    </xf>
    <xf numFmtId="14" fontId="209" fillId="31" borderId="68" xfId="499" applyNumberFormat="1" applyFont="1" applyFill="1" applyBorder="1" applyAlignment="1">
      <alignment horizontal="left" vertical="center"/>
    </xf>
    <xf numFmtId="173" fontId="253" fillId="0" borderId="12" xfId="0" applyNumberFormat="1" applyFont="1" applyBorder="1" applyAlignment="1">
      <alignment vertical="center"/>
    </xf>
    <xf numFmtId="1" fontId="205" fillId="35" borderId="62" xfId="0" applyNumberFormat="1" applyFont="1" applyFill="1" applyBorder="1" applyAlignment="1">
      <alignment horizontal="center" vertical="center"/>
    </xf>
    <xf numFmtId="1" fontId="235" fillId="63" borderId="62" xfId="0" applyNumberFormat="1" applyFont="1" applyFill="1" applyBorder="1" applyAlignment="1" applyProtection="1">
      <alignment horizontal="center" vertical="center"/>
      <protection locked="0"/>
    </xf>
    <xf numFmtId="165" fontId="109" fillId="0" borderId="0" xfId="0" applyNumberFormat="1" applyFont="1"/>
    <xf numFmtId="1" fontId="205" fillId="97" borderId="62" xfId="0" applyNumberFormat="1" applyFont="1" applyFill="1" applyBorder="1" applyAlignment="1" applyProtection="1">
      <alignment horizontal="center" vertical="center"/>
      <protection locked="0"/>
    </xf>
    <xf numFmtId="1" fontId="205" fillId="97" borderId="62" xfId="0" applyNumberFormat="1" applyFont="1" applyFill="1" applyBorder="1" applyAlignment="1">
      <alignment horizontal="center" vertical="center"/>
    </xf>
    <xf numFmtId="1" fontId="205" fillId="33" borderId="62" xfId="0" applyNumberFormat="1" applyFont="1" applyFill="1" applyBorder="1" applyAlignment="1" applyProtection="1">
      <alignment horizontal="center" vertical="center"/>
      <protection locked="0"/>
    </xf>
    <xf numFmtId="1" fontId="205" fillId="33" borderId="188" xfId="0" applyNumberFormat="1" applyFont="1" applyFill="1" applyBorder="1" applyAlignment="1" applyProtection="1">
      <alignment horizontal="center" vertical="center"/>
      <protection locked="0"/>
    </xf>
    <xf numFmtId="1" fontId="205" fillId="33" borderId="63" xfId="0" applyNumberFormat="1" applyFont="1" applyFill="1" applyBorder="1" applyAlignment="1" applyProtection="1">
      <alignment horizontal="center" vertical="center"/>
      <protection locked="0"/>
    </xf>
    <xf numFmtId="166" fontId="205" fillId="33" borderId="226" xfId="271" applyNumberFormat="1" applyFont="1" applyFill="1" applyBorder="1" applyAlignment="1">
      <alignment horizontal="center" vertical="center"/>
    </xf>
    <xf numFmtId="166" fontId="219" fillId="33" borderId="62" xfId="271" applyNumberFormat="1" applyFont="1" applyFill="1" applyBorder="1" applyAlignment="1">
      <alignment horizontal="center" vertical="center"/>
    </xf>
    <xf numFmtId="166" fontId="205" fillId="33" borderId="62" xfId="271" applyNumberFormat="1" applyFont="1" applyFill="1" applyBorder="1" applyAlignment="1">
      <alignment horizontal="center" vertical="center"/>
    </xf>
    <xf numFmtId="166" fontId="240" fillId="33" borderId="62" xfId="271" applyNumberFormat="1" applyFont="1" applyFill="1" applyBorder="1" applyAlignment="1">
      <alignment horizontal="center" vertical="center"/>
    </xf>
    <xf numFmtId="166" fontId="205" fillId="33" borderId="188" xfId="271" applyNumberFormat="1" applyFont="1" applyFill="1" applyBorder="1" applyAlignment="1">
      <alignment horizontal="center" vertical="center"/>
    </xf>
    <xf numFmtId="166" fontId="205" fillId="33" borderId="63" xfId="271" applyNumberFormat="1" applyFont="1" applyFill="1" applyBorder="1" applyAlignment="1">
      <alignment horizontal="center" vertical="center"/>
    </xf>
    <xf numFmtId="1" fontId="205" fillId="97" borderId="226" xfId="0" applyNumberFormat="1" applyFont="1" applyFill="1" applyBorder="1" applyAlignment="1" applyProtection="1">
      <alignment vertical="center"/>
      <protection locked="0"/>
    </xf>
    <xf numFmtId="1" fontId="205" fillId="97" borderId="62" xfId="0" applyNumberFormat="1" applyFont="1" applyFill="1" applyBorder="1" applyAlignment="1" applyProtection="1">
      <alignment vertical="center"/>
      <protection locked="0"/>
    </xf>
    <xf numFmtId="1" fontId="205" fillId="97" borderId="188" xfId="0" applyNumberFormat="1" applyFont="1" applyFill="1" applyBorder="1" applyAlignment="1" applyProtection="1">
      <alignment vertical="center"/>
      <protection locked="0"/>
    </xf>
    <xf numFmtId="1" fontId="205" fillId="97" borderId="63" xfId="0" applyNumberFormat="1" applyFont="1" applyFill="1" applyBorder="1" applyAlignment="1" applyProtection="1">
      <alignment vertical="center"/>
      <protection locked="0"/>
    </xf>
    <xf numFmtId="166" fontId="205" fillId="33" borderId="72" xfId="271" applyNumberFormat="1" applyFont="1" applyFill="1" applyBorder="1" applyAlignment="1">
      <alignment vertical="center"/>
    </xf>
    <xf numFmtId="9" fontId="49" fillId="0" borderId="0" xfId="458" applyFont="1" applyFill="1" applyAlignment="1">
      <alignment vertical="center"/>
    </xf>
    <xf numFmtId="0" fontId="49" fillId="0" borderId="0" xfId="0" applyFont="1" applyFill="1" applyAlignment="1">
      <alignment horizontal="center" vertical="center"/>
    </xf>
    <xf numFmtId="0" fontId="254" fillId="0" borderId="17" xfId="0" applyFont="1" applyFill="1" applyBorder="1" applyAlignment="1">
      <alignment vertical="center"/>
    </xf>
    <xf numFmtId="0" fontId="177" fillId="0" borderId="69" xfId="0" applyFont="1" applyFill="1" applyBorder="1" applyAlignment="1">
      <alignment vertical="center"/>
    </xf>
    <xf numFmtId="20" fontId="176" fillId="34" borderId="265" xfId="0" applyNumberFormat="1" applyFont="1" applyFill="1" applyBorder="1" applyAlignment="1">
      <alignment horizontal="center" vertical="center"/>
    </xf>
    <xf numFmtId="20" fontId="176" fillId="34" borderId="266" xfId="0" applyNumberFormat="1" applyFont="1" applyFill="1" applyBorder="1" applyAlignment="1">
      <alignment horizontal="center" vertical="center"/>
    </xf>
    <xf numFmtId="20" fontId="176" fillId="34" borderId="268" xfId="0" quotePrefix="1" applyNumberFormat="1" applyFont="1" applyFill="1" applyBorder="1" applyAlignment="1">
      <alignment horizontal="center" vertical="center"/>
    </xf>
    <xf numFmtId="0" fontId="177" fillId="0" borderId="81" xfId="0" quotePrefix="1" applyFont="1" applyFill="1" applyBorder="1" applyAlignment="1">
      <alignment horizontal="left" vertical="center"/>
    </xf>
    <xf numFmtId="1" fontId="49" fillId="90" borderId="267" xfId="0" applyNumberFormat="1" applyFont="1" applyFill="1" applyBorder="1" applyAlignment="1" applyProtection="1">
      <alignment horizontal="center" vertical="center"/>
      <protection locked="0"/>
    </xf>
    <xf numFmtId="1" fontId="49" fillId="90" borderId="28" xfId="0" applyNumberFormat="1" applyFont="1" applyFill="1" applyBorder="1" applyAlignment="1" applyProtection="1">
      <alignment horizontal="center" vertical="center"/>
      <protection locked="0"/>
    </xf>
    <xf numFmtId="1" fontId="49" fillId="38" borderId="28" xfId="0" applyNumberFormat="1" applyFont="1" applyFill="1" applyBorder="1" applyAlignment="1" applyProtection="1">
      <alignment horizontal="center" vertical="center"/>
      <protection locked="0"/>
    </xf>
    <xf numFmtId="1" fontId="49" fillId="90" borderId="201" xfId="0" applyNumberFormat="1" applyFont="1" applyFill="1" applyBorder="1" applyAlignment="1" applyProtection="1">
      <alignment horizontal="center" vertical="center"/>
      <protection locked="0"/>
    </xf>
    <xf numFmtId="0" fontId="177" fillId="0" borderId="44" xfId="0" quotePrefix="1" applyFont="1" applyFill="1" applyBorder="1" applyAlignment="1">
      <alignment horizontal="left" vertical="center"/>
    </xf>
    <xf numFmtId="1" fontId="49" fillId="92" borderId="174" xfId="0" applyNumberFormat="1" applyFont="1" applyFill="1" applyBorder="1" applyAlignment="1" applyProtection="1">
      <alignment horizontal="center" vertical="center"/>
      <protection locked="0"/>
    </xf>
    <xf numFmtId="1" fontId="49" fillId="92" borderId="80" xfId="0" applyNumberFormat="1" applyFont="1" applyFill="1" applyBorder="1" applyAlignment="1" applyProtection="1">
      <alignment horizontal="center" vertical="center"/>
      <protection locked="0"/>
    </xf>
    <xf numFmtId="1" fontId="49" fillId="92" borderId="25" xfId="0" applyNumberFormat="1" applyFont="1" applyFill="1" applyBorder="1" applyAlignment="1" applyProtection="1">
      <alignment horizontal="center" vertical="center"/>
      <protection locked="0"/>
    </xf>
    <xf numFmtId="1" fontId="49" fillId="91" borderId="25" xfId="0" applyNumberFormat="1" applyFont="1" applyFill="1" applyBorder="1" applyAlignment="1" applyProtection="1">
      <alignment horizontal="center" vertical="center"/>
      <protection locked="0"/>
    </xf>
    <xf numFmtId="1" fontId="49" fillId="92" borderId="170" xfId="0" applyNumberFormat="1" applyFont="1" applyFill="1" applyBorder="1" applyAlignment="1" applyProtection="1">
      <alignment horizontal="center" vertical="center"/>
      <protection locked="0"/>
    </xf>
    <xf numFmtId="1" fontId="49" fillId="93" borderId="174" xfId="0" applyNumberFormat="1" applyFont="1" applyFill="1" applyBorder="1" applyAlignment="1" applyProtection="1">
      <alignment horizontal="center" vertical="center"/>
      <protection locked="0"/>
    </xf>
    <xf numFmtId="1" fontId="49" fillId="93" borderId="80" xfId="0" applyNumberFormat="1" applyFont="1" applyFill="1" applyBorder="1" applyAlignment="1" applyProtection="1">
      <alignment horizontal="center" vertical="center"/>
      <protection locked="0"/>
    </xf>
    <xf numFmtId="1" fontId="49" fillId="93" borderId="25" xfId="0" applyNumberFormat="1" applyFont="1" applyFill="1" applyBorder="1" applyAlignment="1" applyProtection="1">
      <alignment horizontal="center" vertical="center"/>
      <protection locked="0"/>
    </xf>
    <xf numFmtId="1" fontId="49" fillId="80" borderId="25" xfId="0" applyNumberFormat="1" applyFont="1" applyFill="1" applyBorder="1" applyAlignment="1" applyProtection="1">
      <alignment horizontal="center" vertical="center"/>
      <protection locked="0"/>
    </xf>
    <xf numFmtId="1" fontId="49" fillId="93" borderId="170" xfId="0" applyNumberFormat="1" applyFont="1" applyFill="1" applyBorder="1" applyAlignment="1" applyProtection="1">
      <alignment horizontal="center" vertical="center"/>
      <protection locked="0"/>
    </xf>
    <xf numFmtId="1" fontId="49" fillId="89" borderId="174" xfId="0" applyNumberFormat="1" applyFont="1" applyFill="1" applyBorder="1" applyAlignment="1" applyProtection="1">
      <alignment horizontal="center" vertical="center"/>
      <protection locked="0"/>
    </xf>
    <xf numFmtId="1" fontId="49" fillId="89" borderId="80" xfId="0" applyNumberFormat="1" applyFont="1" applyFill="1" applyBorder="1" applyAlignment="1" applyProtection="1">
      <alignment horizontal="center" vertical="center"/>
      <protection locked="0"/>
    </xf>
    <xf numFmtId="1" fontId="49" fillId="89" borderId="25" xfId="0" applyNumberFormat="1" applyFont="1" applyFill="1" applyBorder="1" applyAlignment="1" applyProtection="1">
      <alignment horizontal="center" vertical="center"/>
      <protection locked="0"/>
    </xf>
    <xf numFmtId="1" fontId="49" fillId="68" borderId="25" xfId="0" applyNumberFormat="1" applyFont="1" applyFill="1" applyBorder="1" applyAlignment="1" applyProtection="1">
      <alignment horizontal="center" vertical="center"/>
      <protection locked="0"/>
    </xf>
    <xf numFmtId="1" fontId="49" fillId="89" borderId="170" xfId="0" applyNumberFormat="1" applyFont="1" applyFill="1" applyBorder="1" applyAlignment="1" applyProtection="1">
      <alignment horizontal="center" vertical="center"/>
      <protection locked="0"/>
    </xf>
    <xf numFmtId="1" fontId="49" fillId="94" borderId="169" xfId="0" applyNumberFormat="1" applyFont="1" applyFill="1" applyBorder="1" applyAlignment="1">
      <alignment horizontal="center" vertical="center"/>
    </xf>
    <xf numFmtId="1" fontId="49" fillId="94" borderId="25" xfId="0" applyNumberFormat="1" applyFont="1" applyFill="1" applyBorder="1" applyAlignment="1">
      <alignment horizontal="center" vertical="center"/>
    </xf>
    <xf numFmtId="1" fontId="49" fillId="49" borderId="25" xfId="0" applyNumberFormat="1" applyFont="1" applyFill="1" applyBorder="1" applyAlignment="1">
      <alignment horizontal="center" vertical="center"/>
    </xf>
    <xf numFmtId="1" fontId="49" fillId="94" borderId="170" xfId="0" applyNumberFormat="1" applyFont="1" applyFill="1" applyBorder="1" applyAlignment="1">
      <alignment horizontal="center" vertical="center"/>
    </xf>
    <xf numFmtId="1" fontId="49" fillId="90" borderId="271" xfId="0" applyNumberFormat="1" applyFont="1" applyFill="1" applyBorder="1" applyAlignment="1" applyProtection="1">
      <alignment horizontal="center" vertical="center"/>
      <protection locked="0"/>
    </xf>
    <xf numFmtId="1" fontId="49" fillId="90" borderId="272" xfId="0" applyNumberFormat="1" applyFont="1" applyFill="1" applyBorder="1" applyAlignment="1" applyProtection="1">
      <alignment horizontal="center" vertical="center"/>
      <protection locked="0"/>
    </xf>
    <xf numFmtId="1" fontId="49" fillId="38" borderId="272" xfId="0" applyNumberFormat="1" applyFont="1" applyFill="1" applyBorder="1" applyAlignment="1" applyProtection="1">
      <alignment horizontal="center" vertical="center"/>
      <protection locked="0"/>
    </xf>
    <xf numFmtId="1" fontId="49" fillId="90" borderId="166" xfId="0" applyNumberFormat="1" applyFont="1" applyFill="1" applyBorder="1" applyAlignment="1" applyProtection="1">
      <alignment horizontal="center" vertical="center"/>
      <protection locked="0"/>
    </xf>
    <xf numFmtId="1" fontId="49" fillId="92" borderId="172" xfId="0" applyNumberFormat="1" applyFont="1" applyFill="1" applyBorder="1" applyAlignment="1" applyProtection="1">
      <alignment horizontal="center" vertical="center"/>
      <protection locked="0"/>
    </xf>
    <xf numFmtId="1" fontId="49" fillId="93" borderId="172" xfId="0" applyNumberFormat="1" applyFont="1" applyFill="1" applyBorder="1" applyAlignment="1" applyProtection="1">
      <alignment horizontal="center" vertical="center"/>
      <protection locked="0"/>
    </xf>
    <xf numFmtId="1" fontId="49" fillId="89" borderId="172" xfId="0" applyNumberFormat="1" applyFont="1" applyFill="1" applyBorder="1" applyAlignment="1" applyProtection="1">
      <alignment horizontal="center" vertical="center"/>
      <protection locked="0"/>
    </xf>
    <xf numFmtId="1" fontId="49" fillId="94" borderId="169" xfId="0" applyNumberFormat="1" applyFont="1" applyFill="1" applyBorder="1" applyAlignment="1" applyProtection="1">
      <alignment horizontal="center" vertical="center"/>
    </xf>
    <xf numFmtId="1" fontId="49" fillId="94" borderId="25" xfId="0" applyNumberFormat="1" applyFont="1" applyFill="1" applyBorder="1" applyAlignment="1" applyProtection="1">
      <alignment horizontal="center" vertical="center"/>
    </xf>
    <xf numFmtId="1" fontId="49" fillId="49" borderId="25" xfId="0" applyNumberFormat="1" applyFont="1" applyFill="1" applyBorder="1" applyAlignment="1" applyProtection="1">
      <alignment horizontal="center" vertical="center"/>
    </xf>
    <xf numFmtId="1" fontId="49" fillId="94" borderId="170" xfId="0" applyNumberFormat="1" applyFont="1" applyFill="1" applyBorder="1" applyAlignment="1" applyProtection="1">
      <alignment horizontal="center" vertical="center"/>
    </xf>
    <xf numFmtId="1" fontId="49" fillId="92" borderId="169" xfId="0" applyNumberFormat="1" applyFont="1" applyFill="1" applyBorder="1" applyAlignment="1" applyProtection="1">
      <alignment horizontal="center" vertical="center"/>
      <protection locked="0"/>
    </xf>
    <xf numFmtId="1" fontId="49" fillId="92" borderId="172" xfId="0" quotePrefix="1" applyNumberFormat="1" applyFont="1" applyFill="1" applyBorder="1" applyAlignment="1" applyProtection="1">
      <alignment horizontal="center" vertical="center"/>
      <protection locked="0"/>
    </xf>
    <xf numFmtId="1" fontId="49" fillId="92" borderId="80" xfId="0" quotePrefix="1" applyNumberFormat="1" applyFont="1" applyFill="1" applyBorder="1" applyAlignment="1" applyProtection="1">
      <alignment horizontal="center" vertical="center"/>
      <protection locked="0"/>
    </xf>
    <xf numFmtId="1" fontId="49" fillId="92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91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92" borderId="170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273" xfId="0" applyNumberFormat="1" applyFont="1" applyFill="1" applyBorder="1" applyAlignment="1" applyProtection="1">
      <alignment horizontal="center" vertical="center"/>
      <protection locked="0"/>
    </xf>
    <xf numFmtId="1" fontId="49" fillId="93" borderId="100" xfId="0" applyNumberFormat="1" applyFont="1" applyFill="1" applyBorder="1" applyAlignment="1" applyProtection="1">
      <alignment horizontal="center" vertical="center"/>
      <protection locked="0"/>
    </xf>
    <xf numFmtId="1" fontId="49" fillId="93" borderId="272" xfId="0" applyNumberFormat="1" applyFont="1" applyFill="1" applyBorder="1" applyAlignment="1" applyProtection="1">
      <alignment horizontal="center" vertical="center"/>
      <protection locked="0"/>
    </xf>
    <xf numFmtId="1" fontId="49" fillId="80" borderId="272" xfId="0" applyNumberFormat="1" applyFont="1" applyFill="1" applyBorder="1" applyAlignment="1" applyProtection="1">
      <alignment horizontal="center" vertical="center"/>
      <protection locked="0"/>
    </xf>
    <xf numFmtId="1" fontId="49" fillId="93" borderId="166" xfId="0" applyNumberFormat="1" applyFont="1" applyFill="1" applyBorder="1" applyAlignment="1" applyProtection="1">
      <alignment horizontal="center" vertical="center"/>
      <protection locked="0"/>
    </xf>
    <xf numFmtId="1" fontId="49" fillId="94" borderId="174" xfId="0" quotePrefix="1" applyNumberFormat="1" applyFont="1" applyFill="1" applyBorder="1" applyAlignment="1" applyProtection="1">
      <alignment horizontal="center" vertical="center"/>
    </xf>
    <xf numFmtId="1" fontId="49" fillId="94" borderId="80" xfId="0" quotePrefix="1" applyNumberFormat="1" applyFont="1" applyFill="1" applyBorder="1" applyAlignment="1" applyProtection="1">
      <alignment horizontal="center" vertical="center"/>
    </xf>
    <xf numFmtId="1" fontId="49" fillId="94" borderId="25" xfId="0" quotePrefix="1" applyNumberFormat="1" applyFont="1" applyFill="1" applyBorder="1" applyAlignment="1" applyProtection="1">
      <alignment horizontal="center" vertical="center"/>
    </xf>
    <xf numFmtId="1" fontId="49" fillId="49" borderId="25" xfId="0" quotePrefix="1" applyNumberFormat="1" applyFont="1" applyFill="1" applyBorder="1" applyAlignment="1" applyProtection="1">
      <alignment horizontal="center" vertical="center"/>
    </xf>
    <xf numFmtId="1" fontId="49" fillId="94" borderId="170" xfId="0" quotePrefix="1" applyNumberFormat="1" applyFont="1" applyFill="1" applyBorder="1" applyAlignment="1" applyProtection="1">
      <alignment horizontal="center" vertical="center"/>
    </xf>
    <xf numFmtId="1" fontId="49" fillId="94" borderId="174" xfId="0" applyNumberFormat="1" applyFont="1" applyFill="1" applyBorder="1" applyAlignment="1" applyProtection="1">
      <alignment horizontal="center" vertical="center"/>
    </xf>
    <xf numFmtId="1" fontId="49" fillId="94" borderId="80" xfId="0" applyNumberFormat="1" applyFont="1" applyFill="1" applyBorder="1" applyAlignment="1" applyProtection="1">
      <alignment horizontal="center" vertical="center"/>
    </xf>
    <xf numFmtId="1" fontId="49" fillId="94" borderId="174" xfId="0" applyNumberFormat="1" applyFont="1" applyFill="1" applyBorder="1" applyAlignment="1">
      <alignment horizontal="center" vertical="center"/>
    </xf>
    <xf numFmtId="1" fontId="49" fillId="94" borderId="80" xfId="0" applyNumberFormat="1" applyFont="1" applyFill="1" applyBorder="1" applyAlignment="1">
      <alignment horizontal="center" vertical="center"/>
    </xf>
    <xf numFmtId="1" fontId="49" fillId="89" borderId="174" xfId="0" quotePrefix="1" applyNumberFormat="1" applyFont="1" applyFill="1" applyBorder="1" applyAlignment="1" applyProtection="1">
      <alignment horizontal="center" vertical="center"/>
      <protection locked="0"/>
    </xf>
    <xf numFmtId="1" fontId="49" fillId="89" borderId="80" xfId="0" quotePrefix="1" applyNumberFormat="1" applyFont="1" applyFill="1" applyBorder="1" applyAlignment="1" applyProtection="1">
      <alignment horizontal="center" vertical="center"/>
      <protection locked="0"/>
    </xf>
    <xf numFmtId="1" fontId="49" fillId="89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68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89" borderId="170" xfId="0" quotePrefix="1" applyNumberFormat="1" applyFont="1" applyFill="1" applyBorder="1" applyAlignment="1" applyProtection="1">
      <alignment horizontal="center" vertical="center"/>
      <protection locked="0"/>
    </xf>
    <xf numFmtId="1" fontId="49" fillId="94" borderId="169" xfId="0" quotePrefix="1" applyNumberFormat="1" applyFont="1" applyFill="1" applyBorder="1" applyAlignment="1">
      <alignment horizontal="center" vertical="center"/>
    </xf>
    <xf numFmtId="1" fontId="49" fillId="94" borderId="25" xfId="0" quotePrefix="1" applyNumberFormat="1" applyFont="1" applyFill="1" applyBorder="1" applyAlignment="1">
      <alignment horizontal="center" vertical="center"/>
    </xf>
    <xf numFmtId="1" fontId="49" fillId="49" borderId="25" xfId="0" quotePrefix="1" applyNumberFormat="1" applyFont="1" applyFill="1" applyBorder="1" applyAlignment="1">
      <alignment horizontal="center" vertical="center"/>
    </xf>
    <xf numFmtId="1" fontId="49" fillId="94" borderId="170" xfId="0" quotePrefix="1" applyNumberFormat="1" applyFont="1" applyFill="1" applyBorder="1" applyAlignment="1">
      <alignment horizontal="center" vertical="center"/>
    </xf>
    <xf numFmtId="1" fontId="49" fillId="90" borderId="271" xfId="0" quotePrefix="1" applyNumberFormat="1" applyFont="1" applyFill="1" applyBorder="1" applyAlignment="1" applyProtection="1">
      <alignment horizontal="center" vertical="center"/>
      <protection locked="0"/>
    </xf>
    <xf numFmtId="1" fontId="49" fillId="90" borderId="272" xfId="0" quotePrefix="1" applyNumberFormat="1" applyFont="1" applyFill="1" applyBorder="1" applyAlignment="1" applyProtection="1">
      <alignment horizontal="center" vertical="center"/>
      <protection locked="0"/>
    </xf>
    <xf numFmtId="1" fontId="49" fillId="38" borderId="272" xfId="0" quotePrefix="1" applyNumberFormat="1" applyFont="1" applyFill="1" applyBorder="1" applyAlignment="1" applyProtection="1">
      <alignment horizontal="center" vertical="center"/>
      <protection locked="0"/>
    </xf>
    <xf numFmtId="1" fontId="49" fillId="90" borderId="166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172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80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80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170" xfId="0" quotePrefix="1" applyNumberFormat="1" applyFont="1" applyFill="1" applyBorder="1" applyAlignment="1" applyProtection="1">
      <alignment horizontal="center" vertical="center"/>
      <protection locked="0"/>
    </xf>
    <xf numFmtId="1" fontId="49" fillId="94" borderId="273" xfId="0" applyNumberFormat="1" applyFont="1" applyFill="1" applyBorder="1" applyAlignment="1" applyProtection="1">
      <alignment horizontal="center" vertical="center"/>
    </xf>
    <xf numFmtId="1" fontId="49" fillId="94" borderId="100" xfId="0" applyNumberFormat="1" applyFont="1" applyFill="1" applyBorder="1" applyAlignment="1" applyProtection="1">
      <alignment horizontal="center" vertical="center"/>
    </xf>
    <xf numFmtId="1" fontId="49" fillId="94" borderId="272" xfId="0" applyNumberFormat="1" applyFont="1" applyFill="1" applyBorder="1" applyAlignment="1" applyProtection="1">
      <alignment horizontal="center" vertical="center"/>
    </xf>
    <xf numFmtId="1" fontId="49" fillId="49" borderId="272" xfId="0" applyNumberFormat="1" applyFont="1" applyFill="1" applyBorder="1" applyAlignment="1" applyProtection="1">
      <alignment horizontal="center" vertical="center"/>
    </xf>
    <xf numFmtId="1" fontId="49" fillId="94" borderId="166" xfId="0" applyNumberFormat="1" applyFont="1" applyFill="1" applyBorder="1" applyAlignment="1" applyProtection="1">
      <alignment horizontal="center" vertical="center"/>
    </xf>
    <xf numFmtId="1" fontId="49" fillId="94" borderId="174" xfId="0" quotePrefix="1" applyNumberFormat="1" applyFont="1" applyFill="1" applyBorder="1" applyAlignment="1">
      <alignment horizontal="center" vertical="center"/>
    </xf>
    <xf numFmtId="1" fontId="49" fillId="94" borderId="80" xfId="0" quotePrefix="1" applyNumberFormat="1" applyFont="1" applyFill="1" applyBorder="1" applyAlignment="1">
      <alignment horizontal="center" vertical="center"/>
    </xf>
    <xf numFmtId="0" fontId="177" fillId="0" borderId="202" xfId="0" quotePrefix="1" applyFont="1" applyFill="1" applyBorder="1" applyAlignment="1">
      <alignment horizontal="left" vertical="center"/>
    </xf>
    <xf numFmtId="1" fontId="175" fillId="45" borderId="264" xfId="0" quotePrefix="1" applyNumberFormat="1" applyFont="1" applyFill="1" applyBorder="1" applyAlignment="1">
      <alignment horizontal="center" vertical="center"/>
    </xf>
    <xf numFmtId="167" fontId="50" fillId="31" borderId="0" xfId="430" applyNumberFormat="1" applyFont="1" applyFill="1" applyBorder="1" applyAlignment="1">
      <alignment horizontal="center" vertical="center"/>
    </xf>
    <xf numFmtId="167" fontId="50" fillId="0" borderId="0" xfId="430" applyNumberFormat="1" applyFont="1" applyFill="1" applyBorder="1" applyAlignment="1">
      <alignment horizontal="center" vertical="center"/>
    </xf>
    <xf numFmtId="167" fontId="109" fillId="0" borderId="0" xfId="0" applyNumberFormat="1" applyFont="1" applyBorder="1"/>
    <xf numFmtId="1" fontId="205" fillId="35" borderId="188" xfId="0" applyNumberFormat="1" applyFont="1" applyFill="1" applyBorder="1" applyAlignment="1">
      <alignment horizontal="center" vertical="center"/>
    </xf>
    <xf numFmtId="1" fontId="204" fillId="71" borderId="80" xfId="0" applyNumberFormat="1" applyFont="1" applyFill="1" applyBorder="1" applyAlignment="1">
      <alignment horizontal="center" vertical="center"/>
    </xf>
    <xf numFmtId="1" fontId="204" fillId="71" borderId="173" xfId="0" applyNumberFormat="1" applyFont="1" applyFill="1" applyBorder="1" applyAlignment="1">
      <alignment horizontal="center" vertical="center"/>
    </xf>
    <xf numFmtId="0" fontId="49" fillId="0" borderId="68" xfId="428" applyFont="1" applyFill="1" applyBorder="1" applyAlignment="1">
      <alignment horizontal="center" vertical="center"/>
    </xf>
    <xf numFmtId="0" fontId="49" fillId="0" borderId="12" xfId="428" applyFont="1" applyFill="1" applyBorder="1" applyAlignment="1">
      <alignment horizontal="center" vertical="center"/>
    </xf>
    <xf numFmtId="1" fontId="49" fillId="0" borderId="190" xfId="428" applyNumberFormat="1" applyFont="1" applyFill="1" applyBorder="1" applyAlignment="1">
      <alignment horizontal="center" vertical="center"/>
    </xf>
    <xf numFmtId="1" fontId="49" fillId="0" borderId="68" xfId="428" applyNumberFormat="1" applyFont="1" applyFill="1" applyBorder="1" applyAlignment="1" applyProtection="1">
      <alignment horizontal="center" vertical="center"/>
      <protection locked="0"/>
    </xf>
    <xf numFmtId="0" fontId="255" fillId="37" borderId="10" xfId="375" applyNumberFormat="1" applyFont="1" applyFill="1" applyBorder="1" applyAlignment="1">
      <alignment horizontal="center" vertical="center"/>
    </xf>
    <xf numFmtId="0" fontId="218" fillId="51" borderId="39" xfId="0" applyNumberFormat="1" applyFont="1" applyFill="1" applyBorder="1" applyAlignment="1">
      <alignment horizontal="center" vertical="center" wrapText="1"/>
    </xf>
    <xf numFmtId="0" fontId="256" fillId="51" borderId="88" xfId="0" applyNumberFormat="1" applyFont="1" applyFill="1" applyBorder="1" applyAlignment="1">
      <alignment horizontal="center" vertical="center" wrapText="1"/>
    </xf>
    <xf numFmtId="0" fontId="240" fillId="51" borderId="88" xfId="0" applyNumberFormat="1" applyFont="1" applyFill="1" applyBorder="1" applyAlignment="1">
      <alignment horizontal="center" vertical="center" wrapText="1"/>
    </xf>
    <xf numFmtId="182" fontId="56" fillId="0" borderId="47" xfId="436" applyNumberFormat="1" applyFont="1" applyFill="1" applyBorder="1" applyAlignment="1">
      <alignment horizontal="left" vertical="center"/>
    </xf>
    <xf numFmtId="0" fontId="56" fillId="0" borderId="48" xfId="436" applyFont="1" applyFill="1" applyBorder="1" applyProtection="1">
      <alignment vertical="center"/>
      <protection locked="0"/>
    </xf>
    <xf numFmtId="1" fontId="57" fillId="0" borderId="47" xfId="436" applyNumberFormat="1" applyFont="1" applyFill="1" applyBorder="1" applyAlignment="1">
      <alignment horizontal="left" vertical="center"/>
    </xf>
    <xf numFmtId="0" fontId="56" fillId="0" borderId="47" xfId="0" applyFont="1" applyBorder="1"/>
    <xf numFmtId="0" fontId="56" fillId="0" borderId="48" xfId="0" applyFont="1" applyBorder="1"/>
    <xf numFmtId="0" fontId="56" fillId="0" borderId="157" xfId="0" applyFont="1" applyBorder="1"/>
    <xf numFmtId="0" fontId="56" fillId="0" borderId="158" xfId="0" applyFont="1" applyBorder="1"/>
    <xf numFmtId="0" fontId="141" fillId="0" borderId="158" xfId="428" applyFont="1" applyFill="1" applyBorder="1" applyAlignment="1">
      <alignment horizontal="left" vertical="center"/>
    </xf>
    <xf numFmtId="20" fontId="10" fillId="0" borderId="158" xfId="0" applyNumberFormat="1" applyFont="1" applyBorder="1" applyAlignment="1">
      <alignment horizontal="center" vertical="center"/>
    </xf>
    <xf numFmtId="1" fontId="49" fillId="94" borderId="271" xfId="0" applyNumberFormat="1" applyFont="1" applyFill="1" applyBorder="1" applyAlignment="1" applyProtection="1">
      <alignment horizontal="center" vertical="center"/>
    </xf>
    <xf numFmtId="1" fontId="236" fillId="35" borderId="188" xfId="0" applyNumberFormat="1" applyFont="1" applyFill="1" applyBorder="1" applyAlignment="1" applyProtection="1">
      <alignment horizontal="center" vertical="center"/>
      <protection locked="0"/>
    </xf>
    <xf numFmtId="0" fontId="103" fillId="0" borderId="10" xfId="375" applyNumberFormat="1" applyFont="1" applyFill="1" applyBorder="1" applyAlignment="1">
      <alignment horizontal="center" vertical="center"/>
    </xf>
    <xf numFmtId="0" fontId="78" fillId="0" borderId="0" xfId="436" applyFont="1" applyFill="1" applyBorder="1" applyAlignment="1" applyProtection="1">
      <alignment vertical="center"/>
      <protection locked="0"/>
    </xf>
    <xf numFmtId="0" fontId="127" fillId="0" borderId="0" xfId="0" applyFont="1" applyBorder="1" applyAlignment="1"/>
    <xf numFmtId="0" fontId="78" fillId="0" borderId="158" xfId="436" applyFont="1" applyBorder="1" applyAlignment="1">
      <alignment vertical="center"/>
    </xf>
    <xf numFmtId="0" fontId="78" fillId="0" borderId="158" xfId="428" applyFont="1" applyBorder="1" applyAlignment="1">
      <alignment vertical="center"/>
    </xf>
    <xf numFmtId="0" fontId="127" fillId="0" borderId="158" xfId="0" applyFont="1" applyBorder="1" applyAlignment="1"/>
    <xf numFmtId="0" fontId="49" fillId="0" borderId="158" xfId="436" applyFont="1" applyBorder="1" applyAlignment="1">
      <alignment vertical="center"/>
    </xf>
    <xf numFmtId="0" fontId="49" fillId="0" borderId="158" xfId="0" applyFont="1" applyBorder="1" applyAlignment="1">
      <alignment vertical="center"/>
    </xf>
    <xf numFmtId="1" fontId="205" fillId="98" borderId="62" xfId="0" applyNumberFormat="1" applyFont="1" applyFill="1" applyBorder="1" applyAlignment="1">
      <alignment horizontal="center" vertical="center"/>
    </xf>
    <xf numFmtId="166" fontId="205" fillId="46" borderId="62" xfId="271" applyNumberFormat="1" applyFont="1" applyFill="1" applyBorder="1" applyAlignment="1">
      <alignment horizontal="center" vertical="center"/>
    </xf>
    <xf numFmtId="1" fontId="205" fillId="98" borderId="62" xfId="0" applyNumberFormat="1" applyFont="1" applyFill="1" applyBorder="1" applyAlignment="1" applyProtection="1">
      <alignment vertical="center"/>
      <protection locked="0"/>
    </xf>
    <xf numFmtId="166" fontId="141" fillId="46" borderId="44" xfId="271" applyNumberFormat="1" applyFont="1" applyFill="1" applyBorder="1" applyAlignment="1">
      <alignment vertical="center"/>
    </xf>
    <xf numFmtId="166" fontId="141" fillId="46" borderId="72" xfId="271" applyNumberFormat="1" applyFont="1" applyFill="1" applyBorder="1" applyAlignment="1">
      <alignment vertical="center"/>
    </xf>
    <xf numFmtId="1" fontId="236" fillId="35" borderId="188" xfId="0" applyNumberFormat="1" applyFont="1" applyFill="1" applyBorder="1" applyAlignment="1">
      <alignment horizontal="center" vertical="center"/>
    </xf>
    <xf numFmtId="14" fontId="209" fillId="31" borderId="68" xfId="0" applyNumberFormat="1" applyFont="1" applyFill="1" applyBorder="1" applyAlignment="1">
      <alignment horizontal="left" vertical="center"/>
    </xf>
    <xf numFmtId="1" fontId="248" fillId="31" borderId="0" xfId="0" applyNumberFormat="1" applyFont="1" applyFill="1" applyBorder="1" applyAlignment="1" applyProtection="1">
      <alignment horizontal="center" vertical="center"/>
      <protection locked="0"/>
    </xf>
    <xf numFmtId="0" fontId="258" fillId="63" borderId="0" xfId="0" applyFont="1" applyFill="1"/>
    <xf numFmtId="0" fontId="92" fillId="63" borderId="0" xfId="0" applyFont="1" applyFill="1"/>
    <xf numFmtId="166" fontId="207" fillId="33" borderId="62" xfId="271" applyNumberFormat="1" applyFont="1" applyFill="1" applyBorder="1" applyAlignment="1">
      <alignment horizontal="center" vertical="center"/>
    </xf>
    <xf numFmtId="173" fontId="94" fillId="0" borderId="0" xfId="414" applyNumberFormat="1" applyFont="1"/>
    <xf numFmtId="0" fontId="49" fillId="0" borderId="277" xfId="423" applyNumberFormat="1" applyFont="1" applyBorder="1"/>
    <xf numFmtId="0" fontId="49" fillId="0" borderId="190" xfId="428" applyFont="1" applyFill="1" applyBorder="1" applyAlignment="1">
      <alignment horizontal="center" vertical="center"/>
    </xf>
    <xf numFmtId="1" fontId="110" fillId="34" borderId="10" xfId="0" applyNumberFormat="1" applyFont="1" applyFill="1" applyBorder="1" applyAlignment="1">
      <alignment horizontal="center"/>
    </xf>
    <xf numFmtId="166" fontId="260" fillId="31" borderId="0" xfId="0" applyNumberFormat="1" applyFont="1" applyFill="1" applyBorder="1"/>
    <xf numFmtId="14" fontId="92" fillId="0" borderId="0" xfId="0" applyNumberFormat="1" applyFont="1" applyBorder="1"/>
    <xf numFmtId="0" fontId="139" fillId="0" borderId="0" xfId="428" applyFont="1" applyBorder="1" applyAlignment="1">
      <alignment horizontal="left" vertical="center"/>
    </xf>
    <xf numFmtId="15" fontId="140" fillId="0" borderId="0" xfId="428" applyNumberFormat="1" applyFont="1" applyBorder="1" applyAlignment="1">
      <alignment horizontal="left" vertical="center"/>
    </xf>
    <xf numFmtId="0" fontId="261" fillId="0" borderId="277" xfId="0" applyFont="1" applyBorder="1" applyAlignment="1">
      <alignment horizontal="left" vertical="center"/>
    </xf>
    <xf numFmtId="1" fontId="262" fillId="93" borderId="273" xfId="0" quotePrefix="1" applyNumberFormat="1" applyFont="1" applyFill="1" applyBorder="1" applyAlignment="1" applyProtection="1">
      <alignment horizontal="center" vertical="center"/>
      <protection locked="0"/>
    </xf>
    <xf numFmtId="1" fontId="262" fillId="93" borderId="100" xfId="0" quotePrefix="1" applyNumberFormat="1" applyFont="1" applyFill="1" applyBorder="1" applyAlignment="1" applyProtection="1">
      <alignment horizontal="center" vertical="center"/>
      <protection locked="0"/>
    </xf>
    <xf numFmtId="1" fontId="262" fillId="93" borderId="272" xfId="0" quotePrefix="1" applyNumberFormat="1" applyFont="1" applyFill="1" applyBorder="1" applyAlignment="1" applyProtection="1">
      <alignment horizontal="center" vertical="center"/>
      <protection locked="0"/>
    </xf>
    <xf numFmtId="1" fontId="262" fillId="80" borderId="272" xfId="0" quotePrefix="1" applyNumberFormat="1" applyFont="1" applyFill="1" applyBorder="1" applyAlignment="1" applyProtection="1">
      <alignment horizontal="center" vertical="center"/>
      <protection locked="0"/>
    </xf>
    <xf numFmtId="1" fontId="262" fillId="93" borderId="166" xfId="0" quotePrefix="1" applyNumberFormat="1" applyFont="1" applyFill="1" applyBorder="1" applyAlignment="1" applyProtection="1">
      <alignment horizontal="center" vertical="center"/>
      <protection locked="0"/>
    </xf>
    <xf numFmtId="1" fontId="262" fillId="94" borderId="170" xfId="0" quotePrefix="1" applyNumberFormat="1" applyFont="1" applyFill="1" applyBorder="1" applyAlignment="1">
      <alignment horizontal="center" vertical="center"/>
    </xf>
    <xf numFmtId="1" fontId="262" fillId="94" borderId="25" xfId="0" quotePrefix="1" applyNumberFormat="1" applyFont="1" applyFill="1" applyBorder="1" applyAlignment="1">
      <alignment horizontal="center" vertical="center"/>
    </xf>
    <xf numFmtId="1" fontId="262" fillId="49" borderId="25" xfId="0" quotePrefix="1" applyNumberFormat="1" applyFont="1" applyFill="1" applyBorder="1" applyAlignment="1">
      <alignment horizontal="center" vertical="center"/>
    </xf>
    <xf numFmtId="1" fontId="262" fillId="94" borderId="169" xfId="0" quotePrefix="1" applyNumberFormat="1" applyFont="1" applyFill="1" applyBorder="1" applyAlignment="1">
      <alignment horizontal="center" vertical="center"/>
    </xf>
    <xf numFmtId="1" fontId="262" fillId="89" borderId="170" xfId="0" quotePrefix="1" applyNumberFormat="1" applyFont="1" applyFill="1" applyBorder="1" applyAlignment="1" applyProtection="1">
      <alignment horizontal="center" vertical="center"/>
      <protection locked="0"/>
    </xf>
    <xf numFmtId="1" fontId="262" fillId="89" borderId="25" xfId="0" quotePrefix="1" applyNumberFormat="1" applyFont="1" applyFill="1" applyBorder="1" applyAlignment="1" applyProtection="1">
      <alignment horizontal="center" vertical="center"/>
      <protection locked="0"/>
    </xf>
    <xf numFmtId="1" fontId="262" fillId="68" borderId="25" xfId="0" quotePrefix="1" applyNumberFormat="1" applyFont="1" applyFill="1" applyBorder="1" applyAlignment="1" applyProtection="1">
      <alignment horizontal="center" vertical="center"/>
      <protection locked="0"/>
    </xf>
    <xf numFmtId="1" fontId="262" fillId="89" borderId="80" xfId="0" quotePrefix="1" applyNumberFormat="1" applyFont="1" applyFill="1" applyBorder="1" applyAlignment="1" applyProtection="1">
      <alignment horizontal="center" vertical="center"/>
      <protection locked="0"/>
    </xf>
    <xf numFmtId="1" fontId="262" fillId="89" borderId="174" xfId="0" quotePrefix="1" applyNumberFormat="1" applyFont="1" applyFill="1" applyBorder="1" applyAlignment="1" applyProtection="1">
      <alignment horizontal="center" vertical="center"/>
      <protection locked="0"/>
    </xf>
    <xf numFmtId="1" fontId="262" fillId="93" borderId="170" xfId="0" quotePrefix="1" applyNumberFormat="1" applyFont="1" applyFill="1" applyBorder="1" applyAlignment="1" applyProtection="1">
      <alignment horizontal="center" vertical="center"/>
      <protection locked="0"/>
    </xf>
    <xf numFmtId="1" fontId="262" fillId="93" borderId="25" xfId="0" quotePrefix="1" applyNumberFormat="1" applyFont="1" applyFill="1" applyBorder="1" applyAlignment="1" applyProtection="1">
      <alignment horizontal="center" vertical="center"/>
      <protection locked="0"/>
    </xf>
    <xf numFmtId="1" fontId="262" fillId="80" borderId="25" xfId="0" quotePrefix="1" applyNumberFormat="1" applyFont="1" applyFill="1" applyBorder="1" applyAlignment="1" applyProtection="1">
      <alignment horizontal="center" vertical="center"/>
      <protection locked="0"/>
    </xf>
    <xf numFmtId="1" fontId="262" fillId="93" borderId="80" xfId="0" quotePrefix="1" applyNumberFormat="1" applyFont="1" applyFill="1" applyBorder="1" applyAlignment="1" applyProtection="1">
      <alignment horizontal="center" vertical="center"/>
      <protection locked="0"/>
    </xf>
    <xf numFmtId="1" fontId="262" fillId="93" borderId="174" xfId="0" quotePrefix="1" applyNumberFormat="1" applyFont="1" applyFill="1" applyBorder="1" applyAlignment="1" applyProtection="1">
      <alignment horizontal="center" vertical="center"/>
      <protection locked="0"/>
    </xf>
    <xf numFmtId="1" fontId="262" fillId="92" borderId="170" xfId="0" quotePrefix="1" applyNumberFormat="1" applyFont="1" applyFill="1" applyBorder="1" applyAlignment="1" applyProtection="1">
      <alignment horizontal="center" vertical="center"/>
      <protection locked="0"/>
    </xf>
    <xf numFmtId="1" fontId="262" fillId="92" borderId="25" xfId="0" quotePrefix="1" applyNumberFormat="1" applyFont="1" applyFill="1" applyBorder="1" applyAlignment="1" applyProtection="1">
      <alignment horizontal="center" vertical="center"/>
      <protection locked="0"/>
    </xf>
    <xf numFmtId="1" fontId="262" fillId="91" borderId="25" xfId="0" quotePrefix="1" applyNumberFormat="1" applyFont="1" applyFill="1" applyBorder="1" applyAlignment="1" applyProtection="1">
      <alignment horizontal="center" vertical="center"/>
      <protection locked="0"/>
    </xf>
    <xf numFmtId="1" fontId="262" fillId="92" borderId="80" xfId="0" quotePrefix="1" applyNumberFormat="1" applyFont="1" applyFill="1" applyBorder="1" applyAlignment="1" applyProtection="1">
      <alignment horizontal="center" vertical="center"/>
      <protection locked="0"/>
    </xf>
    <xf numFmtId="1" fontId="262" fillId="92" borderId="174" xfId="0" quotePrefix="1" applyNumberFormat="1" applyFont="1" applyFill="1" applyBorder="1" applyAlignment="1" applyProtection="1">
      <alignment horizontal="center" vertical="center"/>
      <protection locked="0"/>
    </xf>
    <xf numFmtId="164" fontId="263" fillId="35" borderId="0" xfId="0" applyNumberFormat="1" applyFont="1" applyFill="1" applyAlignment="1">
      <alignment horizontal="center" vertical="center"/>
    </xf>
    <xf numFmtId="0" fontId="209" fillId="31" borderId="68" xfId="0" applyFont="1" applyFill="1" applyBorder="1" applyAlignment="1">
      <alignment vertical="center"/>
    </xf>
    <xf numFmtId="0" fontId="94" fillId="0" borderId="48" xfId="0" applyFont="1" applyBorder="1" applyAlignment="1">
      <alignment vertical="center"/>
    </xf>
    <xf numFmtId="0" fontId="30" fillId="0" borderId="0" xfId="341" applyFont="1" applyAlignment="1" applyProtection="1">
      <alignment vertical="center"/>
    </xf>
    <xf numFmtId="0" fontId="265" fillId="0" borderId="0" xfId="0" applyFont="1"/>
    <xf numFmtId="1" fontId="266" fillId="0" borderId="0" xfId="0" applyNumberFormat="1" applyFont="1" applyAlignment="1" applyProtection="1">
      <alignment horizontal="center" vertical="center"/>
      <protection locked="0"/>
    </xf>
    <xf numFmtId="1" fontId="265" fillId="0" borderId="0" xfId="0" applyNumberFormat="1" applyFont="1"/>
    <xf numFmtId="1" fontId="267" fillId="0" borderId="0" xfId="0" applyNumberFormat="1" applyFont="1" applyAlignment="1" applyProtection="1">
      <alignment horizontal="center" vertical="center"/>
      <protection locked="0"/>
    </xf>
    <xf numFmtId="0" fontId="7" fillId="0" borderId="0" xfId="504" applyFont="1"/>
    <xf numFmtId="0" fontId="45" fillId="0" borderId="0" xfId="504" applyFont="1"/>
    <xf numFmtId="164" fontId="141" fillId="0" borderId="42" xfId="504" applyNumberFormat="1" applyFont="1" applyBorder="1"/>
    <xf numFmtId="0" fontId="141" fillId="0" borderId="42" xfId="504" applyFont="1" applyBorder="1"/>
    <xf numFmtId="0" fontId="50" fillId="0" borderId="0" xfId="504" applyFont="1"/>
    <xf numFmtId="0" fontId="141" fillId="0" borderId="10" xfId="504" applyFont="1" applyBorder="1" applyAlignment="1">
      <alignment horizontal="center"/>
    </xf>
    <xf numFmtId="0" fontId="82" fillId="0" borderId="0" xfId="504" applyFont="1" applyAlignment="1">
      <alignment horizontal="center"/>
    </xf>
    <xf numFmtId="1" fontId="264" fillId="84" borderId="25" xfId="0" applyNumberFormat="1" applyFont="1" applyFill="1" applyBorder="1" applyAlignment="1" applyProtection="1">
      <alignment horizontal="center" vertical="center"/>
      <protection locked="0"/>
    </xf>
    <xf numFmtId="1" fontId="221" fillId="0" borderId="0" xfId="0" applyNumberFormat="1" applyFont="1" applyFill="1"/>
    <xf numFmtId="0" fontId="268" fillId="0" borderId="0" xfId="0" applyFont="1"/>
    <xf numFmtId="1" fontId="49" fillId="90" borderId="278" xfId="0" applyNumberFormat="1" applyFont="1" applyFill="1" applyBorder="1" applyAlignment="1" applyProtection="1">
      <alignment horizontal="center" vertical="center"/>
      <protection locked="0"/>
    </xf>
    <xf numFmtId="1" fontId="49" fillId="90" borderId="100" xfId="0" applyNumberFormat="1" applyFont="1" applyFill="1" applyBorder="1" applyAlignment="1" applyProtection="1">
      <alignment horizontal="center" vertical="center"/>
      <protection locked="0"/>
    </xf>
    <xf numFmtId="1" fontId="204" fillId="39" borderId="80" xfId="0" applyNumberFormat="1" applyFont="1" applyFill="1" applyBorder="1" applyAlignment="1" applyProtection="1">
      <alignment horizontal="center" vertical="center"/>
      <protection locked="0"/>
    </xf>
    <xf numFmtId="14" fontId="209" fillId="31" borderId="68" xfId="0" applyNumberFormat="1" applyFont="1" applyFill="1" applyBorder="1" applyAlignment="1">
      <alignment vertical="center"/>
    </xf>
    <xf numFmtId="14" fontId="209" fillId="31" borderId="0" xfId="0" applyNumberFormat="1" applyFont="1" applyFill="1" applyAlignment="1">
      <alignment vertical="center"/>
    </xf>
    <xf numFmtId="0" fontId="209" fillId="31" borderId="190" xfId="0" applyFont="1" applyFill="1" applyBorder="1" applyAlignment="1">
      <alignment horizontal="left" vertical="center"/>
    </xf>
    <xf numFmtId="0" fontId="209" fillId="31" borderId="68" xfId="0" applyFont="1" applyFill="1" applyBorder="1" applyAlignment="1">
      <alignment horizontal="left" vertical="center"/>
    </xf>
    <xf numFmtId="14" fontId="209" fillId="31" borderId="0" xfId="0" applyNumberFormat="1" applyFont="1" applyFill="1" applyBorder="1" applyAlignment="1">
      <alignment vertical="center"/>
    </xf>
    <xf numFmtId="1" fontId="214" fillId="0" borderId="0" xfId="0" applyNumberFormat="1" applyFont="1" applyFill="1" applyBorder="1" applyAlignment="1">
      <alignment horizontal="center" vertical="center"/>
    </xf>
    <xf numFmtId="1" fontId="49" fillId="94" borderId="271" xfId="0" applyNumberFormat="1" applyFont="1" applyFill="1" applyBorder="1" applyAlignment="1">
      <alignment horizontal="center" vertical="center"/>
    </xf>
    <xf numFmtId="1" fontId="49" fillId="94" borderId="272" xfId="0" applyNumberFormat="1" applyFont="1" applyFill="1" applyBorder="1" applyAlignment="1">
      <alignment horizontal="center" vertical="center"/>
    </xf>
    <xf numFmtId="1" fontId="49" fillId="49" borderId="272" xfId="0" applyNumberFormat="1" applyFont="1" applyFill="1" applyBorder="1" applyAlignment="1">
      <alignment horizontal="center" vertical="center"/>
    </xf>
    <xf numFmtId="1" fontId="49" fillId="94" borderId="166" xfId="0" applyNumberFormat="1" applyFont="1" applyFill="1" applyBorder="1" applyAlignment="1">
      <alignment horizontal="center" vertical="center"/>
    </xf>
    <xf numFmtId="1" fontId="259" fillId="35" borderId="188" xfId="0" applyNumberFormat="1" applyFont="1" applyFill="1" applyBorder="1" applyAlignment="1">
      <alignment horizontal="center" vertical="center"/>
    </xf>
    <xf numFmtId="14" fontId="209" fillId="0" borderId="84" xfId="0" applyNumberFormat="1" applyFont="1" applyFill="1" applyBorder="1" applyAlignment="1">
      <alignment vertical="center"/>
    </xf>
    <xf numFmtId="1" fontId="49" fillId="94" borderId="271" xfId="0" quotePrefix="1" applyNumberFormat="1" applyFont="1" applyFill="1" applyBorder="1" applyAlignment="1">
      <alignment horizontal="center" vertical="center"/>
    </xf>
    <xf numFmtId="1" fontId="49" fillId="94" borderId="272" xfId="0" quotePrefix="1" applyNumberFormat="1" applyFont="1" applyFill="1" applyBorder="1" applyAlignment="1">
      <alignment horizontal="center" vertical="center"/>
    </xf>
    <xf numFmtId="1" fontId="49" fillId="49" borderId="272" xfId="0" quotePrefix="1" applyNumberFormat="1" applyFont="1" applyFill="1" applyBorder="1" applyAlignment="1">
      <alignment horizontal="center" vertical="center"/>
    </xf>
    <xf numFmtId="1" fontId="49" fillId="94" borderId="166" xfId="0" quotePrefix="1" applyNumberFormat="1" applyFont="1" applyFill="1" applyBorder="1" applyAlignment="1">
      <alignment horizontal="center" vertical="center"/>
    </xf>
    <xf numFmtId="173" fontId="0" fillId="0" borderId="0" xfId="401" applyNumberFormat="1" applyFont="1"/>
    <xf numFmtId="166" fontId="92" fillId="0" borderId="0" xfId="271" applyNumberFormat="1" applyFont="1" applyFill="1" applyBorder="1" applyAlignment="1">
      <alignment horizontal="center" vertical="center"/>
    </xf>
    <xf numFmtId="166" fontId="141" fillId="99" borderId="44" xfId="271" applyNumberFormat="1" applyFont="1" applyFill="1" applyBorder="1" applyAlignment="1">
      <alignment vertical="center"/>
    </xf>
    <xf numFmtId="14" fontId="142" fillId="0" borderId="126" xfId="428" applyNumberFormat="1" applyFont="1" applyFill="1" applyBorder="1" applyAlignment="1">
      <alignment horizontal="left" vertical="center"/>
    </xf>
    <xf numFmtId="1" fontId="204" fillId="71" borderId="283" xfId="0" applyNumberFormat="1" applyFont="1" applyFill="1" applyBorder="1" applyAlignment="1">
      <alignment horizontal="center" vertical="center"/>
    </xf>
    <xf numFmtId="0" fontId="7" fillId="0" borderId="288" xfId="428" applyFont="1" applyFill="1" applyBorder="1" applyAlignment="1">
      <alignment horizontal="center" vertical="center"/>
    </xf>
    <xf numFmtId="20" fontId="143" fillId="0" borderId="285" xfId="428" applyNumberFormat="1" applyFont="1" applyFill="1" applyBorder="1" applyAlignment="1">
      <alignment vertical="center"/>
    </xf>
    <xf numFmtId="173" fontId="49" fillId="0" borderId="284" xfId="429" applyNumberFormat="1" applyFont="1" applyFill="1" applyBorder="1" applyAlignment="1">
      <alignment vertical="center"/>
    </xf>
    <xf numFmtId="0" fontId="49" fillId="0" borderId="285" xfId="428" applyFont="1" applyFill="1" applyBorder="1" applyAlignment="1">
      <alignment vertical="center"/>
    </xf>
    <xf numFmtId="0" fontId="49" fillId="0" borderId="287" xfId="428" applyFont="1" applyFill="1" applyBorder="1" applyAlignment="1">
      <alignment horizontal="center" vertical="center"/>
    </xf>
    <xf numFmtId="0" fontId="49" fillId="0" borderId="288" xfId="428" applyFont="1" applyFill="1" applyBorder="1" applyAlignment="1">
      <alignment horizontal="center" vertical="center"/>
    </xf>
    <xf numFmtId="0" fontId="49" fillId="0" borderId="286" xfId="436" applyFont="1" applyFill="1" applyBorder="1" applyAlignment="1">
      <alignment horizontal="center" vertical="center"/>
    </xf>
    <xf numFmtId="1" fontId="49" fillId="0" borderId="287" xfId="428" applyNumberFormat="1" applyFont="1" applyFill="1" applyBorder="1" applyAlignment="1">
      <alignment horizontal="center" vertical="center"/>
    </xf>
    <xf numFmtId="1" fontId="49" fillId="0" borderId="290" xfId="428" applyNumberFormat="1" applyFont="1" applyFill="1" applyBorder="1" applyAlignment="1" applyProtection="1">
      <alignment horizontal="center" vertical="center"/>
      <protection locked="0"/>
    </xf>
    <xf numFmtId="0" fontId="49" fillId="0" borderId="284" xfId="423" applyNumberFormat="1" applyFont="1" applyBorder="1"/>
    <xf numFmtId="0" fontId="209" fillId="31" borderId="289" xfId="428" applyNumberFormat="1" applyFont="1" applyFill="1" applyBorder="1" applyAlignment="1">
      <alignment horizontal="left" vertical="center"/>
    </xf>
    <xf numFmtId="14" fontId="209" fillId="0" borderId="289" xfId="0" applyNumberFormat="1" applyFont="1" applyFill="1" applyBorder="1" applyAlignment="1">
      <alignment horizontal="left" vertical="center"/>
    </xf>
    <xf numFmtId="166" fontId="141" fillId="70" borderId="44" xfId="271" applyNumberFormat="1" applyFont="1" applyFill="1" applyBorder="1" applyAlignment="1">
      <alignment vertical="center"/>
    </xf>
    <xf numFmtId="166" fontId="141" fillId="70" borderId="72" xfId="271" applyNumberFormat="1" applyFont="1" applyFill="1" applyBorder="1" applyAlignment="1">
      <alignment vertical="center"/>
    </xf>
    <xf numFmtId="1" fontId="204" fillId="71" borderId="291" xfId="0" applyNumberFormat="1" applyFont="1" applyFill="1" applyBorder="1" applyAlignment="1">
      <alignment horizontal="center" vertical="center"/>
    </xf>
    <xf numFmtId="1" fontId="270" fillId="35" borderId="188" xfId="0" applyNumberFormat="1" applyFont="1" applyFill="1" applyBorder="1" applyAlignment="1">
      <alignment horizontal="center" vertical="center"/>
    </xf>
    <xf numFmtId="1" fontId="204" fillId="71" borderId="292" xfId="0" applyNumberFormat="1" applyFont="1" applyFill="1" applyBorder="1" applyAlignment="1">
      <alignment horizontal="center" vertical="center"/>
    </xf>
    <xf numFmtId="0" fontId="7" fillId="0" borderId="298" xfId="0" applyFont="1" applyFill="1" applyBorder="1" applyAlignment="1">
      <alignment horizontal="center" vertical="center"/>
    </xf>
    <xf numFmtId="0" fontId="49" fillId="0" borderId="294" xfId="423" applyNumberFormat="1" applyFont="1" applyBorder="1"/>
    <xf numFmtId="0" fontId="109" fillId="0" borderId="0" xfId="0" applyFont="1" applyFill="1" applyBorder="1"/>
    <xf numFmtId="165" fontId="109" fillId="0" borderId="0" xfId="0" applyNumberFormat="1" applyFont="1" applyFill="1" applyBorder="1"/>
    <xf numFmtId="0" fontId="50" fillId="0" borderId="0" xfId="434" applyNumberFormat="1" applyFont="1" applyFill="1" applyBorder="1" applyAlignment="1">
      <alignment vertical="center"/>
    </xf>
    <xf numFmtId="0" fontId="7" fillId="0" borderId="239" xfId="428" applyFont="1" applyFill="1" applyBorder="1" applyAlignment="1">
      <alignment horizontal="center" vertical="center"/>
    </xf>
    <xf numFmtId="166" fontId="141" fillId="99" borderId="72" xfId="271" applyNumberFormat="1" applyFont="1" applyFill="1" applyBorder="1" applyAlignment="1">
      <alignment vertical="center"/>
    </xf>
    <xf numFmtId="0" fontId="269" fillId="0" borderId="0" xfId="0" applyNumberFormat="1" applyFont="1" applyFill="1" applyAlignment="1" applyProtection="1"/>
    <xf numFmtId="0" fontId="273" fillId="0" borderId="13" xfId="0" applyFont="1" applyBorder="1"/>
    <xf numFmtId="0" fontId="273" fillId="0" borderId="301" xfId="0" applyFont="1" applyBorder="1"/>
    <xf numFmtId="173" fontId="89" fillId="0" borderId="301" xfId="401" applyNumberFormat="1" applyFont="1" applyBorder="1"/>
    <xf numFmtId="173" fontId="274" fillId="0" borderId="13" xfId="401" applyNumberFormat="1" applyFont="1" applyBorder="1" applyAlignment="1">
      <alignment horizontal="left"/>
    </xf>
    <xf numFmtId="173" fontId="274" fillId="0" borderId="13" xfId="401" applyNumberFormat="1" applyFont="1" applyBorder="1"/>
    <xf numFmtId="1" fontId="204" fillId="79" borderId="302" xfId="0" applyNumberFormat="1" applyFont="1" applyFill="1" applyBorder="1" applyAlignment="1" applyProtection="1">
      <alignment horizontal="center" vertical="center"/>
      <protection locked="0"/>
    </xf>
    <xf numFmtId="166" fontId="204" fillId="79" borderId="302" xfId="271" applyNumberFormat="1" applyFont="1" applyFill="1" applyBorder="1" applyAlignment="1">
      <alignment horizontal="center" vertical="center"/>
    </xf>
    <xf numFmtId="1" fontId="204" fillId="78" borderId="302" xfId="0" applyNumberFormat="1" applyFont="1" applyFill="1" applyBorder="1" applyAlignment="1" applyProtection="1">
      <alignment horizontal="center" vertical="center"/>
      <protection locked="0"/>
    </xf>
    <xf numFmtId="1" fontId="204" fillId="79" borderId="303" xfId="0" applyNumberFormat="1" applyFont="1" applyFill="1" applyBorder="1" applyAlignment="1" applyProtection="1">
      <alignment horizontal="center" vertical="center"/>
      <protection locked="0"/>
    </xf>
    <xf numFmtId="1" fontId="204" fillId="39" borderId="302" xfId="0" applyNumberFormat="1" applyFont="1" applyFill="1" applyBorder="1" applyAlignment="1" applyProtection="1">
      <alignment horizontal="center" vertical="center"/>
      <protection locked="0"/>
    </xf>
    <xf numFmtId="1" fontId="270" fillId="35" borderId="188" xfId="0" applyNumberFormat="1" applyFont="1" applyFill="1" applyBorder="1" applyAlignment="1" applyProtection="1">
      <alignment horizontal="center" vertical="center"/>
      <protection locked="0"/>
    </xf>
    <xf numFmtId="1" fontId="204" fillId="39" borderId="283" xfId="0" applyNumberFormat="1" applyFont="1" applyFill="1" applyBorder="1" applyAlignment="1" applyProtection="1">
      <alignment horizontal="center" vertical="center"/>
      <protection locked="0"/>
    </xf>
    <xf numFmtId="1" fontId="204" fillId="39" borderId="292" xfId="0" applyNumberFormat="1" applyFont="1" applyFill="1" applyBorder="1" applyAlignment="1" applyProtection="1">
      <alignment horizontal="center" vertical="center"/>
      <protection locked="0"/>
    </xf>
    <xf numFmtId="0" fontId="209" fillId="31" borderId="68" xfId="0" applyNumberFormat="1" applyFont="1" applyFill="1" applyBorder="1" applyAlignment="1">
      <alignment vertical="center"/>
    </xf>
    <xf numFmtId="1" fontId="262" fillId="93" borderId="0" xfId="0" quotePrefix="1" applyNumberFormat="1" applyFont="1" applyFill="1" applyBorder="1" applyAlignment="1" applyProtection="1">
      <alignment horizontal="center" vertical="center"/>
      <protection locked="0"/>
    </xf>
    <xf numFmtId="1" fontId="262" fillId="80" borderId="0" xfId="0" quotePrefix="1" applyNumberFormat="1" applyFont="1" applyFill="1" applyBorder="1" applyAlignment="1" applyProtection="1">
      <alignment horizontal="center" vertical="center"/>
      <protection locked="0"/>
    </xf>
    <xf numFmtId="1" fontId="204" fillId="39" borderId="304" xfId="0" applyNumberFormat="1" applyFont="1" applyFill="1" applyBorder="1" applyAlignment="1" applyProtection="1">
      <alignment horizontal="center" vertical="center"/>
      <protection locked="0"/>
    </xf>
    <xf numFmtId="1" fontId="270" fillId="35" borderId="62" xfId="0" applyNumberFormat="1" applyFont="1" applyFill="1" applyBorder="1" applyAlignment="1" applyProtection="1">
      <alignment horizontal="center" vertical="center"/>
      <protection locked="0"/>
    </xf>
    <xf numFmtId="0" fontId="29" fillId="0" borderId="31" xfId="0" applyFont="1" applyBorder="1" applyAlignment="1">
      <alignment horizontal="center" vertical="center"/>
    </xf>
    <xf numFmtId="0" fontId="29" fillId="0" borderId="22" xfId="428" applyFont="1" applyFill="1" applyBorder="1" applyAlignment="1">
      <alignment horizontal="left" vertical="center"/>
    </xf>
    <xf numFmtId="0" fontId="29" fillId="0" borderId="17" xfId="428" applyFont="1" applyFill="1" applyBorder="1" applyAlignment="1">
      <alignment horizontal="left" vertical="center"/>
    </xf>
    <xf numFmtId="0" fontId="29" fillId="0" borderId="18" xfId="428" applyFont="1" applyFill="1" applyBorder="1" applyAlignment="1">
      <alignment horizontal="left" vertical="center"/>
    </xf>
    <xf numFmtId="0" fontId="277" fillId="0" borderId="0" xfId="0" applyFont="1" applyAlignment="1">
      <alignment horizontal="center" vertical="center"/>
    </xf>
    <xf numFmtId="0" fontId="278" fillId="0" borderId="0" xfId="0" applyFont="1" applyAlignment="1">
      <alignment horizontal="center" vertical="center"/>
    </xf>
    <xf numFmtId="0" fontId="168" fillId="0" borderId="14" xfId="0" applyFont="1" applyBorder="1" applyAlignment="1">
      <alignment vertical="center"/>
    </xf>
    <xf numFmtId="0" fontId="168" fillId="0" borderId="15" xfId="0" applyFont="1" applyBorder="1" applyAlignment="1">
      <alignment vertical="center"/>
    </xf>
    <xf numFmtId="0" fontId="168" fillId="0" borderId="30" xfId="0" applyFont="1" applyBorder="1" applyAlignment="1">
      <alignment vertical="center"/>
    </xf>
    <xf numFmtId="0" fontId="94" fillId="0" borderId="10" xfId="0" applyFont="1" applyBorder="1" applyAlignment="1">
      <alignment horizontal="center" vertical="center"/>
    </xf>
    <xf numFmtId="0" fontId="94" fillId="0" borderId="10" xfId="0" applyFont="1" applyBorder="1" applyAlignment="1">
      <alignment horizontal="center"/>
    </xf>
    <xf numFmtId="0" fontId="94" fillId="0" borderId="14" xfId="0" applyFont="1" applyBorder="1" applyAlignment="1"/>
    <xf numFmtId="0" fontId="94" fillId="0" borderId="15" xfId="0" applyFont="1" applyBorder="1" applyAlignment="1"/>
    <xf numFmtId="0" fontId="94" fillId="0" borderId="30" xfId="0" applyFont="1" applyBorder="1" applyAlignment="1"/>
    <xf numFmtId="0" fontId="0" fillId="0" borderId="31" xfId="0" applyBorder="1" applyAlignment="1">
      <alignment horizontal="center"/>
    </xf>
    <xf numFmtId="1" fontId="29" fillId="0" borderId="10" xfId="0" applyNumberFormat="1" applyFont="1" applyBorder="1" applyAlignment="1">
      <alignment horizontal="center" vertical="center"/>
    </xf>
    <xf numFmtId="0" fontId="94" fillId="0" borderId="0" xfId="0" applyFont="1" applyAlignment="1">
      <alignment horizontal="left"/>
    </xf>
    <xf numFmtId="1" fontId="169" fillId="0" borderId="14" xfId="0" applyNumberFormat="1" applyFont="1" applyBorder="1" applyAlignment="1">
      <alignment horizontal="center" vertical="center"/>
    </xf>
    <xf numFmtId="0" fontId="94" fillId="0" borderId="88" xfId="0" applyFont="1" applyBorder="1" applyAlignment="1">
      <alignment horizontal="center" vertical="center"/>
    </xf>
    <xf numFmtId="0" fontId="163" fillId="0" borderId="179" xfId="0" applyFont="1" applyBorder="1" applyAlignment="1">
      <alignment vertical="center"/>
    </xf>
    <xf numFmtId="0" fontId="94" fillId="0" borderId="179" xfId="0" applyFont="1" applyBorder="1" applyAlignment="1">
      <alignment vertical="center"/>
    </xf>
    <xf numFmtId="0" fontId="94" fillId="0" borderId="46" xfId="0" applyFont="1" applyBorder="1" applyAlignment="1">
      <alignment vertical="center"/>
    </xf>
    <xf numFmtId="0" fontId="94" fillId="0" borderId="47" xfId="0" applyFont="1" applyBorder="1" applyAlignment="1">
      <alignment horizontal="center" vertical="center"/>
    </xf>
    <xf numFmtId="0" fontId="164" fillId="0" borderId="0" xfId="0" applyFont="1" applyBorder="1" applyAlignment="1">
      <alignment vertical="center"/>
    </xf>
    <xf numFmtId="0" fontId="165" fillId="0" borderId="0" xfId="0" applyFont="1" applyBorder="1" applyAlignment="1">
      <alignment vertical="center"/>
    </xf>
    <xf numFmtId="0" fontId="166" fillId="0" borderId="0" xfId="0" applyFont="1" applyBorder="1" applyAlignment="1">
      <alignment vertical="center"/>
    </xf>
    <xf numFmtId="15" fontId="166" fillId="0" borderId="0" xfId="0" applyNumberFormat="1" applyFont="1" applyBorder="1" applyAlignment="1">
      <alignment vertical="center"/>
    </xf>
    <xf numFmtId="0" fontId="29" fillId="0" borderId="26" xfId="0" applyFont="1" applyBorder="1" applyAlignment="1">
      <alignment horizontal="center" vertical="center"/>
    </xf>
    <xf numFmtId="0" fontId="29" fillId="31" borderId="106" xfId="0" applyFont="1" applyFill="1" applyBorder="1" applyAlignment="1">
      <alignment horizontal="center" vertical="center"/>
    </xf>
    <xf numFmtId="0" fontId="94" fillId="0" borderId="36" xfId="0" applyFont="1" applyBorder="1" applyAlignment="1">
      <alignment horizontal="center"/>
    </xf>
    <xf numFmtId="0" fontId="175" fillId="0" borderId="34" xfId="428" applyFont="1" applyFill="1" applyBorder="1" applyAlignment="1">
      <alignment horizontal="center" vertical="center"/>
    </xf>
    <xf numFmtId="0" fontId="99" fillId="0" borderId="35" xfId="0" applyFont="1" applyBorder="1" applyAlignment="1">
      <alignment horizontal="center"/>
    </xf>
    <xf numFmtId="0" fontId="225" fillId="58" borderId="0" xfId="0" applyFont="1" applyFill="1" applyAlignment="1">
      <alignment horizontal="center"/>
    </xf>
    <xf numFmtId="0" fontId="29" fillId="0" borderId="106" xfId="0" applyFont="1" applyBorder="1" applyAlignment="1">
      <alignment horizontal="center" vertical="center"/>
    </xf>
    <xf numFmtId="0" fontId="170" fillId="0" borderId="27" xfId="500" applyNumberFormat="1" applyFont="1" applyFill="1" applyBorder="1" applyAlignment="1">
      <alignment horizontal="left" vertical="center"/>
    </xf>
    <xf numFmtId="0" fontId="170" fillId="0" borderId="27" xfId="0" applyNumberFormat="1" applyFont="1" applyBorder="1" applyAlignment="1">
      <alignment horizontal="left" vertical="center"/>
    </xf>
    <xf numFmtId="0" fontId="170" fillId="0" borderId="27" xfId="414" applyNumberFormat="1" applyFont="1" applyFill="1" applyBorder="1" applyAlignment="1">
      <alignment horizontal="left" vertical="center"/>
    </xf>
    <xf numFmtId="0" fontId="170" fillId="0" borderId="105" xfId="0" applyNumberFormat="1" applyFont="1" applyBorder="1" applyAlignment="1">
      <alignment horizontal="left" vertical="center"/>
    </xf>
    <xf numFmtId="0" fontId="167" fillId="0" borderId="92" xfId="0" applyFont="1" applyBorder="1" applyAlignment="1">
      <alignment horizontal="center" vertical="center"/>
    </xf>
    <xf numFmtId="0" fontId="167" fillId="0" borderId="94" xfId="0" applyFont="1" applyBorder="1" applyAlignment="1">
      <alignment vertical="center"/>
    </xf>
    <xf numFmtId="0" fontId="167" fillId="0" borderId="189" xfId="0" applyFont="1" applyBorder="1" applyAlignment="1">
      <alignment vertical="center"/>
    </xf>
    <xf numFmtId="0" fontId="167" fillId="0" borderId="194" xfId="0" applyFont="1" applyBorder="1" applyAlignment="1">
      <alignment horizontal="center" vertical="center"/>
    </xf>
    <xf numFmtId="0" fontId="167" fillId="0" borderId="94" xfId="0" applyFont="1" applyBorder="1" applyAlignment="1">
      <alignment horizontal="center" vertical="center"/>
    </xf>
    <xf numFmtId="0" fontId="168" fillId="0" borderId="306" xfId="0" applyFont="1" applyBorder="1" applyAlignment="1">
      <alignment horizontal="center" vertical="center"/>
    </xf>
    <xf numFmtId="0" fontId="167" fillId="0" borderId="185" xfId="0" applyFont="1" applyBorder="1" applyAlignment="1">
      <alignment vertical="center"/>
    </xf>
    <xf numFmtId="0" fontId="167" fillId="0" borderId="197" xfId="0" applyFont="1" applyBorder="1" applyAlignment="1">
      <alignment horizontal="center" vertical="center"/>
    </xf>
    <xf numFmtId="0" fontId="167" fillId="0" borderId="185" xfId="0" applyFont="1" applyBorder="1" applyAlignment="1">
      <alignment horizontal="center" vertical="center"/>
    </xf>
    <xf numFmtId="0" fontId="56" fillId="0" borderId="159" xfId="0" applyFont="1" applyBorder="1" applyAlignment="1">
      <alignment horizontal="right"/>
    </xf>
    <xf numFmtId="0" fontId="127" fillId="0" borderId="0" xfId="0" applyFont="1" applyBorder="1" applyAlignment="1">
      <alignment horizontal="right"/>
    </xf>
    <xf numFmtId="0" fontId="99" fillId="0" borderId="34" xfId="0" applyFont="1" applyBorder="1" applyAlignment="1">
      <alignment horizontal="center"/>
    </xf>
    <xf numFmtId="0" fontId="170" fillId="0" borderId="57" xfId="500" applyNumberFormat="1" applyFont="1" applyFill="1" applyBorder="1" applyAlignment="1">
      <alignment horizontal="left" vertical="center"/>
    </xf>
    <xf numFmtId="14" fontId="170" fillId="0" borderId="27" xfId="500" applyNumberFormat="1" applyFont="1" applyFill="1" applyBorder="1" applyAlignment="1" applyProtection="1">
      <alignment horizontal="left" vertical="center"/>
    </xf>
    <xf numFmtId="14" fontId="170" fillId="0" borderId="27" xfId="0" applyNumberFormat="1" applyFont="1" applyFill="1" applyBorder="1" applyAlignment="1">
      <alignment horizontal="left" vertical="center"/>
    </xf>
    <xf numFmtId="49" fontId="170" fillId="0" borderId="27" xfId="500" applyNumberFormat="1" applyFont="1" applyFill="1" applyBorder="1" applyAlignment="1">
      <alignment horizontal="left" vertical="center"/>
    </xf>
    <xf numFmtId="0" fontId="170" fillId="0" borderId="187" xfId="0" applyNumberFormat="1" applyFont="1" applyFill="1" applyBorder="1" applyAlignment="1">
      <alignment horizontal="left" vertical="center"/>
    </xf>
    <xf numFmtId="0" fontId="7" fillId="0" borderId="310" xfId="428" applyFont="1" applyFill="1" applyBorder="1" applyAlignment="1">
      <alignment horizontal="center" vertical="center"/>
    </xf>
    <xf numFmtId="0" fontId="170" fillId="0" borderId="27" xfId="0" applyNumberFormat="1" applyFont="1" applyFill="1" applyBorder="1" applyAlignment="1">
      <alignment horizontal="left" vertical="center"/>
    </xf>
    <xf numFmtId="20" fontId="225" fillId="0" borderId="0" xfId="0" applyNumberFormat="1" applyFont="1"/>
    <xf numFmtId="0" fontId="279" fillId="0" borderId="27" xfId="0" applyNumberFormat="1" applyFont="1" applyBorder="1" applyAlignment="1">
      <alignment horizontal="left" vertical="center"/>
    </xf>
    <xf numFmtId="49" fontId="170" fillId="0" borderId="27" xfId="0" applyNumberFormat="1" applyFont="1" applyBorder="1" applyAlignment="1">
      <alignment horizontal="left" vertical="center"/>
    </xf>
    <xf numFmtId="2" fontId="205" fillId="53" borderId="62" xfId="0" applyNumberFormat="1" applyFont="1" applyFill="1" applyBorder="1" applyAlignment="1" applyProtection="1">
      <alignment horizontal="center" vertical="center"/>
      <protection locked="0"/>
    </xf>
    <xf numFmtId="0" fontId="281" fillId="0" borderId="0" xfId="0" applyFont="1" applyBorder="1"/>
    <xf numFmtId="0" fontId="283" fillId="0" borderId="48" xfId="0" applyFont="1" applyBorder="1"/>
    <xf numFmtId="1" fontId="204" fillId="71" borderId="312" xfId="0" applyNumberFormat="1" applyFont="1" applyFill="1" applyBorder="1" applyAlignment="1">
      <alignment horizontal="center" vertical="center"/>
    </xf>
    <xf numFmtId="1" fontId="204" fillId="71" borderId="319" xfId="0" applyNumberFormat="1" applyFont="1" applyFill="1" applyBorder="1" applyAlignment="1">
      <alignment horizontal="center" vertical="center"/>
    </xf>
    <xf numFmtId="1" fontId="204" fillId="71" borderId="311" xfId="0" applyNumberFormat="1" applyFont="1" applyFill="1" applyBorder="1" applyAlignment="1">
      <alignment horizontal="center" vertical="center"/>
    </xf>
    <xf numFmtId="1" fontId="49" fillId="92" borderId="320" xfId="0" applyNumberFormat="1" applyFont="1" applyFill="1" applyBorder="1" applyAlignment="1" applyProtection="1">
      <alignment horizontal="center" vertical="center"/>
      <protection locked="0"/>
    </xf>
    <xf numFmtId="1" fontId="49" fillId="92" borderId="311" xfId="0" applyNumberFormat="1" applyFont="1" applyFill="1" applyBorder="1" applyAlignment="1" applyProtection="1">
      <alignment horizontal="center" vertical="center"/>
      <protection locked="0"/>
    </xf>
    <xf numFmtId="1" fontId="49" fillId="92" borderId="312" xfId="0" applyNumberFormat="1" applyFont="1" applyFill="1" applyBorder="1" applyAlignment="1" applyProtection="1">
      <alignment horizontal="center" vertical="center"/>
      <protection locked="0"/>
    </xf>
    <xf numFmtId="1" fontId="49" fillId="91" borderId="312" xfId="0" applyNumberFormat="1" applyFont="1" applyFill="1" applyBorder="1" applyAlignment="1" applyProtection="1">
      <alignment horizontal="center" vertical="center"/>
      <protection locked="0"/>
    </xf>
    <xf numFmtId="1" fontId="49" fillId="92" borderId="319" xfId="0" applyNumberFormat="1" applyFont="1" applyFill="1" applyBorder="1" applyAlignment="1" applyProtection="1">
      <alignment horizontal="center" vertical="center"/>
      <protection locked="0"/>
    </xf>
    <xf numFmtId="0" fontId="7" fillId="0" borderId="314" xfId="0" applyFont="1" applyFill="1" applyBorder="1" applyAlignment="1">
      <alignment horizontal="center" vertical="center"/>
    </xf>
    <xf numFmtId="0" fontId="49" fillId="0" borderId="315" xfId="423" applyNumberFormat="1" applyFont="1" applyBorder="1"/>
    <xf numFmtId="0" fontId="49" fillId="0" borderId="313" xfId="428" applyFont="1" applyFill="1" applyBorder="1" applyAlignment="1">
      <alignment horizontal="center" vertical="center"/>
    </xf>
    <xf numFmtId="0" fontId="49" fillId="0" borderId="313" xfId="423" applyNumberFormat="1" applyFont="1" applyBorder="1"/>
    <xf numFmtId="0" fontId="49" fillId="0" borderId="326" xfId="429" applyNumberFormat="1" applyFont="1" applyFill="1" applyBorder="1" applyAlignment="1">
      <alignment vertical="center"/>
    </xf>
    <xf numFmtId="0" fontId="49" fillId="0" borderId="327" xfId="428" applyFont="1" applyFill="1" applyBorder="1" applyAlignment="1">
      <alignment vertical="center"/>
    </xf>
    <xf numFmtId="0" fontId="49" fillId="0" borderId="328" xfId="428" applyFont="1" applyFill="1" applyBorder="1" applyAlignment="1">
      <alignment vertical="center"/>
    </xf>
    <xf numFmtId="0" fontId="49" fillId="0" borderId="329" xfId="423" applyNumberFormat="1" applyFont="1" applyBorder="1"/>
    <xf numFmtId="0" fontId="49" fillId="0" borderId="329" xfId="0" applyFont="1" applyFill="1" applyBorder="1" applyAlignment="1">
      <alignment horizontal="center" vertical="center"/>
    </xf>
    <xf numFmtId="0" fontId="49" fillId="0" borderId="329" xfId="428" applyFont="1" applyFill="1" applyBorder="1" applyAlignment="1">
      <alignment horizontal="center" vertical="center"/>
    </xf>
    <xf numFmtId="0" fontId="49" fillId="0" borderId="313" xfId="0" applyFont="1" applyFill="1" applyBorder="1" applyAlignment="1">
      <alignment horizontal="center" vertical="center"/>
    </xf>
    <xf numFmtId="0" fontId="273" fillId="0" borderId="0" xfId="0" applyFont="1" applyBorder="1"/>
    <xf numFmtId="0" fontId="123" fillId="0" borderId="0" xfId="0" applyFont="1"/>
    <xf numFmtId="0" fontId="123" fillId="0" borderId="0" xfId="0" applyFont="1" applyBorder="1"/>
    <xf numFmtId="0" fontId="271" fillId="0" borderId="0" xfId="0" applyFont="1" applyAlignment="1">
      <alignment horizontal="center" vertical="center"/>
    </xf>
    <xf numFmtId="0" fontId="280" fillId="0" borderId="0" xfId="0" applyFont="1" applyBorder="1" applyAlignment="1" applyProtection="1">
      <alignment horizontal="center" vertical="top"/>
      <protection locked="0"/>
    </xf>
    <xf numFmtId="0" fontId="280" fillId="0" borderId="0" xfId="0" applyFont="1" applyFill="1" applyBorder="1" applyAlignment="1" applyProtection="1">
      <alignment horizontal="center" vertical="top"/>
      <protection locked="0"/>
    </xf>
    <xf numFmtId="0" fontId="287" fillId="0" borderId="0" xfId="0" applyFont="1" applyBorder="1" applyAlignment="1">
      <alignment vertical="top"/>
    </xf>
    <xf numFmtId="0" fontId="286" fillId="0" borderId="0" xfId="0" applyFont="1" applyFill="1" applyBorder="1" applyAlignment="1">
      <alignment vertical="top"/>
    </xf>
    <xf numFmtId="0" fontId="287" fillId="0" borderId="0" xfId="0" applyFont="1" applyBorder="1" applyAlignment="1"/>
    <xf numFmtId="173" fontId="13" fillId="0" borderId="301" xfId="435" applyNumberFormat="1" applyFont="1" applyBorder="1" applyProtection="1"/>
    <xf numFmtId="165" fontId="103" fillId="0" borderId="10" xfId="375" applyNumberFormat="1" applyFont="1" applyFill="1" applyBorder="1" applyAlignment="1">
      <alignment horizontal="center" vertical="center"/>
    </xf>
    <xf numFmtId="165" fontId="103" fillId="0" borderId="10" xfId="375" applyNumberFormat="1" applyFont="1" applyBorder="1" applyAlignment="1">
      <alignment horizontal="center" vertical="center"/>
    </xf>
    <xf numFmtId="0" fontId="123" fillId="0" borderId="0" xfId="0" applyFont="1" applyBorder="1" applyAlignment="1">
      <alignment vertical="center"/>
    </xf>
    <xf numFmtId="0" fontId="49" fillId="34" borderId="0" xfId="0" applyFont="1" applyFill="1" applyAlignment="1">
      <alignment horizontal="center" vertical="center"/>
    </xf>
    <xf numFmtId="1" fontId="49" fillId="42" borderId="28" xfId="0" applyNumberFormat="1" applyFont="1" applyFill="1" applyBorder="1" applyAlignment="1" applyProtection="1">
      <alignment horizontal="center" vertical="center"/>
      <protection locked="0"/>
    </xf>
    <xf numFmtId="1" fontId="49" fillId="42" borderId="80" xfId="0" applyNumberFormat="1" applyFont="1" applyFill="1" applyBorder="1" applyAlignment="1" applyProtection="1">
      <alignment horizontal="center" vertical="center"/>
      <protection locked="0"/>
    </xf>
    <xf numFmtId="1" fontId="49" fillId="42" borderId="25" xfId="0" applyNumberFormat="1" applyFont="1" applyFill="1" applyBorder="1" applyAlignment="1">
      <alignment horizontal="center" vertical="center"/>
    </xf>
    <xf numFmtId="1" fontId="49" fillId="42" borderId="272" xfId="0" applyNumberFormat="1" applyFont="1" applyFill="1" applyBorder="1" applyAlignment="1">
      <alignment horizontal="center" vertical="center"/>
    </xf>
    <xf numFmtId="1" fontId="49" fillId="42" borderId="272" xfId="0" applyNumberFormat="1" applyFont="1" applyFill="1" applyBorder="1" applyAlignment="1" applyProtection="1">
      <alignment horizontal="center" vertical="center"/>
      <protection locked="0"/>
    </xf>
    <xf numFmtId="1" fontId="49" fillId="42" borderId="25" xfId="0" applyNumberFormat="1" applyFont="1" applyFill="1" applyBorder="1" applyAlignment="1" applyProtection="1">
      <alignment horizontal="center" vertical="center"/>
    </xf>
    <xf numFmtId="1" fontId="49" fillId="42" borderId="25" xfId="0" applyNumberFormat="1" applyFont="1" applyFill="1" applyBorder="1" applyAlignment="1" applyProtection="1">
      <alignment horizontal="center" vertical="center"/>
      <protection locked="0"/>
    </xf>
    <xf numFmtId="1" fontId="49" fillId="42" borderId="80" xfId="0" quotePrefix="1" applyNumberFormat="1" applyFont="1" applyFill="1" applyBorder="1" applyAlignment="1" applyProtection="1">
      <alignment horizontal="center" vertical="center"/>
      <protection locked="0"/>
    </xf>
    <xf numFmtId="1" fontId="49" fillId="42" borderId="100" xfId="0" applyNumberFormat="1" applyFont="1" applyFill="1" applyBorder="1" applyAlignment="1" applyProtection="1">
      <alignment horizontal="center" vertical="center"/>
      <protection locked="0"/>
    </xf>
    <xf numFmtId="1" fontId="49" fillId="42" borderId="80" xfId="0" quotePrefix="1" applyNumberFormat="1" applyFont="1" applyFill="1" applyBorder="1" applyAlignment="1" applyProtection="1">
      <alignment horizontal="center" vertical="center"/>
    </xf>
    <xf numFmtId="1" fontId="49" fillId="42" borderId="80" xfId="0" applyNumberFormat="1" applyFont="1" applyFill="1" applyBorder="1" applyAlignment="1" applyProtection="1">
      <alignment horizontal="center" vertical="center"/>
    </xf>
    <xf numFmtId="1" fontId="49" fillId="42" borderId="80" xfId="0" applyNumberFormat="1" applyFont="1" applyFill="1" applyBorder="1" applyAlignment="1">
      <alignment horizontal="center" vertical="center"/>
    </xf>
    <xf numFmtId="1" fontId="49" fillId="42" borderId="311" xfId="0" applyNumberFormat="1" applyFont="1" applyFill="1" applyBorder="1" applyAlignment="1" applyProtection="1">
      <alignment horizontal="center" vertical="center"/>
      <protection locked="0"/>
    </xf>
    <xf numFmtId="1" fontId="262" fillId="42" borderId="100" xfId="0" quotePrefix="1" applyNumberFormat="1" applyFont="1" applyFill="1" applyBorder="1" applyAlignment="1" applyProtection="1">
      <alignment horizontal="center" vertical="center"/>
      <protection locked="0"/>
    </xf>
    <xf numFmtId="1" fontId="262" fillId="42" borderId="0" xfId="0" quotePrefix="1" applyNumberFormat="1" applyFont="1" applyFill="1" applyBorder="1" applyAlignment="1" applyProtection="1">
      <alignment horizontal="center" vertical="center"/>
      <protection locked="0"/>
    </xf>
    <xf numFmtId="1" fontId="49" fillId="42" borderId="25" xfId="0" quotePrefix="1" applyNumberFormat="1" applyFont="1" applyFill="1" applyBorder="1" applyAlignment="1">
      <alignment horizontal="center" vertical="center"/>
    </xf>
    <xf numFmtId="1" fontId="49" fillId="42" borderId="272" xfId="0" quotePrefix="1" applyNumberFormat="1" applyFont="1" applyFill="1" applyBorder="1" applyAlignment="1">
      <alignment horizontal="center" vertical="center"/>
    </xf>
    <xf numFmtId="1" fontId="49" fillId="42" borderId="272" xfId="0" quotePrefix="1" applyNumberFormat="1" applyFont="1" applyFill="1" applyBorder="1" applyAlignment="1" applyProtection="1">
      <alignment horizontal="center" vertical="center"/>
      <protection locked="0"/>
    </xf>
    <xf numFmtId="1" fontId="49" fillId="42" borderId="100" xfId="0" applyNumberFormat="1" applyFont="1" applyFill="1" applyBorder="1" applyAlignment="1" applyProtection="1">
      <alignment horizontal="center" vertical="center"/>
    </xf>
    <xf numFmtId="1" fontId="49" fillId="42" borderId="80" xfId="0" quotePrefix="1" applyNumberFormat="1" applyFont="1" applyFill="1" applyBorder="1" applyAlignment="1">
      <alignment horizontal="center" vertical="center"/>
    </xf>
    <xf numFmtId="1" fontId="49" fillId="42" borderId="272" xfId="0" applyNumberFormat="1" applyFont="1" applyFill="1" applyBorder="1" applyAlignment="1" applyProtection="1">
      <alignment horizontal="center" vertical="center"/>
    </xf>
    <xf numFmtId="1" fontId="262" fillId="42" borderId="80" xfId="0" quotePrefix="1" applyNumberFormat="1" applyFont="1" applyFill="1" applyBorder="1" applyAlignment="1" applyProtection="1">
      <alignment horizontal="center" vertical="center"/>
      <protection locked="0"/>
    </xf>
    <xf numFmtId="1" fontId="262" fillId="42" borderId="25" xfId="0" quotePrefix="1" applyNumberFormat="1" applyFont="1" applyFill="1" applyBorder="1" applyAlignment="1">
      <alignment horizontal="center" vertical="center"/>
    </xf>
    <xf numFmtId="1" fontId="175" fillId="34" borderId="264" xfId="0" quotePrefix="1" applyNumberFormat="1" applyFont="1" applyFill="1" applyBorder="1" applyAlignment="1">
      <alignment horizontal="center" vertical="center"/>
    </xf>
    <xf numFmtId="0" fontId="210" fillId="34" borderId="0" xfId="0" applyFont="1" applyFill="1" applyAlignment="1">
      <alignment horizontal="center"/>
    </xf>
    <xf numFmtId="0" fontId="222" fillId="34" borderId="0" xfId="0" applyFont="1" applyFill="1" applyAlignment="1">
      <alignment horizontal="center"/>
    </xf>
    <xf numFmtId="0" fontId="292" fillId="34" borderId="10" xfId="0" applyFont="1" applyFill="1" applyBorder="1"/>
    <xf numFmtId="0" fontId="292" fillId="0" borderId="0" xfId="0" applyFont="1"/>
    <xf numFmtId="0" fontId="292" fillId="0" borderId="0" xfId="0" applyFont="1" applyBorder="1"/>
    <xf numFmtId="9" fontId="292" fillId="0" borderId="0" xfId="0" applyNumberFormat="1" applyFont="1"/>
    <xf numFmtId="0" fontId="292" fillId="0" borderId="0" xfId="0" applyFont="1" applyAlignment="1">
      <alignment vertical="center"/>
    </xf>
    <xf numFmtId="0" fontId="123" fillId="0" borderId="0" xfId="0" applyFont="1" applyAlignment="1"/>
    <xf numFmtId="0" fontId="220" fillId="0" borderId="0" xfId="0" applyFont="1" applyBorder="1" applyAlignment="1"/>
    <xf numFmtId="0" fontId="123" fillId="0" borderId="0" xfId="0" applyFont="1" applyAlignment="1">
      <alignment vertical="center"/>
    </xf>
    <xf numFmtId="0" fontId="230" fillId="0" borderId="0" xfId="504" applyBorder="1"/>
    <xf numFmtId="0" fontId="50" fillId="0" borderId="0" xfId="504" applyFont="1" applyBorder="1"/>
    <xf numFmtId="0" fontId="141" fillId="0" borderId="30" xfId="504" applyFont="1" applyBorder="1" applyAlignment="1">
      <alignment horizontal="center"/>
    </xf>
    <xf numFmtId="164" fontId="141" fillId="0" borderId="30" xfId="504" applyNumberFormat="1" applyFont="1" applyBorder="1" applyAlignment="1">
      <alignment horizontal="center"/>
    </xf>
    <xf numFmtId="0" fontId="141" fillId="0" borderId="14" xfId="504" applyFont="1" applyBorder="1" applyAlignment="1">
      <alignment horizontal="center"/>
    </xf>
    <xf numFmtId="0" fontId="141" fillId="0" borderId="24" xfId="504" applyFont="1" applyBorder="1" applyAlignment="1">
      <alignment horizontal="center"/>
    </xf>
    <xf numFmtId="0" fontId="141" fillId="0" borderId="13" xfId="504" applyFont="1" applyBorder="1" applyAlignment="1">
      <alignment horizontal="center"/>
    </xf>
    <xf numFmtId="0" fontId="141" fillId="0" borderId="22" xfId="504" applyFont="1" applyBorder="1" applyAlignment="1">
      <alignment horizontal="center"/>
    </xf>
    <xf numFmtId="0" fontId="296" fillId="0" borderId="10" xfId="375" applyNumberFormat="1" applyFont="1" applyBorder="1" applyAlignment="1">
      <alignment horizontal="center" vertical="center"/>
    </xf>
    <xf numFmtId="0" fontId="297" fillId="0" borderId="0" xfId="430" applyNumberFormat="1" applyFont="1" applyFill="1" applyBorder="1" applyAlignment="1">
      <alignment vertical="center"/>
    </xf>
    <xf numFmtId="1" fontId="49" fillId="92" borderId="330" xfId="0" applyNumberFormat="1" applyFont="1" applyFill="1" applyBorder="1" applyAlignment="1" applyProtection="1">
      <alignment horizontal="center" vertical="center"/>
      <protection locked="0"/>
    </xf>
    <xf numFmtId="1" fontId="49" fillId="42" borderId="330" xfId="0" applyNumberFormat="1" applyFont="1" applyFill="1" applyBorder="1" applyAlignment="1" applyProtection="1">
      <alignment horizontal="center" vertical="center"/>
      <protection locked="0"/>
    </xf>
    <xf numFmtId="1" fontId="49" fillId="92" borderId="331" xfId="0" applyNumberFormat="1" applyFont="1" applyFill="1" applyBorder="1" applyAlignment="1" applyProtection="1">
      <alignment horizontal="center" vertical="center"/>
      <protection locked="0"/>
    </xf>
    <xf numFmtId="1" fontId="49" fillId="91" borderId="331" xfId="0" applyNumberFormat="1" applyFont="1" applyFill="1" applyBorder="1" applyAlignment="1" applyProtection="1">
      <alignment horizontal="center" vertical="center"/>
      <protection locked="0"/>
    </xf>
    <xf numFmtId="1" fontId="49" fillId="92" borderId="332" xfId="0" applyNumberFormat="1" applyFont="1" applyFill="1" applyBorder="1" applyAlignment="1" applyProtection="1">
      <alignment horizontal="center" vertical="center"/>
      <protection locked="0"/>
    </xf>
    <xf numFmtId="166" fontId="300" fillId="31" borderId="0" xfId="0" applyNumberFormat="1" applyFont="1" applyFill="1" applyBorder="1" applyAlignment="1" applyProtection="1">
      <alignment horizontal="center" vertical="center"/>
    </xf>
    <xf numFmtId="0" fontId="301" fillId="0" borderId="0" xfId="0" applyFont="1"/>
    <xf numFmtId="0" fontId="301" fillId="0" borderId="0" xfId="0" applyNumberFormat="1" applyFont="1"/>
    <xf numFmtId="0" fontId="301" fillId="0" borderId="0" xfId="0" applyNumberFormat="1" applyFont="1" applyBorder="1"/>
    <xf numFmtId="0" fontId="294" fillId="0" borderId="0" xfId="0" applyNumberFormat="1" applyFont="1" applyFill="1" applyBorder="1" applyAlignment="1" applyProtection="1"/>
    <xf numFmtId="0" fontId="293" fillId="0" borderId="0" xfId="0" applyFont="1" applyBorder="1" applyAlignment="1" applyProtection="1"/>
    <xf numFmtId="14" fontId="209" fillId="31" borderId="338" xfId="499" applyNumberFormat="1" applyFont="1" applyFill="1" applyBorder="1" applyAlignment="1">
      <alignment horizontal="left" vertical="center"/>
    </xf>
    <xf numFmtId="20" fontId="143" fillId="0" borderId="335" xfId="428" applyNumberFormat="1" applyFont="1" applyFill="1" applyBorder="1" applyAlignment="1">
      <alignment vertical="center"/>
    </xf>
    <xf numFmtId="173" fontId="49" fillId="0" borderId="334" xfId="414" applyNumberFormat="1" applyFont="1" applyFill="1" applyBorder="1" applyAlignment="1">
      <alignment vertical="center"/>
    </xf>
    <xf numFmtId="0" fontId="49" fillId="0" borderId="335" xfId="0" applyFont="1" applyFill="1" applyBorder="1" applyAlignment="1">
      <alignment vertical="center"/>
    </xf>
    <xf numFmtId="0" fontId="49" fillId="0" borderId="336" xfId="428" applyFont="1" applyFill="1" applyBorder="1" applyAlignment="1">
      <alignment horizontal="center" vertical="center"/>
    </xf>
    <xf numFmtId="0" fontId="49" fillId="0" borderId="337" xfId="0" applyFont="1" applyFill="1" applyBorder="1" applyAlignment="1">
      <alignment horizontal="left" vertical="center"/>
    </xf>
    <xf numFmtId="0" fontId="49" fillId="0" borderId="333" xfId="0" applyFont="1" applyFill="1" applyBorder="1" applyAlignment="1">
      <alignment horizontal="center" vertical="center"/>
    </xf>
    <xf numFmtId="1" fontId="49" fillId="0" borderId="336" xfId="428" applyNumberFormat="1" applyFont="1" applyFill="1" applyBorder="1" applyAlignment="1">
      <alignment horizontal="center" vertical="center"/>
    </xf>
    <xf numFmtId="1" fontId="49" fillId="0" borderId="339" xfId="0" applyNumberFormat="1" applyFont="1" applyFill="1" applyBorder="1" applyAlignment="1">
      <alignment horizontal="center" vertical="center"/>
    </xf>
    <xf numFmtId="0" fontId="49" fillId="0" borderId="334" xfId="423" applyNumberFormat="1" applyFont="1" applyBorder="1"/>
    <xf numFmtId="1" fontId="204" fillId="71" borderId="341" xfId="0" applyNumberFormat="1" applyFont="1" applyFill="1" applyBorder="1" applyAlignment="1">
      <alignment horizontal="center" vertical="center"/>
    </xf>
    <xf numFmtId="1" fontId="49" fillId="92" borderId="343" xfId="0" applyNumberFormat="1" applyFont="1" applyFill="1" applyBorder="1" applyAlignment="1" applyProtection="1">
      <alignment horizontal="center" vertical="center"/>
      <protection locked="0"/>
    </xf>
    <xf numFmtId="1" fontId="49" fillId="92" borderId="342" xfId="0" applyNumberFormat="1" applyFont="1" applyFill="1" applyBorder="1" applyAlignment="1" applyProtection="1">
      <alignment horizontal="center" vertical="center"/>
      <protection locked="0"/>
    </xf>
    <xf numFmtId="1" fontId="49" fillId="42" borderId="342" xfId="0" applyNumberFormat="1" applyFont="1" applyFill="1" applyBorder="1" applyAlignment="1" applyProtection="1">
      <alignment horizontal="center" vertical="center"/>
      <protection locked="0"/>
    </xf>
    <xf numFmtId="1" fontId="49" fillId="92" borderId="341" xfId="0" applyNumberFormat="1" applyFont="1" applyFill="1" applyBorder="1" applyAlignment="1" applyProtection="1">
      <alignment horizontal="center" vertical="center"/>
      <protection locked="0"/>
    </xf>
    <xf numFmtId="1" fontId="49" fillId="91" borderId="341" xfId="0" applyNumberFormat="1" applyFont="1" applyFill="1" applyBorder="1" applyAlignment="1" applyProtection="1">
      <alignment horizontal="center" vertical="center"/>
      <protection locked="0"/>
    </xf>
    <xf numFmtId="1" fontId="49" fillId="92" borderId="344" xfId="0" applyNumberFormat="1" applyFont="1" applyFill="1" applyBorder="1" applyAlignment="1" applyProtection="1">
      <alignment horizontal="center" vertical="center"/>
      <protection locked="0"/>
    </xf>
    <xf numFmtId="1" fontId="204" fillId="71" borderId="344" xfId="0" applyNumberFormat="1" applyFont="1" applyFill="1" applyBorder="1" applyAlignment="1">
      <alignment horizontal="center" vertical="center"/>
    </xf>
    <xf numFmtId="1" fontId="298" fillId="35" borderId="188" xfId="0" applyNumberFormat="1" applyFont="1" applyFill="1" applyBorder="1" applyAlignment="1">
      <alignment horizontal="center" vertical="center"/>
    </xf>
    <xf numFmtId="1" fontId="204" fillId="71" borderId="342" xfId="0" applyNumberFormat="1" applyFont="1" applyFill="1" applyBorder="1" applyAlignment="1">
      <alignment horizontal="center" vertical="center"/>
    </xf>
    <xf numFmtId="1" fontId="49" fillId="0" borderId="47" xfId="428" applyNumberFormat="1" applyFont="1" applyFill="1" applyBorder="1" applyAlignment="1" applyProtection="1">
      <alignment horizontal="center" vertical="center"/>
      <protection locked="0"/>
    </xf>
    <xf numFmtId="1" fontId="56" fillId="0" borderId="52" xfId="436" applyNumberFormat="1" applyFont="1" applyBorder="1">
      <alignment vertical="center"/>
    </xf>
    <xf numFmtId="1" fontId="57" fillId="0" borderId="37" xfId="436" applyNumberFormat="1" applyFont="1" applyBorder="1">
      <alignment vertical="center"/>
    </xf>
    <xf numFmtId="1" fontId="56" fillId="0" borderId="0" xfId="436" applyNumberFormat="1" applyFont="1" applyBorder="1">
      <alignment vertical="center"/>
    </xf>
    <xf numFmtId="0" fontId="57" fillId="0" borderId="0" xfId="436" applyFont="1" applyFill="1" applyAlignment="1">
      <alignment horizontal="center" vertical="top"/>
    </xf>
    <xf numFmtId="0" fontId="202" fillId="0" borderId="0" xfId="436" applyFont="1" applyBorder="1" applyAlignment="1" applyProtection="1">
      <alignment vertical="center"/>
      <protection locked="0"/>
    </xf>
    <xf numFmtId="0" fontId="57" fillId="0" borderId="0" xfId="436" applyFont="1" applyBorder="1" applyAlignment="1" applyProtection="1">
      <alignment horizontal="center" vertical="top"/>
      <protection locked="0"/>
    </xf>
    <xf numFmtId="0" fontId="94" fillId="0" borderId="0" xfId="0" applyFont="1" applyAlignment="1">
      <alignment horizontal="center" vertical="center"/>
    </xf>
    <xf numFmtId="0" fontId="7" fillId="0" borderId="349" xfId="0" applyFont="1" applyFill="1" applyBorder="1" applyAlignment="1">
      <alignment horizontal="center" vertical="center"/>
    </xf>
    <xf numFmtId="14" fontId="143" fillId="0" borderId="347" xfId="428" applyNumberFormat="1" applyFont="1" applyFill="1" applyBorder="1" applyAlignment="1">
      <alignment vertical="center"/>
    </xf>
    <xf numFmtId="1" fontId="204" fillId="39" borderId="305" xfId="0" applyNumberFormat="1" applyFont="1" applyFill="1" applyBorder="1" applyAlignment="1" applyProtection="1">
      <alignment horizontal="center" vertical="center"/>
      <protection locked="0"/>
    </xf>
    <xf numFmtId="0" fontId="49" fillId="0" borderId="44" xfId="423" applyNumberFormat="1" applyFont="1" applyBorder="1"/>
    <xf numFmtId="0" fontId="49" fillId="0" borderId="280" xfId="428" applyFont="1" applyFill="1" applyBorder="1" applyAlignment="1">
      <alignment vertical="center"/>
    </xf>
    <xf numFmtId="0" fontId="49" fillId="0" borderId="277" xfId="428" applyFont="1" applyFill="1" applyBorder="1" applyAlignment="1">
      <alignment horizontal="center" vertical="center"/>
    </xf>
    <xf numFmtId="166" fontId="268" fillId="100" borderId="44" xfId="271" applyNumberFormat="1" applyFont="1" applyFill="1" applyBorder="1" applyAlignment="1">
      <alignment vertical="center"/>
    </xf>
    <xf numFmtId="14" fontId="292" fillId="34" borderId="10" xfId="0" applyNumberFormat="1" applyFont="1" applyFill="1" applyBorder="1"/>
    <xf numFmtId="0" fontId="292" fillId="34" borderId="10" xfId="0" applyFont="1" applyFill="1" applyBorder="1" applyAlignment="1">
      <alignment horizontal="center"/>
    </xf>
    <xf numFmtId="20" fontId="292" fillId="34" borderId="10" xfId="0" applyNumberFormat="1" applyFont="1" applyFill="1" applyBorder="1" applyAlignment="1">
      <alignment horizontal="center"/>
    </xf>
    <xf numFmtId="1" fontId="56" fillId="0" borderId="304" xfId="436" applyNumberFormat="1" applyFont="1" applyBorder="1" applyAlignment="1">
      <alignment horizontal="right" vertical="top"/>
    </xf>
    <xf numFmtId="0" fontId="209" fillId="31" borderId="300" xfId="0" applyFont="1" applyFill="1" applyBorder="1" applyAlignment="1">
      <alignment horizontal="left" vertical="center"/>
    </xf>
    <xf numFmtId="0" fontId="209" fillId="31" borderId="308" xfId="0" applyNumberFormat="1" applyFont="1" applyFill="1" applyBorder="1" applyAlignment="1">
      <alignment horizontal="left" vertical="center"/>
    </xf>
    <xf numFmtId="14" fontId="143" fillId="0" borderId="295" xfId="428" applyNumberFormat="1" applyFont="1" applyFill="1" applyBorder="1" applyAlignment="1">
      <alignment vertical="center"/>
    </xf>
    <xf numFmtId="0" fontId="209" fillId="31" borderId="308" xfId="0" applyFont="1" applyFill="1" applyBorder="1" applyAlignment="1">
      <alignment horizontal="left" vertical="center"/>
    </xf>
    <xf numFmtId="0" fontId="209" fillId="31" borderId="308" xfId="0" applyNumberFormat="1" applyFont="1" applyFill="1" applyBorder="1" applyAlignment="1">
      <alignment vertical="center"/>
    </xf>
    <xf numFmtId="0" fontId="222" fillId="31" borderId="308" xfId="0" applyFont="1" applyFill="1" applyBorder="1"/>
    <xf numFmtId="14" fontId="143" fillId="0" borderId="85" xfId="0" applyNumberFormat="1" applyFont="1" applyBorder="1" applyAlignment="1">
      <alignment vertical="center"/>
    </xf>
    <xf numFmtId="0" fontId="302" fillId="31" borderId="68" xfId="0" applyFont="1" applyFill="1" applyBorder="1" applyAlignment="1">
      <alignment horizontal="left" vertical="center"/>
    </xf>
    <xf numFmtId="0" fontId="209" fillId="31" borderId="300" xfId="0" applyNumberFormat="1" applyFont="1" applyFill="1" applyBorder="1" applyAlignment="1">
      <alignment horizontal="left"/>
    </xf>
    <xf numFmtId="0" fontId="209" fillId="31" borderId="199" xfId="0" applyFont="1" applyFill="1" applyBorder="1"/>
    <xf numFmtId="20" fontId="252" fillId="0" borderId="238" xfId="428" applyNumberFormat="1" applyFont="1" applyFill="1" applyBorder="1" applyAlignment="1">
      <alignment vertical="center"/>
    </xf>
    <xf numFmtId="20" fontId="252" fillId="0" borderId="38" xfId="428" applyNumberFormat="1" applyFont="1" applyFill="1" applyBorder="1" applyAlignment="1">
      <alignment vertical="center"/>
    </xf>
    <xf numFmtId="14" fontId="209" fillId="31" borderId="0" xfId="0" applyNumberFormat="1" applyFont="1" applyFill="1"/>
    <xf numFmtId="14" fontId="209" fillId="31" borderId="39" xfId="0" applyNumberFormat="1" applyFont="1" applyFill="1" applyBorder="1" applyAlignment="1">
      <alignment vertical="center"/>
    </xf>
    <xf numFmtId="0" fontId="143" fillId="0" borderId="38" xfId="0" applyFont="1" applyBorder="1" applyAlignment="1">
      <alignment horizontal="left"/>
    </xf>
    <xf numFmtId="0" fontId="209" fillId="31" borderId="39" xfId="0" applyFont="1" applyFill="1" applyBorder="1"/>
    <xf numFmtId="20" fontId="209" fillId="0" borderId="354" xfId="0" applyNumberFormat="1" applyFont="1" applyBorder="1"/>
    <xf numFmtId="0" fontId="288" fillId="0" borderId="0" xfId="0" applyFont="1" applyFill="1" applyBorder="1" applyAlignment="1"/>
    <xf numFmtId="0" fontId="289" fillId="0" borderId="0" xfId="0" applyFont="1" applyBorder="1" applyAlignment="1"/>
    <xf numFmtId="0" fontId="280" fillId="0" borderId="0" xfId="0" applyFont="1" applyBorder="1" applyAlignment="1">
      <alignment horizontal="center"/>
    </xf>
    <xf numFmtId="0" fontId="7" fillId="0" borderId="109" xfId="428" applyFont="1" applyFill="1" applyBorder="1" applyAlignment="1">
      <alignment vertical="center"/>
    </xf>
    <xf numFmtId="0" fontId="7" fillId="0" borderId="12" xfId="429" applyNumberFormat="1" applyFont="1" applyFill="1" applyBorder="1" applyAlignment="1">
      <alignment vertical="center"/>
    </xf>
    <xf numFmtId="0" fontId="7" fillId="0" borderId="113" xfId="428" applyFont="1" applyFill="1" applyBorder="1" applyAlignment="1">
      <alignment vertical="center"/>
    </xf>
    <xf numFmtId="0" fontId="7" fillId="0" borderId="12" xfId="437" applyNumberFormat="1" applyFont="1" applyFill="1" applyBorder="1" applyAlignment="1">
      <alignment vertical="center"/>
    </xf>
    <xf numFmtId="0" fontId="7" fillId="0" borderId="113" xfId="436" applyFont="1" applyFill="1" applyBorder="1" applyAlignment="1">
      <alignment vertical="center"/>
    </xf>
    <xf numFmtId="0" fontId="93" fillId="31" borderId="12" xfId="437" applyNumberFormat="1" applyFont="1" applyFill="1" applyBorder="1" applyAlignment="1">
      <alignment vertical="center"/>
    </xf>
    <xf numFmtId="0" fontId="7" fillId="0" borderId="70" xfId="429" applyNumberFormat="1" applyFont="1" applyFill="1" applyBorder="1" applyAlignment="1">
      <alignment vertical="center"/>
    </xf>
    <xf numFmtId="0" fontId="7" fillId="0" borderId="70" xfId="437" applyNumberFormat="1" applyFont="1" applyFill="1" applyBorder="1" applyAlignment="1">
      <alignment vertical="center"/>
    </xf>
    <xf numFmtId="0" fontId="93" fillId="31" borderId="70" xfId="437" applyNumberFormat="1" applyFont="1" applyFill="1" applyBorder="1" applyAlignment="1">
      <alignment vertical="center"/>
    </xf>
    <xf numFmtId="0" fontId="7" fillId="0" borderId="70" xfId="414" applyNumberFormat="1" applyFont="1" applyFill="1" applyBorder="1" applyAlignment="1">
      <alignment vertical="center"/>
    </xf>
    <xf numFmtId="173" fontId="7" fillId="0" borderId="70" xfId="429" applyNumberFormat="1" applyFont="1" applyFill="1" applyBorder="1" applyAlignment="1">
      <alignment vertical="center"/>
    </xf>
    <xf numFmtId="173" fontId="7" fillId="0" borderId="71" xfId="429" applyNumberFormat="1" applyFont="1" applyFill="1" applyBorder="1" applyAlignment="1">
      <alignment vertical="center"/>
    </xf>
    <xf numFmtId="173" fontId="7" fillId="0" borderId="71" xfId="414" applyNumberFormat="1" applyFont="1" applyFill="1" applyBorder="1" applyAlignment="1">
      <alignment vertical="center"/>
    </xf>
    <xf numFmtId="173" fontId="7" fillId="0" borderId="27" xfId="429" applyNumberFormat="1" applyFont="1" applyFill="1" applyBorder="1" applyAlignment="1">
      <alignment vertical="center"/>
    </xf>
    <xf numFmtId="173" fontId="7" fillId="0" borderId="61" xfId="429" applyNumberFormat="1" applyFont="1" applyFill="1" applyBorder="1" applyAlignment="1">
      <alignment vertical="center"/>
    </xf>
    <xf numFmtId="14" fontId="143" fillId="0" borderId="353" xfId="428" applyNumberFormat="1" applyFont="1" applyFill="1" applyBorder="1" applyAlignment="1">
      <alignment vertical="center"/>
    </xf>
    <xf numFmtId="20" fontId="209" fillId="31" borderId="358" xfId="428" applyNumberFormat="1" applyFont="1" applyFill="1" applyBorder="1" applyAlignment="1">
      <alignment vertical="top"/>
    </xf>
    <xf numFmtId="0" fontId="209" fillId="31" borderId="359" xfId="0" applyNumberFormat="1" applyFont="1" applyFill="1" applyBorder="1" applyAlignment="1">
      <alignment horizontal="left" vertical="center"/>
    </xf>
    <xf numFmtId="173" fontId="304" fillId="30" borderId="95" xfId="0" applyNumberFormat="1" applyFont="1" applyFill="1" applyBorder="1" applyAlignment="1">
      <alignment horizontal="center" vertical="center" wrapText="1"/>
    </xf>
    <xf numFmtId="1" fontId="290" fillId="71" borderId="103" xfId="0" applyNumberFormat="1" applyFont="1" applyFill="1" applyBorder="1" applyAlignment="1" applyProtection="1">
      <alignment horizontal="center" vertical="center"/>
      <protection locked="0"/>
    </xf>
    <xf numFmtId="1" fontId="290" fillId="71" borderId="28" xfId="0" applyNumberFormat="1" applyFont="1" applyFill="1" applyBorder="1" applyAlignment="1" applyProtection="1">
      <alignment horizontal="center" vertical="center"/>
      <protection locked="0"/>
    </xf>
    <xf numFmtId="1" fontId="290" fillId="71" borderId="357" xfId="0" applyNumberFormat="1" applyFont="1" applyFill="1" applyBorder="1" applyAlignment="1" applyProtection="1">
      <alignment horizontal="center" vertical="center"/>
      <protection locked="0"/>
    </xf>
    <xf numFmtId="1" fontId="290" fillId="71" borderId="356" xfId="0" applyNumberFormat="1" applyFont="1" applyFill="1" applyBorder="1" applyAlignment="1" applyProtection="1">
      <alignment horizontal="center" vertical="center"/>
      <protection locked="0"/>
    </xf>
    <xf numFmtId="166" fontId="290" fillId="77" borderId="357" xfId="271" applyNumberFormat="1" applyFont="1" applyFill="1" applyBorder="1" applyAlignment="1">
      <alignment horizontal="center" vertical="center"/>
    </xf>
    <xf numFmtId="166" fontId="290" fillId="77" borderId="356" xfId="271" applyNumberFormat="1" applyFont="1" applyFill="1" applyBorder="1" applyAlignment="1">
      <alignment horizontal="center" vertical="center"/>
    </xf>
    <xf numFmtId="1" fontId="303" fillId="71" borderId="357" xfId="0" applyNumberFormat="1" applyFont="1" applyFill="1" applyBorder="1" applyAlignment="1" applyProtection="1">
      <alignment horizontal="center" vertical="center"/>
      <protection locked="0"/>
    </xf>
    <xf numFmtId="1" fontId="303" fillId="71" borderId="356" xfId="0" applyNumberFormat="1" applyFont="1" applyFill="1" applyBorder="1" applyAlignment="1" applyProtection="1">
      <alignment horizontal="center" vertical="center"/>
      <protection locked="0"/>
    </xf>
    <xf numFmtId="1" fontId="303" fillId="71" borderId="361" xfId="0" applyNumberFormat="1" applyFont="1" applyFill="1" applyBorder="1" applyAlignment="1" applyProtection="1">
      <alignment horizontal="center" vertical="center"/>
      <protection locked="0"/>
    </xf>
    <xf numFmtId="1" fontId="303" fillId="71" borderId="318" xfId="0" applyNumberFormat="1" applyFont="1" applyFill="1" applyBorder="1" applyAlignment="1" applyProtection="1">
      <alignment horizontal="center" vertical="center"/>
      <protection locked="0"/>
    </xf>
    <xf numFmtId="1" fontId="290" fillId="71" borderId="28" xfId="0" applyNumberFormat="1" applyFont="1" applyFill="1" applyBorder="1" applyAlignment="1">
      <alignment horizontal="center" vertical="center"/>
    </xf>
    <xf numFmtId="1" fontId="290" fillId="71" borderId="356" xfId="0" applyNumberFormat="1" applyFont="1" applyFill="1" applyBorder="1" applyAlignment="1">
      <alignment horizontal="center" vertical="center"/>
    </xf>
    <xf numFmtId="1" fontId="303" fillId="71" borderId="356" xfId="0" applyNumberFormat="1" applyFont="1" applyFill="1" applyBorder="1" applyAlignment="1">
      <alignment horizontal="center" vertical="center"/>
    </xf>
    <xf numFmtId="1" fontId="303" fillId="71" borderId="318" xfId="0" applyNumberFormat="1" applyFont="1" applyFill="1" applyBorder="1" applyAlignment="1">
      <alignment horizontal="center" vertical="center"/>
    </xf>
    <xf numFmtId="1" fontId="298" fillId="97" borderId="226" xfId="0" applyNumberFormat="1" applyFont="1" applyFill="1" applyBorder="1" applyAlignment="1" applyProtection="1">
      <alignment horizontal="center" vertical="center"/>
      <protection locked="0"/>
    </xf>
    <xf numFmtId="1" fontId="298" fillId="97" borderId="62" xfId="0" applyNumberFormat="1" applyFont="1" applyFill="1" applyBorder="1" applyAlignment="1" applyProtection="1">
      <alignment horizontal="center" vertical="center"/>
      <protection locked="0"/>
    </xf>
    <xf numFmtId="1" fontId="298" fillId="97" borderId="62" xfId="0" applyNumberFormat="1" applyFont="1" applyFill="1" applyBorder="1" applyAlignment="1">
      <alignment horizontal="center" vertical="center"/>
    </xf>
    <xf numFmtId="1" fontId="290" fillId="71" borderId="318" xfId="0" applyNumberFormat="1" applyFont="1" applyFill="1" applyBorder="1" applyAlignment="1">
      <alignment horizontal="center" vertical="center"/>
    </xf>
    <xf numFmtId="1" fontId="290" fillId="71" borderId="318" xfId="0" applyNumberFormat="1" applyFont="1" applyFill="1" applyBorder="1" applyAlignment="1" applyProtection="1">
      <alignment horizontal="center" vertical="center"/>
      <protection locked="0"/>
    </xf>
    <xf numFmtId="166" fontId="290" fillId="77" borderId="356" xfId="0" applyNumberFormat="1" applyFont="1" applyFill="1" applyBorder="1" applyAlignment="1">
      <alignment horizontal="center" vertical="center"/>
    </xf>
    <xf numFmtId="1" fontId="305" fillId="97" borderId="62" xfId="0" applyNumberFormat="1" applyFont="1" applyFill="1" applyBorder="1" applyAlignment="1" applyProtection="1">
      <alignment horizontal="center" vertical="center"/>
      <protection locked="0"/>
    </xf>
    <xf numFmtId="1" fontId="290" fillId="69" borderId="28" xfId="0" applyNumberFormat="1" applyFont="1" applyFill="1" applyBorder="1" applyAlignment="1">
      <alignment horizontal="center" vertical="center"/>
    </xf>
    <xf numFmtId="1" fontId="290" fillId="69" borderId="356" xfId="0" applyNumberFormat="1" applyFont="1" applyFill="1" applyBorder="1" applyAlignment="1">
      <alignment horizontal="center" vertical="center"/>
    </xf>
    <xf numFmtId="166" fontId="290" fillId="32" borderId="356" xfId="271" applyNumberFormat="1" applyFont="1" applyFill="1" applyBorder="1" applyAlignment="1">
      <alignment horizontal="center" vertical="center"/>
    </xf>
    <xf numFmtId="1" fontId="290" fillId="69" borderId="356" xfId="0" applyNumberFormat="1" applyFont="1" applyFill="1" applyBorder="1" applyAlignment="1" applyProtection="1">
      <alignment horizontal="center" vertical="center"/>
      <protection locked="0"/>
    </xf>
    <xf numFmtId="1" fontId="290" fillId="69" borderId="318" xfId="0" applyNumberFormat="1" applyFont="1" applyFill="1" applyBorder="1" applyAlignment="1">
      <alignment horizontal="center" vertical="center"/>
    </xf>
    <xf numFmtId="1" fontId="290" fillId="97" borderId="62" xfId="0" applyNumberFormat="1" applyFont="1" applyFill="1" applyBorder="1" applyAlignment="1">
      <alignment horizontal="center" vertical="center"/>
    </xf>
    <xf numFmtId="165" fontId="290" fillId="71" borderId="28" xfId="0" applyNumberFormat="1" applyFont="1" applyFill="1" applyBorder="1" applyAlignment="1">
      <alignment horizontal="center" vertical="center"/>
    </xf>
    <xf numFmtId="165" fontId="290" fillId="71" borderId="356" xfId="0" applyNumberFormat="1" applyFont="1" applyFill="1" applyBorder="1" applyAlignment="1">
      <alignment horizontal="center" vertical="center"/>
    </xf>
    <xf numFmtId="165" fontId="290" fillId="77" borderId="356" xfId="271" applyNumberFormat="1" applyFont="1" applyFill="1" applyBorder="1" applyAlignment="1">
      <alignment horizontal="center" vertical="center"/>
    </xf>
    <xf numFmtId="165" fontId="290" fillId="71" borderId="356" xfId="0" applyNumberFormat="1" applyFont="1" applyFill="1" applyBorder="1" applyAlignment="1" applyProtection="1">
      <alignment horizontal="center" vertical="center"/>
      <protection locked="0"/>
    </xf>
    <xf numFmtId="2" fontId="290" fillId="71" borderId="28" xfId="0" applyNumberFormat="1" applyFont="1" applyFill="1" applyBorder="1" applyAlignment="1">
      <alignment horizontal="center" vertical="center"/>
    </xf>
    <xf numFmtId="2" fontId="290" fillId="71" borderId="356" xfId="0" applyNumberFormat="1" applyFont="1" applyFill="1" applyBorder="1" applyAlignment="1">
      <alignment horizontal="center" vertical="center"/>
    </xf>
    <xf numFmtId="2" fontId="290" fillId="77" borderId="356" xfId="271" applyNumberFormat="1" applyFont="1" applyFill="1" applyBorder="1" applyAlignment="1">
      <alignment horizontal="center" vertical="center"/>
    </xf>
    <xf numFmtId="2" fontId="290" fillId="71" borderId="356" xfId="0" applyNumberFormat="1" applyFont="1" applyFill="1" applyBorder="1" applyAlignment="1" applyProtection="1">
      <alignment horizontal="center" vertical="center"/>
      <protection locked="0"/>
    </xf>
    <xf numFmtId="2" fontId="290" fillId="71" borderId="318" xfId="0" applyNumberFormat="1" applyFont="1" applyFill="1" applyBorder="1" applyAlignment="1">
      <alignment horizontal="center" vertical="center"/>
    </xf>
    <xf numFmtId="1" fontId="290" fillId="32" borderId="28" xfId="0" applyNumberFormat="1" applyFont="1" applyFill="1" applyBorder="1" applyAlignment="1" applyProtection="1">
      <alignment horizontal="center" vertical="center"/>
      <protection locked="0"/>
    </xf>
    <xf numFmtId="1" fontId="290" fillId="32" borderId="356" xfId="0" applyNumberFormat="1" applyFont="1" applyFill="1" applyBorder="1" applyAlignment="1" applyProtection="1">
      <alignment horizontal="center" vertical="center"/>
      <protection locked="0"/>
    </xf>
    <xf numFmtId="1" fontId="290" fillId="32" borderId="318" xfId="0" applyNumberFormat="1" applyFont="1" applyFill="1" applyBorder="1" applyAlignment="1" applyProtection="1">
      <alignment horizontal="center" vertical="center"/>
      <protection locked="0"/>
    </xf>
    <xf numFmtId="1" fontId="290" fillId="33" borderId="62" xfId="0" applyNumberFormat="1" applyFont="1" applyFill="1" applyBorder="1" applyAlignment="1" applyProtection="1">
      <alignment horizontal="center" vertical="center"/>
      <protection locked="0"/>
    </xf>
    <xf numFmtId="1" fontId="290" fillId="79" borderId="28" xfId="0" applyNumberFormat="1" applyFont="1" applyFill="1" applyBorder="1" applyAlignment="1" applyProtection="1">
      <alignment horizontal="center" vertical="center"/>
      <protection locked="0"/>
    </xf>
    <xf numFmtId="1" fontId="290" fillId="79" borderId="356" xfId="0" applyNumberFormat="1" applyFont="1" applyFill="1" applyBorder="1" applyAlignment="1" applyProtection="1">
      <alignment horizontal="center" vertical="center"/>
      <protection locked="0"/>
    </xf>
    <xf numFmtId="166" fontId="290" fillId="79" borderId="356" xfId="271" applyNumberFormat="1" applyFont="1" applyFill="1" applyBorder="1" applyAlignment="1">
      <alignment horizontal="center" vertical="center"/>
    </xf>
    <xf numFmtId="1" fontId="290" fillId="78" borderId="356" xfId="0" applyNumberFormat="1" applyFont="1" applyFill="1" applyBorder="1" applyAlignment="1" applyProtection="1">
      <alignment horizontal="center" vertical="center"/>
      <protection locked="0"/>
    </xf>
    <xf numFmtId="1" fontId="290" fillId="79" borderId="318" xfId="0" applyNumberFormat="1" applyFont="1" applyFill="1" applyBorder="1" applyAlignment="1" applyProtection="1">
      <alignment horizontal="center" vertical="center"/>
      <protection locked="0"/>
    </xf>
    <xf numFmtId="1" fontId="298" fillId="33" borderId="62" xfId="0" applyNumberFormat="1" applyFont="1" applyFill="1" applyBorder="1" applyAlignment="1" applyProtection="1">
      <alignment horizontal="center" vertical="center"/>
      <protection locked="0"/>
    </xf>
    <xf numFmtId="166" fontId="290" fillId="79" borderId="356" xfId="0" applyNumberFormat="1" applyFont="1" applyFill="1" applyBorder="1" applyAlignment="1">
      <alignment horizontal="center" vertical="center"/>
    </xf>
    <xf numFmtId="1" fontId="290" fillId="79" borderId="201" xfId="0" applyNumberFormat="1" applyFont="1" applyFill="1" applyBorder="1" applyAlignment="1" applyProtection="1">
      <alignment horizontal="center" vertical="center"/>
      <protection locked="0"/>
    </xf>
    <xf numFmtId="1" fontId="290" fillId="79" borderId="362" xfId="0" applyNumberFormat="1" applyFont="1" applyFill="1" applyBorder="1" applyAlignment="1" applyProtection="1">
      <alignment horizontal="center" vertical="center"/>
      <protection locked="0"/>
    </xf>
    <xf numFmtId="166" fontId="290" fillId="79" borderId="362" xfId="271" applyNumberFormat="1" applyFont="1" applyFill="1" applyBorder="1" applyAlignment="1">
      <alignment horizontal="center" vertical="center"/>
    </xf>
    <xf numFmtId="1" fontId="290" fillId="78" borderId="362" xfId="0" applyNumberFormat="1" applyFont="1" applyFill="1" applyBorder="1" applyAlignment="1" applyProtection="1">
      <alignment horizontal="center" vertical="center"/>
      <protection locked="0"/>
    </xf>
    <xf numFmtId="1" fontId="290" fillId="79" borderId="363" xfId="0" applyNumberFormat="1" applyFont="1" applyFill="1" applyBorder="1" applyAlignment="1" applyProtection="1">
      <alignment horizontal="center" vertical="center"/>
      <protection locked="0"/>
    </xf>
    <xf numFmtId="1" fontId="298" fillId="33" borderId="188" xfId="0" applyNumberFormat="1" applyFont="1" applyFill="1" applyBorder="1" applyAlignment="1" applyProtection="1">
      <alignment horizontal="center" vertical="center"/>
      <protection locked="0"/>
    </xf>
    <xf numFmtId="0" fontId="306" fillId="0" borderId="0" xfId="0" applyFont="1"/>
    <xf numFmtId="164" fontId="223" fillId="34" borderId="10" xfId="0" applyNumberFormat="1" applyFont="1" applyFill="1" applyBorder="1"/>
    <xf numFmtId="0" fontId="92" fillId="31" borderId="0" xfId="0" applyNumberFormat="1" applyFont="1" applyFill="1" applyBorder="1" applyAlignment="1">
      <alignment wrapText="1"/>
    </xf>
    <xf numFmtId="1" fontId="204" fillId="39" borderId="366" xfId="0" applyNumberFormat="1" applyFont="1" applyFill="1" applyBorder="1" applyAlignment="1" applyProtection="1">
      <alignment horizontal="center" vertical="center"/>
      <protection locked="0"/>
    </xf>
    <xf numFmtId="1" fontId="204" fillId="39" borderId="367" xfId="0" applyNumberFormat="1" applyFont="1" applyFill="1" applyBorder="1" applyAlignment="1" applyProtection="1">
      <alignment horizontal="center" vertical="center"/>
      <protection locked="0"/>
    </xf>
    <xf numFmtId="1" fontId="204" fillId="39" borderId="365" xfId="0" applyNumberFormat="1" applyFont="1" applyFill="1" applyBorder="1" applyAlignment="1" applyProtection="1">
      <alignment horizontal="center" vertical="center"/>
      <protection locked="0"/>
    </xf>
    <xf numFmtId="1" fontId="204" fillId="39" borderId="364" xfId="0" applyNumberFormat="1" applyFont="1" applyFill="1" applyBorder="1" applyAlignment="1" applyProtection="1">
      <alignment horizontal="center" vertical="center"/>
      <protection locked="0"/>
    </xf>
    <xf numFmtId="0" fontId="7" fillId="0" borderId="370" xfId="0" applyFont="1" applyFill="1" applyBorder="1" applyAlignment="1">
      <alignment horizontal="center" vertical="center"/>
    </xf>
    <xf numFmtId="14" fontId="142" fillId="0" borderId="370" xfId="428" applyNumberFormat="1" applyFont="1" applyFill="1" applyBorder="1" applyAlignment="1">
      <alignment horizontal="left" vertical="center"/>
    </xf>
    <xf numFmtId="0" fontId="309" fillId="0" borderId="0" xfId="0" applyFont="1" applyBorder="1" applyAlignment="1">
      <alignment vertical="center"/>
    </xf>
    <xf numFmtId="0" fontId="310" fillId="0" borderId="351" xfId="0" applyFont="1" applyBorder="1"/>
    <xf numFmtId="1" fontId="290" fillId="79" borderId="366" xfId="0" applyNumberFormat="1" applyFont="1" applyFill="1" applyBorder="1" applyAlignment="1" applyProtection="1">
      <alignment horizontal="center" vertical="center"/>
      <protection locked="0"/>
    </xf>
    <xf numFmtId="166" fontId="290" fillId="79" borderId="366" xfId="271" applyNumberFormat="1" applyFont="1" applyFill="1" applyBorder="1" applyAlignment="1">
      <alignment horizontal="center" vertical="center"/>
    </xf>
    <xf numFmtId="1" fontId="290" fillId="78" borderId="366" xfId="0" applyNumberFormat="1" applyFont="1" applyFill="1" applyBorder="1" applyAlignment="1" applyProtection="1">
      <alignment horizontal="center" vertical="center"/>
      <protection locked="0"/>
    </xf>
    <xf numFmtId="1" fontId="290" fillId="79" borderId="371" xfId="0" applyNumberFormat="1" applyFont="1" applyFill="1" applyBorder="1" applyAlignment="1" applyProtection="1">
      <alignment horizontal="center" vertical="center"/>
      <protection locked="0"/>
    </xf>
    <xf numFmtId="173" fontId="49" fillId="0" borderId="360" xfId="429" applyNumberFormat="1" applyFont="1" applyFill="1" applyBorder="1" applyAlignment="1">
      <alignment vertical="center"/>
    </xf>
    <xf numFmtId="0" fontId="49" fillId="0" borderId="372" xfId="423" applyNumberFormat="1" applyFont="1" applyBorder="1"/>
    <xf numFmtId="1" fontId="49" fillId="0" borderId="373" xfId="428" applyNumberFormat="1" applyFont="1" applyFill="1" applyBorder="1" applyAlignment="1" applyProtection="1">
      <alignment horizontal="center" vertical="center"/>
      <protection locked="0"/>
    </xf>
    <xf numFmtId="1" fontId="49" fillId="0" borderId="374" xfId="428" applyNumberFormat="1" applyFont="1" applyFill="1" applyBorder="1" applyAlignment="1">
      <alignment horizontal="center" vertical="center"/>
    </xf>
    <xf numFmtId="0" fontId="49" fillId="0" borderId="376" xfId="428" applyFont="1" applyFill="1" applyBorder="1" applyAlignment="1">
      <alignment horizontal="center" vertical="center"/>
    </xf>
    <xf numFmtId="0" fontId="49" fillId="0" borderId="377" xfId="428" applyFont="1" applyFill="1" applyBorder="1" applyAlignment="1">
      <alignment horizontal="center" vertical="center"/>
    </xf>
    <xf numFmtId="0" fontId="49" fillId="0" borderId="375" xfId="428" applyFont="1" applyFill="1" applyBorder="1" applyAlignment="1">
      <alignment horizontal="center" vertical="center"/>
    </xf>
    <xf numFmtId="0" fontId="49" fillId="0" borderId="378" xfId="428" applyFont="1" applyFill="1" applyBorder="1" applyAlignment="1">
      <alignment vertical="center"/>
    </xf>
    <xf numFmtId="173" fontId="49" fillId="0" borderId="379" xfId="429" applyNumberFormat="1" applyFont="1" applyFill="1" applyBorder="1" applyAlignment="1">
      <alignment vertical="center"/>
    </xf>
    <xf numFmtId="0" fontId="49" fillId="0" borderId="369" xfId="423" applyNumberFormat="1" applyFont="1" applyBorder="1"/>
    <xf numFmtId="1" fontId="49" fillId="0" borderId="380" xfId="428" applyNumberFormat="1" applyFont="1" applyFill="1" applyBorder="1" applyAlignment="1" applyProtection="1">
      <alignment horizontal="center" vertical="center"/>
      <protection locked="0"/>
    </xf>
    <xf numFmtId="1" fontId="49" fillId="0" borderId="381" xfId="428" applyNumberFormat="1" applyFont="1" applyFill="1" applyBorder="1" applyAlignment="1">
      <alignment horizontal="center" vertical="center"/>
    </xf>
    <xf numFmtId="0" fontId="49" fillId="0" borderId="382" xfId="428" applyFont="1" applyFill="1" applyBorder="1" applyAlignment="1">
      <alignment horizontal="center" vertical="center"/>
    </xf>
    <xf numFmtId="0" fontId="49" fillId="0" borderId="383" xfId="428" applyFont="1" applyFill="1" applyBorder="1" applyAlignment="1">
      <alignment horizontal="center" vertical="center"/>
    </xf>
    <xf numFmtId="0" fontId="49" fillId="0" borderId="384" xfId="428" applyFont="1" applyFill="1" applyBorder="1" applyAlignment="1">
      <alignment horizontal="center" vertical="center"/>
    </xf>
    <xf numFmtId="0" fontId="49" fillId="0" borderId="385" xfId="428" applyFont="1" applyFill="1" applyBorder="1" applyAlignment="1">
      <alignment vertical="center"/>
    </xf>
    <xf numFmtId="173" fontId="49" fillId="0" borderId="359" xfId="429" applyNumberFormat="1" applyFont="1" applyFill="1" applyBorder="1" applyAlignment="1">
      <alignment vertical="center"/>
    </xf>
    <xf numFmtId="0" fontId="49" fillId="0" borderId="353" xfId="428" applyFont="1" applyFill="1" applyBorder="1" applyAlignment="1">
      <alignment vertical="center"/>
    </xf>
    <xf numFmtId="14" fontId="143" fillId="0" borderId="386" xfId="428" applyNumberFormat="1" applyFont="1" applyFill="1" applyBorder="1" applyAlignment="1">
      <alignment horizontal="left" vertical="center"/>
    </xf>
    <xf numFmtId="20" fontId="252" fillId="0" borderId="387" xfId="428" applyNumberFormat="1" applyFont="1" applyFill="1" applyBorder="1" applyAlignment="1">
      <alignment vertical="center"/>
    </xf>
    <xf numFmtId="0" fontId="222" fillId="31" borderId="359" xfId="0" applyFont="1" applyFill="1" applyBorder="1"/>
    <xf numFmtId="14" fontId="143" fillId="0" borderId="378" xfId="428" applyNumberFormat="1" applyFont="1" applyFill="1" applyBorder="1" applyAlignment="1">
      <alignment horizontal="left" vertical="center"/>
    </xf>
    <xf numFmtId="0" fontId="7" fillId="0" borderId="377" xfId="428" applyFont="1" applyFill="1" applyBorder="1" applyAlignment="1">
      <alignment horizontal="center" vertical="center"/>
    </xf>
    <xf numFmtId="0" fontId="0" fillId="0" borderId="0" xfId="0" applyAlignment="1"/>
    <xf numFmtId="0" fontId="130" fillId="0" borderId="10" xfId="0" applyFont="1" applyBorder="1" applyAlignment="1">
      <alignment horizontal="center" vertical="center"/>
    </xf>
    <xf numFmtId="0" fontId="130" fillId="0" borderId="10" xfId="0" applyFont="1" applyBorder="1" applyAlignment="1">
      <alignment vertical="center"/>
    </xf>
    <xf numFmtId="0" fontId="130" fillId="0" borderId="23" xfId="0" applyFont="1" applyBorder="1" applyAlignment="1">
      <alignment horizontal="center" vertical="center"/>
    </xf>
    <xf numFmtId="0" fontId="130" fillId="0" borderId="43" xfId="0" applyFont="1" applyBorder="1" applyAlignment="1">
      <alignment horizontal="center" vertical="center"/>
    </xf>
    <xf numFmtId="0" fontId="130" fillId="0" borderId="31" xfId="0" applyFont="1" applyBorder="1" applyAlignment="1">
      <alignment horizontal="center" vertical="center"/>
    </xf>
    <xf numFmtId="0" fontId="0" fillId="0" borderId="301" xfId="0" applyBorder="1"/>
    <xf numFmtId="0" fontId="0" fillId="0" borderId="30" xfId="0" applyBorder="1"/>
    <xf numFmtId="0" fontId="130" fillId="0" borderId="15" xfId="0" applyFont="1" applyBorder="1" applyAlignment="1">
      <alignment horizontal="center" vertical="center"/>
    </xf>
    <xf numFmtId="0" fontId="312" fillId="0" borderId="0" xfId="0" applyFont="1" applyAlignment="1">
      <alignment vertical="center"/>
    </xf>
    <xf numFmtId="0" fontId="313" fillId="0" borderId="0" xfId="0" applyFont="1" applyAlignment="1" applyProtection="1">
      <alignment horizontal="center" vertical="top"/>
      <protection locked="0"/>
    </xf>
    <xf numFmtId="0" fontId="313" fillId="0" borderId="0" xfId="0" applyFont="1" applyAlignment="1">
      <alignment horizontal="center" vertical="top"/>
    </xf>
    <xf numFmtId="0" fontId="130" fillId="0" borderId="31" xfId="0" applyFont="1" applyBorder="1" applyAlignment="1">
      <alignment horizontal="center" vertical="top"/>
    </xf>
    <xf numFmtId="0" fontId="0" fillId="0" borderId="0" xfId="0" applyAlignment="1">
      <alignment vertical="top"/>
    </xf>
    <xf numFmtId="0" fontId="119" fillId="0" borderId="0" xfId="0" applyFont="1" applyAlignment="1">
      <alignment horizontal="center" vertical="top"/>
    </xf>
    <xf numFmtId="20" fontId="130" fillId="0" borderId="10" xfId="0" applyNumberFormat="1" applyFont="1" applyBorder="1" applyAlignment="1">
      <alignment horizontal="center" vertical="center"/>
    </xf>
    <xf numFmtId="49" fontId="130" fillId="0" borderId="10" xfId="0" applyNumberFormat="1" applyFont="1" applyBorder="1" applyAlignment="1">
      <alignment horizontal="center" vertical="center"/>
    </xf>
    <xf numFmtId="0" fontId="119" fillId="0" borderId="0" xfId="0" applyFont="1" applyAlignment="1">
      <alignment vertical="top"/>
    </xf>
    <xf numFmtId="0" fontId="130" fillId="0" borderId="10" xfId="0" applyFont="1" applyBorder="1" applyAlignment="1">
      <alignment horizontal="center" vertical="center" wrapText="1"/>
    </xf>
    <xf numFmtId="20" fontId="130" fillId="0" borderId="31" xfId="0" applyNumberFormat="1" applyFont="1" applyBorder="1" applyAlignment="1">
      <alignment horizontal="center" vertical="center"/>
    </xf>
    <xf numFmtId="0" fontId="130" fillId="0" borderId="15" xfId="0" applyFont="1" applyBorder="1" applyAlignment="1">
      <alignment vertical="center"/>
    </xf>
    <xf numFmtId="0" fontId="0" fillId="0" borderId="15" xfId="0" applyBorder="1"/>
    <xf numFmtId="0" fontId="173" fillId="0" borderId="10" xfId="0" applyFont="1" applyBorder="1" applyAlignment="1">
      <alignment horizontal="center" vertical="center"/>
    </xf>
    <xf numFmtId="0" fontId="314" fillId="0" borderId="30" xfId="0" applyFont="1" applyBorder="1" applyAlignment="1">
      <alignment horizontal="center" vertical="center" wrapText="1"/>
    </xf>
    <xf numFmtId="0" fontId="130" fillId="0" borderId="30" xfId="0" applyFont="1" applyBorder="1" applyAlignment="1">
      <alignment horizontal="center" vertical="center" wrapText="1"/>
    </xf>
    <xf numFmtId="0" fontId="173" fillId="0" borderId="31" xfId="0" applyFont="1" applyBorder="1" applyAlignment="1">
      <alignment horizontal="center" vertical="center"/>
    </xf>
    <xf numFmtId="0" fontId="130" fillId="0" borderId="14" xfId="0" applyFont="1" applyBorder="1" applyAlignment="1">
      <alignment horizontal="center" vertical="center"/>
    </xf>
    <xf numFmtId="0" fontId="0" fillId="0" borderId="14" xfId="0" applyBorder="1"/>
    <xf numFmtId="0" fontId="130" fillId="0" borderId="43" xfId="0" applyFont="1" applyBorder="1" applyAlignment="1">
      <alignment horizontal="center" vertical="top"/>
    </xf>
    <xf numFmtId="0" fontId="130" fillId="0" borderId="43" xfId="0" applyFont="1" applyBorder="1" applyAlignment="1">
      <alignment horizontal="center"/>
    </xf>
    <xf numFmtId="0" fontId="7" fillId="0" borderId="388" xfId="429" applyNumberFormat="1" applyFont="1" applyFill="1" applyBorder="1" applyAlignment="1">
      <alignment vertical="center"/>
    </xf>
    <xf numFmtId="0" fontId="7" fillId="0" borderId="389" xfId="428" applyFont="1" applyFill="1" applyBorder="1" applyAlignment="1">
      <alignment vertical="center"/>
    </xf>
    <xf numFmtId="0" fontId="314" fillId="0" borderId="41" xfId="0" applyFont="1" applyBorder="1" applyAlignment="1">
      <alignment horizontal="center" vertical="center" wrapText="1"/>
    </xf>
    <xf numFmtId="20" fontId="130" fillId="0" borderId="10" xfId="0" applyNumberFormat="1" applyFont="1" applyBorder="1" applyAlignment="1">
      <alignment horizontal="center" vertical="center" wrapText="1"/>
    </xf>
    <xf numFmtId="20" fontId="130" fillId="0" borderId="15" xfId="0" applyNumberFormat="1" applyFont="1" applyBorder="1" applyAlignment="1">
      <alignment horizontal="center" vertical="center"/>
    </xf>
    <xf numFmtId="0" fontId="0" fillId="0" borderId="23" xfId="0" applyBorder="1"/>
    <xf numFmtId="0" fontId="0" fillId="0" borderId="43" xfId="0" applyBorder="1"/>
    <xf numFmtId="0" fontId="0" fillId="0" borderId="19" xfId="0" applyBorder="1"/>
    <xf numFmtId="1" fontId="290" fillId="71" borderId="391" xfId="0" applyNumberFormat="1" applyFont="1" applyFill="1" applyBorder="1" applyAlignment="1">
      <alignment horizontal="center" vertical="center"/>
    </xf>
    <xf numFmtId="166" fontId="290" fillId="77" borderId="391" xfId="271" applyNumberFormat="1" applyFont="1" applyFill="1" applyBorder="1" applyAlignment="1">
      <alignment horizontal="center" vertical="center"/>
    </xf>
    <xf numFmtId="1" fontId="290" fillId="71" borderId="391" xfId="0" applyNumberFormat="1" applyFont="1" applyFill="1" applyBorder="1" applyAlignment="1" applyProtection="1">
      <alignment horizontal="center" vertical="center"/>
      <protection locked="0"/>
    </xf>
    <xf numFmtId="1" fontId="290" fillId="71" borderId="392" xfId="0" applyNumberFormat="1" applyFont="1" applyFill="1" applyBorder="1" applyAlignment="1">
      <alignment horizontal="center" vertical="center"/>
    </xf>
    <xf numFmtId="1" fontId="49" fillId="92" borderId="394" xfId="0" applyNumberFormat="1" applyFont="1" applyFill="1" applyBorder="1" applyAlignment="1" applyProtection="1">
      <alignment horizontal="center" vertical="center"/>
      <protection locked="0"/>
    </xf>
    <xf numFmtId="1" fontId="49" fillId="92" borderId="393" xfId="0" applyNumberFormat="1" applyFont="1" applyFill="1" applyBorder="1" applyAlignment="1" applyProtection="1">
      <alignment horizontal="center" vertical="center"/>
      <protection locked="0"/>
    </xf>
    <xf numFmtId="1" fontId="49" fillId="42" borderId="393" xfId="0" applyNumberFormat="1" applyFont="1" applyFill="1" applyBorder="1" applyAlignment="1" applyProtection="1">
      <alignment horizontal="center" vertical="center"/>
      <protection locked="0"/>
    </xf>
    <xf numFmtId="1" fontId="49" fillId="92" borderId="391" xfId="0" applyNumberFormat="1" applyFont="1" applyFill="1" applyBorder="1" applyAlignment="1" applyProtection="1">
      <alignment horizontal="center" vertical="center"/>
      <protection locked="0"/>
    </xf>
    <xf numFmtId="1" fontId="49" fillId="91" borderId="391" xfId="0" applyNumberFormat="1" applyFont="1" applyFill="1" applyBorder="1" applyAlignment="1" applyProtection="1">
      <alignment horizontal="center" vertical="center"/>
      <protection locked="0"/>
    </xf>
    <xf numFmtId="1" fontId="49" fillId="92" borderId="395" xfId="0" applyNumberFormat="1" applyFont="1" applyFill="1" applyBorder="1" applyAlignment="1" applyProtection="1">
      <alignment horizontal="center" vertical="center"/>
      <protection locked="0"/>
    </xf>
    <xf numFmtId="1" fontId="204" fillId="71" borderId="395" xfId="0" applyNumberFormat="1" applyFont="1" applyFill="1" applyBorder="1" applyAlignment="1">
      <alignment horizontal="center" vertical="center"/>
    </xf>
    <xf numFmtId="1" fontId="204" fillId="71" borderId="391" xfId="0" applyNumberFormat="1" applyFont="1" applyFill="1" applyBorder="1" applyAlignment="1">
      <alignment horizontal="center" vertical="center"/>
    </xf>
    <xf numFmtId="1" fontId="204" fillId="71" borderId="393" xfId="0" applyNumberFormat="1" applyFont="1" applyFill="1" applyBorder="1" applyAlignment="1">
      <alignment horizontal="center" vertical="center"/>
    </xf>
    <xf numFmtId="1" fontId="290" fillId="71" borderId="399" xfId="0" applyNumberFormat="1" applyFont="1" applyFill="1" applyBorder="1" applyAlignment="1">
      <alignment horizontal="center" vertical="center"/>
    </xf>
    <xf numFmtId="166" fontId="290" fillId="77" borderId="399" xfId="271" applyNumberFormat="1" applyFont="1" applyFill="1" applyBorder="1" applyAlignment="1">
      <alignment horizontal="center" vertical="center"/>
    </xf>
    <xf numFmtId="1" fontId="290" fillId="71" borderId="399" xfId="0" applyNumberFormat="1" applyFont="1" applyFill="1" applyBorder="1" applyAlignment="1" applyProtection="1">
      <alignment horizontal="center" vertical="center"/>
      <protection locked="0"/>
    </xf>
    <xf numFmtId="1" fontId="290" fillId="71" borderId="400" xfId="0" applyNumberFormat="1" applyFont="1" applyFill="1" applyBorder="1" applyAlignment="1">
      <alignment horizontal="center" vertical="center"/>
    </xf>
    <xf numFmtId="1" fontId="49" fillId="92" borderId="402" xfId="0" applyNumberFormat="1" applyFont="1" applyFill="1" applyBorder="1" applyAlignment="1" applyProtection="1">
      <alignment horizontal="center" vertical="center"/>
      <protection locked="0"/>
    </xf>
    <xf numFmtId="1" fontId="49" fillId="92" borderId="401" xfId="0" applyNumberFormat="1" applyFont="1" applyFill="1" applyBorder="1" applyAlignment="1" applyProtection="1">
      <alignment horizontal="center" vertical="center"/>
      <protection locked="0"/>
    </xf>
    <xf numFmtId="1" fontId="49" fillId="42" borderId="401" xfId="0" applyNumberFormat="1" applyFont="1" applyFill="1" applyBorder="1" applyAlignment="1" applyProtection="1">
      <alignment horizontal="center" vertical="center"/>
      <protection locked="0"/>
    </xf>
    <xf numFmtId="1" fontId="49" fillId="92" borderId="399" xfId="0" applyNumberFormat="1" applyFont="1" applyFill="1" applyBorder="1" applyAlignment="1" applyProtection="1">
      <alignment horizontal="center" vertical="center"/>
      <protection locked="0"/>
    </xf>
    <xf numFmtId="1" fontId="49" fillId="91" borderId="399" xfId="0" applyNumberFormat="1" applyFont="1" applyFill="1" applyBorder="1" applyAlignment="1" applyProtection="1">
      <alignment horizontal="center" vertical="center"/>
      <protection locked="0"/>
    </xf>
    <xf numFmtId="1" fontId="49" fillId="92" borderId="403" xfId="0" applyNumberFormat="1" applyFont="1" applyFill="1" applyBorder="1" applyAlignment="1" applyProtection="1">
      <alignment horizontal="center" vertical="center"/>
      <protection locked="0"/>
    </xf>
    <xf numFmtId="1" fontId="204" fillId="71" borderId="399" xfId="0" applyNumberFormat="1" applyFont="1" applyFill="1" applyBorder="1" applyAlignment="1">
      <alignment horizontal="center" vertical="center"/>
    </xf>
    <xf numFmtId="1" fontId="311" fillId="35" borderId="62" xfId="0" applyNumberFormat="1" applyFont="1" applyFill="1" applyBorder="1" applyAlignment="1">
      <alignment horizontal="center" vertical="center"/>
    </xf>
    <xf numFmtId="0" fontId="144" fillId="0" borderId="39" xfId="428" applyFont="1" applyFill="1" applyBorder="1" applyAlignment="1">
      <alignment horizontal="center" vertical="center"/>
    </xf>
    <xf numFmtId="0" fontId="7" fillId="0" borderId="407" xfId="0" applyFont="1" applyFill="1" applyBorder="1" applyAlignment="1">
      <alignment horizontal="center" vertical="center"/>
    </xf>
    <xf numFmtId="0" fontId="7" fillId="0" borderId="405" xfId="0" applyFont="1" applyFill="1" applyBorder="1" applyAlignment="1">
      <alignment horizontal="center" vertical="center"/>
    </xf>
    <xf numFmtId="0" fontId="7" fillId="0" borderId="409" xfId="0" applyFont="1" applyFill="1" applyBorder="1" applyAlignment="1">
      <alignment horizontal="center" vertical="center"/>
    </xf>
    <xf numFmtId="20" fontId="143" fillId="0" borderId="125" xfId="428" applyNumberFormat="1" applyFont="1" applyFill="1" applyBorder="1" applyAlignment="1">
      <alignment vertical="center"/>
    </xf>
    <xf numFmtId="20" fontId="209" fillId="31" borderId="410" xfId="428" applyNumberFormat="1" applyFont="1" applyFill="1" applyBorder="1" applyAlignment="1">
      <alignment vertical="top"/>
    </xf>
    <xf numFmtId="20" fontId="143" fillId="0" borderId="411" xfId="428" applyNumberFormat="1" applyFont="1" applyFill="1" applyBorder="1" applyAlignment="1">
      <alignment vertical="center"/>
    </xf>
    <xf numFmtId="14" fontId="142" fillId="0" borderId="411" xfId="428" applyNumberFormat="1" applyFont="1" applyFill="1" applyBorder="1" applyAlignment="1">
      <alignment horizontal="left" vertical="center"/>
    </xf>
    <xf numFmtId="14" fontId="142" fillId="0" borderId="405" xfId="428" applyNumberFormat="1" applyFont="1" applyFill="1" applyBorder="1" applyAlignment="1">
      <alignment horizontal="left" vertical="center"/>
    </xf>
    <xf numFmtId="173" fontId="49" fillId="0" borderId="10" xfId="414" applyNumberFormat="1" applyFont="1" applyFill="1" applyBorder="1" applyAlignment="1">
      <alignment vertical="center"/>
    </xf>
    <xf numFmtId="0" fontId="49" fillId="0" borderId="412" xfId="0" applyFont="1" applyFill="1" applyBorder="1" applyAlignment="1">
      <alignment vertical="center"/>
    </xf>
    <xf numFmtId="0" fontId="49" fillId="0" borderId="412" xfId="0" applyFont="1" applyFill="1" applyBorder="1" applyAlignment="1">
      <alignment horizontal="center" vertical="center"/>
    </xf>
    <xf numFmtId="0" fontId="49" fillId="0" borderId="412" xfId="428" applyFont="1" applyFill="1" applyBorder="1" applyAlignment="1">
      <alignment horizontal="center" vertical="center"/>
    </xf>
    <xf numFmtId="1" fontId="49" fillId="0" borderId="412" xfId="428" applyNumberFormat="1" applyFont="1" applyFill="1" applyBorder="1" applyAlignment="1">
      <alignment horizontal="center" vertical="center"/>
    </xf>
    <xf numFmtId="1" fontId="49" fillId="0" borderId="412" xfId="428" applyNumberFormat="1" applyFont="1" applyFill="1" applyBorder="1" applyAlignment="1" applyProtection="1">
      <alignment horizontal="center" vertical="center"/>
      <protection locked="0"/>
    </xf>
    <xf numFmtId="0" fontId="49" fillId="0" borderId="413" xfId="0" applyFont="1" applyFill="1" applyBorder="1" applyAlignment="1">
      <alignment vertical="center"/>
    </xf>
    <xf numFmtId="0" fontId="49" fillId="0" borderId="413" xfId="0" applyFont="1" applyFill="1" applyBorder="1" applyAlignment="1">
      <alignment horizontal="center" vertical="center"/>
    </xf>
    <xf numFmtId="0" fontId="49" fillId="0" borderId="413" xfId="428" applyFont="1" applyFill="1" applyBorder="1" applyAlignment="1">
      <alignment horizontal="center" vertical="center"/>
    </xf>
    <xf numFmtId="1" fontId="49" fillId="0" borderId="413" xfId="428" applyNumberFormat="1" applyFont="1" applyFill="1" applyBorder="1" applyAlignment="1">
      <alignment horizontal="center" vertical="center"/>
    </xf>
    <xf numFmtId="1" fontId="49" fillId="0" borderId="413" xfId="428" applyNumberFormat="1" applyFont="1" applyFill="1" applyBorder="1" applyAlignment="1" applyProtection="1">
      <alignment horizontal="center" vertical="center"/>
      <protection locked="0"/>
    </xf>
    <xf numFmtId="0" fontId="310" fillId="0" borderId="0" xfId="0" applyFont="1" applyBorder="1"/>
    <xf numFmtId="0" fontId="101" fillId="0" borderId="0" xfId="0" applyFont="1"/>
    <xf numFmtId="173" fontId="17" fillId="0" borderId="0" xfId="435" applyNumberFormat="1" applyFont="1" applyBorder="1" applyProtection="1"/>
    <xf numFmtId="0" fontId="315" fillId="0" borderId="0" xfId="0" applyFont="1" applyAlignment="1"/>
    <xf numFmtId="0" fontId="309" fillId="0" borderId="0" xfId="0" applyFont="1" applyAlignment="1"/>
    <xf numFmtId="0" fontId="309" fillId="0" borderId="0" xfId="0" applyFont="1" applyBorder="1" applyAlignment="1"/>
    <xf numFmtId="0" fontId="309" fillId="0" borderId="0" xfId="0" applyFont="1"/>
    <xf numFmtId="0" fontId="322" fillId="0" borderId="0" xfId="0" applyFont="1" applyBorder="1"/>
    <xf numFmtId="0" fontId="320" fillId="0" borderId="0" xfId="0" applyFont="1" applyBorder="1"/>
    <xf numFmtId="0" fontId="319" fillId="0" borderId="0" xfId="0" applyFont="1" applyBorder="1"/>
    <xf numFmtId="0" fontId="291" fillId="0" borderId="0" xfId="0" applyFont="1" applyBorder="1"/>
    <xf numFmtId="0" fontId="94" fillId="0" borderId="301" xfId="0" applyFont="1" applyBorder="1"/>
    <xf numFmtId="0" fontId="315" fillId="0" borderId="301" xfId="0" applyFont="1" applyBorder="1" applyAlignment="1"/>
    <xf numFmtId="0" fontId="321" fillId="0" borderId="301" xfId="0" applyFont="1" applyBorder="1" applyAlignment="1"/>
    <xf numFmtId="0" fontId="316" fillId="0" borderId="301" xfId="0" applyFont="1" applyBorder="1"/>
    <xf numFmtId="0" fontId="307" fillId="0" borderId="301" xfId="0" applyFont="1" applyBorder="1"/>
    <xf numFmtId="0" fontId="317" fillId="0" borderId="13" xfId="0" applyFont="1" applyBorder="1" applyAlignment="1">
      <alignment vertical="center"/>
    </xf>
    <xf numFmtId="0" fontId="317" fillId="0" borderId="13" xfId="0" applyFont="1" applyBorder="1" applyAlignment="1">
      <alignment vertical="top"/>
    </xf>
    <xf numFmtId="0" fontId="317" fillId="0" borderId="13" xfId="0" applyFont="1" applyBorder="1"/>
    <xf numFmtId="0" fontId="310" fillId="0" borderId="351" xfId="0" applyFont="1" applyBorder="1" applyAlignment="1"/>
    <xf numFmtId="1" fontId="323" fillId="0" borderId="0" xfId="0" applyNumberFormat="1" applyFont="1" applyFill="1" applyBorder="1" applyAlignment="1" applyProtection="1">
      <alignment vertical="center"/>
    </xf>
    <xf numFmtId="20" fontId="0" fillId="0" borderId="0" xfId="0" applyNumberFormat="1"/>
    <xf numFmtId="0" fontId="324" fillId="0" borderId="0" xfId="0" applyFont="1" applyAlignment="1">
      <alignment vertical="center"/>
    </xf>
    <xf numFmtId="173" fontId="89" fillId="0" borderId="0" xfId="401" applyNumberFormat="1" applyFont="1" applyBorder="1"/>
    <xf numFmtId="0" fontId="285" fillId="0" borderId="0" xfId="0" applyNumberFormat="1" applyFont="1" applyBorder="1" applyAlignment="1">
      <alignment horizontal="center" vertical="center"/>
    </xf>
    <xf numFmtId="0" fontId="105" fillId="0" borderId="0" xfId="0" applyNumberFormat="1" applyFont="1" applyBorder="1" applyAlignment="1">
      <alignment horizontal="center" vertical="center"/>
    </xf>
    <xf numFmtId="173" fontId="0" fillId="0" borderId="0" xfId="401" applyNumberFormat="1" applyFont="1" applyBorder="1"/>
    <xf numFmtId="0" fontId="26" fillId="0" borderId="26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 wrapText="1"/>
    </xf>
    <xf numFmtId="0" fontId="210" fillId="0" borderId="26" xfId="0" applyFont="1" applyBorder="1" applyAlignment="1">
      <alignment horizontal="center" vertical="center"/>
    </xf>
    <xf numFmtId="0" fontId="210" fillId="0" borderId="26" xfId="0" applyFont="1" applyBorder="1" applyAlignment="1">
      <alignment horizontal="center"/>
    </xf>
    <xf numFmtId="0" fontId="167" fillId="0" borderId="10" xfId="0" applyFont="1" applyBorder="1" applyAlignment="1">
      <alignment horizontal="center" vertical="center"/>
    </xf>
    <xf numFmtId="0" fontId="319" fillId="0" borderId="351" xfId="0" applyFont="1" applyBorder="1"/>
    <xf numFmtId="0" fontId="130" fillId="0" borderId="23" xfId="0" applyFont="1" applyBorder="1" applyAlignment="1">
      <alignment horizontal="center" vertical="center" wrapText="1"/>
    </xf>
    <xf numFmtId="0" fontId="92" fillId="0" borderId="0" xfId="0" applyFont="1" applyAlignment="1"/>
    <xf numFmtId="0" fontId="84" fillId="0" borderId="0" xfId="0" applyNumberFormat="1" applyFont="1" applyAlignment="1"/>
    <xf numFmtId="0" fontId="319" fillId="0" borderId="13" xfId="0" applyFont="1" applyFill="1" applyBorder="1"/>
    <xf numFmtId="173" fontId="2" fillId="0" borderId="0" xfId="414" applyNumberFormat="1" applyFont="1" applyFill="1" applyBorder="1" applyAlignment="1" applyProtection="1">
      <alignment vertical="center"/>
    </xf>
    <xf numFmtId="0" fontId="57" fillId="0" borderId="0" xfId="434" applyNumberFormat="1" applyFont="1" applyFill="1" applyBorder="1" applyAlignment="1" applyProtection="1">
      <alignment horizontal="left" vertical="center"/>
    </xf>
    <xf numFmtId="15" fontId="57" fillId="0" borderId="0" xfId="434" applyNumberFormat="1" applyFont="1" applyFill="1" applyBorder="1" applyAlignment="1" applyProtection="1">
      <alignment horizontal="left" vertical="center"/>
    </xf>
    <xf numFmtId="164" fontId="57" fillId="0" borderId="0" xfId="434" applyNumberFormat="1" applyFont="1" applyFill="1" applyBorder="1" applyAlignment="1" applyProtection="1">
      <alignment horizontal="left" vertical="center"/>
    </xf>
    <xf numFmtId="14" fontId="55" fillId="0" borderId="0" xfId="434" applyNumberFormat="1" applyFont="1" applyFill="1" applyBorder="1" applyAlignment="1" applyProtection="1">
      <alignment horizontal="left" vertical="center"/>
    </xf>
    <xf numFmtId="188" fontId="257" fillId="0" borderId="0" xfId="434" applyNumberFormat="1" applyFont="1" applyFill="1" applyBorder="1" applyAlignment="1" applyProtection="1">
      <alignment horizontal="left" vertical="center"/>
    </xf>
    <xf numFmtId="164" fontId="56" fillId="0" borderId="0" xfId="434" applyNumberFormat="1" applyFont="1" applyFill="1" applyBorder="1" applyAlignment="1" applyProtection="1">
      <alignment vertical="center"/>
    </xf>
    <xf numFmtId="14" fontId="56" fillId="0" borderId="0" xfId="434" applyNumberFormat="1" applyFont="1" applyFill="1" applyBorder="1" applyAlignment="1" applyProtection="1">
      <alignment vertical="center"/>
    </xf>
    <xf numFmtId="0" fontId="56" fillId="0" borderId="0" xfId="434" applyNumberFormat="1" applyFont="1" applyFill="1" applyBorder="1" applyAlignment="1" applyProtection="1">
      <alignment vertical="center"/>
    </xf>
    <xf numFmtId="0" fontId="57" fillId="0" borderId="0" xfId="434" applyNumberFormat="1" applyFont="1" applyFill="1" applyBorder="1" applyAlignment="1" applyProtection="1">
      <alignment horizontal="center" vertical="center"/>
    </xf>
    <xf numFmtId="167" fontId="57" fillId="0" borderId="0" xfId="414" applyNumberFormat="1" applyFont="1" applyFill="1" applyBorder="1" applyAlignment="1" applyProtection="1">
      <alignment horizontal="left" vertical="center"/>
    </xf>
    <xf numFmtId="173" fontId="92" fillId="0" borderId="0" xfId="414" applyNumberFormat="1" applyFont="1" applyAlignment="1" applyProtection="1"/>
    <xf numFmtId="167" fontId="92" fillId="0" borderId="0" xfId="414" applyNumberFormat="1" applyFont="1" applyBorder="1" applyAlignment="1" applyProtection="1"/>
    <xf numFmtId="173" fontId="92" fillId="0" borderId="0" xfId="414" applyNumberFormat="1" applyFont="1" applyBorder="1" applyAlignment="1" applyProtection="1"/>
    <xf numFmtId="1" fontId="215" fillId="0" borderId="0" xfId="428" applyNumberFormat="1" applyFont="1" applyFill="1" applyBorder="1" applyAlignment="1" applyProtection="1">
      <alignment horizontal="center" vertical="center"/>
    </xf>
    <xf numFmtId="173" fontId="92" fillId="0" borderId="0" xfId="414" applyNumberFormat="1" applyFont="1" applyFill="1" applyBorder="1" applyAlignment="1" applyProtection="1"/>
    <xf numFmtId="0" fontId="92" fillId="0" borderId="0" xfId="414" applyNumberFormat="1" applyFont="1" applyBorder="1" applyAlignment="1" applyProtection="1">
      <alignment horizontal="center"/>
    </xf>
    <xf numFmtId="0" fontId="92" fillId="0" borderId="0" xfId="414" applyNumberFormat="1" applyFont="1" applyFill="1" applyBorder="1" applyAlignment="1" applyProtection="1">
      <alignment horizontal="center"/>
    </xf>
    <xf numFmtId="1" fontId="204" fillId="39" borderId="403" xfId="0" applyNumberFormat="1" applyFont="1" applyFill="1" applyBorder="1" applyAlignment="1" applyProtection="1">
      <alignment horizontal="center" vertical="center"/>
      <protection locked="0"/>
    </xf>
    <xf numFmtId="1" fontId="311" fillId="35" borderId="188" xfId="0" applyNumberFormat="1" applyFont="1" applyFill="1" applyBorder="1" applyAlignment="1" applyProtection="1">
      <alignment horizontal="center" vertical="center"/>
      <protection locked="0"/>
    </xf>
    <xf numFmtId="0" fontId="7" fillId="0" borderId="416" xfId="428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/>
    </xf>
    <xf numFmtId="14" fontId="222" fillId="0" borderId="238" xfId="0" applyNumberFormat="1" applyFont="1" applyBorder="1"/>
    <xf numFmtId="0" fontId="316" fillId="0" borderId="0" xfId="0" applyFont="1" applyBorder="1" applyAlignment="1"/>
    <xf numFmtId="0" fontId="319" fillId="0" borderId="13" xfId="0" applyFont="1" applyBorder="1"/>
    <xf numFmtId="0" fontId="310" fillId="0" borderId="13" xfId="0" applyFont="1" applyBorder="1"/>
    <xf numFmtId="1" fontId="290" fillId="79" borderId="418" xfId="0" applyNumberFormat="1" applyFont="1" applyFill="1" applyBorder="1" applyAlignment="1" applyProtection="1">
      <alignment horizontal="center" vertical="center"/>
      <protection locked="0"/>
    </xf>
    <xf numFmtId="166" fontId="290" fillId="79" borderId="418" xfId="271" applyNumberFormat="1" applyFont="1" applyFill="1" applyBorder="1" applyAlignment="1">
      <alignment horizontal="center" vertical="center"/>
    </xf>
    <xf numFmtId="1" fontId="290" fillId="78" borderId="418" xfId="0" applyNumberFormat="1" applyFont="1" applyFill="1" applyBorder="1" applyAlignment="1" applyProtection="1">
      <alignment horizontal="center" vertical="center"/>
      <protection locked="0"/>
    </xf>
    <xf numFmtId="1" fontId="290" fillId="79" borderId="419" xfId="0" applyNumberFormat="1" applyFont="1" applyFill="1" applyBorder="1" applyAlignment="1" applyProtection="1">
      <alignment horizontal="center" vertical="center"/>
      <protection locked="0"/>
    </xf>
    <xf numFmtId="1" fontId="49" fillId="93" borderId="422" xfId="0" applyNumberFormat="1" applyFont="1" applyFill="1" applyBorder="1" applyAlignment="1" applyProtection="1">
      <alignment horizontal="center" vertical="center"/>
      <protection locked="0"/>
    </xf>
    <xf numFmtId="1" fontId="49" fillId="93" borderId="421" xfId="0" applyNumberFormat="1" applyFont="1" applyFill="1" applyBorder="1" applyAlignment="1" applyProtection="1">
      <alignment horizontal="center" vertical="center"/>
      <protection locked="0"/>
    </xf>
    <xf numFmtId="1" fontId="49" fillId="42" borderId="421" xfId="0" applyNumberFormat="1" applyFont="1" applyFill="1" applyBorder="1" applyAlignment="1" applyProtection="1">
      <alignment horizontal="center" vertical="center"/>
      <protection locked="0"/>
    </xf>
    <xf numFmtId="1" fontId="49" fillId="93" borderId="420" xfId="0" applyNumberFormat="1" applyFont="1" applyFill="1" applyBorder="1" applyAlignment="1" applyProtection="1">
      <alignment horizontal="center" vertical="center"/>
      <protection locked="0"/>
    </xf>
    <xf numFmtId="1" fontId="49" fillId="80" borderId="420" xfId="0" applyNumberFormat="1" applyFont="1" applyFill="1" applyBorder="1" applyAlignment="1" applyProtection="1">
      <alignment horizontal="center" vertical="center"/>
      <protection locked="0"/>
    </xf>
    <xf numFmtId="1" fontId="49" fillId="93" borderId="418" xfId="0" applyNumberFormat="1" applyFont="1" applyFill="1" applyBorder="1" applyAlignment="1" applyProtection="1">
      <alignment horizontal="center" vertical="center"/>
      <protection locked="0"/>
    </xf>
    <xf numFmtId="0" fontId="326" fillId="0" borderId="351" xfId="0" applyFont="1" applyBorder="1"/>
    <xf numFmtId="14" fontId="143" fillId="0" borderId="428" xfId="428" applyNumberFormat="1" applyFont="1" applyFill="1" applyBorder="1" applyAlignment="1">
      <alignment horizontal="left" vertical="center"/>
    </xf>
    <xf numFmtId="173" fontId="7" fillId="0" borderId="73" xfId="429" applyNumberFormat="1" applyFont="1" applyFill="1" applyBorder="1" applyAlignment="1" applyProtection="1">
      <alignment vertical="center" wrapText="1"/>
    </xf>
    <xf numFmtId="173" fontId="7" fillId="0" borderId="73" xfId="434" applyNumberFormat="1" applyFont="1" applyFill="1" applyBorder="1" applyAlignment="1" applyProtection="1">
      <alignment vertical="center"/>
    </xf>
    <xf numFmtId="173" fontId="7" fillId="0" borderId="73" xfId="434" applyNumberFormat="1" applyFont="1" applyFill="1" applyBorder="1" applyAlignment="1" applyProtection="1">
      <alignment horizontal="center" vertical="center"/>
    </xf>
    <xf numFmtId="173" fontId="7" fillId="0" borderId="58" xfId="429" applyNumberFormat="1" applyFont="1" applyFill="1" applyBorder="1" applyAlignment="1" applyProtection="1">
      <alignment vertical="center"/>
    </xf>
    <xf numFmtId="173" fontId="93" fillId="0" borderId="74" xfId="414" applyNumberFormat="1" applyFont="1" applyBorder="1" applyAlignment="1" applyProtection="1">
      <alignment horizontal="center"/>
    </xf>
    <xf numFmtId="173" fontId="7" fillId="0" borderId="74" xfId="429" applyNumberFormat="1" applyFont="1" applyFill="1" applyBorder="1" applyAlignment="1" applyProtection="1">
      <alignment horizontal="center" vertical="center"/>
    </xf>
    <xf numFmtId="173" fontId="327" fillId="0" borderId="74" xfId="429" applyNumberFormat="1" applyFont="1" applyFill="1" applyBorder="1" applyAlignment="1" applyProtection="1">
      <alignment horizontal="center" vertical="center"/>
    </xf>
    <xf numFmtId="173" fontId="7" fillId="0" borderId="277" xfId="429" applyNumberFormat="1" applyFont="1" applyFill="1" applyBorder="1" applyAlignment="1" applyProtection="1">
      <alignment vertical="center"/>
    </xf>
    <xf numFmtId="173" fontId="7" fillId="0" borderId="65" xfId="429" applyNumberFormat="1" applyFont="1" applyFill="1" applyBorder="1" applyAlignment="1">
      <alignment horizontal="center" vertical="center"/>
    </xf>
    <xf numFmtId="1" fontId="7" fillId="0" borderId="65" xfId="271" applyNumberFormat="1" applyFont="1" applyFill="1" applyBorder="1" applyAlignment="1">
      <alignment horizontal="center" vertical="center"/>
    </xf>
    <xf numFmtId="1" fontId="7" fillId="0" borderId="65" xfId="429" applyNumberFormat="1" applyFont="1" applyFill="1" applyBorder="1" applyAlignment="1" applyProtection="1">
      <alignment horizontal="center" vertical="center"/>
    </xf>
    <xf numFmtId="1" fontId="327" fillId="0" borderId="65" xfId="429" applyNumberFormat="1" applyFont="1" applyFill="1" applyBorder="1" applyAlignment="1" applyProtection="1">
      <alignment horizontal="center" vertical="center"/>
    </xf>
    <xf numFmtId="173" fontId="7" fillId="0" borderId="70" xfId="429" applyNumberFormat="1" applyFont="1" applyFill="1" applyBorder="1" applyAlignment="1">
      <alignment horizontal="center" vertical="center"/>
    </xf>
    <xf numFmtId="0" fontId="93" fillId="0" borderId="70" xfId="414" applyNumberFormat="1" applyFont="1" applyBorder="1" applyAlignment="1">
      <alignment horizontal="center"/>
    </xf>
    <xf numFmtId="1" fontId="7" fillId="0" borderId="75" xfId="429" applyNumberFormat="1" applyFont="1" applyFill="1" applyBorder="1" applyAlignment="1">
      <alignment horizontal="center" vertical="center"/>
    </xf>
    <xf numFmtId="1" fontId="7" fillId="0" borderId="70" xfId="429" applyNumberFormat="1" applyFont="1" applyFill="1" applyBorder="1" applyAlignment="1" applyProtection="1">
      <alignment horizontal="center" vertical="center"/>
    </xf>
    <xf numFmtId="0" fontId="7" fillId="0" borderId="70" xfId="429" applyNumberFormat="1" applyFont="1" applyFill="1" applyBorder="1" applyAlignment="1">
      <alignment horizontal="center" vertical="center"/>
    </xf>
    <xf numFmtId="14" fontId="20" fillId="31" borderId="70" xfId="414" applyNumberFormat="1" applyFont="1" applyFill="1" applyBorder="1" applyAlignment="1">
      <alignment horizontal="left" vertical="center"/>
    </xf>
    <xf numFmtId="1" fontId="7" fillId="0" borderId="75" xfId="437" applyNumberFormat="1" applyFont="1" applyFill="1" applyBorder="1" applyAlignment="1">
      <alignment horizontal="center" vertical="center"/>
    </xf>
    <xf numFmtId="1" fontId="7" fillId="0" borderId="70" xfId="437" applyNumberFormat="1" applyFont="1" applyFill="1" applyBorder="1" applyAlignment="1" applyProtection="1">
      <alignment horizontal="center" vertical="center"/>
    </xf>
    <xf numFmtId="20" fontId="20" fillId="0" borderId="70" xfId="429" applyNumberFormat="1" applyFont="1" applyFill="1" applyBorder="1" applyAlignment="1">
      <alignment vertical="center"/>
    </xf>
    <xf numFmtId="173" fontId="93" fillId="31" borderId="70" xfId="429" applyNumberFormat="1" applyFont="1" applyFill="1" applyBorder="1" applyAlignment="1">
      <alignment horizontal="center" vertical="center"/>
    </xf>
    <xf numFmtId="173" fontId="93" fillId="31" borderId="44" xfId="414" applyNumberFormat="1" applyFont="1" applyFill="1" applyBorder="1" applyAlignment="1">
      <alignment horizontal="center"/>
    </xf>
    <xf numFmtId="1" fontId="93" fillId="31" borderId="75" xfId="437" applyNumberFormat="1" applyFont="1" applyFill="1" applyBorder="1" applyAlignment="1">
      <alignment horizontal="center" vertical="center"/>
    </xf>
    <xf numFmtId="1" fontId="93" fillId="31" borderId="70" xfId="437" applyNumberFormat="1" applyFont="1" applyFill="1" applyBorder="1" applyAlignment="1" applyProtection="1">
      <alignment horizontal="center" vertical="center"/>
    </xf>
    <xf numFmtId="173" fontId="7" fillId="0" borderId="70" xfId="414" applyNumberFormat="1" applyFont="1" applyFill="1" applyBorder="1" applyAlignment="1">
      <alignment horizontal="center" vertical="center"/>
    </xf>
    <xf numFmtId="14" fontId="20" fillId="31" borderId="70" xfId="429" applyNumberFormat="1" applyFont="1" applyFill="1" applyBorder="1" applyAlignment="1">
      <alignment horizontal="left" vertical="center"/>
    </xf>
    <xf numFmtId="1" fontId="7" fillId="0" borderId="75" xfId="414" applyNumberFormat="1" applyFont="1" applyFill="1" applyBorder="1" applyAlignment="1">
      <alignment horizontal="center" vertical="center"/>
    </xf>
    <xf numFmtId="1" fontId="7" fillId="0" borderId="70" xfId="414" applyNumberFormat="1" applyFont="1" applyFill="1" applyBorder="1" applyAlignment="1" applyProtection="1">
      <alignment horizontal="center" vertical="center"/>
    </xf>
    <xf numFmtId="1" fontId="93" fillId="0" borderId="70" xfId="414" applyNumberFormat="1" applyFont="1" applyBorder="1" applyAlignment="1">
      <alignment horizontal="center"/>
    </xf>
    <xf numFmtId="1" fontId="7" fillId="0" borderId="70" xfId="429" applyNumberFormat="1" applyFont="1" applyFill="1" applyBorder="1" applyAlignment="1">
      <alignment horizontal="center" vertical="center"/>
    </xf>
    <xf numFmtId="14" fontId="20" fillId="0" borderId="70" xfId="429" applyNumberFormat="1" applyFont="1" applyFill="1" applyBorder="1" applyAlignment="1">
      <alignment horizontal="left" vertical="center"/>
    </xf>
    <xf numFmtId="1" fontId="7" fillId="0" borderId="70" xfId="414" applyNumberFormat="1" applyFont="1" applyFill="1" applyBorder="1" applyAlignment="1">
      <alignment horizontal="center" vertical="center"/>
    </xf>
    <xf numFmtId="173" fontId="7" fillId="0" borderId="60" xfId="414" applyNumberFormat="1" applyFont="1" applyFill="1" applyBorder="1" applyAlignment="1">
      <alignment horizontal="center" vertical="center"/>
    </xf>
    <xf numFmtId="1" fontId="7" fillId="0" borderId="15" xfId="429" applyNumberFormat="1" applyFont="1" applyFill="1" applyBorder="1" applyAlignment="1">
      <alignment horizontal="center" vertical="center"/>
    </xf>
    <xf numFmtId="0" fontId="7" fillId="31" borderId="106" xfId="0" applyFont="1" applyFill="1" applyBorder="1" applyAlignment="1">
      <alignment horizontal="center"/>
    </xf>
    <xf numFmtId="173" fontId="7" fillId="0" borderId="71" xfId="429" applyNumberFormat="1" applyFont="1" applyFill="1" applyBorder="1" applyAlignment="1">
      <alignment horizontal="center" vertical="center"/>
    </xf>
    <xf numFmtId="1" fontId="7" fillId="0" borderId="42" xfId="429" applyNumberFormat="1" applyFont="1" applyFill="1" applyBorder="1" applyAlignment="1">
      <alignment horizontal="center" vertical="center"/>
    </xf>
    <xf numFmtId="0" fontId="7" fillId="31" borderId="26" xfId="0" applyFont="1" applyFill="1" applyBorder="1" applyAlignment="1">
      <alignment horizontal="center"/>
    </xf>
    <xf numFmtId="1" fontId="7" fillId="0" borderId="71" xfId="429" applyNumberFormat="1" applyFont="1" applyFill="1" applyBorder="1" applyAlignment="1" applyProtection="1">
      <alignment horizontal="center" vertical="center"/>
    </xf>
    <xf numFmtId="1" fontId="7" fillId="31" borderId="65" xfId="428" applyNumberFormat="1" applyFont="1" applyFill="1" applyBorder="1" applyAlignment="1">
      <alignment horizontal="center" vertical="center"/>
    </xf>
    <xf numFmtId="1" fontId="7" fillId="0" borderId="76" xfId="429" applyNumberFormat="1" applyFont="1" applyFill="1" applyBorder="1" applyAlignment="1" applyProtection="1">
      <alignment horizontal="center" vertical="center"/>
    </xf>
    <xf numFmtId="173" fontId="7" fillId="0" borderId="53" xfId="414" applyNumberFormat="1" applyFont="1" applyFill="1" applyBorder="1" applyAlignment="1">
      <alignment horizontal="center" vertical="center"/>
    </xf>
    <xf numFmtId="1" fontId="7" fillId="0" borderId="71" xfId="414" applyNumberFormat="1" applyFont="1" applyFill="1" applyBorder="1" applyAlignment="1">
      <alignment horizontal="center" vertical="center"/>
    </xf>
    <xf numFmtId="173" fontId="7" fillId="0" borderId="60" xfId="429" applyNumberFormat="1" applyFont="1" applyFill="1" applyBorder="1" applyAlignment="1">
      <alignment horizontal="center" vertical="center"/>
    </xf>
    <xf numFmtId="1" fontId="7" fillId="0" borderId="65" xfId="428" applyNumberFormat="1" applyFont="1" applyFill="1" applyBorder="1" applyAlignment="1" applyProtection="1">
      <alignment horizontal="center" vertical="center"/>
      <protection locked="0"/>
    </xf>
    <xf numFmtId="1" fontId="7" fillId="0" borderId="75" xfId="429" applyNumberFormat="1" applyFont="1" applyFill="1" applyBorder="1" applyAlignment="1" applyProtection="1">
      <alignment horizontal="center" vertical="center"/>
    </xf>
    <xf numFmtId="1" fontId="7" fillId="0" borderId="70" xfId="428" applyNumberFormat="1" applyFont="1" applyFill="1" applyBorder="1" applyAlignment="1" applyProtection="1">
      <alignment horizontal="center" vertical="center"/>
      <protection locked="0"/>
    </xf>
    <xf numFmtId="1" fontId="327" fillId="0" borderId="70" xfId="429" applyNumberFormat="1" applyFont="1" applyFill="1" applyBorder="1" applyAlignment="1" applyProtection="1">
      <alignment horizontal="center" vertical="center"/>
    </xf>
    <xf numFmtId="1" fontId="7" fillId="0" borderId="76" xfId="429" applyNumberFormat="1" applyFont="1" applyFill="1" applyBorder="1" applyAlignment="1">
      <alignment horizontal="center" vertical="center"/>
    </xf>
    <xf numFmtId="1" fontId="7" fillId="0" borderId="71" xfId="428" applyNumberFormat="1" applyFont="1" applyFill="1" applyBorder="1" applyAlignment="1" applyProtection="1">
      <alignment horizontal="center" vertical="center"/>
      <protection locked="0"/>
    </xf>
    <xf numFmtId="1" fontId="327" fillId="0" borderId="71" xfId="429" applyNumberFormat="1" applyFont="1" applyFill="1" applyBorder="1" applyAlignment="1" applyProtection="1">
      <alignment horizontal="center" vertical="center"/>
    </xf>
    <xf numFmtId="173" fontId="7" fillId="0" borderId="74" xfId="429" applyNumberFormat="1" applyFont="1" applyFill="1" applyBorder="1" applyAlignment="1">
      <alignment horizontal="center" vertical="center"/>
    </xf>
    <xf numFmtId="1" fontId="7" fillId="0" borderId="74" xfId="428" applyNumberFormat="1" applyFont="1" applyFill="1" applyBorder="1" applyAlignment="1" applyProtection="1">
      <alignment horizontal="center" vertical="center"/>
      <protection locked="0"/>
    </xf>
    <xf numFmtId="1" fontId="327" fillId="0" borderId="74" xfId="429" applyNumberFormat="1" applyFont="1" applyFill="1" applyBorder="1" applyAlignment="1" applyProtection="1">
      <alignment horizontal="center" vertical="center"/>
    </xf>
    <xf numFmtId="173" fontId="9" fillId="32" borderId="72" xfId="429" applyNumberFormat="1" applyFont="1" applyFill="1" applyBorder="1" applyAlignment="1">
      <alignment vertical="center"/>
    </xf>
    <xf numFmtId="173" fontId="9" fillId="32" borderId="72" xfId="429" applyNumberFormat="1" applyFont="1" applyFill="1" applyBorder="1" applyAlignment="1">
      <alignment horizontal="center" vertical="center"/>
    </xf>
    <xf numFmtId="173" fontId="9" fillId="32" borderId="39" xfId="429" applyNumberFormat="1" applyFont="1" applyFill="1" applyBorder="1" applyAlignment="1">
      <alignment horizontal="center" vertical="center"/>
    </xf>
    <xf numFmtId="1" fontId="9" fillId="32" borderId="38" xfId="429" applyNumberFormat="1" applyFont="1" applyFill="1" applyBorder="1" applyAlignment="1">
      <alignment horizontal="center" vertical="center"/>
    </xf>
    <xf numFmtId="1" fontId="9" fillId="32" borderId="37" xfId="429" applyNumberFormat="1" applyFont="1" applyFill="1" applyBorder="1" applyAlignment="1">
      <alignment horizontal="center" vertical="center"/>
    </xf>
    <xf numFmtId="1" fontId="144" fillId="32" borderId="72" xfId="429" applyNumberFormat="1" applyFont="1" applyFill="1" applyBorder="1" applyAlignment="1">
      <alignment horizontal="center" vertical="center"/>
    </xf>
    <xf numFmtId="1" fontId="144" fillId="32" borderId="38" xfId="429" applyNumberFormat="1" applyFont="1" applyFill="1" applyBorder="1" applyAlignment="1">
      <alignment horizontal="center" vertical="center"/>
    </xf>
    <xf numFmtId="1" fontId="328" fillId="32" borderId="38" xfId="429" applyNumberFormat="1" applyFont="1" applyFill="1" applyBorder="1" applyAlignment="1">
      <alignment horizontal="center" vertical="center"/>
    </xf>
    <xf numFmtId="14" fontId="329" fillId="32" borderId="72" xfId="429" applyNumberFormat="1" applyFont="1" applyFill="1" applyBorder="1" applyAlignment="1">
      <alignment vertical="center"/>
    </xf>
    <xf numFmtId="173" fontId="7" fillId="0" borderId="65" xfId="429" applyNumberFormat="1" applyFont="1" applyFill="1" applyBorder="1" applyAlignment="1">
      <alignment vertical="center"/>
    </xf>
    <xf numFmtId="173" fontId="7" fillId="0" borderId="54" xfId="429" applyNumberFormat="1" applyFont="1" applyFill="1" applyBorder="1" applyAlignment="1">
      <alignment horizontal="center" vertical="center"/>
    </xf>
    <xf numFmtId="1" fontId="7" fillId="0" borderId="17" xfId="429" applyNumberFormat="1" applyFont="1" applyFill="1" applyBorder="1" applyAlignment="1">
      <alignment horizontal="center" vertical="center"/>
    </xf>
    <xf numFmtId="1" fontId="7" fillId="0" borderId="73" xfId="428" applyNumberFormat="1" applyFont="1" applyFill="1" applyBorder="1" applyAlignment="1">
      <alignment horizontal="center" vertical="center"/>
    </xf>
    <xf numFmtId="1" fontId="7" fillId="0" borderId="66" xfId="429" applyNumberFormat="1" applyFont="1" applyFill="1" applyBorder="1" applyAlignment="1" applyProtection="1">
      <alignment horizontal="center" vertical="center"/>
    </xf>
    <xf numFmtId="1" fontId="7" fillId="0" borderId="70" xfId="428" applyNumberFormat="1" applyFont="1" applyFill="1" applyBorder="1" applyAlignment="1">
      <alignment horizontal="center" vertical="center"/>
    </xf>
    <xf numFmtId="20" fontId="20" fillId="0" borderId="70" xfId="429" applyNumberFormat="1" applyFont="1" applyFill="1" applyBorder="1" applyAlignment="1">
      <alignment horizontal="left" vertical="center"/>
    </xf>
    <xf numFmtId="173" fontId="7" fillId="0" borderId="70" xfId="414" applyNumberFormat="1" applyFont="1" applyFill="1" applyBorder="1" applyAlignment="1">
      <alignment vertical="center"/>
    </xf>
    <xf numFmtId="1" fontId="7" fillId="0" borderId="15" xfId="414" applyNumberFormat="1" applyFont="1" applyFill="1" applyBorder="1" applyAlignment="1">
      <alignment horizontal="center" vertical="center"/>
    </xf>
    <xf numFmtId="1" fontId="7" fillId="0" borderId="75" xfId="414" applyNumberFormat="1" applyFont="1" applyFill="1" applyBorder="1" applyAlignment="1" applyProtection="1">
      <alignment horizontal="center" vertical="center"/>
    </xf>
    <xf numFmtId="173" fontId="7" fillId="31" borderId="71" xfId="414" applyNumberFormat="1" applyFont="1" applyFill="1" applyBorder="1" applyAlignment="1">
      <alignment vertical="center"/>
    </xf>
    <xf numFmtId="173" fontId="7" fillId="31" borderId="71" xfId="429" applyNumberFormat="1" applyFont="1" applyFill="1" applyBorder="1" applyAlignment="1">
      <alignment horizontal="center" vertical="center"/>
    </xf>
    <xf numFmtId="0" fontId="7" fillId="31" borderId="53" xfId="414" applyNumberFormat="1" applyFont="1" applyFill="1" applyBorder="1" applyAlignment="1">
      <alignment horizontal="center" vertical="center"/>
    </xf>
    <xf numFmtId="1" fontId="7" fillId="31" borderId="70" xfId="414" applyNumberFormat="1" applyFont="1" applyFill="1" applyBorder="1" applyAlignment="1">
      <alignment horizontal="center" vertical="center"/>
    </xf>
    <xf numFmtId="1" fontId="7" fillId="31" borderId="42" xfId="429" applyNumberFormat="1" applyFont="1" applyFill="1" applyBorder="1" applyAlignment="1">
      <alignment horizontal="center" vertical="center"/>
    </xf>
    <xf numFmtId="1" fontId="7" fillId="31" borderId="76" xfId="429" applyNumberFormat="1" applyFont="1" applyFill="1" applyBorder="1" applyAlignment="1" applyProtection="1">
      <alignment horizontal="center" vertical="center"/>
    </xf>
    <xf numFmtId="20" fontId="20" fillId="31" borderId="71" xfId="429" applyNumberFormat="1" applyFont="1" applyFill="1" applyBorder="1" applyAlignment="1">
      <alignment vertical="center"/>
    </xf>
    <xf numFmtId="173" fontId="7" fillId="0" borderId="71" xfId="414" applyNumberFormat="1" applyFont="1" applyFill="1" applyBorder="1" applyAlignment="1">
      <alignment horizontal="center" vertical="center"/>
    </xf>
    <xf numFmtId="1" fontId="7" fillId="0" borderId="71" xfId="429" applyNumberFormat="1" applyFont="1" applyFill="1" applyBorder="1" applyAlignment="1">
      <alignment horizontal="center" vertical="center"/>
    </xf>
    <xf numFmtId="1" fontId="7" fillId="0" borderId="71" xfId="428" applyNumberFormat="1" applyFont="1" applyFill="1" applyBorder="1" applyAlignment="1">
      <alignment horizontal="center" vertical="center"/>
    </xf>
    <xf numFmtId="173" fontId="9" fillId="32" borderId="39" xfId="414" applyNumberFormat="1" applyFont="1" applyFill="1" applyBorder="1" applyAlignment="1">
      <alignment horizontal="center" vertical="center"/>
    </xf>
    <xf numFmtId="1" fontId="9" fillId="32" borderId="72" xfId="429" applyNumberFormat="1" applyFont="1" applyFill="1" applyBorder="1" applyAlignment="1">
      <alignment horizontal="center" vertical="center"/>
    </xf>
    <xf numFmtId="1" fontId="327" fillId="32" borderId="38" xfId="429" applyNumberFormat="1" applyFont="1" applyFill="1" applyBorder="1" applyAlignment="1">
      <alignment horizontal="center" vertical="center"/>
    </xf>
    <xf numFmtId="14" fontId="330" fillId="32" borderId="72" xfId="429" applyNumberFormat="1" applyFont="1" applyFill="1" applyBorder="1" applyAlignment="1">
      <alignment vertical="center"/>
    </xf>
    <xf numFmtId="1" fontId="7" fillId="0" borderId="15" xfId="437" applyNumberFormat="1" applyFont="1" applyFill="1" applyBorder="1" applyAlignment="1">
      <alignment horizontal="center" vertical="center"/>
    </xf>
    <xf numFmtId="173" fontId="7" fillId="82" borderId="70" xfId="429" applyNumberFormat="1" applyFont="1" applyFill="1" applyBorder="1" applyAlignment="1">
      <alignment vertical="center"/>
    </xf>
    <xf numFmtId="173" fontId="7" fillId="82" borderId="70" xfId="429" applyNumberFormat="1" applyFont="1" applyFill="1" applyBorder="1" applyAlignment="1">
      <alignment horizontal="center" vertical="center"/>
    </xf>
    <xf numFmtId="173" fontId="7" fillId="82" borderId="60" xfId="429" applyNumberFormat="1" applyFont="1" applyFill="1" applyBorder="1" applyAlignment="1">
      <alignment horizontal="center" vertical="center"/>
    </xf>
    <xf numFmtId="1" fontId="7" fillId="82" borderId="75" xfId="429" applyNumberFormat="1" applyFont="1" applyFill="1" applyBorder="1" applyAlignment="1" applyProtection="1">
      <alignment horizontal="center" vertical="center"/>
    </xf>
    <xf numFmtId="1" fontId="327" fillId="82" borderId="65" xfId="429" applyNumberFormat="1" applyFont="1" applyFill="1" applyBorder="1" applyAlignment="1" applyProtection="1">
      <alignment horizontal="center" vertical="center"/>
    </xf>
    <xf numFmtId="173" fontId="9" fillId="0" borderId="70" xfId="429" applyNumberFormat="1" applyFont="1" applyFill="1" applyBorder="1" applyAlignment="1">
      <alignment vertical="center"/>
    </xf>
    <xf numFmtId="173" fontId="7" fillId="0" borderId="53" xfId="429" applyNumberFormat="1" applyFont="1" applyFill="1" applyBorder="1" applyAlignment="1">
      <alignment horizontal="center" vertical="center"/>
    </xf>
    <xf numFmtId="1" fontId="144" fillId="32" borderId="38" xfId="428" applyNumberFormat="1" applyFont="1" applyFill="1" applyBorder="1" applyAlignment="1">
      <alignment horizontal="center" vertical="center"/>
    </xf>
    <xf numFmtId="1" fontId="328" fillId="32" borderId="38" xfId="428" applyNumberFormat="1" applyFont="1" applyFill="1" applyBorder="1" applyAlignment="1">
      <alignment horizontal="center" vertical="center"/>
    </xf>
    <xf numFmtId="1" fontId="7" fillId="0" borderId="65" xfId="429" applyNumberFormat="1" applyFont="1" applyFill="1" applyBorder="1" applyAlignment="1">
      <alignment horizontal="center" vertical="center"/>
    </xf>
    <xf numFmtId="1" fontId="7" fillId="31" borderId="65" xfId="428" applyNumberFormat="1" applyFont="1" applyFill="1" applyBorder="1" applyAlignment="1" applyProtection="1">
      <alignment horizontal="center" vertical="center"/>
    </xf>
    <xf numFmtId="1" fontId="9" fillId="32" borderId="45" xfId="429" applyNumberFormat="1" applyFont="1" applyFill="1" applyBorder="1" applyAlignment="1">
      <alignment horizontal="center" vertical="center"/>
    </xf>
    <xf numFmtId="1" fontId="9" fillId="32" borderId="40" xfId="429" applyNumberFormat="1" applyFont="1" applyFill="1" applyBorder="1" applyAlignment="1">
      <alignment horizontal="center" vertical="center"/>
    </xf>
    <xf numFmtId="1" fontId="144" fillId="32" borderId="121" xfId="429" applyNumberFormat="1" applyFont="1" applyFill="1" applyBorder="1" applyAlignment="1">
      <alignment horizontal="center" vertical="center"/>
    </xf>
    <xf numFmtId="1" fontId="328" fillId="32" borderId="121" xfId="429" applyNumberFormat="1" applyFont="1" applyFill="1" applyBorder="1" applyAlignment="1">
      <alignment horizontal="center" vertical="center"/>
    </xf>
    <xf numFmtId="14" fontId="209" fillId="0" borderId="109" xfId="429" applyNumberFormat="1" applyFont="1" applyFill="1" applyBorder="1" applyAlignment="1">
      <alignment vertical="center"/>
    </xf>
    <xf numFmtId="1" fontId="7" fillId="0" borderId="75" xfId="437" applyNumberFormat="1" applyFont="1" applyFill="1" applyBorder="1" applyAlignment="1" applyProtection="1">
      <alignment horizontal="center" vertical="center"/>
    </xf>
    <xf numFmtId="173" fontId="7" fillId="0" borderId="71" xfId="429" applyNumberFormat="1" applyFont="1" applyFill="1" applyBorder="1" applyAlignment="1">
      <alignment horizontal="left" vertical="center"/>
    </xf>
    <xf numFmtId="173" fontId="7" fillId="31" borderId="70" xfId="429" applyNumberFormat="1" applyFont="1" applyFill="1" applyBorder="1" applyAlignment="1">
      <alignment vertical="center"/>
    </xf>
    <xf numFmtId="173" fontId="7" fillId="0" borderId="44" xfId="429" applyNumberFormat="1" applyFont="1" applyFill="1" applyBorder="1" applyAlignment="1">
      <alignment vertical="center"/>
    </xf>
    <xf numFmtId="173" fontId="7" fillId="0" borderId="44" xfId="429" applyNumberFormat="1" applyFont="1" applyFill="1" applyBorder="1" applyAlignment="1">
      <alignment horizontal="center" vertical="center"/>
    </xf>
    <xf numFmtId="173" fontId="7" fillId="0" borderId="47" xfId="429" applyNumberFormat="1" applyFont="1" applyFill="1" applyBorder="1" applyAlignment="1">
      <alignment horizontal="center" vertical="center"/>
    </xf>
    <xf numFmtId="1" fontId="7" fillId="0" borderId="44" xfId="429" applyNumberFormat="1" applyFont="1" applyFill="1" applyBorder="1" applyAlignment="1">
      <alignment horizontal="center" vertical="center"/>
    </xf>
    <xf numFmtId="1" fontId="7" fillId="0" borderId="0" xfId="429" applyNumberFormat="1" applyFont="1" applyFill="1" applyBorder="1" applyAlignment="1">
      <alignment horizontal="center" vertical="center"/>
    </xf>
    <xf numFmtId="1" fontId="7" fillId="0" borderId="44" xfId="428" applyNumberFormat="1" applyFont="1" applyFill="1" applyBorder="1" applyAlignment="1" applyProtection="1">
      <alignment horizontal="center" vertical="center"/>
      <protection locked="0"/>
    </xf>
    <xf numFmtId="1" fontId="7" fillId="0" borderId="48" xfId="429" applyNumberFormat="1" applyFont="1" applyFill="1" applyBorder="1" applyAlignment="1" applyProtection="1">
      <alignment horizontal="center" vertical="center"/>
    </xf>
    <xf numFmtId="1" fontId="327" fillId="0" borderId="44" xfId="429" applyNumberFormat="1" applyFont="1" applyFill="1" applyBorder="1" applyAlignment="1" applyProtection="1">
      <alignment horizontal="center" vertical="center"/>
    </xf>
    <xf numFmtId="173" fontId="7" fillId="0" borderId="12" xfId="429" applyNumberFormat="1" applyFont="1" applyFill="1" applyBorder="1" applyAlignment="1">
      <alignment horizontal="left" vertical="center"/>
    </xf>
    <xf numFmtId="173" fontId="7" fillId="0" borderId="44" xfId="429" applyNumberFormat="1" applyFont="1" applyFill="1" applyBorder="1" applyAlignment="1">
      <alignment horizontal="left" vertical="center"/>
    </xf>
    <xf numFmtId="0" fontId="93" fillId="0" borderId="42" xfId="0" applyFont="1" applyBorder="1" applyAlignment="1">
      <alignment horizontal="center"/>
    </xf>
    <xf numFmtId="173" fontId="7" fillId="0" borderId="75" xfId="429" applyNumberFormat="1" applyFont="1" applyFill="1" applyBorder="1" applyAlignment="1">
      <alignment vertical="center"/>
    </xf>
    <xf numFmtId="173" fontId="9" fillId="32" borderId="39" xfId="429" applyNumberFormat="1" applyFont="1" applyFill="1" applyBorder="1" applyAlignment="1">
      <alignment vertical="center"/>
    </xf>
    <xf numFmtId="1" fontId="9" fillId="32" borderId="72" xfId="437" applyNumberFormat="1" applyFont="1" applyFill="1" applyBorder="1" applyAlignment="1">
      <alignment horizontal="center" vertical="center"/>
    </xf>
    <xf numFmtId="1" fontId="327" fillId="32" borderId="72" xfId="437" applyNumberFormat="1" applyFont="1" applyFill="1" applyBorder="1" applyAlignment="1">
      <alignment horizontal="center" vertical="center"/>
    </xf>
    <xf numFmtId="1" fontId="327" fillId="32" borderId="38" xfId="429" applyNumberFormat="1" applyFont="1" applyFill="1" applyBorder="1" applyAlignment="1" applyProtection="1">
      <alignment horizontal="center" vertical="center"/>
    </xf>
    <xf numFmtId="14" fontId="329" fillId="32" borderId="72" xfId="429" applyNumberFormat="1" applyFont="1" applyFill="1" applyBorder="1" applyAlignment="1">
      <alignment horizontal="left" vertical="center"/>
    </xf>
    <xf numFmtId="1" fontId="7" fillId="0" borderId="66" xfId="414" applyNumberFormat="1" applyFont="1" applyFill="1" applyBorder="1" applyAlignment="1" applyProtection="1">
      <alignment horizontal="center" vertical="center"/>
    </xf>
    <xf numFmtId="0" fontId="7" fillId="32" borderId="72" xfId="429" applyNumberFormat="1" applyFont="1" applyFill="1" applyBorder="1" applyAlignment="1">
      <alignment vertical="center"/>
    </xf>
    <xf numFmtId="1" fontId="327" fillId="32" borderId="72" xfId="429" applyNumberFormat="1" applyFont="1" applyFill="1" applyBorder="1" applyAlignment="1">
      <alignment horizontal="center" vertical="center"/>
    </xf>
    <xf numFmtId="0" fontId="7" fillId="0" borderId="74" xfId="429" applyNumberFormat="1" applyFont="1" applyFill="1" applyBorder="1" applyAlignment="1">
      <alignment vertical="center"/>
    </xf>
    <xf numFmtId="173" fontId="9" fillId="0" borderId="74" xfId="429" applyNumberFormat="1" applyFont="1" applyFill="1" applyBorder="1" applyAlignment="1">
      <alignment vertical="center"/>
    </xf>
    <xf numFmtId="173" fontId="9" fillId="0" borderId="89" xfId="429" applyNumberFormat="1" applyFont="1" applyFill="1" applyBorder="1" applyAlignment="1">
      <alignment vertical="center"/>
    </xf>
    <xf numFmtId="1" fontId="9" fillId="0" borderId="74" xfId="429" applyNumberFormat="1" applyFont="1" applyFill="1" applyBorder="1" applyAlignment="1">
      <alignment horizontal="center" vertical="center"/>
    </xf>
    <xf numFmtId="165" fontId="9" fillId="0" borderId="74" xfId="429" applyNumberFormat="1" applyFont="1" applyFill="1" applyBorder="1" applyAlignment="1">
      <alignment vertical="center"/>
    </xf>
    <xf numFmtId="173" fontId="7" fillId="0" borderId="49" xfId="434" applyNumberFormat="1" applyFont="1" applyFill="1" applyBorder="1" applyAlignment="1">
      <alignment vertical="center"/>
    </xf>
    <xf numFmtId="173" fontId="7" fillId="0" borderId="40" xfId="434" applyNumberFormat="1" applyFont="1" applyFill="1" applyBorder="1" applyAlignment="1">
      <alignment horizontal="left" vertical="center"/>
    </xf>
    <xf numFmtId="165" fontId="7" fillId="0" borderId="40" xfId="434" applyNumberFormat="1" applyFont="1" applyFill="1" applyBorder="1" applyAlignment="1">
      <alignment horizontal="right" vertical="center"/>
    </xf>
    <xf numFmtId="173" fontId="7" fillId="0" borderId="40" xfId="434" applyNumberFormat="1" applyFont="1" applyFill="1" applyBorder="1" applyAlignment="1">
      <alignment vertical="center"/>
    </xf>
    <xf numFmtId="1" fontId="7" fillId="0" borderId="40" xfId="434" applyNumberFormat="1" applyFont="1" applyFill="1" applyBorder="1" applyAlignment="1">
      <alignment vertical="center"/>
    </xf>
    <xf numFmtId="1" fontId="7" fillId="0" borderId="40" xfId="434" applyNumberFormat="1" applyFont="1" applyFill="1" applyBorder="1" applyAlignment="1">
      <alignment horizontal="center" vertical="center"/>
    </xf>
    <xf numFmtId="49" fontId="9" fillId="0" borderId="51" xfId="434" applyNumberFormat="1" applyFont="1" applyFill="1" applyBorder="1" applyAlignment="1" applyProtection="1">
      <alignment horizontal="center" vertical="center"/>
      <protection locked="0"/>
    </xf>
    <xf numFmtId="173" fontId="7" fillId="0" borderId="45" xfId="434" applyNumberFormat="1" applyFont="1" applyFill="1" applyBorder="1" applyAlignment="1">
      <alignment vertical="center"/>
    </xf>
    <xf numFmtId="173" fontId="7" fillId="0" borderId="77" xfId="434" applyNumberFormat="1" applyFont="1" applyFill="1" applyBorder="1" applyAlignment="1">
      <alignment vertical="center"/>
    </xf>
    <xf numFmtId="173" fontId="7" fillId="0" borderId="78" xfId="434" applyNumberFormat="1" applyFont="1" applyFill="1" applyBorder="1" applyAlignment="1">
      <alignment horizontal="left" vertical="center"/>
    </xf>
    <xf numFmtId="165" fontId="7" fillId="0" borderId="33" xfId="434" applyNumberFormat="1" applyFont="1" applyFill="1" applyBorder="1" applyAlignment="1">
      <alignment horizontal="right" vertical="center"/>
    </xf>
    <xf numFmtId="165" fontId="7" fillId="0" borderId="78" xfId="434" applyNumberFormat="1" applyFont="1" applyFill="1" applyBorder="1" applyAlignment="1">
      <alignment horizontal="right" vertical="center"/>
    </xf>
    <xf numFmtId="165" fontId="7" fillId="0" borderId="78" xfId="434" applyNumberFormat="1" applyFont="1" applyFill="1" applyBorder="1" applyAlignment="1">
      <alignment vertical="center"/>
    </xf>
    <xf numFmtId="1" fontId="7" fillId="0" borderId="78" xfId="434" applyNumberFormat="1" applyFont="1" applyFill="1" applyBorder="1" applyAlignment="1">
      <alignment vertical="center"/>
    </xf>
    <xf numFmtId="49" fontId="9" fillId="0" borderId="79" xfId="434" applyNumberFormat="1" applyFont="1" applyFill="1" applyBorder="1" applyAlignment="1" applyProtection="1">
      <alignment horizontal="center" vertical="center"/>
      <protection locked="0"/>
    </xf>
    <xf numFmtId="173" fontId="7" fillId="0" borderId="307" xfId="434" applyNumberFormat="1" applyFont="1" applyFill="1" applyBorder="1" applyAlignment="1">
      <alignment vertical="center"/>
    </xf>
    <xf numFmtId="173" fontId="7" fillId="0" borderId="49" xfId="434" applyNumberFormat="1" applyFont="1" applyFill="1" applyBorder="1" applyAlignment="1">
      <alignment horizontal="left" vertical="center"/>
    </xf>
    <xf numFmtId="173" fontId="7" fillId="0" borderId="40" xfId="434" applyNumberFormat="1" applyFont="1" applyFill="1" applyBorder="1" applyAlignment="1">
      <alignment horizontal="center" vertical="center"/>
    </xf>
    <xf numFmtId="173" fontId="7" fillId="0" borderId="50" xfId="434" applyNumberFormat="1" applyFont="1" applyFill="1" applyBorder="1" applyAlignment="1">
      <alignment vertical="center"/>
    </xf>
    <xf numFmtId="1" fontId="7" fillId="0" borderId="50" xfId="434" applyNumberFormat="1" applyFont="1" applyFill="1" applyBorder="1" applyAlignment="1">
      <alignment vertical="center"/>
    </xf>
    <xf numFmtId="165" fontId="7" fillId="0" borderId="51" xfId="434" applyNumberFormat="1" applyFont="1" applyFill="1" applyBorder="1" applyAlignment="1">
      <alignment horizontal="center" vertical="center"/>
    </xf>
    <xf numFmtId="173" fontId="7" fillId="0" borderId="51" xfId="434" applyNumberFormat="1" applyFont="1" applyFill="1" applyBorder="1" applyAlignment="1">
      <alignment vertical="center"/>
    </xf>
    <xf numFmtId="168" fontId="20" fillId="0" borderId="52" xfId="434" quotePrefix="1" applyNumberFormat="1" applyFont="1" applyFill="1" applyBorder="1" applyAlignment="1">
      <alignment horizontal="left" vertical="center"/>
    </xf>
    <xf numFmtId="173" fontId="7" fillId="0" borderId="46" xfId="434" applyNumberFormat="1" applyFont="1" applyFill="1" applyBorder="1" applyAlignment="1">
      <alignment vertical="center"/>
    </xf>
    <xf numFmtId="1" fontId="7" fillId="0" borderId="53" xfId="434" applyNumberFormat="1" applyFont="1" applyFill="1" applyBorder="1" applyAlignment="1">
      <alignment horizontal="left" vertical="center"/>
    </xf>
    <xf numFmtId="1" fontId="7" fillId="0" borderId="42" xfId="434" applyNumberFormat="1" applyFont="1" applyFill="1" applyBorder="1" applyAlignment="1">
      <alignment horizontal="center" vertical="center"/>
    </xf>
    <xf numFmtId="1" fontId="7" fillId="0" borderId="24" xfId="434" applyNumberFormat="1" applyFont="1" applyFill="1" applyBorder="1" applyAlignment="1">
      <alignment horizontal="center" vertical="center"/>
    </xf>
    <xf numFmtId="1" fontId="7" fillId="0" borderId="41" xfId="434" applyNumberFormat="1" applyFont="1" applyFill="1" applyBorder="1" applyAlignment="1">
      <alignment horizontal="center" vertical="center"/>
    </xf>
    <xf numFmtId="1" fontId="7" fillId="0" borderId="23" xfId="434" applyNumberFormat="1" applyFont="1" applyFill="1" applyBorder="1" applyAlignment="1">
      <alignment horizontal="center" vertical="center"/>
    </xf>
    <xf numFmtId="173" fontId="7" fillId="0" borderId="23" xfId="434" applyNumberFormat="1" applyFont="1" applyFill="1" applyBorder="1" applyAlignment="1">
      <alignment vertical="center"/>
    </xf>
    <xf numFmtId="168" fontId="20" fillId="0" borderId="0" xfId="434" quotePrefix="1" applyNumberFormat="1" applyFont="1" applyFill="1" applyBorder="1" applyAlignment="1">
      <alignment horizontal="left" vertical="center"/>
    </xf>
    <xf numFmtId="173" fontId="7" fillId="0" borderId="48" xfId="434" applyNumberFormat="1" applyFont="1" applyFill="1" applyBorder="1" applyAlignment="1">
      <alignment vertical="center"/>
    </xf>
    <xf numFmtId="1" fontId="7" fillId="0" borderId="54" xfId="434" applyNumberFormat="1" applyFont="1" applyFill="1" applyBorder="1" applyAlignment="1">
      <alignment horizontal="left" vertical="center"/>
    </xf>
    <xf numFmtId="1" fontId="7" fillId="0" borderId="17" xfId="434" applyNumberFormat="1" applyFont="1" applyFill="1" applyBorder="1" applyAlignment="1">
      <alignment horizontal="center" vertical="center"/>
    </xf>
    <xf numFmtId="1" fontId="7" fillId="0" borderId="22" xfId="434" applyNumberFormat="1" applyFont="1" applyFill="1" applyBorder="1" applyAlignment="1">
      <alignment horizontal="center" vertical="center"/>
    </xf>
    <xf numFmtId="1" fontId="7" fillId="0" borderId="18" xfId="434" applyNumberFormat="1" applyFont="1" applyFill="1" applyBorder="1" applyAlignment="1">
      <alignment horizontal="center" vertical="center"/>
    </xf>
    <xf numFmtId="1" fontId="7" fillId="0" borderId="31" xfId="434" applyNumberFormat="1" applyFont="1" applyFill="1" applyBorder="1" applyAlignment="1">
      <alignment horizontal="center" vertical="center"/>
    </xf>
    <xf numFmtId="173" fontId="7" fillId="0" borderId="31" xfId="434" applyNumberFormat="1" applyFont="1" applyFill="1" applyBorder="1" applyAlignment="1">
      <alignment vertical="center"/>
    </xf>
    <xf numFmtId="1" fontId="7" fillId="0" borderId="55" xfId="434" applyNumberFormat="1" applyFont="1" applyFill="1" applyBorder="1" applyAlignment="1" applyProtection="1">
      <alignment horizontal="left" vertical="center"/>
    </xf>
    <xf numFmtId="1" fontId="7" fillId="0" borderId="56" xfId="434" applyNumberFormat="1" applyFont="1" applyFill="1" applyBorder="1" applyAlignment="1" applyProtection="1">
      <alignment horizontal="center" vertical="center"/>
    </xf>
    <xf numFmtId="1" fontId="7" fillId="0" borderId="34" xfId="434" applyNumberFormat="1" applyFont="1" applyFill="1" applyBorder="1" applyAlignment="1" applyProtection="1">
      <alignment horizontal="center" vertical="center"/>
    </xf>
    <xf numFmtId="1" fontId="7" fillId="0" borderId="35" xfId="434" applyNumberFormat="1" applyFont="1" applyFill="1" applyBorder="1" applyAlignment="1" applyProtection="1">
      <alignment horizontal="center" vertical="center"/>
    </xf>
    <xf numFmtId="173" fontId="7" fillId="0" borderId="35" xfId="434" applyNumberFormat="1" applyFont="1" applyFill="1" applyBorder="1" applyAlignment="1" applyProtection="1">
      <alignment vertical="center"/>
    </xf>
    <xf numFmtId="168" fontId="20" fillId="0" borderId="56" xfId="434" quotePrefix="1" applyNumberFormat="1" applyFont="1" applyFill="1" applyBorder="1" applyAlignment="1" applyProtection="1">
      <alignment horizontal="left" vertical="center"/>
    </xf>
    <xf numFmtId="173" fontId="7" fillId="0" borderId="280" xfId="434" applyNumberFormat="1" applyFont="1" applyFill="1" applyBorder="1" applyAlignment="1" applyProtection="1">
      <alignment vertical="center"/>
    </xf>
    <xf numFmtId="49" fontId="7" fillId="0" borderId="32" xfId="434" applyNumberFormat="1" applyFont="1" applyFill="1" applyBorder="1" applyAlignment="1" applyProtection="1">
      <alignment horizontal="left" vertical="center"/>
    </xf>
    <xf numFmtId="49" fontId="7" fillId="0" borderId="0" xfId="434" applyNumberFormat="1" applyFont="1" applyFill="1" applyBorder="1" applyAlignment="1" applyProtection="1">
      <alignment horizontal="left" vertical="center"/>
    </xf>
    <xf numFmtId="49" fontId="7" fillId="0" borderId="0" xfId="434" applyNumberFormat="1" applyFont="1" applyFill="1" applyBorder="1" applyAlignment="1" applyProtection="1">
      <alignment vertical="center"/>
    </xf>
    <xf numFmtId="1" fontId="7" fillId="0" borderId="0" xfId="434" applyNumberFormat="1" applyFont="1" applyFill="1" applyBorder="1" applyAlignment="1" applyProtection="1">
      <alignment vertical="center"/>
    </xf>
    <xf numFmtId="168" fontId="20" fillId="0" borderId="0" xfId="434" quotePrefix="1" applyNumberFormat="1" applyFont="1" applyFill="1" applyBorder="1" applyAlignment="1" applyProtection="1">
      <alignment horizontal="left" vertical="center"/>
    </xf>
    <xf numFmtId="49" fontId="7" fillId="0" borderId="46" xfId="434" applyNumberFormat="1" applyFont="1" applyFill="1" applyBorder="1" applyAlignment="1" applyProtection="1">
      <alignment vertical="center"/>
    </xf>
    <xf numFmtId="0" fontId="9" fillId="0" borderId="37" xfId="0" applyFont="1" applyFill="1" applyBorder="1" applyAlignment="1">
      <alignment horizontal="center" vertical="center"/>
    </xf>
    <xf numFmtId="0" fontId="9" fillId="0" borderId="38" xfId="0" applyFont="1" applyFill="1" applyBorder="1" applyAlignment="1">
      <alignment horizontal="center" vertical="center"/>
    </xf>
    <xf numFmtId="0" fontId="54" fillId="34" borderId="72" xfId="0" applyFont="1" applyFill="1" applyBorder="1" applyAlignment="1">
      <alignment horizontal="center" vertical="center"/>
    </xf>
    <xf numFmtId="0" fontId="56" fillId="38" borderId="26" xfId="0" quotePrefix="1" applyFont="1" applyFill="1" applyBorder="1" applyAlignment="1">
      <alignment vertical="center"/>
    </xf>
    <xf numFmtId="0" fontId="56" fillId="91" borderId="26" xfId="0" quotePrefix="1" applyFont="1" applyFill="1" applyBorder="1" applyAlignment="1">
      <alignment vertical="center"/>
    </xf>
    <xf numFmtId="0" fontId="56" fillId="80" borderId="26" xfId="0" quotePrefix="1" applyFont="1" applyFill="1" applyBorder="1" applyAlignment="1">
      <alignment vertical="center"/>
    </xf>
    <xf numFmtId="0" fontId="56" fillId="68" borderId="26" xfId="0" quotePrefix="1" applyFont="1" applyFill="1" applyBorder="1" applyAlignment="1">
      <alignment vertical="center"/>
    </xf>
    <xf numFmtId="0" fontId="56" fillId="49" borderId="26" xfId="0" applyFont="1" applyFill="1" applyBorder="1" applyAlignment="1">
      <alignment vertical="center"/>
    </xf>
    <xf numFmtId="0" fontId="56" fillId="38" borderId="26" xfId="0" applyFont="1" applyFill="1" applyBorder="1" applyAlignment="1">
      <alignment vertical="center"/>
    </xf>
    <xf numFmtId="0" fontId="56" fillId="91" borderId="26" xfId="0" applyFont="1" applyFill="1" applyBorder="1" applyAlignment="1">
      <alignment vertical="center"/>
    </xf>
    <xf numFmtId="0" fontId="56" fillId="49" borderId="26" xfId="0" quotePrefix="1" applyFont="1" applyFill="1" applyBorder="1" applyAlignment="1">
      <alignment vertical="center"/>
    </xf>
    <xf numFmtId="0" fontId="56" fillId="80" borderId="26" xfId="0" applyFont="1" applyFill="1" applyBorder="1" applyAlignment="1">
      <alignment vertical="center"/>
    </xf>
    <xf numFmtId="0" fontId="56" fillId="68" borderId="26" xfId="0" applyFont="1" applyFill="1" applyBorder="1" applyAlignment="1">
      <alignment vertical="center"/>
    </xf>
    <xf numFmtId="0" fontId="0" fillId="80" borderId="0" xfId="0" applyFont="1" applyFill="1" applyAlignment="1">
      <alignment vertical="center"/>
    </xf>
    <xf numFmtId="0" fontId="56" fillId="91" borderId="26" xfId="0" applyNumberFormat="1" applyFont="1" applyFill="1" applyBorder="1" applyAlignment="1">
      <alignment vertical="center"/>
    </xf>
    <xf numFmtId="0" fontId="56" fillId="80" borderId="26" xfId="0" applyNumberFormat="1" applyFont="1" applyFill="1" applyBorder="1" applyAlignment="1">
      <alignment vertical="center"/>
    </xf>
    <xf numFmtId="0" fontId="56" fillId="68" borderId="26" xfId="0" applyNumberFormat="1" applyFont="1" applyFill="1" applyBorder="1" applyAlignment="1">
      <alignment vertical="center"/>
    </xf>
    <xf numFmtId="0" fontId="56" fillId="49" borderId="26" xfId="0" applyNumberFormat="1" applyFont="1" applyFill="1" applyBorder="1" applyAlignment="1">
      <alignment vertical="center"/>
    </xf>
    <xf numFmtId="0" fontId="56" fillId="38" borderId="26" xfId="0" applyNumberFormat="1" applyFont="1" applyFill="1" applyBorder="1" applyAlignment="1">
      <alignment vertical="center"/>
    </xf>
    <xf numFmtId="0" fontId="56" fillId="80" borderId="93" xfId="0" applyFont="1" applyFill="1" applyBorder="1" applyAlignment="1">
      <alignment vertical="center"/>
    </xf>
    <xf numFmtId="0" fontId="57" fillId="82" borderId="92" xfId="0" quotePrefix="1" applyFont="1" applyFill="1" applyBorder="1" applyAlignment="1">
      <alignment vertical="center"/>
    </xf>
    <xf numFmtId="0" fontId="331" fillId="45" borderId="261" xfId="0" applyNumberFormat="1" applyFont="1" applyFill="1" applyBorder="1" applyAlignment="1">
      <alignment vertical="center"/>
    </xf>
    <xf numFmtId="0" fontId="0" fillId="0" borderId="0" xfId="0" applyFont="1"/>
    <xf numFmtId="0" fontId="9" fillId="0" borderId="88" xfId="428" applyFont="1" applyFill="1" applyBorder="1" applyAlignment="1">
      <alignment vertical="center"/>
    </xf>
    <xf numFmtId="0" fontId="9" fillId="0" borderId="179" xfId="428" applyFont="1" applyFill="1" applyBorder="1" applyAlignment="1">
      <alignment horizontal="center" vertical="center"/>
    </xf>
    <xf numFmtId="0" fontId="9" fillId="0" borderId="179" xfId="0" applyFont="1" applyFill="1" applyBorder="1" applyAlignment="1">
      <alignment vertical="center"/>
    </xf>
    <xf numFmtId="0" fontId="9" fillId="0" borderId="46" xfId="428" applyFont="1" applyFill="1" applyBorder="1" applyAlignment="1">
      <alignment vertical="center"/>
    </xf>
    <xf numFmtId="0" fontId="9" fillId="0" borderId="58" xfId="499" applyFont="1" applyBorder="1" applyAlignment="1">
      <alignment horizontal="center" vertical="center" wrapText="1"/>
    </xf>
    <xf numFmtId="0" fontId="9" fillId="0" borderId="88" xfId="499" applyFont="1" applyBorder="1" applyAlignment="1">
      <alignment vertical="center" wrapText="1"/>
    </xf>
    <xf numFmtId="0" fontId="222" fillId="0" borderId="46" xfId="0" applyFont="1" applyBorder="1" applyAlignment="1"/>
    <xf numFmtId="0" fontId="9" fillId="0" borderId="58" xfId="499" applyFont="1" applyBorder="1" applyAlignment="1">
      <alignment vertical="center"/>
    </xf>
    <xf numFmtId="0" fontId="9" fillId="0" borderId="88" xfId="499" applyFont="1" applyBorder="1" applyAlignment="1">
      <alignment vertical="center"/>
    </xf>
    <xf numFmtId="0" fontId="9" fillId="0" borderId="189" xfId="499" applyFont="1" applyBorder="1" applyAlignment="1">
      <alignment vertical="center"/>
    </xf>
    <xf numFmtId="0" fontId="9" fillId="0" borderId="94" xfId="499" applyFont="1" applyBorder="1" applyAlignment="1">
      <alignment vertical="center"/>
    </xf>
    <xf numFmtId="0" fontId="9" fillId="0" borderId="94" xfId="499" applyFont="1" applyFill="1" applyBorder="1" applyAlignment="1">
      <alignment vertical="center"/>
    </xf>
    <xf numFmtId="0" fontId="9" fillId="0" borderId="47" xfId="499" applyFont="1" applyBorder="1" applyAlignment="1">
      <alignment vertical="center"/>
    </xf>
    <xf numFmtId="0" fontId="222" fillId="0" borderId="48" xfId="0" applyFont="1" applyBorder="1" applyAlignment="1"/>
    <xf numFmtId="0" fontId="9" fillId="0" borderId="44" xfId="499" applyFont="1" applyBorder="1" applyAlignment="1">
      <alignment horizontal="center" vertical="center"/>
    </xf>
    <xf numFmtId="0" fontId="9" fillId="0" borderId="47" xfId="499" applyFont="1" applyBorder="1" applyAlignment="1">
      <alignment horizontal="center" vertical="center"/>
    </xf>
    <xf numFmtId="0" fontId="9" fillId="0" borderId="39" xfId="499" applyFont="1" applyBorder="1" applyAlignment="1">
      <alignment horizontal="center" vertical="center"/>
    </xf>
    <xf numFmtId="164" fontId="9" fillId="0" borderId="39" xfId="499" applyNumberFormat="1" applyFont="1" applyBorder="1" applyAlignment="1">
      <alignment horizontal="center" vertical="center"/>
    </xf>
    <xf numFmtId="164" fontId="9" fillId="0" borderId="38" xfId="499" applyNumberFormat="1" applyFont="1" applyFill="1" applyBorder="1" applyAlignment="1">
      <alignment horizontal="center" vertical="center"/>
    </xf>
    <xf numFmtId="0" fontId="9" fillId="0" borderId="44" xfId="499" applyFont="1" applyBorder="1" applyAlignment="1">
      <alignment vertical="center"/>
    </xf>
    <xf numFmtId="0" fontId="222" fillId="0" borderId="202" xfId="0" applyFont="1" applyBorder="1" applyAlignment="1"/>
    <xf numFmtId="0" fontId="222" fillId="0" borderId="157" xfId="0" applyFont="1" applyBorder="1" applyAlignment="1"/>
    <xf numFmtId="0" fontId="222" fillId="0" borderId="159" xfId="0" applyFont="1" applyBorder="1" applyAlignment="1"/>
    <xf numFmtId="0" fontId="9" fillId="0" borderId="202" xfId="499" applyFont="1" applyBorder="1" applyAlignment="1">
      <alignment vertical="center"/>
    </xf>
    <xf numFmtId="0" fontId="9" fillId="0" borderId="0" xfId="499" applyFont="1" applyBorder="1" applyAlignment="1">
      <alignment horizontal="center" vertical="center"/>
    </xf>
    <xf numFmtId="0" fontId="9" fillId="0" borderId="44" xfId="499" applyFont="1" applyFill="1" applyBorder="1" applyAlignment="1">
      <alignment horizontal="center" vertical="center"/>
    </xf>
    <xf numFmtId="0" fontId="9" fillId="0" borderId="157" xfId="499" applyFont="1" applyBorder="1" applyAlignment="1">
      <alignment vertical="center"/>
    </xf>
    <xf numFmtId="0" fontId="9" fillId="0" borderId="72" xfId="499" applyFont="1" applyBorder="1" applyAlignment="1">
      <alignment horizontal="center" vertical="center"/>
    </xf>
    <xf numFmtId="176" fontId="9" fillId="0" borderId="37" xfId="499" applyNumberFormat="1" applyFont="1" applyBorder="1" applyAlignment="1">
      <alignment vertical="center"/>
    </xf>
    <xf numFmtId="0" fontId="9" fillId="0" borderId="226" xfId="499" applyFont="1" applyFill="1" applyBorder="1" applyAlignment="1">
      <alignment horizontal="center" vertical="center"/>
    </xf>
    <xf numFmtId="0" fontId="9" fillId="0" borderId="188" xfId="499" applyFont="1" applyBorder="1" applyAlignment="1">
      <alignment horizontal="center" vertical="center"/>
    </xf>
    <xf numFmtId="0" fontId="9" fillId="0" borderId="37" xfId="499" applyFont="1" applyBorder="1" applyAlignment="1">
      <alignment horizontal="center" vertical="center"/>
    </xf>
    <xf numFmtId="0" fontId="9" fillId="0" borderId="72" xfId="499" applyFont="1" applyFill="1" applyBorder="1" applyAlignment="1">
      <alignment horizontal="center" vertical="center"/>
    </xf>
    <xf numFmtId="14" fontId="9" fillId="0" borderId="39" xfId="499" applyNumberFormat="1" applyFont="1" applyBorder="1" applyAlignment="1">
      <alignment vertical="center"/>
    </xf>
    <xf numFmtId="0" fontId="222" fillId="0" borderId="38" xfId="0" applyFont="1" applyBorder="1" applyAlignment="1"/>
    <xf numFmtId="0" fontId="7" fillId="0" borderId="107" xfId="428" applyFont="1" applyFill="1" applyBorder="1" applyAlignment="1">
      <alignment horizontal="center" vertical="center"/>
    </xf>
    <xf numFmtId="0" fontId="7" fillId="0" borderId="109" xfId="428" applyFont="1" applyFill="1" applyBorder="1" applyAlignment="1">
      <alignment horizontal="center" vertical="center"/>
    </xf>
    <xf numFmtId="1" fontId="7" fillId="0" borderId="84" xfId="428" applyNumberFormat="1" applyFont="1" applyFill="1" applyBorder="1" applyAlignment="1">
      <alignment horizontal="center" vertical="center"/>
    </xf>
    <xf numFmtId="1" fontId="7" fillId="0" borderId="107" xfId="428" applyNumberFormat="1" applyFont="1" applyFill="1" applyBorder="1" applyAlignment="1">
      <alignment horizontal="center" vertical="center"/>
    </xf>
    <xf numFmtId="1" fontId="7" fillId="0" borderId="109" xfId="432" applyNumberFormat="1" applyFont="1" applyFill="1" applyBorder="1" applyAlignment="1" applyProtection="1">
      <alignment horizontal="center"/>
      <protection locked="0"/>
    </xf>
    <xf numFmtId="0" fontId="7" fillId="0" borderId="111" xfId="428" applyFont="1" applyFill="1" applyBorder="1" applyAlignment="1">
      <alignment horizontal="center" vertical="center"/>
    </xf>
    <xf numFmtId="0" fontId="7" fillId="0" borderId="113" xfId="428" applyFont="1" applyFill="1" applyBorder="1" applyAlignment="1">
      <alignment horizontal="center" vertical="center"/>
    </xf>
    <xf numFmtId="1" fontId="7" fillId="0" borderId="85" xfId="428" applyNumberFormat="1" applyFont="1" applyFill="1" applyBorder="1" applyAlignment="1">
      <alignment horizontal="center" vertical="center"/>
    </xf>
    <xf numFmtId="1" fontId="7" fillId="0" borderId="111" xfId="428" applyNumberFormat="1" applyFont="1" applyFill="1" applyBorder="1" applyAlignment="1">
      <alignment horizontal="center" vertical="center"/>
    </xf>
    <xf numFmtId="1" fontId="7" fillId="0" borderId="85" xfId="428" applyNumberFormat="1" applyFont="1" applyFill="1" applyBorder="1" applyAlignment="1" applyProtection="1">
      <alignment horizontal="center" vertical="center"/>
    </xf>
    <xf numFmtId="1" fontId="7" fillId="0" borderId="111" xfId="428" applyNumberFormat="1" applyFont="1" applyFill="1" applyBorder="1" applyAlignment="1" applyProtection="1">
      <alignment horizontal="center" vertical="center"/>
      <protection locked="0"/>
    </xf>
    <xf numFmtId="1" fontId="7" fillId="0" borderId="85" xfId="428" applyNumberFormat="1" applyFont="1" applyFill="1" applyBorder="1" applyAlignment="1" applyProtection="1">
      <alignment horizontal="center" vertical="center"/>
      <protection locked="0"/>
    </xf>
    <xf numFmtId="1" fontId="7" fillId="31" borderId="111" xfId="428" applyNumberFormat="1" applyFont="1" applyFill="1" applyBorder="1" applyAlignment="1" applyProtection="1">
      <alignment horizontal="center" vertical="center"/>
      <protection locked="0"/>
    </xf>
    <xf numFmtId="0" fontId="7" fillId="0" borderId="111" xfId="436" applyFont="1" applyFill="1" applyBorder="1" applyAlignment="1">
      <alignment horizontal="center" vertical="center"/>
    </xf>
    <xf numFmtId="0" fontId="7" fillId="0" borderId="113" xfId="436" applyFont="1" applyFill="1" applyBorder="1" applyAlignment="1">
      <alignment horizontal="center" vertical="center"/>
    </xf>
    <xf numFmtId="1" fontId="7" fillId="0" borderId="85" xfId="436" applyNumberFormat="1" applyFont="1" applyFill="1" applyBorder="1" applyAlignment="1">
      <alignment horizontal="center" vertical="center"/>
    </xf>
    <xf numFmtId="1" fontId="7" fillId="0" borderId="111" xfId="436" applyNumberFormat="1" applyFont="1" applyFill="1" applyBorder="1" applyAlignment="1">
      <alignment horizontal="center" vertical="center"/>
    </xf>
    <xf numFmtId="172" fontId="7" fillId="0" borderId="236" xfId="501" applyNumberFormat="1" applyFont="1" applyBorder="1" applyAlignment="1">
      <alignment horizontal="center" vertical="center"/>
    </xf>
    <xf numFmtId="1" fontId="7" fillId="31" borderId="111" xfId="436" applyNumberFormat="1" applyFont="1" applyFill="1" applyBorder="1" applyAlignment="1">
      <alignment horizontal="center" vertical="center"/>
    </xf>
    <xf numFmtId="20" fontId="222" fillId="31" borderId="355" xfId="0" applyNumberFormat="1" applyFont="1" applyFill="1" applyBorder="1" applyAlignment="1">
      <alignment vertical="top"/>
    </xf>
    <xf numFmtId="0" fontId="7" fillId="0" borderId="111" xfId="0" applyFont="1" applyFill="1" applyBorder="1" applyAlignment="1">
      <alignment horizontal="center" vertical="center"/>
    </xf>
    <xf numFmtId="20" fontId="209" fillId="31" borderId="358" xfId="0" applyNumberFormat="1" applyFont="1" applyFill="1" applyBorder="1" applyAlignment="1">
      <alignment vertical="top"/>
    </xf>
    <xf numFmtId="1" fontId="7" fillId="31" borderId="111" xfId="428" applyNumberFormat="1" applyFont="1" applyFill="1" applyBorder="1" applyAlignment="1">
      <alignment horizontal="center" vertical="center"/>
    </xf>
    <xf numFmtId="0" fontId="7" fillId="0" borderId="12" xfId="414" applyNumberFormat="1" applyFont="1" applyFill="1" applyBorder="1" applyAlignment="1">
      <alignment vertical="center"/>
    </xf>
    <xf numFmtId="0" fontId="7" fillId="0" borderId="113" xfId="0" applyFont="1" applyFill="1" applyBorder="1" applyAlignment="1">
      <alignment vertical="center"/>
    </xf>
    <xf numFmtId="0" fontId="7" fillId="0" borderId="113" xfId="0" applyFont="1" applyFill="1" applyBorder="1" applyAlignment="1">
      <alignment horizontal="center" vertical="center"/>
    </xf>
    <xf numFmtId="1" fontId="7" fillId="0" borderId="85" xfId="0" applyNumberFormat="1" applyFont="1" applyFill="1" applyBorder="1" applyAlignment="1">
      <alignment horizontal="center" vertical="center"/>
    </xf>
    <xf numFmtId="1" fontId="7" fillId="0" borderId="111" xfId="0" applyNumberFormat="1" applyFont="1" applyFill="1" applyBorder="1" applyAlignment="1">
      <alignment horizontal="center" vertical="center"/>
    </xf>
    <xf numFmtId="1" fontId="93" fillId="31" borderId="111" xfId="428" applyNumberFormat="1" applyFont="1" applyFill="1" applyBorder="1" applyAlignment="1" applyProtection="1">
      <alignment horizontal="center" vertical="center"/>
      <protection locked="0"/>
    </xf>
    <xf numFmtId="1" fontId="7" fillId="0" borderId="112" xfId="428" applyNumberFormat="1" applyFont="1" applyFill="1" applyBorder="1" applyAlignment="1">
      <alignment horizontal="center" vertical="center"/>
    </xf>
    <xf numFmtId="0" fontId="7" fillId="0" borderId="117" xfId="0" applyFont="1" applyFill="1" applyBorder="1" applyAlignment="1">
      <alignment horizontal="center" vertical="center"/>
    </xf>
    <xf numFmtId="173" fontId="7" fillId="0" borderId="12" xfId="429" applyNumberFormat="1" applyFont="1" applyFill="1" applyBorder="1" applyAlignment="1">
      <alignment vertical="center"/>
    </xf>
    <xf numFmtId="0" fontId="7" fillId="0" borderId="293" xfId="428" applyFont="1" applyFill="1" applyBorder="1" applyAlignment="1">
      <alignment horizontal="center" vertical="center"/>
    </xf>
    <xf numFmtId="0" fontId="7" fillId="0" borderId="102" xfId="0" applyNumberFormat="1" applyFont="1" applyBorder="1" applyAlignment="1">
      <alignment vertical="center"/>
    </xf>
    <xf numFmtId="0" fontId="222" fillId="0" borderId="0" xfId="0" applyFont="1" applyBorder="1" applyAlignment="1">
      <alignment vertical="center"/>
    </xf>
    <xf numFmtId="0" fontId="7" fillId="0" borderId="117" xfId="428" applyFont="1" applyFill="1" applyBorder="1" applyAlignment="1">
      <alignment horizontal="center" vertical="center"/>
    </xf>
    <xf numFmtId="173" fontId="7" fillId="0" borderId="81" xfId="0" applyNumberFormat="1" applyFont="1" applyFill="1" applyBorder="1" applyAlignment="1">
      <alignment vertical="center"/>
    </xf>
    <xf numFmtId="0" fontId="7" fillId="0" borderId="119" xfId="0" applyFont="1" applyBorder="1" applyAlignment="1">
      <alignment vertical="top"/>
    </xf>
    <xf numFmtId="0" fontId="7" fillId="0" borderId="119" xfId="428" applyFont="1" applyFill="1" applyBorder="1" applyAlignment="1">
      <alignment horizontal="center" vertical="center"/>
    </xf>
    <xf numFmtId="1" fontId="7" fillId="0" borderId="86" xfId="428" applyNumberFormat="1" applyFont="1" applyFill="1" applyBorder="1" applyAlignment="1">
      <alignment horizontal="center" vertical="center"/>
    </xf>
    <xf numFmtId="1" fontId="7" fillId="0" borderId="117" xfId="428" applyNumberFormat="1" applyFont="1" applyFill="1" applyBorder="1" applyAlignment="1">
      <alignment horizontal="center" vertical="center"/>
    </xf>
    <xf numFmtId="1" fontId="7" fillId="0" borderId="86" xfId="428" applyNumberFormat="1" applyFont="1" applyFill="1" applyBorder="1" applyAlignment="1" applyProtection="1">
      <alignment horizontal="center" vertical="center"/>
      <protection locked="0"/>
    </xf>
    <xf numFmtId="1" fontId="7" fillId="0" borderId="117" xfId="428" applyNumberFormat="1" applyFont="1" applyFill="1" applyBorder="1" applyAlignment="1" applyProtection="1">
      <alignment horizontal="center" vertical="center"/>
      <protection locked="0"/>
    </xf>
    <xf numFmtId="1" fontId="7" fillId="0" borderId="48" xfId="0" applyNumberFormat="1" applyFont="1" applyBorder="1" applyAlignment="1">
      <alignment horizontal="center"/>
    </xf>
    <xf numFmtId="0" fontId="26" fillId="0" borderId="117" xfId="428" applyNumberFormat="1" applyFont="1" applyFill="1" applyBorder="1" applyAlignment="1">
      <alignment horizontal="center" vertical="center"/>
    </xf>
    <xf numFmtId="173" fontId="7" fillId="0" borderId="81" xfId="429" applyNumberFormat="1" applyFont="1" applyFill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86" xfId="428" applyFont="1" applyFill="1" applyBorder="1" applyAlignment="1">
      <alignment horizontal="center" vertical="center"/>
    </xf>
    <xf numFmtId="0" fontId="7" fillId="0" borderId="117" xfId="428" applyNumberFormat="1" applyFont="1" applyFill="1" applyBorder="1" applyAlignment="1">
      <alignment horizontal="center" vertical="center"/>
    </xf>
    <xf numFmtId="1" fontId="7" fillId="0" borderId="191" xfId="432" applyNumberFormat="1" applyFont="1" applyFill="1" applyBorder="1" applyAlignment="1" applyProtection="1">
      <alignment horizontal="center"/>
      <protection locked="0"/>
    </xf>
    <xf numFmtId="0" fontId="209" fillId="0" borderId="352" xfId="0" applyFont="1" applyBorder="1"/>
    <xf numFmtId="0" fontId="26" fillId="0" borderId="117" xfId="428" applyFont="1" applyFill="1" applyBorder="1" applyAlignment="1">
      <alignment horizontal="center" vertical="center"/>
    </xf>
    <xf numFmtId="173" fontId="7" fillId="31" borderId="12" xfId="414" applyNumberFormat="1" applyFont="1" applyFill="1" applyBorder="1" applyAlignment="1">
      <alignment vertical="center"/>
    </xf>
    <xf numFmtId="20" fontId="332" fillId="31" borderId="358" xfId="428" applyNumberFormat="1" applyFont="1" applyFill="1" applyBorder="1" applyAlignment="1">
      <alignment vertical="top"/>
    </xf>
    <xf numFmtId="173" fontId="7" fillId="0" borderId="81" xfId="414" applyNumberFormat="1" applyFont="1" applyFill="1" applyBorder="1" applyAlignment="1">
      <alignment vertical="center"/>
    </xf>
    <xf numFmtId="0" fontId="7" fillId="0" borderId="119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1" fontId="7" fillId="0" borderId="44" xfId="428" applyNumberFormat="1" applyFont="1" applyFill="1" applyBorder="1" applyAlignment="1">
      <alignment horizontal="center" vertical="center"/>
    </xf>
    <xf numFmtId="0" fontId="7" fillId="0" borderId="48" xfId="428" applyFont="1" applyFill="1" applyBorder="1" applyAlignment="1">
      <alignment horizontal="center" vertical="center"/>
    </xf>
    <xf numFmtId="173" fontId="7" fillId="0" borderId="315" xfId="414" applyNumberFormat="1" applyFont="1" applyFill="1" applyBorder="1" applyAlignment="1">
      <alignment vertical="center"/>
    </xf>
    <xf numFmtId="0" fontId="7" fillId="0" borderId="321" xfId="0" applyFont="1" applyFill="1" applyBorder="1" applyAlignment="1">
      <alignment vertical="center"/>
    </xf>
    <xf numFmtId="0" fontId="7" fillId="0" borderId="322" xfId="428" applyFont="1" applyFill="1" applyBorder="1" applyAlignment="1">
      <alignment horizontal="center" vertical="center"/>
    </xf>
    <xf numFmtId="0" fontId="7" fillId="0" borderId="323" xfId="0" applyFont="1" applyFill="1" applyBorder="1" applyAlignment="1">
      <alignment horizontal="center" vertical="center"/>
    </xf>
    <xf numFmtId="1" fontId="7" fillId="0" borderId="315" xfId="428" applyNumberFormat="1" applyFont="1" applyFill="1" applyBorder="1" applyAlignment="1">
      <alignment horizontal="center" vertical="center"/>
    </xf>
    <xf numFmtId="0" fontId="7" fillId="0" borderId="324" xfId="428" applyFont="1" applyFill="1" applyBorder="1" applyAlignment="1">
      <alignment horizontal="center" vertical="center"/>
    </xf>
    <xf numFmtId="1" fontId="7" fillId="0" borderId="325" xfId="428" applyNumberFormat="1" applyFont="1" applyFill="1" applyBorder="1" applyAlignment="1">
      <alignment horizontal="center" vertical="center"/>
    </xf>
    <xf numFmtId="1" fontId="7" fillId="0" borderId="322" xfId="428" applyNumberFormat="1" applyFont="1" applyFill="1" applyBorder="1" applyAlignment="1">
      <alignment horizontal="center" vertical="center"/>
    </xf>
    <xf numFmtId="1" fontId="7" fillId="0" borderId="325" xfId="428" applyNumberFormat="1" applyFont="1" applyFill="1" applyBorder="1" applyAlignment="1" applyProtection="1">
      <alignment horizontal="center" vertical="center"/>
      <protection locked="0"/>
    </xf>
    <xf numFmtId="1" fontId="7" fillId="0" borderId="322" xfId="428" applyNumberFormat="1" applyFont="1" applyFill="1" applyBorder="1" applyAlignment="1" applyProtection="1">
      <alignment horizontal="center" vertical="center"/>
      <protection locked="0"/>
    </xf>
    <xf numFmtId="1" fontId="7" fillId="0" borderId="324" xfId="432" applyNumberFormat="1" applyFont="1" applyFill="1" applyBorder="1" applyAlignment="1" applyProtection="1">
      <alignment horizontal="center"/>
      <protection locked="0"/>
    </xf>
    <xf numFmtId="20" fontId="222" fillId="31" borderId="0" xfId="0" applyNumberFormat="1" applyFont="1" applyFill="1" applyBorder="1" applyAlignment="1">
      <alignment vertical="top"/>
    </xf>
    <xf numFmtId="0" fontId="144" fillId="0" borderId="37" xfId="428" applyFont="1" applyFill="1" applyBorder="1" applyAlignment="1">
      <alignment vertical="center"/>
    </xf>
    <xf numFmtId="0" fontId="144" fillId="0" borderId="72" xfId="428" applyFont="1" applyFill="1" applyBorder="1" applyAlignment="1">
      <alignment horizontal="center" vertical="center"/>
    </xf>
    <xf numFmtId="1" fontId="144" fillId="0" borderId="72" xfId="428" applyNumberFormat="1" applyFont="1" applyFill="1" applyBorder="1" applyAlignment="1">
      <alignment horizontal="center" vertical="center"/>
    </xf>
    <xf numFmtId="1" fontId="144" fillId="0" borderId="37" xfId="428" applyNumberFormat="1" applyFont="1" applyFill="1" applyBorder="1" applyAlignment="1">
      <alignment horizontal="center" vertical="center"/>
    </xf>
    <xf numFmtId="1" fontId="144" fillId="0" borderId="38" xfId="428" applyNumberFormat="1" applyFont="1" applyFill="1" applyBorder="1" applyAlignment="1">
      <alignment horizontal="center" vertical="center"/>
    </xf>
    <xf numFmtId="0" fontId="7" fillId="0" borderId="58" xfId="428" applyFont="1" applyFill="1" applyBorder="1" applyAlignment="1">
      <alignment horizontal="center" vertical="center"/>
    </xf>
    <xf numFmtId="173" fontId="7" fillId="0" borderId="225" xfId="429" applyNumberFormat="1" applyFont="1" applyFill="1" applyBorder="1" applyAlignment="1">
      <alignment vertical="center"/>
    </xf>
    <xf numFmtId="0" fontId="7" fillId="0" borderId="84" xfId="428" applyFont="1" applyFill="1" applyBorder="1" applyAlignment="1">
      <alignment horizontal="center" vertical="center"/>
    </xf>
    <xf numFmtId="173" fontId="7" fillId="0" borderId="68" xfId="429" applyNumberFormat="1" applyFont="1" applyFill="1" applyBorder="1" applyAlignment="1">
      <alignment vertical="center"/>
    </xf>
    <xf numFmtId="173" fontId="7" fillId="0" borderId="12" xfId="414" applyNumberFormat="1" applyFont="1" applyFill="1" applyBorder="1" applyAlignment="1">
      <alignment vertical="center"/>
    </xf>
    <xf numFmtId="0" fontId="7" fillId="31" borderId="113" xfId="428" applyFont="1" applyFill="1" applyBorder="1" applyAlignment="1">
      <alignment vertical="center"/>
    </xf>
    <xf numFmtId="173" fontId="7" fillId="0" borderId="334" xfId="414" applyNumberFormat="1" applyFont="1" applyFill="1" applyBorder="1" applyAlignment="1">
      <alignment vertical="center"/>
    </xf>
    <xf numFmtId="0" fontId="7" fillId="0" borderId="335" xfId="0" applyFont="1" applyFill="1" applyBorder="1" applyAlignment="1">
      <alignment vertical="center"/>
    </xf>
    <xf numFmtId="0" fontId="7" fillId="0" borderId="333" xfId="428" applyFont="1" applyFill="1" applyBorder="1" applyAlignment="1">
      <alignment horizontal="center" vertical="center"/>
    </xf>
    <xf numFmtId="0" fontId="7" fillId="0" borderId="336" xfId="428" applyFont="1" applyFill="1" applyBorder="1" applyAlignment="1">
      <alignment horizontal="center" vertical="center"/>
    </xf>
    <xf numFmtId="0" fontId="7" fillId="0" borderId="333" xfId="0" applyFont="1" applyFill="1" applyBorder="1" applyAlignment="1">
      <alignment horizontal="center" vertical="center"/>
    </xf>
    <xf numFmtId="0" fontId="7" fillId="0" borderId="335" xfId="0" applyFont="1" applyFill="1" applyBorder="1" applyAlignment="1">
      <alignment horizontal="center" vertical="center"/>
    </xf>
    <xf numFmtId="1" fontId="7" fillId="0" borderId="336" xfId="428" applyNumberFormat="1" applyFont="1" applyFill="1" applyBorder="1" applyAlignment="1">
      <alignment horizontal="center" vertical="center"/>
    </xf>
    <xf numFmtId="1" fontId="7" fillId="0" borderId="333" xfId="428" applyNumberFormat="1" applyFont="1" applyFill="1" applyBorder="1" applyAlignment="1">
      <alignment horizontal="center" vertical="center"/>
    </xf>
    <xf numFmtId="1" fontId="7" fillId="0" borderId="336" xfId="0" applyNumberFormat="1" applyFont="1" applyFill="1" applyBorder="1" applyAlignment="1">
      <alignment horizontal="center" vertical="center"/>
    </xf>
    <xf numFmtId="1" fontId="7" fillId="0" borderId="333" xfId="0" applyNumberFormat="1" applyFont="1" applyFill="1" applyBorder="1" applyAlignment="1">
      <alignment horizontal="center" vertical="center"/>
    </xf>
    <xf numFmtId="0" fontId="7" fillId="0" borderId="86" xfId="0" applyFont="1" applyFill="1" applyBorder="1" applyAlignment="1">
      <alignment horizontal="center" vertical="center"/>
    </xf>
    <xf numFmtId="0" fontId="7" fillId="0" borderId="44" xfId="428" applyFont="1" applyFill="1" applyBorder="1" applyAlignment="1">
      <alignment horizontal="center" vertical="center"/>
    </xf>
    <xf numFmtId="1" fontId="7" fillId="0" borderId="353" xfId="432" applyNumberFormat="1" applyFont="1" applyFill="1" applyBorder="1" applyAlignment="1" applyProtection="1">
      <alignment horizontal="center"/>
      <protection locked="0"/>
    </xf>
    <xf numFmtId="0" fontId="7" fillId="0" borderId="345" xfId="428" applyFont="1" applyFill="1" applyBorder="1" applyAlignment="1">
      <alignment horizontal="center" vertical="center"/>
    </xf>
    <xf numFmtId="0" fontId="93" fillId="0" borderId="0" xfId="0" applyFont="1" applyBorder="1"/>
    <xf numFmtId="0" fontId="7" fillId="0" borderId="347" xfId="0" applyFont="1" applyFill="1" applyBorder="1" applyAlignment="1">
      <alignment vertical="center"/>
    </xf>
    <xf numFmtId="0" fontId="7" fillId="0" borderId="348" xfId="428" applyFont="1" applyFill="1" applyBorder="1" applyAlignment="1">
      <alignment horizontal="center" vertical="center"/>
    </xf>
    <xf numFmtId="0" fontId="7" fillId="0" borderId="348" xfId="0" applyFont="1" applyFill="1" applyBorder="1" applyAlignment="1">
      <alignment horizontal="center" vertical="center"/>
    </xf>
    <xf numFmtId="0" fontId="7" fillId="0" borderId="348" xfId="428" applyNumberFormat="1" applyFont="1" applyFill="1" applyBorder="1" applyAlignment="1">
      <alignment horizontal="center" vertical="center"/>
    </xf>
    <xf numFmtId="0" fontId="7" fillId="0" borderId="347" xfId="428" applyFont="1" applyFill="1" applyBorder="1" applyAlignment="1">
      <alignment horizontal="center" vertical="center"/>
    </xf>
    <xf numFmtId="1" fontId="7" fillId="0" borderId="346" xfId="428" applyNumberFormat="1" applyFont="1" applyFill="1" applyBorder="1" applyAlignment="1">
      <alignment horizontal="center" vertical="center"/>
    </xf>
    <xf numFmtId="1" fontId="7" fillId="0" borderId="348" xfId="428" applyNumberFormat="1" applyFont="1" applyFill="1" applyBorder="1" applyAlignment="1">
      <alignment horizontal="center" vertical="center"/>
    </xf>
    <xf numFmtId="1" fontId="7" fillId="0" borderId="346" xfId="428" applyNumberFormat="1" applyFont="1" applyFill="1" applyBorder="1" applyAlignment="1" applyProtection="1">
      <alignment horizontal="center" vertical="center"/>
      <protection locked="0"/>
    </xf>
    <xf numFmtId="1" fontId="7" fillId="0" borderId="348" xfId="428" applyNumberFormat="1" applyFont="1" applyFill="1" applyBorder="1" applyAlignment="1" applyProtection="1">
      <alignment horizontal="center" vertical="center"/>
      <protection locked="0"/>
    </xf>
    <xf numFmtId="0" fontId="7" fillId="0" borderId="404" xfId="428" applyFont="1" applyFill="1" applyBorder="1" applyAlignment="1">
      <alignment horizontal="center" vertical="center"/>
    </xf>
    <xf numFmtId="173" fontId="7" fillId="0" borderId="405" xfId="414" applyNumberFormat="1" applyFont="1" applyFill="1" applyBorder="1" applyAlignment="1">
      <alignment vertical="center"/>
    </xf>
    <xf numFmtId="0" fontId="222" fillId="0" borderId="406" xfId="0" applyFont="1" applyBorder="1"/>
    <xf numFmtId="0" fontId="7" fillId="0" borderId="406" xfId="0" applyFont="1" applyFill="1" applyBorder="1" applyAlignment="1">
      <alignment horizontal="center" vertical="center"/>
    </xf>
    <xf numFmtId="0" fontId="7" fillId="0" borderId="404" xfId="428" applyNumberFormat="1" applyFont="1" applyFill="1" applyBorder="1" applyAlignment="1">
      <alignment horizontal="center" vertical="center"/>
    </xf>
    <xf numFmtId="0" fontId="7" fillId="0" borderId="408" xfId="428" applyFont="1" applyFill="1" applyBorder="1" applyAlignment="1">
      <alignment horizontal="center" vertical="center"/>
    </xf>
    <xf numFmtId="1" fontId="7" fillId="0" borderId="406" xfId="428" applyNumberFormat="1" applyFont="1" applyFill="1" applyBorder="1" applyAlignment="1">
      <alignment horizontal="center" vertical="center"/>
    </xf>
    <xf numFmtId="1" fontId="7" fillId="0" borderId="404" xfId="428" applyNumberFormat="1" applyFont="1" applyFill="1" applyBorder="1" applyAlignment="1">
      <alignment horizontal="center" vertical="center"/>
    </xf>
    <xf numFmtId="1" fontId="7" fillId="0" borderId="406" xfId="428" applyNumberFormat="1" applyFont="1" applyFill="1" applyBorder="1" applyAlignment="1" applyProtection="1">
      <alignment horizontal="center" vertical="center"/>
      <protection locked="0"/>
    </xf>
    <xf numFmtId="1" fontId="7" fillId="0" borderId="404" xfId="428" applyNumberFormat="1" applyFont="1" applyFill="1" applyBorder="1" applyAlignment="1" applyProtection="1">
      <alignment horizontal="center" vertical="center"/>
      <protection locked="0"/>
    </xf>
    <xf numFmtId="1" fontId="7" fillId="0" borderId="350" xfId="432" applyNumberFormat="1" applyFont="1" applyFill="1" applyBorder="1" applyAlignment="1" applyProtection="1">
      <alignment horizontal="center"/>
      <protection locked="0"/>
    </xf>
    <xf numFmtId="0" fontId="7" fillId="0" borderId="405" xfId="428" applyFont="1" applyFill="1" applyBorder="1" applyAlignment="1">
      <alignment horizontal="center" vertical="center"/>
    </xf>
    <xf numFmtId="173" fontId="7" fillId="0" borderId="390" xfId="414" applyNumberFormat="1" applyFont="1" applyFill="1" applyBorder="1" applyAlignment="1">
      <alignment vertical="center"/>
    </xf>
    <xf numFmtId="0" fontId="222" fillId="0" borderId="390" xfId="0" applyFont="1" applyBorder="1"/>
    <xf numFmtId="0" fontId="7" fillId="0" borderId="405" xfId="428" applyNumberFormat="1" applyFont="1" applyFill="1" applyBorder="1" applyAlignment="1">
      <alignment horizontal="center" vertical="center"/>
    </xf>
    <xf numFmtId="1" fontId="7" fillId="0" borderId="405" xfId="428" applyNumberFormat="1" applyFont="1" applyFill="1" applyBorder="1" applyAlignment="1">
      <alignment horizontal="center" vertical="center"/>
    </xf>
    <xf numFmtId="1" fontId="7" fillId="0" borderId="405" xfId="428" applyNumberFormat="1" applyFont="1" applyFill="1" applyBorder="1" applyAlignment="1" applyProtection="1">
      <alignment horizontal="center" vertical="center"/>
      <protection locked="0"/>
    </xf>
    <xf numFmtId="1" fontId="7" fillId="0" borderId="405" xfId="432" applyNumberFormat="1" applyFont="1" applyFill="1" applyBorder="1" applyAlignment="1" applyProtection="1">
      <alignment horizontal="center"/>
      <protection locked="0"/>
    </xf>
    <xf numFmtId="0" fontId="7" fillId="0" borderId="409" xfId="428" applyFont="1" applyFill="1" applyBorder="1" applyAlignment="1">
      <alignment horizontal="center" vertical="center"/>
    </xf>
    <xf numFmtId="173" fontId="7" fillId="0" borderId="410" xfId="414" applyNumberFormat="1" applyFont="1" applyFill="1" applyBorder="1" applyAlignment="1">
      <alignment vertical="center"/>
    </xf>
    <xf numFmtId="0" fontId="222" fillId="0" borderId="410" xfId="0" applyFont="1" applyBorder="1"/>
    <xf numFmtId="0" fontId="7" fillId="0" borderId="409" xfId="428" applyNumberFormat="1" applyFont="1" applyFill="1" applyBorder="1" applyAlignment="1">
      <alignment horizontal="center" vertical="center"/>
    </xf>
    <xf numFmtId="1" fontId="7" fillId="0" borderId="409" xfId="428" applyNumberFormat="1" applyFont="1" applyFill="1" applyBorder="1" applyAlignment="1">
      <alignment horizontal="center" vertical="center"/>
    </xf>
    <xf numFmtId="1" fontId="7" fillId="0" borderId="409" xfId="428" applyNumberFormat="1" applyFont="1" applyFill="1" applyBorder="1" applyAlignment="1" applyProtection="1">
      <alignment horizontal="center" vertical="center"/>
      <protection locked="0"/>
    </xf>
    <xf numFmtId="1" fontId="7" fillId="0" borderId="409" xfId="432" applyNumberFormat="1" applyFont="1" applyFill="1" applyBorder="1" applyAlignment="1" applyProtection="1">
      <alignment horizontal="center"/>
      <protection locked="0"/>
    </xf>
    <xf numFmtId="0" fontId="222" fillId="0" borderId="44" xfId="0" applyFont="1" applyBorder="1" applyAlignment="1">
      <alignment horizontal="center"/>
    </xf>
    <xf numFmtId="0" fontId="222" fillId="0" borderId="44" xfId="0" applyFont="1" applyBorder="1" applyAlignment="1"/>
    <xf numFmtId="0" fontId="93" fillId="0" borderId="122" xfId="0" applyFont="1" applyBorder="1" applyAlignment="1">
      <alignment horizontal="center" vertical="center"/>
    </xf>
    <xf numFmtId="173" fontId="7" fillId="0" borderId="284" xfId="429" applyNumberFormat="1" applyFont="1" applyFill="1" applyBorder="1" applyAlignment="1">
      <alignment vertical="center"/>
    </xf>
    <xf numFmtId="0" fontId="7" fillId="0" borderId="285" xfId="428" applyFont="1" applyFill="1" applyBorder="1" applyAlignment="1">
      <alignment vertical="center"/>
    </xf>
    <xf numFmtId="0" fontId="7" fillId="0" borderId="286" xfId="428" applyFont="1" applyFill="1" applyBorder="1" applyAlignment="1">
      <alignment horizontal="center" vertical="center"/>
    </xf>
    <xf numFmtId="0" fontId="7" fillId="0" borderId="287" xfId="428" applyFont="1" applyFill="1" applyBorder="1" applyAlignment="1">
      <alignment horizontal="center" vertical="center"/>
    </xf>
    <xf numFmtId="0" fontId="7" fillId="0" borderId="286" xfId="436" applyFont="1" applyFill="1" applyBorder="1" applyAlignment="1">
      <alignment horizontal="center" vertical="center"/>
    </xf>
    <xf numFmtId="0" fontId="7" fillId="0" borderId="285" xfId="436" applyFont="1" applyFill="1" applyBorder="1" applyAlignment="1">
      <alignment horizontal="center" vertical="center"/>
    </xf>
    <xf numFmtId="1" fontId="7" fillId="0" borderId="287" xfId="428" applyNumberFormat="1" applyFont="1" applyFill="1" applyBorder="1" applyAlignment="1">
      <alignment horizontal="center" vertical="center"/>
    </xf>
    <xf numFmtId="1" fontId="7" fillId="0" borderId="286" xfId="428" applyNumberFormat="1" applyFont="1" applyFill="1" applyBorder="1" applyAlignment="1">
      <alignment horizontal="center" vertical="center"/>
    </xf>
    <xf numFmtId="1" fontId="7" fillId="0" borderId="287" xfId="428" applyNumberFormat="1" applyFont="1" applyFill="1" applyBorder="1" applyAlignment="1" applyProtection="1">
      <alignment horizontal="center" vertical="center"/>
      <protection locked="0"/>
    </xf>
    <xf numFmtId="1" fontId="7" fillId="0" borderId="286" xfId="428" applyNumberFormat="1" applyFont="1" applyFill="1" applyBorder="1" applyAlignment="1" applyProtection="1">
      <alignment horizontal="center" vertical="center"/>
      <protection locked="0"/>
    </xf>
    <xf numFmtId="0" fontId="93" fillId="0" borderId="323" xfId="0" applyFont="1" applyBorder="1" applyAlignment="1">
      <alignment horizontal="center"/>
    </xf>
    <xf numFmtId="0" fontId="9" fillId="0" borderId="111" xfId="428" applyFont="1" applyFill="1" applyBorder="1" applyAlignment="1">
      <alignment horizontal="center" vertical="center"/>
    </xf>
    <xf numFmtId="173" fontId="9" fillId="0" borderId="68" xfId="429" applyNumberFormat="1" applyFont="1" applyFill="1" applyBorder="1" applyAlignment="1">
      <alignment vertical="center"/>
    </xf>
    <xf numFmtId="0" fontId="7" fillId="0" borderId="113" xfId="0" applyFont="1" applyFill="1" applyBorder="1" applyAlignment="1">
      <alignment vertical="top"/>
    </xf>
    <xf numFmtId="0" fontId="7" fillId="0" borderId="119" xfId="0" applyFont="1" applyFill="1" applyBorder="1" applyAlignment="1">
      <alignment vertical="top"/>
    </xf>
    <xf numFmtId="1" fontId="7" fillId="0" borderId="125" xfId="432" applyNumberFormat="1" applyFont="1" applyFill="1" applyBorder="1" applyAlignment="1" applyProtection="1">
      <alignment horizontal="center"/>
      <protection locked="0"/>
    </xf>
    <xf numFmtId="0" fontId="7" fillId="0" borderId="119" xfId="428" applyFont="1" applyFill="1" applyBorder="1" applyAlignment="1">
      <alignment vertical="center"/>
    </xf>
    <xf numFmtId="1" fontId="7" fillId="0" borderId="217" xfId="432" applyNumberFormat="1" applyFont="1" applyFill="1" applyBorder="1" applyAlignment="1" applyProtection="1">
      <alignment horizontal="center"/>
      <protection locked="0"/>
    </xf>
    <xf numFmtId="1" fontId="7" fillId="0" borderId="84" xfId="428" applyNumberFormat="1" applyFont="1" applyFill="1" applyBorder="1" applyAlignment="1" applyProtection="1">
      <alignment horizontal="center" vertical="center"/>
      <protection locked="0"/>
    </xf>
    <xf numFmtId="1" fontId="7" fillId="0" borderId="107" xfId="428" applyNumberFormat="1" applyFont="1" applyFill="1" applyBorder="1" applyAlignment="1" applyProtection="1">
      <alignment horizontal="center" vertical="center"/>
      <protection locked="0"/>
    </xf>
    <xf numFmtId="1" fontId="7" fillId="0" borderId="119" xfId="432" applyNumberFormat="1" applyFont="1" applyFill="1" applyBorder="1" applyAlignment="1" applyProtection="1">
      <alignment horizontal="center"/>
      <protection locked="0"/>
    </xf>
    <xf numFmtId="0" fontId="7" fillId="0" borderId="42" xfId="0" applyFont="1" applyFill="1" applyBorder="1" applyAlignment="1">
      <alignment horizontal="center" vertical="center"/>
    </xf>
    <xf numFmtId="0" fontId="222" fillId="0" borderId="119" xfId="0" applyFont="1" applyBorder="1" applyAlignment="1">
      <alignment vertical="top"/>
    </xf>
    <xf numFmtId="173" fontId="7" fillId="0" borderId="370" xfId="429" applyNumberFormat="1" applyFont="1" applyFill="1" applyBorder="1" applyAlignment="1">
      <alignment vertical="center"/>
    </xf>
    <xf numFmtId="0" fontId="7" fillId="0" borderId="370" xfId="428" applyFont="1" applyFill="1" applyBorder="1" applyAlignment="1">
      <alignment vertical="center"/>
    </xf>
    <xf numFmtId="0" fontId="7" fillId="0" borderId="370" xfId="428" applyFont="1" applyFill="1" applyBorder="1" applyAlignment="1">
      <alignment horizontal="center" vertical="center"/>
    </xf>
    <xf numFmtId="1" fontId="7" fillId="0" borderId="370" xfId="428" applyNumberFormat="1" applyFont="1" applyFill="1" applyBorder="1" applyAlignment="1">
      <alignment horizontal="center" vertical="center"/>
    </xf>
    <xf numFmtId="1" fontId="7" fillId="0" borderId="370" xfId="428" applyNumberFormat="1" applyFont="1" applyFill="1" applyBorder="1" applyAlignment="1" applyProtection="1">
      <alignment horizontal="center" vertical="center"/>
      <protection locked="0"/>
    </xf>
    <xf numFmtId="1" fontId="7" fillId="0" borderId="370" xfId="432" applyNumberFormat="1" applyFont="1" applyFill="1" applyBorder="1" applyAlignment="1" applyProtection="1">
      <alignment horizontal="center"/>
      <protection locked="0"/>
    </xf>
    <xf numFmtId="165" fontId="144" fillId="0" borderId="72" xfId="428" applyNumberFormat="1" applyFont="1" applyFill="1" applyBorder="1" applyAlignment="1">
      <alignment horizontal="center" vertical="center"/>
    </xf>
    <xf numFmtId="1" fontId="7" fillId="0" borderId="113" xfId="432" applyNumberFormat="1" applyFont="1" applyFill="1" applyBorder="1" applyAlignment="1" applyProtection="1">
      <alignment horizontal="center"/>
      <protection locked="0"/>
    </xf>
    <xf numFmtId="1" fontId="7" fillId="0" borderId="299" xfId="432" applyNumberFormat="1" applyFont="1" applyFill="1" applyBorder="1" applyAlignment="1" applyProtection="1">
      <alignment horizontal="center"/>
      <protection locked="0"/>
    </xf>
    <xf numFmtId="173" fontId="7" fillId="0" borderId="294" xfId="429" applyNumberFormat="1" applyFont="1" applyFill="1" applyBorder="1" applyAlignment="1">
      <alignment horizontal="left" vertical="center"/>
    </xf>
    <xf numFmtId="0" fontId="7" fillId="0" borderId="295" xfId="428" applyFont="1" applyFill="1" applyBorder="1" applyAlignment="1">
      <alignment vertical="center"/>
    </xf>
    <xf numFmtId="0" fontId="7" fillId="0" borderId="296" xfId="428" applyFont="1" applyFill="1" applyBorder="1" applyAlignment="1">
      <alignment horizontal="center" vertical="center"/>
    </xf>
    <xf numFmtId="0" fontId="7" fillId="0" borderId="297" xfId="428" applyFont="1" applyFill="1" applyBorder="1" applyAlignment="1">
      <alignment horizontal="center" vertical="center"/>
    </xf>
    <xf numFmtId="0" fontId="7" fillId="0" borderId="295" xfId="428" applyFont="1" applyFill="1" applyBorder="1" applyAlignment="1">
      <alignment horizontal="center" vertical="center"/>
    </xf>
    <xf numFmtId="1" fontId="7" fillId="0" borderId="297" xfId="428" applyNumberFormat="1" applyFont="1" applyFill="1" applyBorder="1" applyAlignment="1">
      <alignment horizontal="center" vertical="center"/>
    </xf>
    <xf numFmtId="1" fontId="7" fillId="0" borderId="296" xfId="428" applyNumberFormat="1" applyFont="1" applyFill="1" applyBorder="1" applyAlignment="1">
      <alignment horizontal="center" vertical="center"/>
    </xf>
    <xf numFmtId="1" fontId="7" fillId="0" borderId="297" xfId="428" applyNumberFormat="1" applyFont="1" applyFill="1" applyBorder="1" applyAlignment="1" applyProtection="1">
      <alignment horizontal="center" vertical="center"/>
      <protection locked="0"/>
    </xf>
    <xf numFmtId="1" fontId="7" fillId="0" borderId="296" xfId="428" applyNumberFormat="1" applyFont="1" applyFill="1" applyBorder="1" applyAlignment="1" applyProtection="1">
      <alignment horizontal="center" vertical="center"/>
      <protection locked="0"/>
    </xf>
    <xf numFmtId="1" fontId="7" fillId="0" borderId="48" xfId="432" applyNumberFormat="1" applyFont="1" applyFill="1" applyBorder="1" applyAlignment="1" applyProtection="1">
      <alignment horizontal="center"/>
      <protection locked="0"/>
    </xf>
    <xf numFmtId="1" fontId="7" fillId="0" borderId="229" xfId="428" applyNumberFormat="1" applyFont="1" applyFill="1" applyBorder="1" applyAlignment="1">
      <alignment horizontal="center" vertical="center"/>
    </xf>
    <xf numFmtId="173" fontId="9" fillId="0" borderId="12" xfId="429" applyNumberFormat="1" applyFont="1" applyFill="1" applyBorder="1" applyAlignment="1">
      <alignment vertical="center"/>
    </xf>
    <xf numFmtId="1" fontId="7" fillId="0" borderId="230" xfId="428" applyNumberFormat="1" applyFont="1" applyFill="1" applyBorder="1" applyAlignment="1">
      <alignment horizontal="center" vertical="center"/>
    </xf>
    <xf numFmtId="1" fontId="7" fillId="0" borderId="113" xfId="436" applyNumberFormat="1" applyFont="1" applyFill="1" applyBorder="1" applyAlignment="1">
      <alignment horizontal="center" vertical="center"/>
    </xf>
    <xf numFmtId="173" fontId="7" fillId="31" borderId="12" xfId="429" applyNumberFormat="1" applyFont="1" applyFill="1" applyBorder="1" applyAlignment="1">
      <alignment vertical="center"/>
    </xf>
    <xf numFmtId="0" fontId="7" fillId="0" borderId="48" xfId="428" applyFont="1" applyFill="1" applyBorder="1" applyAlignment="1">
      <alignment vertical="center"/>
    </xf>
    <xf numFmtId="1" fontId="7" fillId="0" borderId="232" xfId="428" applyNumberFormat="1" applyFont="1" applyFill="1" applyBorder="1" applyAlignment="1">
      <alignment horizontal="center" vertical="center"/>
    </xf>
    <xf numFmtId="1" fontId="7" fillId="0" borderId="225" xfId="428" applyNumberFormat="1" applyFont="1" applyFill="1" applyBorder="1" applyAlignment="1">
      <alignment horizontal="center" vertical="center"/>
    </xf>
    <xf numFmtId="1" fontId="7" fillId="0" borderId="96" xfId="428" applyNumberFormat="1" applyFont="1" applyFill="1" applyBorder="1" applyAlignment="1">
      <alignment horizontal="center" vertical="center"/>
    </xf>
    <xf numFmtId="1" fontId="7" fillId="0" borderId="235" xfId="428" applyNumberFormat="1" applyFont="1" applyFill="1" applyBorder="1" applyAlignment="1">
      <alignment horizontal="center" vertical="center"/>
    </xf>
    <xf numFmtId="0" fontId="7" fillId="0" borderId="235" xfId="428" applyFont="1" applyFill="1" applyBorder="1" applyAlignment="1">
      <alignment horizontal="center" vertical="center"/>
    </xf>
    <xf numFmtId="1" fontId="7" fillId="0" borderId="126" xfId="428" applyNumberFormat="1" applyFont="1" applyFill="1" applyBorder="1" applyAlignment="1">
      <alignment horizontal="center" vertical="center"/>
    </xf>
    <xf numFmtId="0" fontId="209" fillId="31" borderId="359" xfId="0" applyNumberFormat="1" applyFont="1" applyFill="1" applyBorder="1" applyAlignment="1">
      <alignment vertical="center"/>
    </xf>
    <xf numFmtId="1" fontId="7" fillId="0" borderId="231" xfId="428" applyNumberFormat="1" applyFont="1" applyFill="1" applyBorder="1" applyAlignment="1">
      <alignment horizontal="center" vertical="center"/>
    </xf>
    <xf numFmtId="0" fontId="7" fillId="0" borderId="58" xfId="428" applyFont="1" applyFill="1" applyBorder="1" applyAlignment="1">
      <alignment vertical="center"/>
    </xf>
    <xf numFmtId="0" fontId="222" fillId="0" borderId="107" xfId="0" applyFont="1" applyBorder="1" applyAlignment="1"/>
    <xf numFmtId="0" fontId="7" fillId="0" borderId="117" xfId="436" applyFont="1" applyFill="1" applyBorder="1" applyAlignment="1">
      <alignment horizontal="center" vertical="center"/>
    </xf>
    <xf numFmtId="0" fontId="7" fillId="0" borderId="119" xfId="436" applyFont="1" applyFill="1" applyBorder="1" applyAlignment="1">
      <alignment horizontal="center" vertical="center"/>
    </xf>
    <xf numFmtId="1" fontId="7" fillId="31" borderId="117" xfId="428" applyNumberFormat="1" applyFont="1" applyFill="1" applyBorder="1" applyAlignment="1" applyProtection="1">
      <alignment horizontal="center" vertical="center"/>
      <protection locked="0"/>
    </xf>
    <xf numFmtId="0" fontId="7" fillId="0" borderId="426" xfId="428" applyFont="1" applyFill="1" applyBorder="1" applyAlignment="1">
      <alignment horizontal="center" vertical="center"/>
    </xf>
    <xf numFmtId="173" fontId="7" fillId="0" borderId="423" xfId="429" applyNumberFormat="1" applyFont="1" applyFill="1" applyBorder="1" applyAlignment="1">
      <alignment vertical="center"/>
    </xf>
    <xf numFmtId="0" fontId="7" fillId="0" borderId="428" xfId="428" applyFont="1" applyFill="1" applyBorder="1" applyAlignment="1">
      <alignment vertical="center"/>
    </xf>
    <xf numFmtId="0" fontId="7" fillId="0" borderId="425" xfId="428" applyFont="1" applyFill="1" applyBorder="1" applyAlignment="1">
      <alignment horizontal="center" vertical="center"/>
    </xf>
    <xf numFmtId="0" fontId="7" fillId="0" borderId="428" xfId="428" applyFont="1" applyFill="1" applyBorder="1" applyAlignment="1">
      <alignment horizontal="center" vertical="center"/>
    </xf>
    <xf numFmtId="1" fontId="7" fillId="0" borderId="429" xfId="428" applyNumberFormat="1" applyFont="1" applyFill="1" applyBorder="1" applyAlignment="1">
      <alignment horizontal="center" vertical="center"/>
    </xf>
    <xf numFmtId="1" fontId="7" fillId="0" borderId="426" xfId="428" applyNumberFormat="1" applyFont="1" applyFill="1" applyBorder="1" applyAlignment="1">
      <alignment horizontal="center" vertical="center"/>
    </xf>
    <xf numFmtId="1" fontId="7" fillId="0" borderId="425" xfId="428" applyNumberFormat="1" applyFont="1" applyFill="1" applyBorder="1" applyAlignment="1" applyProtection="1">
      <alignment horizontal="center" vertical="center"/>
      <protection locked="0"/>
    </xf>
    <xf numFmtId="1" fontId="7" fillId="0" borderId="424" xfId="432" applyNumberFormat="1" applyFont="1" applyFill="1" applyBorder="1" applyAlignment="1" applyProtection="1">
      <alignment horizontal="center"/>
      <protection locked="0"/>
    </xf>
    <xf numFmtId="1" fontId="7" fillId="0" borderId="426" xfId="428" applyNumberFormat="1" applyFont="1" applyFill="1" applyBorder="1" applyAlignment="1" applyProtection="1">
      <alignment horizontal="center" vertical="center"/>
      <protection locked="0"/>
    </xf>
    <xf numFmtId="173" fontId="7" fillId="0" borderId="239" xfId="429" applyNumberFormat="1" applyFont="1" applyFill="1" applyBorder="1" applyAlignment="1">
      <alignment vertical="center"/>
    </xf>
    <xf numFmtId="0" fontId="333" fillId="0" borderId="126" xfId="428" applyFont="1" applyFill="1" applyBorder="1" applyAlignment="1">
      <alignment vertical="center"/>
    </xf>
    <xf numFmtId="0" fontId="7" fillId="0" borderId="96" xfId="428" applyFont="1" applyFill="1" applyBorder="1" applyAlignment="1">
      <alignment horizontal="center" vertical="center"/>
    </xf>
    <xf numFmtId="0" fontId="7" fillId="0" borderId="235" xfId="436" applyFont="1" applyFill="1" applyBorder="1" applyAlignment="1">
      <alignment horizontal="center" vertical="center"/>
    </xf>
    <xf numFmtId="0" fontId="7" fillId="0" borderId="126" xfId="436" applyFont="1" applyFill="1" applyBorder="1" applyAlignment="1">
      <alignment horizontal="center" vertical="center"/>
    </xf>
    <xf numFmtId="1" fontId="7" fillId="0" borderId="240" xfId="436" applyNumberFormat="1" applyFont="1" applyFill="1" applyBorder="1" applyAlignment="1">
      <alignment horizontal="center" vertical="center"/>
    </xf>
    <xf numFmtId="1" fontId="7" fillId="0" borderId="235" xfId="436" applyNumberFormat="1" applyFont="1" applyFill="1" applyBorder="1" applyAlignment="1">
      <alignment horizontal="center" vertical="center"/>
    </xf>
    <xf numFmtId="1" fontId="7" fillId="0" borderId="96" xfId="436" applyNumberFormat="1" applyFont="1" applyFill="1" applyBorder="1" applyAlignment="1">
      <alignment horizontal="center" vertical="center"/>
    </xf>
    <xf numFmtId="1" fontId="334" fillId="0" borderId="235" xfId="428" applyNumberFormat="1" applyFont="1" applyFill="1" applyBorder="1" applyAlignment="1">
      <alignment horizontal="center" vertical="center"/>
    </xf>
    <xf numFmtId="1" fontId="7" fillId="0" borderId="126" xfId="432" applyNumberFormat="1" applyFont="1" applyFill="1" applyBorder="1" applyAlignment="1" applyProtection="1">
      <alignment horizontal="center"/>
      <protection locked="0"/>
    </xf>
    <xf numFmtId="0" fontId="7" fillId="0" borderId="263" xfId="428" applyFont="1" applyFill="1" applyBorder="1" applyAlignment="1">
      <alignment vertical="center"/>
    </xf>
    <xf numFmtId="173" fontId="7" fillId="0" borderId="115" xfId="429" applyNumberFormat="1" applyFont="1" applyFill="1" applyBorder="1" applyAlignment="1">
      <alignment vertical="center"/>
    </xf>
    <xf numFmtId="0" fontId="222" fillId="0" borderId="107" xfId="0" applyFont="1" applyBorder="1" applyAlignment="1">
      <alignment vertical="center"/>
    </xf>
    <xf numFmtId="1" fontId="7" fillId="31" borderId="107" xfId="428" applyNumberFormat="1" applyFont="1" applyFill="1" applyBorder="1" applyAlignment="1" applyProtection="1">
      <alignment horizontal="center" vertical="center"/>
      <protection locked="0"/>
    </xf>
    <xf numFmtId="1" fontId="93" fillId="0" borderId="85" xfId="428" applyNumberFormat="1" applyFont="1" applyFill="1" applyBorder="1" applyAlignment="1" applyProtection="1">
      <alignment horizontal="center" vertical="center"/>
      <protection locked="0"/>
    </xf>
    <xf numFmtId="173" fontId="7" fillId="0" borderId="102" xfId="429" applyNumberFormat="1" applyFont="1" applyFill="1" applyBorder="1" applyAlignment="1">
      <alignment vertical="center"/>
    </xf>
    <xf numFmtId="1" fontId="93" fillId="0" borderId="86" xfId="428" applyNumberFormat="1" applyFont="1" applyFill="1" applyBorder="1" applyAlignment="1" applyProtection="1">
      <alignment horizontal="center" vertical="center"/>
      <protection locked="0"/>
    </xf>
    <xf numFmtId="0" fontId="7" fillId="0" borderId="376" xfId="428" applyFont="1" applyFill="1" applyBorder="1" applyAlignment="1">
      <alignment horizontal="center" vertical="center"/>
    </xf>
    <xf numFmtId="173" fontId="7" fillId="0" borderId="379" xfId="429" applyNumberFormat="1" applyFont="1" applyFill="1" applyBorder="1" applyAlignment="1">
      <alignment vertical="center"/>
    </xf>
    <xf numFmtId="0" fontId="7" fillId="0" borderId="378" xfId="428" applyFont="1" applyFill="1" applyBorder="1" applyAlignment="1">
      <alignment vertical="center"/>
    </xf>
    <xf numFmtId="0" fontId="7" fillId="0" borderId="375" xfId="428" applyFont="1" applyFill="1" applyBorder="1" applyAlignment="1">
      <alignment horizontal="center" vertical="center"/>
    </xf>
    <xf numFmtId="0" fontId="7" fillId="0" borderId="378" xfId="428" applyFont="1" applyFill="1" applyBorder="1" applyAlignment="1">
      <alignment horizontal="center" vertical="center"/>
    </xf>
    <xf numFmtId="1" fontId="7" fillId="0" borderId="374" xfId="428" applyNumberFormat="1" applyFont="1" applyFill="1" applyBorder="1" applyAlignment="1">
      <alignment horizontal="center" vertical="center"/>
    </xf>
    <xf numFmtId="1" fontId="7" fillId="0" borderId="376" xfId="428" applyNumberFormat="1" applyFont="1" applyFill="1" applyBorder="1" applyAlignment="1">
      <alignment horizontal="center" vertical="center"/>
    </xf>
    <xf numFmtId="1" fontId="93" fillId="0" borderId="375" xfId="428" applyNumberFormat="1" applyFont="1" applyFill="1" applyBorder="1" applyAlignment="1" applyProtection="1">
      <alignment horizontal="center" vertical="center"/>
      <protection locked="0"/>
    </xf>
    <xf numFmtId="1" fontId="7" fillId="0" borderId="376" xfId="428" applyNumberFormat="1" applyFont="1" applyFill="1" applyBorder="1" applyAlignment="1" applyProtection="1">
      <alignment horizontal="center" vertical="center"/>
      <protection locked="0"/>
    </xf>
    <xf numFmtId="173" fontId="7" fillId="0" borderId="416" xfId="429" applyNumberFormat="1" applyFont="1" applyFill="1" applyBorder="1" applyAlignment="1">
      <alignment vertical="center"/>
    </xf>
    <xf numFmtId="0" fontId="7" fillId="0" borderId="416" xfId="428" applyFont="1" applyFill="1" applyBorder="1" applyAlignment="1">
      <alignment vertical="center"/>
    </xf>
    <xf numFmtId="1" fontId="7" fillId="0" borderId="416" xfId="428" applyNumberFormat="1" applyFont="1" applyFill="1" applyBorder="1" applyAlignment="1">
      <alignment horizontal="center" vertical="center"/>
    </xf>
    <xf numFmtId="1" fontId="93" fillId="0" borderId="416" xfId="428" applyNumberFormat="1" applyFont="1" applyFill="1" applyBorder="1" applyAlignment="1" applyProtection="1">
      <alignment horizontal="center" vertical="center"/>
      <protection locked="0"/>
    </xf>
    <xf numFmtId="1" fontId="7" fillId="0" borderId="416" xfId="428" applyNumberFormat="1" applyFont="1" applyFill="1" applyBorder="1" applyAlignment="1" applyProtection="1">
      <alignment horizontal="center" vertical="center"/>
      <protection locked="0"/>
    </xf>
    <xf numFmtId="1" fontId="7" fillId="0" borderId="416" xfId="432" applyNumberFormat="1" applyFont="1" applyFill="1" applyBorder="1" applyAlignment="1" applyProtection="1">
      <alignment horizontal="center"/>
      <protection locked="0"/>
    </xf>
    <xf numFmtId="1" fontId="144" fillId="0" borderId="39" xfId="428" applyNumberFormat="1" applyFont="1" applyFill="1" applyBorder="1" applyAlignment="1">
      <alignment horizontal="center" vertical="center"/>
    </xf>
    <xf numFmtId="0" fontId="7" fillId="0" borderId="39" xfId="428" applyFont="1" applyFill="1" applyBorder="1" applyAlignment="1">
      <alignment horizontal="left" vertical="center"/>
    </xf>
    <xf numFmtId="0" fontId="9" fillId="0" borderId="37" xfId="428" applyFont="1" applyFill="1" applyBorder="1" applyAlignment="1">
      <alignment vertical="center"/>
    </xf>
    <xf numFmtId="0" fontId="7" fillId="0" borderId="37" xfId="428" applyFont="1" applyFill="1" applyBorder="1" applyAlignment="1">
      <alignment vertical="center"/>
    </xf>
    <xf numFmtId="165" fontId="9" fillId="0" borderId="39" xfId="428" applyNumberFormat="1" applyFont="1" applyFill="1" applyBorder="1" applyAlignment="1">
      <alignment horizontal="center" vertical="center"/>
    </xf>
    <xf numFmtId="165" fontId="9" fillId="0" borderId="72" xfId="428" applyNumberFormat="1" applyFont="1" applyFill="1" applyBorder="1" applyAlignment="1">
      <alignment horizontal="center" vertical="center"/>
    </xf>
    <xf numFmtId="1" fontId="9" fillId="0" borderId="37" xfId="428" applyNumberFormat="1" applyFont="1" applyFill="1" applyBorder="1" applyAlignment="1">
      <alignment horizontal="center" vertical="center"/>
    </xf>
    <xf numFmtId="1" fontId="9" fillId="0" borderId="72" xfId="428" applyNumberFormat="1" applyFont="1" applyFill="1" applyBorder="1" applyAlignment="1">
      <alignment horizontal="center" vertical="center"/>
    </xf>
    <xf numFmtId="1" fontId="9" fillId="0" borderId="38" xfId="428" applyNumberFormat="1" applyFont="1" applyFill="1" applyBorder="1" applyAlignment="1">
      <alignment horizontal="center" vertical="center"/>
    </xf>
    <xf numFmtId="0" fontId="7" fillId="0" borderId="39" xfId="428" applyFont="1" applyFill="1" applyBorder="1" applyAlignment="1">
      <alignment vertical="center"/>
    </xf>
    <xf numFmtId="0" fontId="93" fillId="0" borderId="37" xfId="0" applyFont="1" applyBorder="1"/>
    <xf numFmtId="0" fontId="9" fillId="0" borderId="38" xfId="428" applyFont="1" applyFill="1" applyBorder="1" applyAlignment="1">
      <alignment vertical="center"/>
    </xf>
    <xf numFmtId="0" fontId="9" fillId="0" borderId="243" xfId="428" applyFont="1" applyFill="1" applyBorder="1" applyAlignment="1">
      <alignment horizontal="center" vertical="center"/>
    </xf>
    <xf numFmtId="164" fontId="9" fillId="0" borderId="37" xfId="428" applyNumberFormat="1" applyFont="1" applyFill="1" applyBorder="1" applyAlignment="1">
      <alignment horizontal="center" vertical="center"/>
    </xf>
    <xf numFmtId="15" fontId="9" fillId="0" borderId="37" xfId="428" applyNumberFormat="1" applyFont="1" applyFill="1" applyBorder="1" applyAlignment="1">
      <alignment horizontal="left" vertical="center"/>
    </xf>
    <xf numFmtId="0" fontId="9" fillId="0" borderId="37" xfId="0" applyFont="1" applyFill="1" applyBorder="1" applyAlignment="1">
      <alignment vertical="center"/>
    </xf>
    <xf numFmtId="15" fontId="9" fillId="0" borderId="37" xfId="428" applyNumberFormat="1" applyFont="1" applyFill="1" applyBorder="1" applyAlignment="1">
      <alignment vertical="center"/>
    </xf>
    <xf numFmtId="0" fontId="9" fillId="0" borderId="37" xfId="428" applyFont="1" applyFill="1" applyBorder="1" applyAlignment="1">
      <alignment horizontal="center" vertical="center"/>
    </xf>
    <xf numFmtId="0" fontId="7" fillId="0" borderId="241" xfId="428" applyFont="1" applyFill="1" applyBorder="1" applyAlignment="1">
      <alignment horizontal="center" vertical="center"/>
    </xf>
    <xf numFmtId="0" fontId="7" fillId="0" borderId="141" xfId="428" applyFont="1" applyFill="1" applyBorder="1" applyAlignment="1">
      <alignment vertical="center"/>
    </xf>
    <xf numFmtId="0" fontId="7" fillId="0" borderId="84" xfId="428" applyFont="1" applyFill="1" applyBorder="1" applyAlignment="1">
      <alignment vertical="center"/>
    </xf>
    <xf numFmtId="0" fontId="7" fillId="0" borderId="84" xfId="0" applyFont="1" applyFill="1" applyBorder="1" applyAlignment="1">
      <alignment vertical="center"/>
    </xf>
    <xf numFmtId="165" fontId="9" fillId="0" borderId="84" xfId="428" applyNumberFormat="1" applyFont="1" applyFill="1" applyBorder="1" applyAlignment="1">
      <alignment horizontal="right" vertical="center"/>
    </xf>
    <xf numFmtId="167" fontId="9" fillId="0" borderId="84" xfId="428" applyNumberFormat="1" applyFont="1" applyFill="1" applyBorder="1" applyAlignment="1">
      <alignment horizontal="right" vertical="center"/>
    </xf>
    <xf numFmtId="0" fontId="7" fillId="0" borderId="238" xfId="428" applyFont="1" applyFill="1" applyBorder="1" applyAlignment="1">
      <alignment horizontal="center" vertical="center"/>
    </xf>
    <xf numFmtId="0" fontId="7" fillId="0" borderId="242" xfId="0" applyFont="1" applyFill="1" applyBorder="1" applyAlignment="1">
      <alignment vertical="center"/>
    </xf>
    <xf numFmtId="167" fontId="7" fillId="0" borderId="242" xfId="0" applyNumberFormat="1" applyFont="1" applyFill="1" applyBorder="1" applyAlignment="1">
      <alignment horizontal="center" vertical="center"/>
    </xf>
    <xf numFmtId="177" fontId="7" fillId="0" borderId="242" xfId="0" applyNumberFormat="1" applyFont="1" applyFill="1" applyBorder="1" applyAlignment="1">
      <alignment vertical="center"/>
    </xf>
    <xf numFmtId="167" fontId="9" fillId="0" borderId="242" xfId="0" applyNumberFormat="1" applyFont="1" applyFill="1" applyBorder="1" applyAlignment="1">
      <alignment horizontal="center" vertical="center"/>
    </xf>
    <xf numFmtId="0" fontId="9" fillId="0" borderId="109" xfId="0" applyFont="1" applyFill="1" applyBorder="1" applyAlignment="1">
      <alignment vertical="center"/>
    </xf>
    <xf numFmtId="0" fontId="7" fillId="0" borderId="132" xfId="428" applyFont="1" applyFill="1" applyBorder="1" applyAlignment="1">
      <alignment horizontal="center" vertical="center"/>
    </xf>
    <xf numFmtId="0" fontId="7" fillId="0" borderId="133" xfId="428" applyFont="1" applyFill="1" applyBorder="1" applyAlignment="1">
      <alignment vertical="center"/>
    </xf>
    <xf numFmtId="0" fontId="7" fillId="0" borderId="85" xfId="428" applyFont="1" applyFill="1" applyBorder="1" applyAlignment="1">
      <alignment vertical="center"/>
    </xf>
    <xf numFmtId="0" fontId="7" fillId="0" borderId="85" xfId="0" applyFont="1" applyFill="1" applyBorder="1" applyAlignment="1">
      <alignment vertical="center"/>
    </xf>
    <xf numFmtId="165" fontId="9" fillId="0" borderId="85" xfId="428" applyNumberFormat="1" applyFont="1" applyFill="1" applyBorder="1" applyAlignment="1">
      <alignment horizontal="right" vertical="center"/>
    </xf>
    <xf numFmtId="167" fontId="9" fillId="0" borderId="85" xfId="428" applyNumberFormat="1" applyFont="1" applyFill="1" applyBorder="1" applyAlignment="1">
      <alignment horizontal="right" vertical="center"/>
    </xf>
    <xf numFmtId="0" fontId="7" fillId="0" borderId="134" xfId="428" applyFont="1" applyFill="1" applyBorder="1" applyAlignment="1">
      <alignment vertical="center"/>
    </xf>
    <xf numFmtId="0" fontId="7" fillId="0" borderId="134" xfId="0" applyFont="1" applyFill="1" applyBorder="1" applyAlignment="1">
      <alignment vertical="center"/>
    </xf>
    <xf numFmtId="1" fontId="7" fillId="0" borderId="134" xfId="428" applyNumberFormat="1" applyFont="1" applyFill="1" applyBorder="1" applyAlignment="1">
      <alignment horizontal="center" vertical="center"/>
    </xf>
    <xf numFmtId="165" fontId="9" fillId="0" borderId="134" xfId="428" applyNumberFormat="1" applyFont="1" applyFill="1" applyBorder="1" applyAlignment="1">
      <alignment horizontal="center" vertical="center"/>
    </xf>
    <xf numFmtId="0" fontId="9" fillId="0" borderId="113" xfId="428" applyFont="1" applyFill="1" applyBorder="1" applyAlignment="1">
      <alignment horizontal="center" vertical="center"/>
    </xf>
    <xf numFmtId="1" fontId="9" fillId="0" borderId="134" xfId="428" applyNumberFormat="1" applyFont="1" applyFill="1" applyBorder="1" applyAlignment="1">
      <alignment horizontal="center" vertical="center"/>
    </xf>
    <xf numFmtId="0" fontId="7" fillId="0" borderId="135" xfId="428" applyFont="1" applyFill="1" applyBorder="1" applyAlignment="1">
      <alignment horizontal="center" vertical="center"/>
    </xf>
    <xf numFmtId="0" fontId="7" fillId="0" borderId="86" xfId="428" applyFont="1" applyFill="1" applyBorder="1" applyAlignment="1">
      <alignment vertical="center"/>
    </xf>
    <xf numFmtId="0" fontId="7" fillId="0" borderId="86" xfId="0" applyFont="1" applyFill="1" applyBorder="1" applyAlignment="1">
      <alignment vertical="center"/>
    </xf>
    <xf numFmtId="165" fontId="9" fillId="0" borderId="86" xfId="428" applyNumberFormat="1" applyFont="1" applyFill="1" applyBorder="1" applyAlignment="1">
      <alignment horizontal="right" vertical="center"/>
    </xf>
    <xf numFmtId="167" fontId="9" fillId="0" borderId="86" xfId="428" applyNumberFormat="1" applyFont="1" applyFill="1" applyBorder="1" applyAlignment="1">
      <alignment horizontal="right" vertical="center"/>
    </xf>
    <xf numFmtId="0" fontId="7" fillId="0" borderId="257" xfId="428" applyFont="1" applyFill="1" applyBorder="1" applyAlignment="1">
      <alignment horizontal="center" vertical="center"/>
    </xf>
    <xf numFmtId="0" fontId="7" fillId="0" borderId="209" xfId="428" applyFont="1" applyFill="1" applyBorder="1" applyAlignment="1">
      <alignment vertical="center"/>
    </xf>
    <xf numFmtId="0" fontId="7" fillId="0" borderId="209" xfId="0" applyFont="1" applyFill="1" applyBorder="1" applyAlignment="1">
      <alignment vertical="center"/>
    </xf>
    <xf numFmtId="1" fontId="7" fillId="0" borderId="209" xfId="428" applyNumberFormat="1" applyFont="1" applyFill="1" applyBorder="1" applyAlignment="1">
      <alignment horizontal="left" vertical="center"/>
    </xf>
    <xf numFmtId="1" fontId="9" fillId="0" borderId="209" xfId="428" applyNumberFormat="1" applyFont="1" applyFill="1" applyBorder="1" applyAlignment="1">
      <alignment horizontal="center" vertical="center"/>
    </xf>
    <xf numFmtId="0" fontId="9" fillId="0" borderId="119" xfId="0" applyFont="1" applyFill="1" applyBorder="1" applyAlignment="1">
      <alignment vertical="center"/>
    </xf>
    <xf numFmtId="0" fontId="7" fillId="0" borderId="245" xfId="428" applyFont="1" applyFill="1" applyBorder="1" applyAlignment="1">
      <alignment horizontal="center" vertical="center"/>
    </xf>
    <xf numFmtId="177" fontId="9" fillId="0" borderId="179" xfId="0" applyNumberFormat="1" applyFont="1" applyFill="1" applyBorder="1" applyAlignment="1">
      <alignment vertical="center"/>
    </xf>
    <xf numFmtId="0" fontId="9" fillId="0" borderId="179" xfId="436" applyFont="1" applyFill="1" applyBorder="1" applyAlignment="1">
      <alignment horizontal="left" vertical="center"/>
    </xf>
    <xf numFmtId="0" fontId="7" fillId="0" borderId="179" xfId="436" applyFont="1" applyFill="1" applyBorder="1" applyAlignment="1">
      <alignment horizontal="left" vertical="center"/>
    </xf>
    <xf numFmtId="177" fontId="7" fillId="0" borderId="179" xfId="428" applyNumberFormat="1" applyFont="1" applyFill="1" applyBorder="1" applyAlignment="1">
      <alignment horizontal="right" vertical="center"/>
    </xf>
    <xf numFmtId="0" fontId="7" fillId="0" borderId="88" xfId="428" applyFont="1" applyFill="1" applyBorder="1" applyAlignment="1">
      <alignment vertical="center"/>
    </xf>
    <xf numFmtId="0" fontId="7" fillId="0" borderId="179" xfId="0" applyFont="1" applyFill="1" applyBorder="1" applyAlignment="1">
      <alignment vertical="center"/>
    </xf>
    <xf numFmtId="0" fontId="7" fillId="0" borderId="179" xfId="428" applyFont="1" applyFill="1" applyBorder="1" applyAlignment="1">
      <alignment vertical="center"/>
    </xf>
    <xf numFmtId="0" fontId="7" fillId="0" borderId="46" xfId="0" applyFont="1" applyFill="1" applyBorder="1" applyAlignment="1">
      <alignment vertical="center"/>
    </xf>
    <xf numFmtId="20" fontId="7" fillId="0" borderId="88" xfId="428" applyNumberFormat="1" applyFont="1" applyFill="1" applyBorder="1" applyAlignment="1">
      <alignment vertical="center"/>
    </xf>
    <xf numFmtId="0" fontId="7" fillId="0" borderId="137" xfId="436" applyFont="1" applyFill="1" applyBorder="1" applyAlignment="1">
      <alignment vertical="center"/>
    </xf>
    <xf numFmtId="0" fontId="7" fillId="0" borderId="398" xfId="436" applyFont="1" applyFill="1" applyBorder="1" applyAlignment="1">
      <alignment vertical="center"/>
    </xf>
    <xf numFmtId="186" fontId="7" fillId="0" borderId="0" xfId="436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vertical="center"/>
    </xf>
    <xf numFmtId="0" fontId="7" fillId="0" borderId="0" xfId="436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7" fillId="0" borderId="0" xfId="436" applyNumberFormat="1" applyFont="1" applyFill="1" applyBorder="1" applyAlignment="1">
      <alignment horizontal="right" vertical="center"/>
    </xf>
    <xf numFmtId="0" fontId="7" fillId="0" borderId="47" xfId="0" applyFont="1" applyFill="1" applyBorder="1" applyAlignment="1">
      <alignment vertical="center"/>
    </xf>
    <xf numFmtId="0" fontId="7" fillId="0" borderId="262" xfId="0" applyFont="1" applyFill="1" applyBorder="1" applyAlignment="1">
      <alignment vertical="center"/>
    </xf>
    <xf numFmtId="20" fontId="7" fillId="0" borderId="47" xfId="428" applyNumberFormat="1" applyFont="1" applyFill="1" applyBorder="1" applyAlignment="1">
      <alignment horizontal="left" vertical="center"/>
    </xf>
    <xf numFmtId="1" fontId="7" fillId="0" borderId="48" xfId="428" applyNumberFormat="1" applyFont="1" applyFill="1" applyBorder="1" applyAlignment="1">
      <alignment horizontal="center" vertical="center"/>
    </xf>
    <xf numFmtId="0" fontId="7" fillId="0" borderId="246" xfId="436" applyFont="1" applyFill="1" applyBorder="1" applyAlignment="1">
      <alignment vertical="center"/>
    </xf>
    <xf numFmtId="177" fontId="7" fillId="0" borderId="158" xfId="436" applyNumberFormat="1" applyFont="1" applyFill="1" applyBorder="1" applyAlignment="1">
      <alignment horizontal="right" vertical="center"/>
    </xf>
    <xf numFmtId="0" fontId="7" fillId="0" borderId="158" xfId="0" applyFont="1" applyFill="1" applyBorder="1" applyAlignment="1">
      <alignment vertical="center"/>
    </xf>
    <xf numFmtId="0" fontId="7" fillId="0" borderId="158" xfId="436" applyFont="1" applyFill="1" applyBorder="1" applyAlignment="1">
      <alignment horizontal="left" vertical="center"/>
    </xf>
    <xf numFmtId="0" fontId="7" fillId="0" borderId="158" xfId="0" applyFont="1" applyFill="1" applyBorder="1" applyAlignment="1">
      <alignment horizontal="left" vertical="center"/>
    </xf>
    <xf numFmtId="0" fontId="7" fillId="0" borderId="159" xfId="428" applyFont="1" applyFill="1" applyBorder="1" applyAlignment="1">
      <alignment vertical="center"/>
    </xf>
    <xf numFmtId="0" fontId="7" fillId="0" borderId="244" xfId="0" applyFont="1" applyFill="1" applyBorder="1" applyAlignment="1">
      <alignment vertical="center"/>
    </xf>
    <xf numFmtId="0" fontId="7" fillId="0" borderId="138" xfId="0" applyFont="1" applyFill="1" applyBorder="1" applyAlignment="1">
      <alignment vertical="center"/>
    </xf>
    <xf numFmtId="0" fontId="7" fillId="0" borderId="138" xfId="0" applyFont="1" applyFill="1" applyBorder="1" applyAlignment="1">
      <alignment horizontal="center" vertical="center"/>
    </xf>
    <xf numFmtId="0" fontId="7" fillId="0" borderId="139" xfId="0" applyFont="1" applyFill="1" applyBorder="1" applyAlignment="1">
      <alignment vertical="center"/>
    </xf>
    <xf numFmtId="0" fontId="7" fillId="0" borderId="206" xfId="0" applyFont="1" applyFill="1" applyBorder="1" applyAlignment="1">
      <alignment vertical="center"/>
    </xf>
    <xf numFmtId="0" fontId="7" fillId="0" borderId="208" xfId="0" applyFont="1" applyFill="1" applyBorder="1" applyAlignment="1">
      <alignment vertical="center"/>
    </xf>
    <xf numFmtId="20" fontId="7" fillId="0" borderId="210" xfId="428" applyNumberFormat="1" applyFont="1" applyFill="1" applyBorder="1" applyAlignment="1">
      <alignment horizontal="right" vertical="center"/>
    </xf>
    <xf numFmtId="0" fontId="7" fillId="0" borderId="140" xfId="0" applyFont="1" applyFill="1" applyBorder="1" applyAlignment="1">
      <alignment vertical="center"/>
    </xf>
    <xf numFmtId="1" fontId="7" fillId="0" borderId="211" xfId="428" applyNumberFormat="1" applyFont="1" applyFill="1" applyBorder="1" applyAlignment="1">
      <alignment horizontal="center" vertical="center"/>
    </xf>
    <xf numFmtId="0" fontId="7" fillId="0" borderId="245" xfId="0" applyFont="1" applyFill="1" applyBorder="1" applyAlignment="1">
      <alignment horizontal="center" vertical="center"/>
    </xf>
    <xf numFmtId="0" fontId="7" fillId="0" borderId="253" xfId="0" applyFont="1" applyFill="1" applyBorder="1" applyAlignment="1">
      <alignment vertical="center"/>
    </xf>
    <xf numFmtId="0" fontId="7" fillId="0" borderId="254" xfId="0" applyFont="1" applyFill="1" applyBorder="1" applyAlignment="1">
      <alignment vertical="center"/>
    </xf>
    <xf numFmtId="1" fontId="7" fillId="0" borderId="250" xfId="0" applyNumberFormat="1" applyFont="1" applyFill="1" applyBorder="1" applyAlignment="1">
      <alignment horizontal="center" vertical="center"/>
    </xf>
    <xf numFmtId="0" fontId="7" fillId="0" borderId="250" xfId="0" applyFont="1" applyFill="1" applyBorder="1" applyAlignment="1">
      <alignment horizontal="right" vertical="center"/>
    </xf>
    <xf numFmtId="1" fontId="7" fillId="0" borderId="250" xfId="0" applyNumberFormat="1" applyFont="1" applyFill="1" applyBorder="1" applyAlignment="1">
      <alignment horizontal="right" vertical="center"/>
    </xf>
    <xf numFmtId="0" fontId="7" fillId="0" borderId="238" xfId="0" applyFont="1" applyFill="1" applyBorder="1" applyAlignment="1">
      <alignment horizontal="left" vertical="center"/>
    </xf>
    <xf numFmtId="0" fontId="7" fillId="0" borderId="247" xfId="428" applyFont="1" applyFill="1" applyBorder="1" applyAlignment="1">
      <alignment vertical="center"/>
    </xf>
    <xf numFmtId="1" fontId="7" fillId="0" borderId="128" xfId="428" applyNumberFormat="1" applyFont="1" applyFill="1" applyBorder="1" applyAlignment="1">
      <alignment horizontal="center" vertical="center"/>
    </xf>
    <xf numFmtId="1" fontId="7" fillId="0" borderId="142" xfId="428" applyNumberFormat="1" applyFont="1" applyFill="1" applyBorder="1" applyAlignment="1">
      <alignment horizontal="center" vertical="center"/>
    </xf>
    <xf numFmtId="20" fontId="335" fillId="0" borderId="128" xfId="0" applyNumberFormat="1" applyFont="1" applyFill="1" applyBorder="1" applyAlignment="1">
      <alignment horizontal="left" vertical="center"/>
    </xf>
    <xf numFmtId="20" fontId="7" fillId="0" borderId="47" xfId="428" applyNumberFormat="1" applyFont="1" applyFill="1" applyBorder="1" applyAlignment="1">
      <alignment horizontal="center" vertical="center"/>
    </xf>
    <xf numFmtId="0" fontId="7" fillId="0" borderId="127" xfId="0" applyFont="1" applyFill="1" applyBorder="1" applyAlignment="1">
      <alignment vertical="center"/>
    </xf>
    <xf numFmtId="1" fontId="7" fillId="0" borderId="212" xfId="428" applyNumberFormat="1" applyFont="1" applyFill="1" applyBorder="1" applyAlignment="1">
      <alignment horizontal="center" vertical="center"/>
    </xf>
    <xf numFmtId="0" fontId="7" fillId="0" borderId="137" xfId="0" applyFont="1" applyFill="1" applyBorder="1" applyAlignment="1">
      <alignment horizontal="center" vertical="center"/>
    </xf>
    <xf numFmtId="0" fontId="7" fillId="0" borderId="143" xfId="0" applyFont="1" applyFill="1" applyBorder="1" applyAlignment="1">
      <alignment vertical="center"/>
    </xf>
    <xf numFmtId="2" fontId="7" fillId="0" borderId="136" xfId="0" applyNumberFormat="1" applyFont="1" applyFill="1" applyBorder="1" applyAlignment="1">
      <alignment horizontal="left" vertical="center"/>
    </xf>
    <xf numFmtId="0" fontId="7" fillId="0" borderId="207" xfId="0" applyFont="1" applyFill="1" applyBorder="1" applyAlignment="1">
      <alignment vertical="center"/>
    </xf>
    <xf numFmtId="0" fontId="9" fillId="0" borderId="85" xfId="0" applyFont="1" applyFill="1" applyBorder="1" applyAlignment="1">
      <alignment vertical="center"/>
    </xf>
    <xf numFmtId="1" fontId="7" fillId="0" borderId="85" xfId="0" quotePrefix="1" applyNumberFormat="1" applyFont="1" applyFill="1" applyBorder="1" applyAlignment="1">
      <alignment horizontal="right" vertical="center"/>
    </xf>
    <xf numFmtId="0" fontId="7" fillId="0" borderId="113" xfId="0" applyFont="1" applyFill="1" applyBorder="1" applyAlignment="1">
      <alignment horizontal="left" vertical="center"/>
    </xf>
    <xf numFmtId="20" fontId="7" fillId="0" borderId="112" xfId="428" applyNumberFormat="1" applyFont="1" applyFill="1" applyBorder="1" applyAlignment="1">
      <alignment horizontal="center" vertical="center"/>
    </xf>
    <xf numFmtId="0" fontId="7" fillId="0" borderId="123" xfId="0" applyFont="1" applyFill="1" applyBorder="1" applyAlignment="1">
      <alignment vertical="center"/>
    </xf>
    <xf numFmtId="1" fontId="7" fillId="0" borderId="212" xfId="428" quotePrefix="1" applyNumberFormat="1" applyFont="1" applyFill="1" applyBorder="1" applyAlignment="1">
      <alignment horizontal="center" vertical="center"/>
    </xf>
    <xf numFmtId="0" fontId="7" fillId="0" borderId="246" xfId="0" applyFont="1" applyFill="1" applyBorder="1" applyAlignment="1">
      <alignment horizontal="center" vertical="center"/>
    </xf>
    <xf numFmtId="2" fontId="7" fillId="0" borderId="255" xfId="0" applyNumberFormat="1" applyFont="1" applyFill="1" applyBorder="1" applyAlignment="1">
      <alignment vertical="center"/>
    </xf>
    <xf numFmtId="2" fontId="7" fillId="0" borderId="256" xfId="0" applyNumberFormat="1" applyFont="1" applyFill="1" applyBorder="1" applyAlignment="1">
      <alignment vertical="center"/>
    </xf>
    <xf numFmtId="0" fontId="7" fillId="0" borderId="252" xfId="0" applyFont="1" applyFill="1" applyBorder="1" applyAlignment="1">
      <alignment vertical="center"/>
    </xf>
    <xf numFmtId="0" fontId="7" fillId="0" borderId="219" xfId="0" applyFont="1" applyFill="1" applyBorder="1" applyAlignment="1">
      <alignment vertical="center"/>
    </xf>
    <xf numFmtId="0" fontId="9" fillId="0" borderId="219" xfId="0" applyFont="1" applyFill="1" applyBorder="1" applyAlignment="1">
      <alignment vertical="center"/>
    </xf>
    <xf numFmtId="1" fontId="9" fillId="0" borderId="219" xfId="0" applyNumberFormat="1" applyFont="1" applyFill="1" applyBorder="1" applyAlignment="1">
      <alignment horizontal="right" vertical="center"/>
    </xf>
    <xf numFmtId="0" fontId="7" fillId="0" borderId="257" xfId="0" applyFont="1" applyFill="1" applyBorder="1" applyAlignment="1">
      <alignment horizontal="left" vertical="center"/>
    </xf>
    <xf numFmtId="0" fontId="7" fillId="0" borderId="237" xfId="0" applyFont="1" applyFill="1" applyBorder="1" applyAlignment="1">
      <alignment horizontal="center" vertical="center"/>
    </xf>
    <xf numFmtId="0" fontId="7" fillId="0" borderId="249" xfId="428" applyFont="1" applyFill="1" applyBorder="1" applyAlignment="1">
      <alignment vertical="center"/>
    </xf>
    <xf numFmtId="0" fontId="7" fillId="0" borderId="250" xfId="428" applyFont="1" applyFill="1" applyBorder="1" applyAlignment="1">
      <alignment vertical="center"/>
    </xf>
    <xf numFmtId="0" fontId="143" fillId="0" borderId="250" xfId="0" applyFont="1" applyFill="1" applyBorder="1" applyAlignment="1">
      <alignment horizontal="center" vertical="center"/>
    </xf>
    <xf numFmtId="0" fontId="7" fillId="0" borderId="250" xfId="0" applyFont="1" applyFill="1" applyBorder="1" applyAlignment="1">
      <alignment horizontal="left" vertical="center"/>
    </xf>
    <xf numFmtId="177" fontId="9" fillId="0" borderId="250" xfId="0" applyNumberFormat="1" applyFont="1" applyFill="1" applyBorder="1" applyAlignment="1">
      <alignment vertical="center"/>
    </xf>
    <xf numFmtId="0" fontId="9" fillId="0" borderId="238" xfId="0" applyFont="1" applyFill="1" applyBorder="1" applyAlignment="1">
      <alignment vertical="center"/>
    </xf>
    <xf numFmtId="0" fontId="7" fillId="0" borderId="137" xfId="428" applyFont="1" applyFill="1" applyBorder="1" applyAlignment="1">
      <alignment horizontal="center" vertical="center"/>
    </xf>
    <xf numFmtId="1" fontId="7" fillId="0" borderId="85" xfId="428" applyNumberFormat="1" applyFont="1" applyFill="1" applyBorder="1" applyAlignment="1">
      <alignment horizontal="left" vertical="center"/>
    </xf>
    <xf numFmtId="0" fontId="7" fillId="0" borderId="85" xfId="428" applyFont="1" applyFill="1" applyBorder="1" applyAlignment="1">
      <alignment horizontal="left" vertical="center"/>
    </xf>
    <xf numFmtId="1" fontId="7" fillId="0" borderId="113" xfId="428" applyNumberFormat="1" applyFont="1" applyFill="1" applyBorder="1" applyAlignment="1">
      <alignment horizontal="left" vertical="center"/>
    </xf>
    <xf numFmtId="1" fontId="7" fillId="0" borderId="85" xfId="0" applyNumberFormat="1" applyFont="1" applyFill="1" applyBorder="1" applyAlignment="1">
      <alignment horizontal="left" vertical="center"/>
    </xf>
    <xf numFmtId="1" fontId="7" fillId="0" borderId="113" xfId="0" applyNumberFormat="1" applyFont="1" applyFill="1" applyBorder="1" applyAlignment="1">
      <alignment horizontal="left" vertical="center"/>
    </xf>
    <xf numFmtId="0" fontId="7" fillId="0" borderId="148" xfId="428" applyFont="1" applyFill="1" applyBorder="1" applyAlignment="1">
      <alignment horizontal="center" vertical="center"/>
    </xf>
    <xf numFmtId="177" fontId="9" fillId="0" borderId="84" xfId="428" applyNumberFormat="1" applyFont="1" applyFill="1" applyBorder="1" applyAlignment="1">
      <alignment horizontal="center" vertical="center"/>
    </xf>
    <xf numFmtId="0" fontId="7" fillId="0" borderId="109" xfId="0" applyFont="1" applyFill="1" applyBorder="1" applyAlignment="1">
      <alignment vertical="center"/>
    </xf>
    <xf numFmtId="1" fontId="9" fillId="0" borderId="85" xfId="428" quotePrefix="1" applyNumberFormat="1" applyFont="1" applyFill="1" applyBorder="1" applyAlignment="1">
      <alignment horizontal="right" vertical="center"/>
    </xf>
    <xf numFmtId="20" fontId="9" fillId="0" borderId="85" xfId="428" applyNumberFormat="1" applyFont="1" applyFill="1" applyBorder="1" applyAlignment="1">
      <alignment horizontal="right" vertical="center"/>
    </xf>
    <xf numFmtId="0" fontId="7" fillId="0" borderId="113" xfId="428" applyFont="1" applyFill="1" applyBorder="1" applyAlignment="1">
      <alignment horizontal="left" vertical="center"/>
    </xf>
    <xf numFmtId="0" fontId="7" fillId="0" borderId="149" xfId="428" applyFont="1" applyFill="1" applyBorder="1" applyAlignment="1">
      <alignment horizontal="center" vertical="center"/>
    </xf>
    <xf numFmtId="0" fontId="7" fillId="0" borderId="150" xfId="428" applyFont="1" applyFill="1" applyBorder="1" applyAlignment="1">
      <alignment vertical="center"/>
    </xf>
    <xf numFmtId="0" fontId="7" fillId="0" borderId="124" xfId="428" applyFont="1" applyFill="1" applyBorder="1" applyAlignment="1">
      <alignment vertical="center"/>
    </xf>
    <xf numFmtId="0" fontId="7" fillId="0" borderId="124" xfId="0" applyFont="1" applyFill="1" applyBorder="1" applyAlignment="1">
      <alignment vertical="center"/>
    </xf>
    <xf numFmtId="1" fontId="9" fillId="0" borderId="124" xfId="436" applyNumberFormat="1" applyFont="1" applyFill="1" applyBorder="1" applyAlignment="1">
      <alignment horizontal="right" vertical="center"/>
    </xf>
    <xf numFmtId="20" fontId="9" fillId="0" borderId="124" xfId="428" quotePrefix="1" applyNumberFormat="1" applyFont="1" applyFill="1" applyBorder="1" applyAlignment="1">
      <alignment horizontal="right" vertical="center"/>
    </xf>
    <xf numFmtId="0" fontId="7" fillId="0" borderId="251" xfId="428" applyFont="1" applyFill="1" applyBorder="1" applyAlignment="1">
      <alignment horizontal="left" vertical="center"/>
    </xf>
    <xf numFmtId="0" fontId="7" fillId="0" borderId="151" xfId="0" applyFont="1" applyFill="1" applyBorder="1" applyAlignment="1">
      <alignment vertical="center"/>
    </xf>
    <xf numFmtId="0" fontId="7" fillId="0" borderId="246" xfId="428" applyFont="1" applyFill="1" applyBorder="1" applyAlignment="1">
      <alignment horizontal="center" vertical="center"/>
    </xf>
    <xf numFmtId="0" fontId="7" fillId="0" borderId="252" xfId="428" applyFont="1" applyFill="1" applyBorder="1" applyAlignment="1">
      <alignment vertical="center"/>
    </xf>
    <xf numFmtId="0" fontId="7" fillId="0" borderId="158" xfId="428" applyFont="1" applyFill="1" applyBorder="1" applyAlignment="1">
      <alignment vertical="center"/>
    </xf>
    <xf numFmtId="0" fontId="23" fillId="0" borderId="158" xfId="428" applyFont="1" applyFill="1" applyBorder="1" applyAlignment="1">
      <alignment vertical="center"/>
    </xf>
    <xf numFmtId="0" fontId="7" fillId="0" borderId="159" xfId="0" applyFont="1" applyFill="1" applyBorder="1" applyAlignment="1">
      <alignment vertical="center"/>
    </xf>
    <xf numFmtId="165" fontId="9" fillId="0" borderId="248" xfId="428" applyNumberFormat="1" applyFont="1" applyFill="1" applyBorder="1" applyAlignment="1">
      <alignment horizontal="left" vertical="center"/>
    </xf>
    <xf numFmtId="1" fontId="9" fillId="0" borderId="0" xfId="0" applyNumberFormat="1" applyFont="1" applyFill="1" applyBorder="1" applyAlignment="1">
      <alignment horizontal="center" vertical="center"/>
    </xf>
    <xf numFmtId="0" fontId="9" fillId="0" borderId="213" xfId="0" applyFont="1" applyFill="1" applyBorder="1" applyAlignment="1">
      <alignment vertical="center"/>
    </xf>
    <xf numFmtId="20" fontId="9" fillId="0" borderId="214" xfId="428" quotePrefix="1" applyNumberFormat="1" applyFont="1" applyFill="1" applyBorder="1" applyAlignment="1">
      <alignment horizontal="right" vertical="center"/>
    </xf>
    <xf numFmtId="0" fontId="9" fillId="0" borderId="215" xfId="0" applyFont="1" applyFill="1" applyBorder="1" applyAlignment="1">
      <alignment vertical="center"/>
    </xf>
    <xf numFmtId="1" fontId="9" fillId="0" borderId="216" xfId="428" quotePrefix="1" applyNumberFormat="1" applyFont="1" applyFill="1" applyBorder="1" applyAlignment="1">
      <alignment horizontal="center" vertical="center"/>
    </xf>
    <xf numFmtId="0" fontId="7" fillId="0" borderId="258" xfId="428" applyFont="1" applyFill="1" applyBorder="1" applyAlignment="1">
      <alignment vertical="center"/>
    </xf>
    <xf numFmtId="15" fontId="9" fillId="0" borderId="179" xfId="428" applyNumberFormat="1" applyFont="1" applyFill="1" applyBorder="1" applyAlignment="1">
      <alignment horizontal="left" vertical="center"/>
    </xf>
    <xf numFmtId="0" fontId="7" fillId="0" borderId="179" xfId="0" applyFont="1" applyFill="1" applyBorder="1" applyAlignment="1">
      <alignment horizontal="center" vertical="center"/>
    </xf>
    <xf numFmtId="14" fontId="9" fillId="0" borderId="179" xfId="502" applyNumberFormat="1" applyFont="1" applyFill="1" applyBorder="1" applyAlignment="1">
      <alignment horizontal="center" vertical="center"/>
    </xf>
    <xf numFmtId="0" fontId="23" fillId="0" borderId="179" xfId="436" applyFont="1" applyFill="1" applyBorder="1" applyAlignment="1">
      <alignment vertical="center"/>
    </xf>
    <xf numFmtId="0" fontId="7" fillId="0" borderId="179" xfId="436" applyFont="1" applyFill="1" applyBorder="1" applyAlignment="1">
      <alignment vertical="center"/>
    </xf>
    <xf numFmtId="0" fontId="7" fillId="0" borderId="46" xfId="436" applyFont="1" applyFill="1" applyBorder="1" applyAlignment="1">
      <alignment vertical="center"/>
    </xf>
    <xf numFmtId="0" fontId="7" fillId="0" borderId="261" xfId="0" applyFont="1" applyFill="1" applyBorder="1" applyAlignment="1">
      <alignment vertical="center"/>
    </xf>
    <xf numFmtId="0" fontId="7" fillId="0" borderId="37" xfId="0" applyFont="1" applyFill="1" applyBorder="1" applyAlignment="1">
      <alignment vertical="center"/>
    </xf>
    <xf numFmtId="14" fontId="7" fillId="0" borderId="37" xfId="502" applyNumberFormat="1" applyFont="1" applyFill="1" applyBorder="1" applyAlignment="1">
      <alignment horizontal="center" vertical="center"/>
    </xf>
    <xf numFmtId="0" fontId="7" fillId="0" borderId="37" xfId="0" applyFont="1" applyFill="1" applyBorder="1" applyAlignment="1">
      <alignment horizontal="center" vertical="center"/>
    </xf>
    <xf numFmtId="1" fontId="7" fillId="0" borderId="37" xfId="428" applyNumberFormat="1" applyFont="1" applyFill="1" applyBorder="1" applyAlignment="1">
      <alignment horizontal="center" vertical="center"/>
    </xf>
    <xf numFmtId="0" fontId="7" fillId="0" borderId="37" xfId="436" applyFont="1" applyFill="1" applyBorder="1" applyAlignment="1">
      <alignment vertical="center"/>
    </xf>
    <xf numFmtId="0" fontId="7" fillId="0" borderId="38" xfId="436" applyFont="1" applyFill="1" applyBorder="1" applyAlignment="1">
      <alignment vertical="center"/>
    </xf>
    <xf numFmtId="0" fontId="7" fillId="0" borderId="259" xfId="428" applyFont="1" applyFill="1" applyBorder="1" applyAlignment="1">
      <alignment horizontal="center" vertical="center"/>
    </xf>
    <xf numFmtId="0" fontId="7" fillId="0" borderId="84" xfId="428" applyFont="1" applyFill="1" applyBorder="1" applyAlignment="1">
      <alignment horizontal="left" vertical="center"/>
    </xf>
    <xf numFmtId="0" fontId="7" fillId="0" borderId="260" xfId="0" applyFont="1" applyFill="1" applyBorder="1" applyAlignment="1">
      <alignment vertical="center"/>
    </xf>
    <xf numFmtId="1" fontId="252" fillId="0" borderId="141" xfId="428" applyNumberFormat="1" applyFont="1" applyFill="1" applyBorder="1" applyAlignment="1">
      <alignment horizontal="right" vertical="center"/>
    </xf>
    <xf numFmtId="0" fontId="7" fillId="0" borderId="11" xfId="428" applyFont="1" applyFill="1" applyBorder="1" applyAlignment="1">
      <alignment vertical="center"/>
    </xf>
    <xf numFmtId="0" fontId="7" fillId="0" borderId="11" xfId="0" applyFont="1" applyFill="1" applyBorder="1" applyAlignment="1">
      <alignment vertical="center"/>
    </xf>
    <xf numFmtId="1" fontId="7" fillId="0" borderId="11" xfId="428" applyNumberFormat="1" applyFont="1" applyFill="1" applyBorder="1" applyAlignment="1">
      <alignment horizontal="center" vertical="center"/>
    </xf>
    <xf numFmtId="0" fontId="7" fillId="0" borderId="11" xfId="428" applyFont="1" applyFill="1" applyBorder="1" applyAlignment="1">
      <alignment horizontal="left" vertical="center"/>
    </xf>
    <xf numFmtId="1" fontId="7" fillId="0" borderId="11" xfId="436" applyNumberFormat="1" applyFont="1" applyFill="1" applyBorder="1" applyAlignment="1">
      <alignment horizontal="center" vertical="center"/>
    </xf>
    <xf numFmtId="0" fontId="7" fillId="0" borderId="11" xfId="436" applyFont="1" applyFill="1" applyBorder="1" applyAlignment="1">
      <alignment vertical="center"/>
    </xf>
    <xf numFmtId="0" fontId="7" fillId="0" borderId="125" xfId="0" applyFont="1" applyFill="1" applyBorder="1" applyAlignment="1">
      <alignment vertical="center"/>
    </xf>
    <xf numFmtId="0" fontId="7" fillId="0" borderId="152" xfId="428" applyFont="1" applyFill="1" applyBorder="1" applyAlignment="1">
      <alignment horizontal="center" vertical="center"/>
    </xf>
    <xf numFmtId="0" fontId="7" fillId="0" borderId="153" xfId="0" applyFont="1" applyFill="1" applyBorder="1" applyAlignment="1">
      <alignment vertical="center"/>
    </xf>
    <xf numFmtId="1" fontId="9" fillId="0" borderId="133" xfId="428" applyNumberFormat="1" applyFont="1" applyFill="1" applyBorder="1" applyAlignment="1">
      <alignment horizontal="right" vertical="center"/>
    </xf>
    <xf numFmtId="0" fontId="7" fillId="0" borderId="154" xfId="428" applyFont="1" applyFill="1" applyBorder="1" applyAlignment="1">
      <alignment vertical="center"/>
    </xf>
    <xf numFmtId="1" fontId="7" fillId="0" borderId="154" xfId="428" applyNumberFormat="1" applyFont="1" applyFill="1" applyBorder="1" applyAlignment="1">
      <alignment horizontal="center" vertical="center"/>
    </xf>
    <xf numFmtId="1" fontId="7" fillId="0" borderId="154" xfId="428" quotePrefix="1" applyNumberFormat="1" applyFont="1" applyFill="1" applyBorder="1" applyAlignment="1">
      <alignment horizontal="center" vertical="center"/>
    </xf>
    <xf numFmtId="0" fontId="7" fillId="0" borderId="154" xfId="436" applyFont="1" applyFill="1" applyBorder="1" applyAlignment="1">
      <alignment vertical="center"/>
    </xf>
    <xf numFmtId="0" fontId="7" fillId="0" borderId="217" xfId="0" applyFont="1" applyFill="1" applyBorder="1" applyAlignment="1">
      <alignment vertical="center"/>
    </xf>
    <xf numFmtId="0" fontId="7" fillId="0" borderId="155" xfId="0" applyFont="1" applyFill="1" applyBorder="1" applyAlignment="1">
      <alignment vertical="center"/>
    </xf>
    <xf numFmtId="0" fontId="143" fillId="0" borderId="133" xfId="428" applyFont="1" applyFill="1" applyBorder="1" applyAlignment="1">
      <alignment horizontal="right" vertical="center"/>
    </xf>
    <xf numFmtId="0" fontId="7" fillId="0" borderId="0" xfId="428" applyFont="1" applyFill="1" applyBorder="1" applyAlignment="1">
      <alignment vertical="center"/>
    </xf>
    <xf numFmtId="1" fontId="7" fillId="0" borderId="0" xfId="428" applyNumberFormat="1" applyFont="1" applyFill="1" applyBorder="1" applyAlignment="1">
      <alignment horizontal="center" vertical="center"/>
    </xf>
    <xf numFmtId="1" fontId="7" fillId="0" borderId="0" xfId="428" quotePrefix="1" applyNumberFormat="1" applyFont="1" applyFill="1" applyBorder="1" applyAlignment="1">
      <alignment horizontal="center" vertical="center"/>
    </xf>
    <xf numFmtId="0" fontId="7" fillId="0" borderId="0" xfId="436" applyFont="1" applyFill="1" applyBorder="1" applyAlignment="1">
      <alignment vertical="center"/>
    </xf>
    <xf numFmtId="0" fontId="7" fillId="0" borderId="48" xfId="0" applyFont="1" applyFill="1" applyBorder="1" applyAlignment="1">
      <alignment vertical="center"/>
    </xf>
    <xf numFmtId="0" fontId="20" fillId="0" borderId="85" xfId="428" applyFont="1" applyFill="1" applyBorder="1" applyAlignment="1">
      <alignment horizontal="center" vertical="center"/>
    </xf>
    <xf numFmtId="1" fontId="7" fillId="0" borderId="155" xfId="0" applyNumberFormat="1" applyFont="1" applyFill="1" applyBorder="1" applyAlignment="1">
      <alignment vertical="center"/>
    </xf>
    <xf numFmtId="0" fontId="7" fillId="0" borderId="83" xfId="428" applyFont="1" applyFill="1" applyBorder="1" applyAlignment="1">
      <alignment horizontal="center" vertical="center"/>
    </xf>
    <xf numFmtId="0" fontId="7" fillId="0" borderId="51" xfId="0" applyFont="1" applyFill="1" applyBorder="1" applyAlignment="1">
      <alignment horizontal="center" vertical="center"/>
    </xf>
    <xf numFmtId="1" fontId="7" fillId="0" borderId="51" xfId="428" applyNumberFormat="1" applyFont="1" applyFill="1" applyBorder="1" applyAlignment="1">
      <alignment horizontal="center" vertical="center"/>
    </xf>
    <xf numFmtId="1" fontId="7" fillId="0" borderId="51" xfId="428" quotePrefix="1" applyNumberFormat="1" applyFont="1" applyFill="1" applyBorder="1" applyAlignment="1">
      <alignment horizontal="center" vertical="center"/>
    </xf>
    <xf numFmtId="0" fontId="7" fillId="0" borderId="51" xfId="428" applyFont="1" applyFill="1" applyBorder="1" applyAlignment="1">
      <alignment horizontal="center" vertical="center"/>
    </xf>
    <xf numFmtId="0" fontId="7" fillId="0" borderId="51" xfId="436" applyFont="1" applyFill="1" applyBorder="1" applyAlignment="1">
      <alignment horizontal="center" vertical="center"/>
    </xf>
    <xf numFmtId="0" fontId="7" fillId="0" borderId="57" xfId="0" applyFont="1" applyFill="1" applyBorder="1" applyAlignment="1">
      <alignment horizontal="center" vertical="center"/>
    </xf>
    <xf numFmtId="0" fontId="7" fillId="0" borderId="156" xfId="428" applyFont="1" applyFill="1" applyBorder="1" applyAlignment="1">
      <alignment horizontal="center" vertical="center"/>
    </xf>
    <xf numFmtId="0" fontId="7" fillId="0" borderId="26" xfId="428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7" fillId="0" borderId="27" xfId="0" applyFont="1" applyFill="1" applyBorder="1" applyAlignment="1">
      <alignment horizontal="center" vertical="center"/>
    </xf>
    <xf numFmtId="0" fontId="7" fillId="0" borderId="218" xfId="428" applyFont="1" applyFill="1" applyBorder="1" applyAlignment="1">
      <alignment horizontal="center" vertical="center"/>
    </xf>
    <xf numFmtId="1" fontId="7" fillId="0" borderId="219" xfId="428" applyNumberFormat="1" applyFont="1" applyFill="1" applyBorder="1" applyAlignment="1">
      <alignment horizontal="center" vertical="center"/>
    </xf>
    <xf numFmtId="0" fontId="7" fillId="0" borderId="219" xfId="428" applyFont="1" applyFill="1" applyBorder="1" applyAlignment="1">
      <alignment horizontal="left" vertical="center"/>
    </xf>
    <xf numFmtId="0" fontId="7" fillId="0" borderId="220" xfId="0" applyFont="1" applyFill="1" applyBorder="1" applyAlignment="1">
      <alignment vertical="center"/>
    </xf>
    <xf numFmtId="165" fontId="9" fillId="0" borderId="221" xfId="428" applyNumberFormat="1" applyFont="1" applyFill="1" applyBorder="1" applyAlignment="1">
      <alignment horizontal="right" vertical="center"/>
    </xf>
    <xf numFmtId="20" fontId="9" fillId="0" borderId="159" xfId="428" applyNumberFormat="1" applyFont="1" applyFill="1" applyBorder="1" applyAlignment="1">
      <alignment horizontal="center" vertical="center"/>
    </xf>
    <xf numFmtId="1" fontId="7" fillId="0" borderId="36" xfId="428" applyNumberFormat="1" applyFont="1" applyFill="1" applyBorder="1" applyAlignment="1">
      <alignment horizontal="center" vertical="center"/>
    </xf>
    <xf numFmtId="1" fontId="7" fillId="0" borderId="35" xfId="428" applyNumberFormat="1" applyFont="1" applyFill="1" applyBorder="1" applyAlignment="1">
      <alignment horizontal="center" vertical="center"/>
    </xf>
    <xf numFmtId="1" fontId="7" fillId="0" borderId="105" xfId="428" applyNumberFormat="1" applyFont="1" applyFill="1" applyBorder="1" applyAlignment="1">
      <alignment horizontal="center" vertical="center"/>
    </xf>
    <xf numFmtId="0" fontId="7" fillId="0" borderId="47" xfId="428" applyFont="1" applyFill="1" applyBorder="1" applyAlignment="1">
      <alignment vertical="center"/>
    </xf>
    <xf numFmtId="14" fontId="7" fillId="0" borderId="0" xfId="502" applyNumberFormat="1" applyFont="1" applyFill="1" applyBorder="1" applyAlignment="1">
      <alignment horizontal="center" vertical="center"/>
    </xf>
    <xf numFmtId="0" fontId="7" fillId="0" borderId="48" xfId="436" applyFont="1" applyFill="1" applyBorder="1" applyAlignment="1">
      <alignment vertical="center"/>
    </xf>
    <xf numFmtId="2" fontId="7" fillId="0" borderId="179" xfId="428" applyNumberFormat="1" applyFont="1" applyFill="1" applyBorder="1" applyAlignment="1">
      <alignment vertical="center"/>
    </xf>
    <xf numFmtId="14" fontId="7" fillId="0" borderId="179" xfId="502" applyNumberFormat="1" applyFont="1" applyFill="1" applyBorder="1" applyAlignment="1">
      <alignment horizontal="left" vertical="center"/>
    </xf>
    <xf numFmtId="1" fontId="7" fillId="0" borderId="179" xfId="428" applyNumberFormat="1" applyFont="1" applyFill="1" applyBorder="1" applyAlignment="1">
      <alignment horizontal="right" vertical="center"/>
    </xf>
    <xf numFmtId="167" fontId="7" fillId="0" borderId="179" xfId="428" applyNumberFormat="1" applyFont="1" applyFill="1" applyBorder="1" applyAlignment="1">
      <alignment horizontal="right" vertical="center"/>
    </xf>
    <xf numFmtId="20" fontId="7" fillId="0" borderId="179" xfId="428" applyNumberFormat="1" applyFont="1" applyFill="1" applyBorder="1" applyAlignment="1">
      <alignment vertical="center"/>
    </xf>
    <xf numFmtId="1" fontId="7" fillId="0" borderId="179" xfId="428" applyNumberFormat="1" applyFont="1" applyFill="1" applyBorder="1" applyAlignment="1">
      <alignment horizontal="center" vertical="center"/>
    </xf>
    <xf numFmtId="20" fontId="7" fillId="0" borderId="46" xfId="428" applyNumberFormat="1" applyFont="1" applyFill="1" applyBorder="1" applyAlignment="1">
      <alignment horizontal="center" vertical="center"/>
    </xf>
    <xf numFmtId="2" fontId="7" fillId="0" borderId="0" xfId="428" applyNumberFormat="1" applyFont="1" applyFill="1" applyBorder="1" applyAlignment="1">
      <alignment vertical="center"/>
    </xf>
    <xf numFmtId="0" fontId="7" fillId="0" borderId="0" xfId="428" applyFont="1" applyFill="1" applyBorder="1" applyAlignment="1">
      <alignment horizontal="left" vertical="center"/>
    </xf>
    <xf numFmtId="1" fontId="7" fillId="0" borderId="0" xfId="428" applyNumberFormat="1" applyFont="1" applyFill="1" applyBorder="1" applyAlignment="1">
      <alignment vertical="center"/>
    </xf>
    <xf numFmtId="20" fontId="7" fillId="0" borderId="0" xfId="428" applyNumberFormat="1" applyFont="1" applyFill="1" applyBorder="1" applyAlignment="1">
      <alignment vertical="center"/>
    </xf>
    <xf numFmtId="0" fontId="7" fillId="0" borderId="55" xfId="428" applyFont="1" applyFill="1" applyBorder="1" applyAlignment="1">
      <alignment vertical="center"/>
    </xf>
    <xf numFmtId="0" fontId="7" fillId="0" borderId="158" xfId="436" applyFont="1" applyFill="1" applyBorder="1" applyAlignment="1">
      <alignment vertical="center"/>
    </xf>
    <xf numFmtId="0" fontId="7" fillId="0" borderId="159" xfId="436" applyFont="1" applyFill="1" applyBorder="1" applyAlignment="1">
      <alignment vertical="center"/>
    </xf>
    <xf numFmtId="0" fontId="222" fillId="0" borderId="179" xfId="0" applyFont="1" applyBorder="1" applyAlignment="1"/>
    <xf numFmtId="2" fontId="7" fillId="0" borderId="179" xfId="428" applyNumberFormat="1" applyFont="1" applyFill="1" applyBorder="1" applyAlignment="1">
      <alignment horizontal="left" vertical="center"/>
    </xf>
    <xf numFmtId="2" fontId="336" fillId="0" borderId="179" xfId="428" applyNumberFormat="1" applyFont="1" applyFill="1" applyBorder="1" applyAlignment="1">
      <alignment horizontal="center" vertical="center"/>
    </xf>
    <xf numFmtId="2" fontId="20" fillId="0" borderId="179" xfId="428" applyNumberFormat="1" applyFont="1" applyFill="1" applyBorder="1" applyAlignment="1">
      <alignment horizontal="left" vertical="center"/>
    </xf>
    <xf numFmtId="0" fontId="7" fillId="0" borderId="179" xfId="428" applyFont="1" applyFill="1" applyBorder="1" applyAlignment="1">
      <alignment horizontal="left" vertical="center"/>
    </xf>
    <xf numFmtId="0" fontId="7" fillId="0" borderId="188" xfId="428" applyFont="1" applyFill="1" applyBorder="1" applyAlignment="1">
      <alignment horizontal="left" vertical="center"/>
    </xf>
    <xf numFmtId="2" fontId="23" fillId="0" borderId="179" xfId="428" applyNumberFormat="1" applyFont="1" applyFill="1" applyBorder="1" applyAlignment="1">
      <alignment horizontal="center" vertical="center"/>
    </xf>
    <xf numFmtId="0" fontId="7" fillId="0" borderId="46" xfId="428" applyFont="1" applyFill="1" applyBorder="1" applyAlignment="1">
      <alignment vertical="center"/>
    </xf>
    <xf numFmtId="0" fontId="209" fillId="31" borderId="0" xfId="0" applyFont="1" applyFill="1" applyBorder="1" applyAlignment="1">
      <alignment vertical="center"/>
    </xf>
    <xf numFmtId="0" fontId="338" fillId="0" borderId="0" xfId="0" applyFont="1"/>
    <xf numFmtId="0" fontId="338" fillId="0" borderId="41" xfId="0" applyFont="1" applyBorder="1"/>
    <xf numFmtId="0" fontId="338" fillId="0" borderId="351" xfId="0" applyFont="1" applyBorder="1"/>
    <xf numFmtId="0" fontId="338" fillId="0" borderId="42" xfId="0" applyFont="1" applyBorder="1"/>
    <xf numFmtId="0" fontId="339" fillId="0" borderId="0" xfId="0" applyFont="1"/>
    <xf numFmtId="0" fontId="339" fillId="0" borderId="301" xfId="0" applyFont="1" applyBorder="1"/>
    <xf numFmtId="0" fontId="339" fillId="0" borderId="0" xfId="0" applyFont="1" applyBorder="1"/>
    <xf numFmtId="0" fontId="340" fillId="0" borderId="351" xfId="0" applyFont="1" applyFill="1" applyBorder="1"/>
    <xf numFmtId="0" fontId="340" fillId="0" borderId="351" xfId="0" applyFont="1" applyBorder="1"/>
    <xf numFmtId="0" fontId="341" fillId="0" borderId="0" xfId="0" applyFont="1"/>
    <xf numFmtId="0" fontId="338" fillId="0" borderId="0" xfId="0" applyFont="1" applyAlignment="1">
      <alignment vertical="center"/>
    </xf>
    <xf numFmtId="0" fontId="339" fillId="0" borderId="0" xfId="0" applyFont="1" applyAlignment="1">
      <alignment vertical="center"/>
    </xf>
    <xf numFmtId="0" fontId="339" fillId="0" borderId="301" xfId="0" applyFont="1" applyBorder="1" applyAlignment="1">
      <alignment vertical="center"/>
    </xf>
    <xf numFmtId="0" fontId="339" fillId="0" borderId="0" xfId="0" applyFont="1" applyAlignment="1"/>
    <xf numFmtId="0" fontId="341" fillId="0" borderId="0" xfId="0" applyFont="1" applyAlignment="1">
      <alignment vertical="center"/>
    </xf>
    <xf numFmtId="0" fontId="338" fillId="0" borderId="0" xfId="0" applyFont="1" applyAlignment="1"/>
    <xf numFmtId="0" fontId="342" fillId="0" borderId="301" xfId="0" applyFont="1" applyBorder="1" applyAlignment="1">
      <alignment vertical="center"/>
    </xf>
    <xf numFmtId="0" fontId="343" fillId="0" borderId="301" xfId="0" applyFont="1" applyBorder="1" applyAlignment="1">
      <alignment vertical="center"/>
    </xf>
    <xf numFmtId="0" fontId="343" fillId="0" borderId="0" xfId="0" applyFont="1" applyBorder="1"/>
    <xf numFmtId="0" fontId="339" fillId="0" borderId="301" xfId="0" applyFont="1" applyBorder="1" applyAlignment="1"/>
    <xf numFmtId="0" fontId="337" fillId="0" borderId="13" xfId="0" applyFont="1" applyBorder="1" applyAlignment="1"/>
    <xf numFmtId="0" fontId="337" fillId="0" borderId="13" xfId="0" applyFont="1" applyBorder="1" applyAlignment="1">
      <alignment vertical="center"/>
    </xf>
    <xf numFmtId="0" fontId="344" fillId="0" borderId="351" xfId="0" applyFont="1" applyFill="1" applyBorder="1"/>
    <xf numFmtId="0" fontId="344" fillId="0" borderId="351" xfId="0" applyFont="1" applyBorder="1"/>
    <xf numFmtId="166" fontId="345" fillId="54" borderId="72" xfId="271" applyNumberFormat="1" applyFont="1" applyFill="1" applyBorder="1" applyAlignment="1">
      <alignment vertical="center"/>
    </xf>
    <xf numFmtId="0" fontId="346" fillId="0" borderId="0" xfId="0" applyFont="1"/>
    <xf numFmtId="0" fontId="347" fillId="0" borderId="351" xfId="0" applyFont="1" applyBorder="1" applyAlignment="1"/>
    <xf numFmtId="0" fontId="346" fillId="0" borderId="13" xfId="0" applyFont="1" applyBorder="1"/>
    <xf numFmtId="0" fontId="348" fillId="0" borderId="0" xfId="0" applyFont="1" applyAlignment="1">
      <alignment vertical="center"/>
    </xf>
    <xf numFmtId="0" fontId="349" fillId="0" borderId="0" xfId="0" applyFont="1" applyAlignment="1">
      <alignment vertical="center"/>
    </xf>
    <xf numFmtId="0" fontId="347" fillId="0" borderId="0" xfId="0" applyFont="1" applyAlignment="1">
      <alignment vertical="center"/>
    </xf>
    <xf numFmtId="0" fontId="350" fillId="0" borderId="0" xfId="0" applyFont="1" applyAlignment="1">
      <alignment vertical="center"/>
    </xf>
    <xf numFmtId="0" fontId="347" fillId="0" borderId="0" xfId="0" applyFont="1" applyAlignment="1"/>
    <xf numFmtId="0" fontId="351" fillId="0" borderId="0" xfId="0" applyFont="1" applyAlignment="1"/>
    <xf numFmtId="0" fontId="352" fillId="0" borderId="0" xfId="0" applyFont="1"/>
    <xf numFmtId="0" fontId="352" fillId="0" borderId="0" xfId="0" applyFont="1" applyAlignment="1"/>
    <xf numFmtId="0" fontId="284" fillId="0" borderId="0" xfId="0" applyFont="1" applyBorder="1"/>
    <xf numFmtId="1" fontId="290" fillId="71" borderId="420" xfId="0" applyNumberFormat="1" applyFont="1" applyFill="1" applyBorder="1" applyAlignment="1">
      <alignment horizontal="center" vertical="center"/>
    </xf>
    <xf numFmtId="166" fontId="290" fillId="77" borderId="420" xfId="271" applyNumberFormat="1" applyFont="1" applyFill="1" applyBorder="1" applyAlignment="1">
      <alignment horizontal="center" vertical="center"/>
    </xf>
    <xf numFmtId="1" fontId="290" fillId="71" borderId="420" xfId="0" applyNumberFormat="1" applyFont="1" applyFill="1" applyBorder="1" applyAlignment="1" applyProtection="1">
      <alignment horizontal="center" vertical="center"/>
      <protection locked="0"/>
    </xf>
    <xf numFmtId="1" fontId="290" fillId="71" borderId="431" xfId="0" applyNumberFormat="1" applyFont="1" applyFill="1" applyBorder="1" applyAlignment="1">
      <alignment horizontal="center" vertical="center"/>
    </xf>
    <xf numFmtId="1" fontId="49" fillId="89" borderId="432" xfId="0" applyNumberFormat="1" applyFont="1" applyFill="1" applyBorder="1" applyAlignment="1" applyProtection="1">
      <alignment horizontal="center" vertical="center"/>
      <protection locked="0"/>
    </xf>
    <xf numFmtId="1" fontId="49" fillId="89" borderId="430" xfId="0" applyNumberFormat="1" applyFont="1" applyFill="1" applyBorder="1" applyAlignment="1" applyProtection="1">
      <alignment horizontal="center" vertical="center"/>
      <protection locked="0"/>
    </xf>
    <xf numFmtId="1" fontId="49" fillId="42" borderId="430" xfId="0" applyNumberFormat="1" applyFont="1" applyFill="1" applyBorder="1" applyAlignment="1" applyProtection="1">
      <alignment horizontal="center" vertical="center"/>
      <protection locked="0"/>
    </xf>
    <xf numFmtId="1" fontId="49" fillId="89" borderId="420" xfId="0" applyNumberFormat="1" applyFont="1" applyFill="1" applyBorder="1" applyAlignment="1" applyProtection="1">
      <alignment horizontal="center" vertical="center"/>
      <protection locked="0"/>
    </xf>
    <xf numFmtId="1" fontId="49" fillId="68" borderId="420" xfId="0" applyNumberFormat="1" applyFont="1" applyFill="1" applyBorder="1" applyAlignment="1" applyProtection="1">
      <alignment horizontal="center" vertical="center"/>
      <protection locked="0"/>
    </xf>
    <xf numFmtId="1" fontId="49" fillId="89" borderId="418" xfId="0" applyNumberFormat="1" applyFont="1" applyFill="1" applyBorder="1" applyAlignment="1" applyProtection="1">
      <alignment horizontal="center" vertical="center"/>
      <protection locked="0"/>
    </xf>
    <xf numFmtId="1" fontId="7" fillId="0" borderId="109" xfId="432" applyNumberFormat="1" applyFont="1" applyFill="1" applyBorder="1" applyAlignment="1" applyProtection="1">
      <alignment horizontal="center" vertical="center"/>
      <protection locked="0"/>
    </xf>
    <xf numFmtId="1" fontId="353" fillId="68" borderId="434" xfId="0" applyNumberFormat="1" applyFont="1" applyFill="1" applyBorder="1" applyAlignment="1" applyProtection="1">
      <alignment horizontal="center" vertical="center"/>
      <protection locked="0"/>
    </xf>
    <xf numFmtId="165" fontId="357" fillId="68" borderId="434" xfId="0" applyNumberFormat="1" applyFont="1" applyFill="1" applyBorder="1" applyAlignment="1" applyProtection="1">
      <alignment horizontal="center" vertical="center"/>
      <protection locked="0"/>
    </xf>
    <xf numFmtId="165" fontId="356" fillId="82" borderId="433" xfId="0" applyNumberFormat="1" applyFont="1" applyFill="1" applyBorder="1" applyAlignment="1" applyProtection="1">
      <alignment horizontal="center" vertical="center"/>
      <protection locked="0"/>
    </xf>
    <xf numFmtId="1" fontId="357" fillId="68" borderId="434" xfId="0" applyNumberFormat="1" applyFont="1" applyFill="1" applyBorder="1" applyAlignment="1" applyProtection="1">
      <alignment horizontal="center" vertical="center"/>
      <protection locked="0"/>
    </xf>
    <xf numFmtId="20" fontId="359" fillId="26" borderId="12" xfId="0" applyNumberFormat="1" applyFont="1" applyFill="1" applyBorder="1" applyAlignment="1">
      <alignment horizontal="center" vertical="center"/>
    </xf>
    <xf numFmtId="1" fontId="360" fillId="89" borderId="435" xfId="0" applyNumberFormat="1" applyFont="1" applyFill="1" applyBorder="1" applyAlignment="1" applyProtection="1">
      <alignment horizontal="center" vertical="center"/>
      <protection locked="0"/>
    </xf>
    <xf numFmtId="1" fontId="25" fillId="68" borderId="415" xfId="0" applyNumberFormat="1" applyFont="1" applyFill="1" applyBorder="1" applyAlignment="1" applyProtection="1">
      <alignment horizontal="center" vertical="center"/>
      <protection locked="0"/>
    </xf>
    <xf numFmtId="0" fontId="7" fillId="0" borderId="438" xfId="428" applyFont="1" applyFill="1" applyBorder="1" applyAlignment="1">
      <alignment vertical="center"/>
    </xf>
    <xf numFmtId="0" fontId="7" fillId="0" borderId="437" xfId="428" applyFont="1" applyFill="1" applyBorder="1" applyAlignment="1">
      <alignment vertical="center"/>
    </xf>
    <xf numFmtId="0" fontId="7" fillId="0" borderId="440" xfId="436" applyFont="1" applyFill="1" applyBorder="1" applyAlignment="1">
      <alignment vertical="center"/>
    </xf>
    <xf numFmtId="0" fontId="7" fillId="0" borderId="439" xfId="0" applyFont="1" applyFill="1" applyBorder="1" applyAlignment="1">
      <alignment vertical="center"/>
    </xf>
    <xf numFmtId="1" fontId="353" fillId="58" borderId="441" xfId="0" applyNumberFormat="1" applyFont="1" applyFill="1" applyBorder="1" applyAlignment="1" applyProtection="1">
      <alignment horizontal="center" vertical="center"/>
      <protection locked="0"/>
    </xf>
    <xf numFmtId="1" fontId="45" fillId="68" borderId="434" xfId="0" applyNumberFormat="1" applyFont="1" applyFill="1" applyBorder="1" applyAlignment="1" applyProtection="1">
      <alignment horizontal="center" vertical="center"/>
      <protection locked="0"/>
    </xf>
    <xf numFmtId="0" fontId="338" fillId="0" borderId="0" xfId="0" applyFont="1" applyBorder="1"/>
    <xf numFmtId="0" fontId="299" fillId="0" borderId="0" xfId="0" applyFont="1" applyFill="1" applyBorder="1" applyAlignment="1">
      <alignment horizontal="center" vertical="center"/>
    </xf>
    <xf numFmtId="0" fontId="299" fillId="0" borderId="0" xfId="0" applyFont="1" applyFill="1" applyBorder="1" applyAlignment="1">
      <alignment horizontal="center" vertical="top"/>
    </xf>
    <xf numFmtId="0" fontId="299" fillId="0" borderId="0" xfId="0" applyFont="1" applyFill="1" applyBorder="1" applyAlignment="1">
      <alignment horizontal="center"/>
    </xf>
    <xf numFmtId="0" fontId="363" fillId="0" borderId="0" xfId="0" applyFont="1" applyBorder="1" applyAlignment="1">
      <alignment horizontal="center" vertical="center"/>
    </xf>
    <xf numFmtId="0" fontId="363" fillId="0" borderId="17" xfId="0" applyFont="1" applyBorder="1" applyAlignment="1">
      <alignment horizontal="center" vertical="center"/>
    </xf>
    <xf numFmtId="49" fontId="9" fillId="26" borderId="10" xfId="0" applyNumberFormat="1" applyFont="1" applyFill="1" applyBorder="1" applyAlignment="1">
      <alignment horizontal="center" vertical="center"/>
    </xf>
    <xf numFmtId="43" fontId="9" fillId="26" borderId="10" xfId="271" applyFont="1" applyFill="1" applyBorder="1" applyAlignment="1">
      <alignment horizontal="left" vertical="center"/>
    </xf>
    <xf numFmtId="43" fontId="9" fillId="26" borderId="14" xfId="271" applyFont="1" applyFill="1" applyBorder="1" applyAlignment="1">
      <alignment horizontal="left" vertical="center"/>
    </xf>
    <xf numFmtId="43" fontId="9" fillId="26" borderId="22" xfId="271" applyFont="1" applyFill="1" applyBorder="1" applyAlignment="1">
      <alignment horizontal="left" vertical="center"/>
    </xf>
    <xf numFmtId="49" fontId="9" fillId="32" borderId="106" xfId="0" applyNumberFormat="1" applyFont="1" applyFill="1" applyBorder="1" applyAlignment="1">
      <alignment horizontal="left" vertical="center"/>
    </xf>
    <xf numFmtId="49" fontId="9" fillId="32" borderId="31" xfId="0" applyNumberFormat="1" applyFont="1" applyFill="1" applyBorder="1" applyAlignment="1">
      <alignment horizontal="left" vertical="center"/>
    </xf>
    <xf numFmtId="49" fontId="9" fillId="32" borderId="204" xfId="0" applyNumberFormat="1" applyFont="1" applyFill="1" applyBorder="1" applyAlignment="1">
      <alignment horizontal="center" vertical="center"/>
    </xf>
    <xf numFmtId="49" fontId="9" fillId="32" borderId="204" xfId="0" applyNumberFormat="1" applyFont="1" applyFill="1" applyBorder="1" applyAlignment="1">
      <alignment horizontal="center" vertical="center" wrapText="1"/>
    </xf>
    <xf numFmtId="49" fontId="9" fillId="32" borderId="57" xfId="0" applyNumberFormat="1" applyFont="1" applyFill="1" applyBorder="1" applyAlignment="1">
      <alignment horizontal="left" vertical="center"/>
    </xf>
    <xf numFmtId="20" fontId="9" fillId="25" borderId="26" xfId="0" applyNumberFormat="1" applyFont="1" applyFill="1" applyBorder="1" applyAlignment="1">
      <alignment horizontal="center" vertical="center"/>
    </xf>
    <xf numFmtId="0" fontId="210" fillId="0" borderId="48" xfId="0" applyFont="1" applyBorder="1" applyAlignment="1">
      <alignment vertical="center"/>
    </xf>
    <xf numFmtId="0" fontId="93" fillId="0" borderId="0" xfId="0" applyFont="1" applyAlignment="1">
      <alignment vertical="center"/>
    </xf>
    <xf numFmtId="0" fontId="210" fillId="0" borderId="0" xfId="0" applyFont="1" applyAlignment="1">
      <alignment vertical="center"/>
    </xf>
    <xf numFmtId="0" fontId="210" fillId="0" borderId="66" xfId="0" applyFont="1" applyBorder="1" applyAlignment="1">
      <alignment vertical="center"/>
    </xf>
    <xf numFmtId="0" fontId="363" fillId="0" borderId="0" xfId="0" applyFont="1" applyBorder="1" applyAlignment="1">
      <alignment vertical="center"/>
    </xf>
    <xf numFmtId="0" fontId="210" fillId="0" borderId="0" xfId="0" applyFont="1" applyBorder="1" applyAlignment="1">
      <alignment vertical="center"/>
    </xf>
    <xf numFmtId="0" fontId="210" fillId="0" borderId="145" xfId="0" applyFont="1" applyBorder="1" applyAlignment="1">
      <alignment horizontal="center" vertical="center"/>
    </xf>
    <xf numFmtId="0" fontId="364" fillId="0" borderId="0" xfId="0" applyFont="1" applyBorder="1" applyAlignment="1">
      <alignment vertical="center"/>
    </xf>
    <xf numFmtId="0" fontId="365" fillId="0" borderId="0" xfId="0" applyFont="1" applyBorder="1" applyAlignment="1">
      <alignment vertical="center"/>
    </xf>
    <xf numFmtId="0" fontId="210" fillId="0" borderId="448" xfId="0" applyFont="1" applyBorder="1" applyAlignment="1">
      <alignment horizontal="center" vertical="center"/>
    </xf>
    <xf numFmtId="0" fontId="210" fillId="0" borderId="88" xfId="0" applyFont="1" applyBorder="1" applyAlignment="1">
      <alignment vertical="center"/>
    </xf>
    <xf numFmtId="0" fontId="363" fillId="0" borderId="0" xfId="0" applyFont="1" applyAlignment="1">
      <alignment vertical="center"/>
    </xf>
    <xf numFmtId="0" fontId="210" fillId="0" borderId="427" xfId="0" applyFont="1" applyBorder="1" applyAlignment="1">
      <alignment horizontal="center" vertical="center"/>
    </xf>
    <xf numFmtId="0" fontId="210" fillId="0" borderId="47" xfId="0" applyFont="1" applyBorder="1" applyAlignment="1">
      <alignment vertical="center"/>
    </xf>
    <xf numFmtId="0" fontId="210" fillId="0" borderId="199" xfId="0" applyFont="1" applyBorder="1" applyAlignment="1">
      <alignment horizontal="center" vertical="center"/>
    </xf>
    <xf numFmtId="0" fontId="210" fillId="0" borderId="443" xfId="0" applyFont="1" applyBorder="1" applyAlignment="1">
      <alignment horizontal="center" vertical="center"/>
    </xf>
    <xf numFmtId="0" fontId="93" fillId="0" borderId="0" xfId="0" applyFont="1" applyFill="1" applyAlignment="1">
      <alignment vertical="center"/>
    </xf>
    <xf numFmtId="20" fontId="210" fillId="0" borderId="0" xfId="0" applyNumberFormat="1" applyFont="1" applyAlignment="1">
      <alignment vertical="center"/>
    </xf>
    <xf numFmtId="1" fontId="210" fillId="34" borderId="0" xfId="0" applyNumberFormat="1" applyFont="1" applyFill="1" applyAlignment="1">
      <alignment horizontal="center" vertical="center"/>
    </xf>
    <xf numFmtId="0" fontId="210" fillId="34" borderId="0" xfId="0" applyFont="1" applyFill="1" applyAlignment="1">
      <alignment vertical="center"/>
    </xf>
    <xf numFmtId="0" fontId="210" fillId="0" borderId="444" xfId="0" applyFont="1" applyBorder="1" applyAlignment="1">
      <alignment horizontal="center" vertical="center"/>
    </xf>
    <xf numFmtId="0" fontId="210" fillId="0" borderId="180" xfId="0" applyFont="1" applyBorder="1" applyAlignment="1">
      <alignment horizontal="center" vertical="center"/>
    </xf>
    <xf numFmtId="0" fontId="210" fillId="0" borderId="396" xfId="0" applyFont="1" applyBorder="1" applyAlignment="1">
      <alignment horizontal="center" vertical="center"/>
    </xf>
    <xf numFmtId="1" fontId="210" fillId="0" borderId="0" xfId="0" applyNumberFormat="1" applyFont="1" applyAlignment="1">
      <alignment vertical="center"/>
    </xf>
    <xf numFmtId="0" fontId="9" fillId="0" borderId="0" xfId="436" applyFont="1" applyBorder="1" applyAlignment="1">
      <alignment vertical="center"/>
    </xf>
    <xf numFmtId="0" fontId="210" fillId="0" borderId="397" xfId="0" applyFont="1" applyBorder="1" applyAlignment="1">
      <alignment horizontal="center" vertical="center"/>
    </xf>
    <xf numFmtId="0" fontId="284" fillId="0" borderId="0" xfId="0" applyFont="1" applyBorder="1" applyAlignment="1">
      <alignment vertical="center"/>
    </xf>
    <xf numFmtId="2" fontId="209" fillId="0" borderId="179" xfId="428" applyNumberFormat="1" applyFont="1" applyFill="1" applyBorder="1" applyAlignment="1">
      <alignment horizontal="left" vertical="center"/>
    </xf>
    <xf numFmtId="0" fontId="368" fillId="0" borderId="0" xfId="0" applyFont="1"/>
    <xf numFmtId="1" fontId="7" fillId="0" borderId="414" xfId="428" applyNumberFormat="1" applyFont="1" applyFill="1" applyBorder="1" applyAlignment="1">
      <alignment horizontal="center" vertical="center"/>
    </xf>
    <xf numFmtId="171" fontId="366" fillId="0" borderId="0" xfId="401" applyFont="1" applyFill="1" applyBorder="1" applyAlignment="1">
      <alignment horizontal="center" vertical="center" wrapText="1"/>
    </xf>
    <xf numFmtId="0" fontId="367" fillId="0" borderId="0" xfId="0" applyFont="1" applyFill="1" applyBorder="1" applyAlignment="1">
      <alignment horizontal="center" vertical="center" wrapText="1"/>
    </xf>
    <xf numFmtId="0" fontId="366" fillId="0" borderId="0" xfId="0" applyFont="1" applyFill="1" applyBorder="1" applyAlignment="1">
      <alignment horizontal="center" vertical="center" wrapText="1"/>
    </xf>
    <xf numFmtId="171" fontId="366" fillId="0" borderId="0" xfId="414" applyFont="1" applyFill="1" applyBorder="1" applyAlignment="1">
      <alignment horizontal="center" vertical="center" wrapText="1"/>
    </xf>
    <xf numFmtId="171" fontId="367" fillId="0" borderId="0" xfId="414" applyFont="1" applyFill="1" applyBorder="1" applyAlignment="1">
      <alignment horizontal="center" vertical="center" wrapText="1"/>
    </xf>
    <xf numFmtId="0" fontId="272" fillId="88" borderId="0" xfId="0" applyFont="1" applyFill="1" applyBorder="1" applyAlignment="1"/>
    <xf numFmtId="0" fontId="272" fillId="88" borderId="0" xfId="0" applyNumberFormat="1" applyFont="1" applyFill="1" applyBorder="1" applyAlignment="1"/>
    <xf numFmtId="0" fontId="92" fillId="88" borderId="0" xfId="0" applyFont="1" applyFill="1"/>
    <xf numFmtId="0" fontId="284" fillId="0" borderId="0" xfId="0" applyFont="1" applyFill="1" applyBorder="1"/>
    <xf numFmtId="0" fontId="284" fillId="0" borderId="0" xfId="0" applyFont="1" applyBorder="1" applyAlignment="1"/>
    <xf numFmtId="0" fontId="92" fillId="31" borderId="0" xfId="0" applyFont="1" applyFill="1" applyAlignment="1">
      <alignment horizontal="center"/>
    </xf>
    <xf numFmtId="0" fontId="92" fillId="0" borderId="0" xfId="0" applyNumberFormat="1" applyFont="1" applyBorder="1" applyAlignment="1">
      <alignment horizontal="center"/>
    </xf>
    <xf numFmtId="0" fontId="92" fillId="31" borderId="0" xfId="0" applyFont="1" applyFill="1" applyBorder="1" applyAlignment="1">
      <alignment horizontal="center"/>
    </xf>
    <xf numFmtId="20" fontId="120" fillId="34" borderId="10" xfId="0" applyNumberFormat="1" applyFont="1" applyFill="1" applyBorder="1" applyAlignment="1">
      <alignment horizontal="center"/>
    </xf>
    <xf numFmtId="20" fontId="120" fillId="88" borderId="10" xfId="0" applyNumberFormat="1" applyFont="1" applyFill="1" applyBorder="1" applyAlignment="1">
      <alignment horizontal="center"/>
    </xf>
    <xf numFmtId="0" fontId="175" fillId="0" borderId="88" xfId="436" applyFont="1" applyBorder="1" applyAlignment="1">
      <alignment vertical="center"/>
    </xf>
    <xf numFmtId="0" fontId="175" fillId="0" borderId="194" xfId="436" applyFont="1" applyBorder="1" applyAlignment="1">
      <alignment horizontal="center" vertical="center" wrapText="1"/>
    </xf>
    <xf numFmtId="0" fontId="175" fillId="0" borderId="194" xfId="436" applyFont="1" applyBorder="1" applyAlignment="1">
      <alignment horizontal="center" vertical="center"/>
    </xf>
    <xf numFmtId="0" fontId="175" fillId="0" borderId="186" xfId="436" applyFont="1" applyBorder="1" applyAlignment="1">
      <alignment horizontal="center" vertical="center"/>
    </xf>
    <xf numFmtId="0" fontId="175" fillId="0" borderId="189" xfId="436" applyFont="1" applyBorder="1" applyAlignment="1">
      <alignment vertical="center"/>
    </xf>
    <xf numFmtId="0" fontId="175" fillId="0" borderId="189" xfId="436" applyFont="1" applyBorder="1" applyAlignment="1">
      <alignment horizontal="center" vertical="center"/>
    </xf>
    <xf numFmtId="0" fontId="175" fillId="0" borderId="93" xfId="436" applyFont="1" applyBorder="1" applyAlignment="1">
      <alignment vertical="center"/>
    </xf>
    <xf numFmtId="0" fontId="175" fillId="0" borderId="43" xfId="436" applyFont="1" applyBorder="1" applyAlignment="1">
      <alignment horizontal="center" vertical="center"/>
    </xf>
    <xf numFmtId="0" fontId="175" fillId="0" borderId="187" xfId="436" applyFont="1" applyBorder="1" applyAlignment="1">
      <alignment horizontal="center" vertical="center"/>
    </xf>
    <xf numFmtId="0" fontId="175" fillId="0" borderId="301" xfId="436" applyFont="1" applyBorder="1" applyAlignment="1">
      <alignment vertical="center"/>
    </xf>
    <xf numFmtId="0" fontId="175" fillId="0" borderId="449" xfId="436" applyFont="1" applyBorder="1" applyAlignment="1">
      <alignment vertical="center"/>
    </xf>
    <xf numFmtId="0" fontId="175" fillId="0" borderId="449" xfId="436" applyFont="1" applyBorder="1" applyAlignment="1">
      <alignment horizontal="center" vertical="center"/>
    </xf>
    <xf numFmtId="1" fontId="372" fillId="31" borderId="450" xfId="436" applyNumberFormat="1" applyFont="1" applyFill="1" applyBorder="1" applyAlignment="1" applyProtection="1">
      <alignment horizontal="center" vertical="center"/>
      <protection locked="0"/>
    </xf>
    <xf numFmtId="189" fontId="373" fillId="0" borderId="450" xfId="436" applyNumberFormat="1" applyFont="1" applyBorder="1" applyAlignment="1" applyProtection="1">
      <alignment horizontal="center" vertical="center"/>
      <protection locked="0"/>
    </xf>
    <xf numFmtId="1" fontId="372" fillId="0" borderId="450" xfId="436" applyNumberFormat="1" applyFont="1" applyFill="1" applyBorder="1" applyAlignment="1" applyProtection="1">
      <alignment horizontal="center" vertical="center"/>
      <protection locked="0"/>
    </xf>
    <xf numFmtId="189" fontId="373" fillId="31" borderId="450" xfId="436" applyNumberFormat="1" applyFont="1" applyFill="1" applyBorder="1" applyAlignment="1" applyProtection="1">
      <alignment horizontal="center" vertical="center"/>
      <protection locked="0"/>
    </xf>
    <xf numFmtId="189" fontId="373" fillId="0" borderId="446" xfId="436" applyNumberFormat="1" applyFont="1" applyBorder="1" applyAlignment="1" applyProtection="1">
      <alignment horizontal="center" vertical="center"/>
      <protection locked="0"/>
    </xf>
    <xf numFmtId="1" fontId="372" fillId="31" borderId="446" xfId="436" applyNumberFormat="1" applyFont="1" applyFill="1" applyBorder="1" applyAlignment="1" applyProtection="1">
      <alignment horizontal="center" vertical="center"/>
      <protection locked="0"/>
    </xf>
    <xf numFmtId="189" fontId="373" fillId="31" borderId="446" xfId="436" applyNumberFormat="1" applyFont="1" applyFill="1" applyBorder="1" applyAlignment="1" applyProtection="1">
      <alignment horizontal="center" vertical="center"/>
      <protection locked="0"/>
    </xf>
    <xf numFmtId="1" fontId="174" fillId="31" borderId="447" xfId="436" applyNumberFormat="1" applyFont="1" applyFill="1" applyBorder="1" applyAlignment="1">
      <alignment horizontal="center" vertical="center"/>
    </xf>
    <xf numFmtId="189" fontId="374" fillId="0" borderId="447" xfId="436" applyNumberFormat="1" applyFont="1" applyBorder="1" applyAlignment="1">
      <alignment horizontal="center" vertical="center"/>
    </xf>
    <xf numFmtId="0" fontId="174" fillId="0" borderId="447" xfId="436" applyFont="1" applyBorder="1" applyAlignment="1">
      <alignment horizontal="center" vertical="center"/>
    </xf>
    <xf numFmtId="189" fontId="174" fillId="0" borderId="447" xfId="436" applyNumberFormat="1" applyFont="1" applyBorder="1" applyAlignment="1">
      <alignment horizontal="center" vertical="center"/>
    </xf>
    <xf numFmtId="20" fontId="174" fillId="0" borderId="447" xfId="436" applyNumberFormat="1" applyFont="1" applyBorder="1" applyAlignment="1">
      <alignment horizontal="center" vertical="center"/>
    </xf>
    <xf numFmtId="0" fontId="175" fillId="0" borderId="442" xfId="436" applyFont="1" applyBorder="1" applyAlignment="1">
      <alignment horizontal="center" vertical="center"/>
    </xf>
    <xf numFmtId="189" fontId="175" fillId="0" borderId="442" xfId="436" applyNumberFormat="1" applyFont="1" applyBorder="1" applyAlignment="1">
      <alignment horizontal="center" vertical="center"/>
    </xf>
    <xf numFmtId="0" fontId="175" fillId="0" borderId="442" xfId="436" applyFont="1" applyBorder="1" applyAlignment="1">
      <alignment vertical="center"/>
    </xf>
    <xf numFmtId="20" fontId="175" fillId="0" borderId="442" xfId="436" applyNumberFormat="1" applyFont="1" applyBorder="1" applyAlignment="1">
      <alignment horizontal="center" vertical="center"/>
    </xf>
    <xf numFmtId="1" fontId="372" fillId="31" borderId="445" xfId="436" applyNumberFormat="1" applyFont="1" applyFill="1" applyBorder="1" applyAlignment="1" applyProtection="1">
      <alignment horizontal="center" vertical="center"/>
      <protection locked="0"/>
    </xf>
    <xf numFmtId="1" fontId="372" fillId="0" borderId="446" xfId="436" applyNumberFormat="1" applyFont="1" applyFill="1" applyBorder="1" applyAlignment="1" applyProtection="1">
      <alignment horizontal="center" vertical="center"/>
      <protection locked="0"/>
    </xf>
    <xf numFmtId="165" fontId="353" fillId="58" borderId="441" xfId="0" applyNumberFormat="1" applyFont="1" applyFill="1" applyBorder="1" applyAlignment="1">
      <alignment horizontal="center" vertical="center"/>
    </xf>
    <xf numFmtId="165" fontId="356" fillId="82" borderId="460" xfId="0" applyNumberFormat="1" applyFont="1" applyFill="1" applyBorder="1" applyAlignment="1" applyProtection="1">
      <alignment horizontal="center" vertical="center"/>
      <protection locked="0"/>
    </xf>
    <xf numFmtId="165" fontId="354" fillId="72" borderId="25" xfId="0" applyNumberFormat="1" applyFont="1" applyFill="1" applyBorder="1" applyAlignment="1">
      <alignment horizontal="center" vertical="center"/>
    </xf>
    <xf numFmtId="1" fontId="353" fillId="58" borderId="25" xfId="0" applyNumberFormat="1" applyFont="1" applyFill="1" applyBorder="1" applyAlignment="1" applyProtection="1">
      <alignment horizontal="center" vertical="center"/>
      <protection locked="0"/>
    </xf>
    <xf numFmtId="165" fontId="353" fillId="58" borderId="25" xfId="0" applyNumberFormat="1" applyFont="1" applyFill="1" applyBorder="1" applyAlignment="1" applyProtection="1">
      <alignment horizontal="center" vertical="center"/>
      <protection locked="0"/>
    </xf>
    <xf numFmtId="165" fontId="353" fillId="88" borderId="25" xfId="0" applyNumberFormat="1" applyFont="1" applyFill="1" applyBorder="1" applyAlignment="1">
      <alignment horizontal="center" vertical="center"/>
    </xf>
    <xf numFmtId="1" fontId="353" fillId="88" borderId="25" xfId="0" applyNumberFormat="1" applyFont="1" applyFill="1" applyBorder="1" applyAlignment="1" applyProtection="1">
      <alignment horizontal="center" vertical="center"/>
      <protection locked="0"/>
    </xf>
    <xf numFmtId="165" fontId="353" fillId="88" borderId="25" xfId="0" applyNumberFormat="1" applyFont="1" applyFill="1" applyBorder="1" applyAlignment="1" applyProtection="1">
      <alignment horizontal="center" vertical="center"/>
      <protection locked="0"/>
    </xf>
    <xf numFmtId="1" fontId="354" fillId="46" borderId="25" xfId="0" applyNumberFormat="1" applyFont="1" applyFill="1" applyBorder="1" applyAlignment="1" applyProtection="1">
      <alignment horizontal="center" vertical="center"/>
      <protection locked="0"/>
    </xf>
    <xf numFmtId="165" fontId="353" fillId="89" borderId="25" xfId="0" applyNumberFormat="1" applyFont="1" applyFill="1" applyBorder="1" applyAlignment="1">
      <alignment horizontal="center" vertical="center"/>
    </xf>
    <xf numFmtId="165" fontId="353" fillId="68" borderId="25" xfId="0" applyNumberFormat="1" applyFont="1" applyFill="1" applyBorder="1" applyAlignment="1">
      <alignment horizontal="center" vertical="center"/>
    </xf>
    <xf numFmtId="1" fontId="353" fillId="68" borderId="25" xfId="0" applyNumberFormat="1" applyFont="1" applyFill="1" applyBorder="1" applyAlignment="1" applyProtection="1">
      <alignment horizontal="center" vertical="center"/>
      <protection locked="0"/>
    </xf>
    <xf numFmtId="165" fontId="353" fillId="68" borderId="25" xfId="0" applyNumberFormat="1" applyFont="1" applyFill="1" applyBorder="1" applyAlignment="1" applyProtection="1">
      <alignment horizontal="center" vertical="center"/>
      <protection locked="0"/>
    </xf>
    <xf numFmtId="1" fontId="353" fillId="68" borderId="25" xfId="0" applyNumberFormat="1" applyFont="1" applyFill="1" applyBorder="1" applyAlignment="1" applyProtection="1">
      <alignment horizontal="center" vertical="center" wrapText="1"/>
      <protection locked="0"/>
    </xf>
    <xf numFmtId="1" fontId="45" fillId="88" borderId="25" xfId="0" applyNumberFormat="1" applyFont="1" applyFill="1" applyBorder="1" applyAlignment="1" applyProtection="1">
      <alignment horizontal="center" vertical="center"/>
      <protection locked="0"/>
    </xf>
    <xf numFmtId="0" fontId="376" fillId="0" borderId="0" xfId="0" applyFont="1" applyBorder="1"/>
    <xf numFmtId="164" fontId="377" fillId="35" borderId="0" xfId="0" applyNumberFormat="1" applyFont="1" applyFill="1" applyAlignment="1">
      <alignment horizontal="center" vertical="center"/>
    </xf>
    <xf numFmtId="1" fontId="290" fillId="71" borderId="304" xfId="0" applyNumberFormat="1" applyFont="1" applyFill="1" applyBorder="1" applyAlignment="1">
      <alignment horizontal="center" vertical="center"/>
    </xf>
    <xf numFmtId="166" fontId="290" fillId="77" borderId="304" xfId="271" applyNumberFormat="1" applyFont="1" applyFill="1" applyBorder="1" applyAlignment="1">
      <alignment horizontal="center" vertical="center"/>
    </xf>
    <xf numFmtId="1" fontId="290" fillId="71" borderId="304" xfId="0" applyNumberFormat="1" applyFont="1" applyFill="1" applyBorder="1" applyAlignment="1" applyProtection="1">
      <alignment horizontal="center" vertical="center"/>
      <protection locked="0"/>
    </xf>
    <xf numFmtId="1" fontId="290" fillId="71" borderId="461" xfId="0" applyNumberFormat="1" applyFont="1" applyFill="1" applyBorder="1" applyAlignment="1">
      <alignment horizontal="center" vertical="center"/>
    </xf>
    <xf numFmtId="1" fontId="49" fillId="89" borderId="462" xfId="0" applyNumberFormat="1" applyFont="1" applyFill="1" applyBorder="1" applyAlignment="1" applyProtection="1">
      <alignment horizontal="center" vertical="center"/>
      <protection locked="0"/>
    </xf>
    <xf numFmtId="1" fontId="49" fillId="89" borderId="441" xfId="0" applyNumberFormat="1" applyFont="1" applyFill="1" applyBorder="1" applyAlignment="1" applyProtection="1">
      <alignment horizontal="center" vertical="center"/>
      <protection locked="0"/>
    </xf>
    <xf numFmtId="1" fontId="49" fillId="42" borderId="441" xfId="0" applyNumberFormat="1" applyFont="1" applyFill="1" applyBorder="1" applyAlignment="1" applyProtection="1">
      <alignment horizontal="center" vertical="center"/>
      <protection locked="0"/>
    </xf>
    <xf numFmtId="1" fontId="49" fillId="89" borderId="304" xfId="0" applyNumberFormat="1" applyFont="1" applyFill="1" applyBorder="1" applyAlignment="1" applyProtection="1">
      <alignment horizontal="center" vertical="center"/>
      <protection locked="0"/>
    </xf>
    <xf numFmtId="1" fontId="49" fillId="68" borderId="304" xfId="0" applyNumberFormat="1" applyFont="1" applyFill="1" applyBorder="1" applyAlignment="1" applyProtection="1">
      <alignment horizontal="center" vertical="center"/>
      <protection locked="0"/>
    </xf>
    <xf numFmtId="1" fontId="204" fillId="71" borderId="418" xfId="0" applyNumberFormat="1" applyFont="1" applyFill="1" applyBorder="1" applyAlignment="1">
      <alignment horizontal="center" vertical="center"/>
    </xf>
    <xf numFmtId="1" fontId="204" fillId="71" borderId="304" xfId="0" applyNumberFormat="1" applyFont="1" applyFill="1" applyBorder="1" applyAlignment="1">
      <alignment horizontal="center" vertical="center"/>
    </xf>
    <xf numFmtId="1" fontId="353" fillId="87" borderId="435" xfId="0" applyNumberFormat="1" applyFont="1" applyFill="1" applyBorder="1" applyAlignment="1" applyProtection="1">
      <alignment horizontal="center" vertical="center"/>
      <protection locked="0"/>
    </xf>
    <xf numFmtId="165" fontId="362" fillId="72" borderId="25" xfId="0" applyNumberFormat="1" applyFont="1" applyFill="1" applyBorder="1" applyAlignment="1">
      <alignment horizontal="center" vertical="center"/>
    </xf>
    <xf numFmtId="1" fontId="45" fillId="34" borderId="25" xfId="0" applyNumberFormat="1" applyFont="1" applyFill="1" applyBorder="1" applyAlignment="1" applyProtection="1">
      <alignment horizontal="center" vertical="center"/>
      <protection locked="0"/>
    </xf>
    <xf numFmtId="0" fontId="172" fillId="0" borderId="0" xfId="0" applyFont="1" applyFill="1" applyBorder="1" applyAlignment="1">
      <alignment horizontal="center" vertical="center" wrapText="1"/>
    </xf>
    <xf numFmtId="0" fontId="93" fillId="0" borderId="0" xfId="0" applyFont="1" applyFill="1" applyBorder="1" applyAlignment="1">
      <alignment horizontal="center" vertical="center" wrapText="1"/>
    </xf>
    <xf numFmtId="171" fontId="172" fillId="0" borderId="0" xfId="401" applyFont="1" applyFill="1" applyBorder="1" applyAlignment="1">
      <alignment horizontal="center" vertical="center" wrapText="1"/>
    </xf>
    <xf numFmtId="171" fontId="93" fillId="0" borderId="0" xfId="401" applyFont="1" applyFill="1" applyBorder="1" applyAlignment="1">
      <alignment horizontal="center" vertical="center" wrapText="1"/>
    </xf>
    <xf numFmtId="1" fontId="353" fillId="89" borderId="435" xfId="0" applyNumberFormat="1" applyFont="1" applyFill="1" applyBorder="1" applyAlignment="1" applyProtection="1">
      <alignment horizontal="center" vertical="center"/>
      <protection locked="0"/>
    </xf>
    <xf numFmtId="165" fontId="354" fillId="68" borderId="25" xfId="0" applyNumberFormat="1" applyFont="1" applyFill="1" applyBorder="1" applyAlignment="1">
      <alignment horizontal="center" vertical="center"/>
    </xf>
    <xf numFmtId="1" fontId="357" fillId="68" borderId="25" xfId="0" applyNumberFormat="1" applyFont="1" applyFill="1" applyBorder="1" applyAlignment="1" applyProtection="1">
      <alignment horizontal="center" vertical="center"/>
      <protection locked="0"/>
    </xf>
    <xf numFmtId="0" fontId="167" fillId="0" borderId="0" xfId="436" applyFont="1">
      <alignment vertical="center"/>
    </xf>
    <xf numFmtId="0" fontId="167" fillId="0" borderId="0" xfId="436" applyFont="1" applyFill="1" applyAlignment="1">
      <alignment vertical="center"/>
    </xf>
    <xf numFmtId="0" fontId="379" fillId="0" borderId="0" xfId="436" applyFont="1" applyBorder="1" applyAlignment="1">
      <alignment horizontal="left" vertical="center"/>
    </xf>
    <xf numFmtId="0" fontId="363" fillId="0" borderId="37" xfId="0" applyFont="1" applyBorder="1" applyAlignment="1">
      <alignment horizontal="center" vertical="center"/>
    </xf>
    <xf numFmtId="0" fontId="363" fillId="0" borderId="38" xfId="0" applyFont="1" applyBorder="1" applyAlignment="1">
      <alignment horizontal="center" vertical="center"/>
    </xf>
    <xf numFmtId="165" fontId="360" fillId="68" borderId="25" xfId="0" applyNumberFormat="1" applyFont="1" applyFill="1" applyBorder="1" applyAlignment="1">
      <alignment horizontal="center" vertical="center"/>
    </xf>
    <xf numFmtId="1" fontId="360" fillId="68" borderId="25" xfId="0" applyNumberFormat="1" applyFont="1" applyFill="1" applyBorder="1" applyAlignment="1" applyProtection="1">
      <alignment horizontal="center" vertical="center"/>
      <protection locked="0"/>
    </xf>
    <xf numFmtId="1" fontId="360" fillId="68" borderId="25" xfId="0" applyNumberFormat="1" applyFont="1" applyFill="1" applyBorder="1" applyAlignment="1" applyProtection="1">
      <alignment horizontal="center" vertical="center" wrapText="1"/>
      <protection locked="0"/>
    </xf>
    <xf numFmtId="165" fontId="360" fillId="68" borderId="25" xfId="0" applyNumberFormat="1" applyFont="1" applyFill="1" applyBorder="1" applyAlignment="1" applyProtection="1">
      <alignment horizontal="center" vertical="center"/>
      <protection locked="0"/>
    </xf>
    <xf numFmtId="165" fontId="45" fillId="88" borderId="25" xfId="0" applyNumberFormat="1" applyFont="1" applyFill="1" applyBorder="1" applyAlignment="1">
      <alignment horizontal="center" vertical="center"/>
    </xf>
    <xf numFmtId="165" fontId="45" fillId="88" borderId="25" xfId="0" applyNumberFormat="1" applyFont="1" applyFill="1" applyBorder="1" applyAlignment="1" applyProtection="1">
      <alignment horizontal="center" vertical="center"/>
      <protection locked="0"/>
    </xf>
    <xf numFmtId="20" fontId="0" fillId="31" borderId="13" xfId="0" applyNumberFormat="1" applyFill="1" applyBorder="1" applyAlignment="1">
      <alignment horizontal="center" vertical="center"/>
    </xf>
    <xf numFmtId="0" fontId="49" fillId="0" borderId="436" xfId="423" applyNumberFormat="1" applyFont="1" applyBorder="1"/>
    <xf numFmtId="20" fontId="358" fillId="26" borderId="436" xfId="0" applyNumberFormat="1" applyFont="1" applyFill="1" applyBorder="1" applyAlignment="1">
      <alignment horizontal="center" vertical="center"/>
    </xf>
    <xf numFmtId="20" fontId="358" fillId="26" borderId="417" xfId="0" applyNumberFormat="1" applyFont="1" applyFill="1" applyBorder="1" applyAlignment="1">
      <alignment horizontal="center" vertical="center"/>
    </xf>
    <xf numFmtId="165" fontId="45" fillId="68" borderId="25" xfId="0" applyNumberFormat="1" applyFont="1" applyFill="1" applyBorder="1" applyAlignment="1">
      <alignment horizontal="center" vertical="center"/>
    </xf>
    <xf numFmtId="1" fontId="45" fillId="68" borderId="25" xfId="0" applyNumberFormat="1" applyFont="1" applyFill="1" applyBorder="1" applyAlignment="1" applyProtection="1">
      <alignment horizontal="center" vertical="center"/>
      <protection locked="0"/>
    </xf>
    <xf numFmtId="1" fontId="45" fillId="68" borderId="25" xfId="0" applyNumberFormat="1" applyFont="1" applyFill="1" applyBorder="1" applyAlignment="1" applyProtection="1">
      <alignment horizontal="center" vertical="center" wrapText="1"/>
      <protection locked="0"/>
    </xf>
    <xf numFmtId="165" fontId="45" fillId="68" borderId="25" xfId="0" applyNumberFormat="1" applyFont="1" applyFill="1" applyBorder="1" applyAlignment="1" applyProtection="1">
      <alignment horizontal="center" vertical="center"/>
      <protection locked="0"/>
    </xf>
    <xf numFmtId="173" fontId="7" fillId="0" borderId="73" xfId="434" applyNumberFormat="1" applyFont="1" applyFill="1" applyBorder="1" applyAlignment="1" applyProtection="1">
      <alignment horizontal="center" vertical="center" wrapText="1"/>
    </xf>
    <xf numFmtId="173" fontId="7" fillId="0" borderId="73" xfId="434" applyNumberFormat="1" applyFont="1" applyFill="1" applyBorder="1" applyAlignment="1" applyProtection="1">
      <alignment vertical="center" wrapText="1"/>
    </xf>
    <xf numFmtId="1" fontId="353" fillId="86" borderId="47" xfId="0" applyNumberFormat="1" applyFont="1" applyFill="1" applyBorder="1" applyAlignment="1" applyProtection="1">
      <alignment horizontal="center" vertical="center"/>
      <protection locked="0"/>
    </xf>
    <xf numFmtId="1" fontId="353" fillId="86" borderId="100" xfId="0" applyNumberFormat="1" applyFont="1" applyFill="1" applyBorder="1" applyAlignment="1">
      <alignment horizontal="center" vertical="center"/>
    </xf>
    <xf numFmtId="165" fontId="353" fillId="86" borderId="100" xfId="0" applyNumberFormat="1" applyFont="1" applyFill="1" applyBorder="1" applyAlignment="1">
      <alignment horizontal="center" vertical="center"/>
    </xf>
    <xf numFmtId="0" fontId="353" fillId="86" borderId="100" xfId="0" applyFont="1" applyFill="1" applyBorder="1" applyAlignment="1">
      <alignment horizontal="center" vertical="center"/>
    </xf>
    <xf numFmtId="1" fontId="353" fillId="58" borderId="100" xfId="0" applyNumberFormat="1" applyFont="1" applyFill="1" applyBorder="1" applyAlignment="1" applyProtection="1">
      <alignment horizontal="center" vertical="center"/>
      <protection locked="0"/>
    </xf>
    <xf numFmtId="0" fontId="346" fillId="0" borderId="0" xfId="0" applyFont="1" applyBorder="1"/>
    <xf numFmtId="0" fontId="346" fillId="0" borderId="0" xfId="0" applyFont="1" applyFill="1" applyBorder="1"/>
    <xf numFmtId="0" fontId="346" fillId="0" borderId="42" xfId="0" applyFont="1" applyBorder="1"/>
    <xf numFmtId="0" fontId="378" fillId="0" borderId="13" xfId="0" applyFont="1" applyFill="1" applyBorder="1" applyAlignment="1">
      <alignment vertical="top"/>
    </xf>
    <xf numFmtId="0" fontId="7" fillId="82" borderId="111" xfId="428" applyFont="1" applyFill="1" applyBorder="1" applyAlignment="1">
      <alignment horizontal="center" vertical="center"/>
    </xf>
    <xf numFmtId="173" fontId="7" fillId="82" borderId="12" xfId="429" applyNumberFormat="1" applyFont="1" applyFill="1" applyBorder="1" applyAlignment="1">
      <alignment vertical="center"/>
    </xf>
    <xf numFmtId="0" fontId="7" fillId="82" borderId="113" xfId="428" applyFont="1" applyFill="1" applyBorder="1" applyAlignment="1">
      <alignment vertical="center"/>
    </xf>
    <xf numFmtId="0" fontId="7" fillId="82" borderId="85" xfId="428" applyFont="1" applyFill="1" applyBorder="1" applyAlignment="1">
      <alignment horizontal="center" vertical="center"/>
    </xf>
    <xf numFmtId="0" fontId="7" fillId="82" borderId="112" xfId="428" applyFont="1" applyFill="1" applyBorder="1" applyAlignment="1">
      <alignment horizontal="center" vertical="center"/>
    </xf>
    <xf numFmtId="0" fontId="7" fillId="82" borderId="113" xfId="428" applyFont="1" applyFill="1" applyBorder="1" applyAlignment="1">
      <alignment horizontal="center" vertical="center"/>
    </xf>
    <xf numFmtId="1" fontId="7" fillId="82" borderId="85" xfId="428" applyNumberFormat="1" applyFont="1" applyFill="1" applyBorder="1" applyAlignment="1">
      <alignment horizontal="center" vertical="center"/>
    </xf>
    <xf numFmtId="1" fontId="7" fillId="82" borderId="111" xfId="428" applyNumberFormat="1" applyFont="1" applyFill="1" applyBorder="1" applyAlignment="1">
      <alignment horizontal="center" vertical="center"/>
    </xf>
    <xf numFmtId="1" fontId="7" fillId="82" borderId="85" xfId="428" applyNumberFormat="1" applyFont="1" applyFill="1" applyBorder="1" applyAlignment="1" applyProtection="1">
      <alignment horizontal="center" vertical="center"/>
      <protection locked="0"/>
    </xf>
    <xf numFmtId="1" fontId="7" fillId="82" borderId="111" xfId="428" applyNumberFormat="1" applyFont="1" applyFill="1" applyBorder="1" applyAlignment="1" applyProtection="1">
      <alignment horizontal="center" vertical="center"/>
      <protection locked="0"/>
    </xf>
    <xf numFmtId="1" fontId="7" fillId="82" borderId="109" xfId="432" applyNumberFormat="1" applyFont="1" applyFill="1" applyBorder="1" applyAlignment="1" applyProtection="1">
      <alignment horizontal="center"/>
      <protection locked="0"/>
    </xf>
    <xf numFmtId="14" fontId="209" fillId="82" borderId="0" xfId="0" applyNumberFormat="1" applyFont="1" applyFill="1" applyBorder="1" applyAlignment="1">
      <alignment vertical="center"/>
    </xf>
    <xf numFmtId="20" fontId="143" fillId="82" borderId="113" xfId="428" applyNumberFormat="1" applyFont="1" applyFill="1" applyBorder="1" applyAlignment="1">
      <alignment vertical="center"/>
    </xf>
    <xf numFmtId="14" fontId="142" fillId="82" borderId="113" xfId="428" applyNumberFormat="1" applyFont="1" applyFill="1" applyBorder="1" applyAlignment="1">
      <alignment horizontal="left" vertical="center"/>
    </xf>
    <xf numFmtId="1" fontId="7" fillId="82" borderId="15" xfId="429" applyNumberFormat="1" applyFont="1" applyFill="1" applyBorder="1" applyAlignment="1">
      <alignment horizontal="center" vertical="center"/>
    </xf>
    <xf numFmtId="1" fontId="7" fillId="82" borderId="65" xfId="428" applyNumberFormat="1" applyFont="1" applyFill="1" applyBorder="1" applyAlignment="1" applyProtection="1">
      <alignment horizontal="center" vertical="center"/>
      <protection locked="0"/>
    </xf>
    <xf numFmtId="1" fontId="382" fillId="103" borderId="0" xfId="0" applyNumberFormat="1" applyFont="1" applyFill="1"/>
    <xf numFmtId="171" fontId="367" fillId="0" borderId="0" xfId="401" applyFont="1" applyFill="1" applyBorder="1" applyAlignment="1">
      <alignment horizontal="center" vertical="center" wrapText="1"/>
    </xf>
    <xf numFmtId="173" fontId="89" fillId="0" borderId="0" xfId="401" applyNumberFormat="1" applyFont="1" applyFill="1" applyBorder="1"/>
    <xf numFmtId="0" fontId="383" fillId="0" borderId="13" xfId="0" applyFont="1" applyBorder="1" applyAlignment="1">
      <alignment vertical="top"/>
    </xf>
    <xf numFmtId="14" fontId="209" fillId="0" borderId="109" xfId="429" applyNumberFormat="1" applyFont="1" applyFill="1" applyBorder="1" applyAlignment="1">
      <alignment horizontal="left" vertical="center"/>
    </xf>
    <xf numFmtId="165" fontId="98" fillId="0" borderId="0" xfId="0" applyNumberFormat="1" applyFont="1"/>
    <xf numFmtId="1" fontId="290" fillId="79" borderId="463" xfId="0" applyNumberFormat="1" applyFont="1" applyFill="1" applyBorder="1" applyAlignment="1" applyProtection="1">
      <alignment horizontal="center" vertical="center"/>
      <protection locked="0"/>
    </xf>
    <xf numFmtId="1" fontId="204" fillId="39" borderId="418" xfId="0" applyNumberFormat="1" applyFont="1" applyFill="1" applyBorder="1" applyAlignment="1" applyProtection="1">
      <alignment horizontal="center" vertical="center"/>
      <protection locked="0"/>
    </xf>
    <xf numFmtId="1" fontId="325" fillId="35" borderId="188" xfId="0" applyNumberFormat="1" applyFont="1" applyFill="1" applyBorder="1" applyAlignment="1" applyProtection="1">
      <alignment horizontal="center" vertical="center"/>
      <protection locked="0"/>
    </xf>
    <xf numFmtId="1" fontId="204" fillId="39" borderId="441" xfId="0" applyNumberFormat="1" applyFont="1" applyFill="1" applyBorder="1" applyAlignment="1" applyProtection="1">
      <alignment horizontal="center" vertical="center"/>
      <protection locked="0"/>
    </xf>
    <xf numFmtId="1" fontId="37" fillId="74" borderId="62" xfId="0" applyNumberFormat="1" applyFont="1" applyFill="1" applyBorder="1" applyAlignment="1" applyProtection="1">
      <alignment horizontal="center" vertical="center"/>
      <protection locked="0"/>
    </xf>
    <xf numFmtId="1" fontId="37" fillId="42" borderId="62" xfId="0" applyNumberFormat="1" applyFont="1" applyFill="1" applyBorder="1" applyAlignment="1" applyProtection="1">
      <alignment horizontal="center" vertical="center"/>
      <protection locked="0"/>
    </xf>
    <xf numFmtId="1" fontId="37" fillId="74" borderId="0" xfId="0" applyNumberFormat="1" applyFont="1" applyFill="1" applyAlignment="1" applyProtection="1">
      <alignment horizontal="center" vertical="center"/>
      <protection locked="0"/>
    </xf>
    <xf numFmtId="165" fontId="45" fillId="58" borderId="25" xfId="0" applyNumberFormat="1" applyFont="1" applyFill="1" applyBorder="1" applyAlignment="1">
      <alignment horizontal="center" vertical="center"/>
    </xf>
    <xf numFmtId="1" fontId="45" fillId="58" borderId="25" xfId="0" applyNumberFormat="1" applyFont="1" applyFill="1" applyBorder="1" applyAlignment="1" applyProtection="1">
      <alignment horizontal="center" vertical="center"/>
      <protection locked="0"/>
    </xf>
    <xf numFmtId="1" fontId="45" fillId="58" borderId="25" xfId="0" applyNumberFormat="1" applyFont="1" applyFill="1" applyBorder="1" applyAlignment="1" applyProtection="1">
      <alignment horizontal="center" vertical="center" wrapText="1"/>
      <protection locked="0"/>
    </xf>
    <xf numFmtId="1" fontId="45" fillId="58" borderId="441" xfId="0" applyNumberFormat="1" applyFont="1" applyFill="1" applyBorder="1" applyAlignment="1" applyProtection="1">
      <alignment horizontal="center" vertical="center"/>
      <protection locked="0"/>
    </xf>
    <xf numFmtId="165" fontId="45" fillId="58" borderId="25" xfId="0" applyNumberFormat="1" applyFont="1" applyFill="1" applyBorder="1" applyAlignment="1" applyProtection="1">
      <alignment horizontal="center" vertical="center"/>
      <protection locked="0"/>
    </xf>
    <xf numFmtId="1" fontId="362" fillId="46" borderId="25" xfId="0" applyNumberFormat="1" applyFont="1" applyFill="1" applyBorder="1" applyAlignment="1" applyProtection="1">
      <alignment horizontal="center" vertical="center"/>
      <protection locked="0"/>
    </xf>
    <xf numFmtId="165" fontId="385" fillId="82" borderId="460" xfId="0" applyNumberFormat="1" applyFont="1" applyFill="1" applyBorder="1" applyAlignment="1" applyProtection="1">
      <alignment horizontal="center" vertical="center"/>
      <protection locked="0"/>
    </xf>
    <xf numFmtId="165" fontId="45" fillId="58" borderId="441" xfId="0" applyNumberFormat="1" applyFont="1" applyFill="1" applyBorder="1" applyAlignment="1">
      <alignment horizontal="center" vertical="center"/>
    </xf>
    <xf numFmtId="165" fontId="45" fillId="58" borderId="441" xfId="0" applyNumberFormat="1" applyFont="1" applyFill="1" applyBorder="1" applyAlignment="1" applyProtection="1">
      <alignment horizontal="center" vertical="center"/>
      <protection locked="0"/>
    </xf>
    <xf numFmtId="165" fontId="204" fillId="73" borderId="72" xfId="0" applyNumberFormat="1" applyFont="1" applyFill="1" applyBorder="1" applyAlignment="1">
      <alignment horizontal="center" vertical="center"/>
    </xf>
    <xf numFmtId="1" fontId="204" fillId="73" borderId="226" xfId="0" applyNumberFormat="1" applyFont="1" applyFill="1" applyBorder="1" applyAlignment="1" applyProtection="1">
      <alignment horizontal="center" vertical="center"/>
      <protection locked="0"/>
    </xf>
    <xf numFmtId="1" fontId="204" fillId="73" borderId="62" xfId="0" applyNumberFormat="1" applyFont="1" applyFill="1" applyBorder="1" applyAlignment="1" applyProtection="1">
      <alignment horizontal="center" vertical="center"/>
      <protection locked="0"/>
    </xf>
    <xf numFmtId="1" fontId="386" fillId="73" borderId="62" xfId="0" applyNumberFormat="1" applyFont="1" applyFill="1" applyBorder="1" applyAlignment="1" applyProtection="1">
      <alignment horizontal="center" vertical="center"/>
      <protection locked="0"/>
    </xf>
    <xf numFmtId="165" fontId="204" fillId="73" borderId="188" xfId="0" applyNumberFormat="1" applyFont="1" applyFill="1" applyBorder="1" applyAlignment="1" applyProtection="1">
      <alignment horizontal="center" vertical="center"/>
      <protection locked="0"/>
    </xf>
    <xf numFmtId="1" fontId="204" fillId="73" borderId="82" xfId="0" applyNumberFormat="1" applyFont="1" applyFill="1" applyBorder="1" applyAlignment="1" applyProtection="1">
      <alignment horizontal="center" vertical="center"/>
      <protection locked="0"/>
    </xf>
    <xf numFmtId="0" fontId="378" fillId="0" borderId="13" xfId="0" applyFont="1" applyFill="1" applyBorder="1" applyAlignment="1"/>
    <xf numFmtId="0" fontId="7" fillId="0" borderId="465" xfId="428" applyFont="1" applyFill="1" applyBorder="1" applyAlignment="1">
      <alignment horizontal="center" vertical="center"/>
    </xf>
    <xf numFmtId="1" fontId="7" fillId="0" borderId="465" xfId="428" applyNumberFormat="1" applyFont="1" applyFill="1" applyBorder="1" applyAlignment="1">
      <alignment horizontal="center" vertical="center"/>
    </xf>
    <xf numFmtId="1" fontId="7" fillId="0" borderId="465" xfId="428" applyNumberFormat="1" applyFont="1" applyFill="1" applyBorder="1" applyAlignment="1" applyProtection="1">
      <alignment horizontal="center" vertical="center"/>
      <protection locked="0"/>
    </xf>
    <xf numFmtId="173" fontId="7" fillId="0" borderId="465" xfId="429" applyNumberFormat="1" applyFont="1" applyFill="1" applyBorder="1" applyAlignment="1">
      <alignment vertical="center"/>
    </xf>
    <xf numFmtId="1" fontId="7" fillId="0" borderId="465" xfId="432" applyNumberFormat="1" applyFont="1" applyFill="1" applyBorder="1" applyAlignment="1" applyProtection="1">
      <alignment horizontal="center"/>
      <protection locked="0"/>
    </xf>
    <xf numFmtId="14" fontId="142" fillId="0" borderId="465" xfId="428" applyNumberFormat="1" applyFont="1" applyFill="1" applyBorder="1" applyAlignment="1">
      <alignment horizontal="left" vertical="center"/>
    </xf>
    <xf numFmtId="0" fontId="7" fillId="0" borderId="467" xfId="428" applyFont="1" applyFill="1" applyBorder="1" applyAlignment="1">
      <alignment horizontal="center" vertical="center"/>
    </xf>
    <xf numFmtId="0" fontId="7" fillId="0" borderId="469" xfId="428" applyFont="1" applyFill="1" applyBorder="1" applyAlignment="1">
      <alignment vertical="center"/>
    </xf>
    <xf numFmtId="0" fontId="7" fillId="0" borderId="470" xfId="428" applyFont="1" applyFill="1" applyBorder="1" applyAlignment="1">
      <alignment horizontal="center" vertical="center"/>
    </xf>
    <xf numFmtId="0" fontId="7" fillId="0" borderId="468" xfId="428" applyFont="1" applyFill="1" applyBorder="1" applyAlignment="1">
      <alignment horizontal="center" vertical="center"/>
    </xf>
    <xf numFmtId="0" fontId="7" fillId="0" borderId="471" xfId="428" applyFont="1" applyFill="1" applyBorder="1" applyAlignment="1">
      <alignment horizontal="center" vertical="center"/>
    </xf>
    <xf numFmtId="0" fontId="7" fillId="0" borderId="469" xfId="428" applyFont="1" applyFill="1" applyBorder="1" applyAlignment="1">
      <alignment horizontal="center" vertical="center"/>
    </xf>
    <xf numFmtId="1" fontId="7" fillId="0" borderId="468" xfId="428" applyNumberFormat="1" applyFont="1" applyFill="1" applyBorder="1" applyAlignment="1">
      <alignment horizontal="center" vertical="center"/>
    </xf>
    <xf numFmtId="1" fontId="7" fillId="0" borderId="470" xfId="428" applyNumberFormat="1" applyFont="1" applyFill="1" applyBorder="1" applyAlignment="1">
      <alignment horizontal="center" vertical="center"/>
    </xf>
    <xf numFmtId="1" fontId="7" fillId="0" borderId="468" xfId="428" applyNumberFormat="1" applyFont="1" applyFill="1" applyBorder="1" applyAlignment="1" applyProtection="1">
      <alignment horizontal="center" vertical="center"/>
      <protection locked="0"/>
    </xf>
    <xf numFmtId="20" fontId="143" fillId="0" borderId="472" xfId="428" applyNumberFormat="1" applyFont="1" applyFill="1" applyBorder="1" applyAlignment="1">
      <alignment vertical="center"/>
    </xf>
    <xf numFmtId="14" fontId="142" fillId="0" borderId="469" xfId="428" applyNumberFormat="1" applyFont="1" applyFill="1" applyBorder="1" applyAlignment="1">
      <alignment horizontal="left" vertical="center"/>
    </xf>
    <xf numFmtId="20" fontId="143" fillId="0" borderId="469" xfId="428" applyNumberFormat="1" applyFont="1" applyFill="1" applyBorder="1" applyAlignment="1">
      <alignment vertical="center"/>
    </xf>
    <xf numFmtId="173" fontId="7" fillId="0" borderId="464" xfId="429" applyNumberFormat="1" applyFont="1" applyFill="1" applyBorder="1" applyAlignment="1">
      <alignment vertical="center"/>
    </xf>
    <xf numFmtId="173" fontId="7" fillId="0" borderId="436" xfId="429" applyNumberFormat="1" applyFont="1" applyFill="1" applyBorder="1" applyAlignment="1">
      <alignment vertical="center"/>
    </xf>
    <xf numFmtId="0" fontId="7" fillId="0" borderId="466" xfId="428" applyFont="1" applyFill="1" applyBorder="1" applyAlignment="1">
      <alignment vertical="center"/>
    </xf>
    <xf numFmtId="0" fontId="346" fillId="0" borderId="0" xfId="0" applyFont="1" applyAlignment="1"/>
    <xf numFmtId="0" fontId="346" fillId="0" borderId="0" xfId="0" applyFont="1" applyAlignment="1">
      <alignment vertical="top"/>
    </xf>
    <xf numFmtId="0" fontId="346" fillId="0" borderId="0" xfId="0" applyFont="1" applyAlignment="1">
      <alignment vertical="center"/>
    </xf>
    <xf numFmtId="0" fontId="381" fillId="0" borderId="0" xfId="0" applyFont="1" applyAlignment="1"/>
    <xf numFmtId="0" fontId="381" fillId="0" borderId="0" xfId="0" applyFont="1"/>
    <xf numFmtId="0" fontId="350" fillId="0" borderId="0" xfId="0" applyFont="1"/>
    <xf numFmtId="0" fontId="378" fillId="0" borderId="0" xfId="0" applyFont="1" applyBorder="1" applyAlignment="1"/>
    <xf numFmtId="0" fontId="209" fillId="31" borderId="68" xfId="499" applyNumberFormat="1" applyFont="1" applyFill="1" applyBorder="1" applyAlignment="1">
      <alignment vertical="center"/>
    </xf>
    <xf numFmtId="173" fontId="89" fillId="0" borderId="0" xfId="401" applyNumberFormat="1" applyFont="1" applyFill="1"/>
    <xf numFmtId="0" fontId="101" fillId="0" borderId="0" xfId="414" applyNumberFormat="1" applyFont="1" applyFill="1" applyBorder="1" applyAlignment="1">
      <alignment horizontal="center"/>
    </xf>
    <xf numFmtId="0" fontId="363" fillId="0" borderId="0" xfId="0" applyFont="1" applyBorder="1" applyAlignment="1">
      <alignment horizontal="center" vertical="center"/>
    </xf>
    <xf numFmtId="173" fontId="388" fillId="0" borderId="0" xfId="401" applyNumberFormat="1" applyFont="1"/>
    <xf numFmtId="0" fontId="389" fillId="0" borderId="0" xfId="0" applyFont="1"/>
    <xf numFmtId="0" fontId="390" fillId="0" borderId="17" xfId="0" applyFont="1" applyFill="1" applyBorder="1" applyAlignment="1">
      <alignment vertical="center"/>
    </xf>
    <xf numFmtId="20" fontId="391" fillId="34" borderId="63" xfId="0" applyNumberFormat="1" applyFont="1" applyFill="1" applyBorder="1" applyAlignment="1">
      <alignment horizontal="center" vertical="center"/>
    </xf>
    <xf numFmtId="1" fontId="2" fillId="90" borderId="57" xfId="0" applyNumberFormat="1" applyFont="1" applyFill="1" applyBorder="1" applyAlignment="1" applyProtection="1">
      <alignment horizontal="center" vertical="center"/>
      <protection locked="0"/>
    </xf>
    <xf numFmtId="1" fontId="2" fillId="92" borderId="27" xfId="0" applyNumberFormat="1" applyFont="1" applyFill="1" applyBorder="1" applyAlignment="1" applyProtection="1">
      <alignment horizontal="center" vertical="center"/>
      <protection locked="0"/>
    </xf>
    <xf numFmtId="1" fontId="2" fillId="93" borderId="27" xfId="0" applyNumberFormat="1" applyFont="1" applyFill="1" applyBorder="1" applyAlignment="1" applyProtection="1">
      <alignment horizontal="center" vertical="center"/>
      <protection locked="0"/>
    </xf>
    <xf numFmtId="1" fontId="2" fillId="89" borderId="27" xfId="0" applyNumberFormat="1" applyFont="1" applyFill="1" applyBorder="1" applyAlignment="1" applyProtection="1">
      <alignment horizontal="center" vertical="center"/>
      <protection locked="0"/>
    </xf>
    <xf numFmtId="1" fontId="2" fillId="94" borderId="270" xfId="0" applyNumberFormat="1" applyFont="1" applyFill="1" applyBorder="1" applyAlignment="1">
      <alignment horizontal="center" vertical="center"/>
    </xf>
    <xf numFmtId="1" fontId="2" fillId="94" borderId="187" xfId="0" applyNumberFormat="1" applyFont="1" applyFill="1" applyBorder="1" applyAlignment="1">
      <alignment horizontal="center" vertical="center"/>
    </xf>
    <xf numFmtId="1" fontId="2" fillId="90" borderId="59" xfId="0" applyNumberFormat="1" applyFont="1" applyFill="1" applyBorder="1" applyAlignment="1" applyProtection="1">
      <alignment horizontal="center" vertical="center"/>
      <protection locked="0"/>
    </xf>
    <xf numFmtId="1" fontId="2" fillId="94" borderId="270" xfId="0" applyNumberFormat="1" applyFont="1" applyFill="1" applyBorder="1" applyAlignment="1" applyProtection="1">
      <alignment horizontal="center" vertical="center"/>
    </xf>
    <xf numFmtId="1" fontId="2" fillId="92" borderId="270" xfId="0" applyNumberFormat="1" applyFont="1" applyFill="1" applyBorder="1" applyAlignment="1" applyProtection="1">
      <alignment horizontal="center" vertical="center"/>
      <protection locked="0"/>
    </xf>
    <xf numFmtId="1" fontId="2" fillId="92" borderId="61" xfId="0" applyNumberFormat="1" applyFont="1" applyFill="1" applyBorder="1" applyAlignment="1" applyProtection="1">
      <alignment horizontal="center" vertical="center"/>
      <protection locked="0"/>
    </xf>
    <xf numFmtId="1" fontId="2" fillId="92" borderId="27" xfId="0" quotePrefix="1" applyNumberFormat="1" applyFont="1" applyFill="1" applyBorder="1" applyAlignment="1" applyProtection="1">
      <alignment horizontal="center" vertical="center"/>
      <protection locked="0"/>
    </xf>
    <xf numFmtId="1" fontId="2" fillId="93" borderId="59" xfId="0" applyNumberFormat="1" applyFont="1" applyFill="1" applyBorder="1" applyAlignment="1" applyProtection="1">
      <alignment horizontal="center" vertical="center"/>
      <protection locked="0"/>
    </xf>
    <xf numFmtId="1" fontId="2" fillId="94" borderId="27" xfId="0" quotePrefix="1" applyNumberFormat="1" applyFont="1" applyFill="1" applyBorder="1" applyAlignment="1" applyProtection="1">
      <alignment horizontal="center" vertical="center"/>
    </xf>
    <xf numFmtId="1" fontId="2" fillId="94" borderId="27" xfId="0" applyNumberFormat="1" applyFont="1" applyFill="1" applyBorder="1" applyAlignment="1" applyProtection="1">
      <alignment horizontal="center" vertical="center"/>
    </xf>
    <xf numFmtId="1" fontId="2" fillId="89" borderId="61" xfId="0" applyNumberFormat="1" applyFont="1" applyFill="1" applyBorder="1" applyAlignment="1" applyProtection="1">
      <alignment horizontal="center" vertical="center"/>
      <protection locked="0"/>
    </xf>
    <xf numFmtId="1" fontId="2" fillId="94" borderId="27" xfId="0" applyNumberFormat="1" applyFont="1" applyFill="1" applyBorder="1" applyAlignment="1">
      <alignment horizontal="center" vertical="center"/>
    </xf>
    <xf numFmtId="1" fontId="2" fillId="93" borderId="59" xfId="0" quotePrefix="1" applyNumberFormat="1" applyFont="1" applyFill="1" applyBorder="1" applyAlignment="1" applyProtection="1">
      <alignment horizontal="center" vertical="center"/>
      <protection locked="0"/>
    </xf>
    <xf numFmtId="1" fontId="2" fillId="93" borderId="187" xfId="0" quotePrefix="1" applyNumberFormat="1" applyFont="1" applyFill="1" applyBorder="1" applyAlignment="1" applyProtection="1">
      <alignment horizontal="center" vertical="center"/>
      <protection locked="0"/>
    </xf>
    <xf numFmtId="1" fontId="8" fillId="82" borderId="63" xfId="0" applyNumberFormat="1" applyFont="1" applyFill="1" applyBorder="1" applyAlignment="1" applyProtection="1">
      <alignment horizontal="center" vertical="center"/>
    </xf>
    <xf numFmtId="1" fontId="2" fillId="89" borderId="27" xfId="0" quotePrefix="1" applyNumberFormat="1" applyFont="1" applyFill="1" applyBorder="1" applyAlignment="1" applyProtection="1">
      <alignment horizontal="center" vertical="center"/>
      <protection locked="0"/>
    </xf>
    <xf numFmtId="1" fontId="2" fillId="94" borderId="270" xfId="0" quotePrefix="1" applyNumberFormat="1" applyFont="1" applyFill="1" applyBorder="1" applyAlignment="1">
      <alignment horizontal="center" vertical="center"/>
    </xf>
    <xf numFmtId="1" fontId="2" fillId="94" borderId="187" xfId="0" quotePrefix="1" applyNumberFormat="1" applyFont="1" applyFill="1" applyBorder="1" applyAlignment="1">
      <alignment horizontal="center" vertical="center"/>
    </xf>
    <xf numFmtId="1" fontId="2" fillId="90" borderId="59" xfId="0" quotePrefix="1" applyNumberFormat="1" applyFont="1" applyFill="1" applyBorder="1" applyAlignment="1" applyProtection="1">
      <alignment horizontal="center" vertical="center"/>
      <protection locked="0"/>
    </xf>
    <xf numFmtId="1" fontId="2" fillId="93" borderId="27" xfId="0" quotePrefix="1" applyNumberFormat="1" applyFont="1" applyFill="1" applyBorder="1" applyAlignment="1" applyProtection="1">
      <alignment horizontal="center" vertical="center"/>
      <protection locked="0"/>
    </xf>
    <xf numFmtId="1" fontId="2" fillId="94" borderId="187" xfId="0" applyNumberFormat="1" applyFont="1" applyFill="1" applyBorder="1" applyAlignment="1" applyProtection="1">
      <alignment horizontal="center" vertical="center"/>
    </xf>
    <xf numFmtId="1" fontId="2" fillId="94" borderId="27" xfId="0" quotePrefix="1" applyNumberFormat="1" applyFont="1" applyFill="1" applyBorder="1" applyAlignment="1">
      <alignment horizontal="center" vertical="center"/>
    </xf>
    <xf numFmtId="1" fontId="2" fillId="92" borderId="170" xfId="0" applyNumberFormat="1" applyFont="1" applyFill="1" applyBorder="1" applyAlignment="1" applyProtection="1">
      <alignment horizontal="center" vertical="center"/>
      <protection locked="0"/>
    </xf>
    <xf numFmtId="1" fontId="27" fillId="45" borderId="264" xfId="0" quotePrefix="1" applyNumberFormat="1" applyFont="1" applyFill="1" applyBorder="1" applyAlignment="1">
      <alignment horizontal="center" vertical="center"/>
    </xf>
    <xf numFmtId="1" fontId="27" fillId="63" borderId="264" xfId="0" applyNumberFormat="1" applyFont="1" applyFill="1" applyBorder="1" applyAlignment="1">
      <alignment horizontal="center" vertical="center"/>
    </xf>
    <xf numFmtId="0" fontId="182" fillId="0" borderId="0" xfId="0" applyFont="1" applyAlignment="1">
      <alignment horizontal="center"/>
    </xf>
    <xf numFmtId="1" fontId="130" fillId="0" borderId="0" xfId="0" applyNumberFormat="1" applyFont="1" applyAlignment="1">
      <alignment horizontal="center"/>
    </xf>
    <xf numFmtId="0" fontId="130" fillId="0" borderId="0" xfId="0" applyFont="1" applyAlignment="1">
      <alignment horizontal="center"/>
    </xf>
    <xf numFmtId="49" fontId="392" fillId="105" borderId="473" xfId="0" applyNumberFormat="1" applyFont="1" applyFill="1" applyBorder="1" applyAlignment="1">
      <alignment horizontal="left" vertical="center"/>
    </xf>
    <xf numFmtId="49" fontId="392" fillId="105" borderId="459" xfId="0" applyNumberFormat="1" applyFont="1" applyFill="1" applyBorder="1" applyAlignment="1">
      <alignment horizontal="center" vertical="center"/>
    </xf>
    <xf numFmtId="49" fontId="392" fillId="105" borderId="459" xfId="0" applyNumberFormat="1" applyFont="1" applyFill="1" applyBorder="1" applyAlignment="1">
      <alignment horizontal="center" vertical="center" wrapText="1"/>
    </xf>
    <xf numFmtId="49" fontId="361" fillId="105" borderId="459" xfId="0" applyNumberFormat="1" applyFont="1" applyFill="1" applyBorder="1" applyAlignment="1">
      <alignment horizontal="center" vertical="center" wrapText="1"/>
    </xf>
    <xf numFmtId="0" fontId="210" fillId="0" borderId="316" xfId="0" applyFont="1" applyBorder="1" applyAlignment="1">
      <alignment horizontal="center" vertical="center"/>
    </xf>
    <xf numFmtId="0" fontId="337" fillId="0" borderId="24" xfId="0" applyFont="1" applyFill="1" applyBorder="1" applyAlignment="1">
      <alignment vertical="center"/>
    </xf>
    <xf numFmtId="0" fontId="387" fillId="0" borderId="13" xfId="0" applyFont="1" applyFill="1" applyBorder="1" applyAlignment="1">
      <alignment vertical="top"/>
    </xf>
    <xf numFmtId="0" fontId="387" fillId="0" borderId="13" xfId="0" applyFont="1" applyFill="1" applyBorder="1" applyAlignment="1"/>
    <xf numFmtId="0" fontId="383" fillId="0" borderId="13" xfId="0" applyFont="1" applyFill="1" applyBorder="1" applyAlignment="1">
      <alignment vertical="top"/>
    </xf>
    <xf numFmtId="0" fontId="210" fillId="0" borderId="0" xfId="0" applyFont="1" applyBorder="1" applyAlignment="1">
      <alignment horizontal="center" vertical="center"/>
    </xf>
    <xf numFmtId="0" fontId="394" fillId="0" borderId="39" xfId="428" applyFont="1" applyFill="1" applyBorder="1" applyAlignment="1">
      <alignment horizontal="center" vertical="center"/>
    </xf>
    <xf numFmtId="0" fontId="394" fillId="0" borderId="37" xfId="428" applyFont="1" applyFill="1" applyBorder="1" applyAlignment="1">
      <alignment vertical="center"/>
    </xf>
    <xf numFmtId="0" fontId="394" fillId="0" borderId="37" xfId="428" applyFont="1" applyFill="1" applyBorder="1" applyAlignment="1">
      <alignment horizontal="center" vertical="center"/>
    </xf>
    <xf numFmtId="1" fontId="394" fillId="0" borderId="72" xfId="428" applyNumberFormat="1" applyFont="1" applyFill="1" applyBorder="1" applyAlignment="1">
      <alignment horizontal="center" vertical="center"/>
    </xf>
    <xf numFmtId="165" fontId="394" fillId="0" borderId="72" xfId="428" applyNumberFormat="1" applyFont="1" applyFill="1" applyBorder="1" applyAlignment="1">
      <alignment horizontal="center" vertical="center"/>
    </xf>
    <xf numFmtId="0" fontId="395" fillId="31" borderId="39" xfId="0" applyFont="1" applyFill="1" applyBorder="1"/>
    <xf numFmtId="20" fontId="395" fillId="0" borderId="38" xfId="428" applyNumberFormat="1" applyFont="1" applyFill="1" applyBorder="1" applyAlignment="1">
      <alignment vertical="center"/>
    </xf>
    <xf numFmtId="0" fontId="396" fillId="0" borderId="38" xfId="428" applyFont="1" applyFill="1" applyBorder="1" applyAlignment="1">
      <alignment horizontal="left" vertical="center"/>
    </xf>
    <xf numFmtId="0" fontId="331" fillId="63" borderId="258" xfId="0" applyFont="1" applyFill="1" applyBorder="1" applyAlignment="1">
      <alignment vertical="center"/>
    </xf>
    <xf numFmtId="0" fontId="127" fillId="0" borderId="0" xfId="0" applyFont="1" applyFill="1"/>
    <xf numFmtId="0" fontId="397" fillId="0" borderId="0" xfId="0" applyFont="1"/>
    <xf numFmtId="0" fontId="397" fillId="0" borderId="0" xfId="0" applyFont="1" applyFill="1"/>
    <xf numFmtId="1" fontId="397" fillId="39" borderId="10" xfId="0" applyNumberFormat="1" applyFont="1" applyFill="1" applyBorder="1" applyAlignment="1">
      <alignment horizontal="center"/>
    </xf>
    <xf numFmtId="0" fontId="397" fillId="39" borderId="10" xfId="0" applyFont="1" applyFill="1" applyBorder="1"/>
    <xf numFmtId="0" fontId="349" fillId="0" borderId="0" xfId="0" applyFont="1" applyBorder="1"/>
    <xf numFmtId="0" fontId="304" fillId="24" borderId="99" xfId="0" applyNumberFormat="1" applyFont="1" applyFill="1" applyBorder="1" applyAlignment="1">
      <alignment horizontal="center" vertical="center" wrapText="1"/>
    </xf>
    <xf numFmtId="173" fontId="393" fillId="50" borderId="95" xfId="0" applyNumberFormat="1" applyFont="1" applyFill="1" applyBorder="1" applyAlignment="1">
      <alignment horizontal="center" vertical="center" wrapText="1"/>
    </xf>
    <xf numFmtId="173" fontId="304" fillId="75" borderId="95" xfId="0" applyNumberFormat="1" applyFont="1" applyFill="1" applyBorder="1" applyAlignment="1">
      <alignment horizontal="center" vertical="center" wrapText="1"/>
    </xf>
    <xf numFmtId="173" fontId="155" fillId="96" borderId="95" xfId="0" applyNumberFormat="1" applyFont="1" applyFill="1" applyBorder="1" applyAlignment="1">
      <alignment horizontal="center" vertical="center" wrapText="1"/>
    </xf>
    <xf numFmtId="173" fontId="8" fillId="76" borderId="95" xfId="0" applyNumberFormat="1" applyFont="1" applyFill="1" applyBorder="1" applyAlignment="1">
      <alignment horizontal="center" vertical="center" wrapText="1"/>
    </xf>
    <xf numFmtId="164" fontId="398" fillId="35" borderId="0" xfId="0" applyNumberFormat="1" applyFont="1" applyFill="1" applyAlignment="1">
      <alignment horizontal="center" vertical="center"/>
    </xf>
    <xf numFmtId="14" fontId="120" fillId="44" borderId="17" xfId="0" applyNumberFormat="1" applyFont="1" applyFill="1" applyBorder="1" applyAlignment="1">
      <alignment horizontal="left" vertical="center"/>
    </xf>
    <xf numFmtId="173" fontId="304" fillId="30" borderId="10" xfId="0" applyNumberFormat="1" applyFont="1" applyFill="1" applyBorder="1" applyAlignment="1">
      <alignment horizontal="center" vertical="center" wrapText="1"/>
    </xf>
    <xf numFmtId="14" fontId="35" fillId="106" borderId="17" xfId="0" applyNumberFormat="1" applyFont="1" applyFill="1" applyBorder="1" applyAlignment="1">
      <alignment horizontal="left" vertical="center"/>
    </xf>
    <xf numFmtId="2" fontId="36" fillId="106" borderId="22" xfId="0" applyNumberFormat="1" applyFont="1" applyFill="1" applyBorder="1" applyAlignment="1">
      <alignment horizontal="center" vertical="center"/>
    </xf>
    <xf numFmtId="2" fontId="37" fillId="106" borderId="0" xfId="0" applyNumberFormat="1" applyFont="1" applyFill="1" applyBorder="1" applyAlignment="1">
      <alignment horizontal="center" vertical="center"/>
    </xf>
    <xf numFmtId="2" fontId="35" fillId="106" borderId="17" xfId="0" applyNumberFormat="1" applyFont="1" applyFill="1" applyBorder="1" applyAlignment="1">
      <alignment horizontal="center" vertical="center"/>
    </xf>
    <xf numFmtId="0" fontId="38" fillId="106" borderId="17" xfId="0" applyFont="1" applyFill="1" applyBorder="1" applyAlignment="1">
      <alignment vertical="center"/>
    </xf>
    <xf numFmtId="0" fontId="39" fillId="106" borderId="17" xfId="0" applyFont="1" applyFill="1" applyBorder="1" applyAlignment="1">
      <alignment vertical="center"/>
    </xf>
    <xf numFmtId="0" fontId="1" fillId="106" borderId="17" xfId="0" applyFont="1" applyFill="1" applyBorder="1" applyAlignment="1">
      <alignment vertical="center"/>
    </xf>
    <xf numFmtId="2" fontId="40" fillId="106" borderId="17" xfId="0" applyNumberFormat="1" applyFont="1" applyFill="1" applyBorder="1" applyAlignment="1">
      <alignment vertical="center"/>
    </xf>
    <xf numFmtId="0" fontId="40" fillId="106" borderId="17" xfId="0" applyFont="1" applyFill="1" applyBorder="1" applyAlignment="1">
      <alignment vertical="center"/>
    </xf>
    <xf numFmtId="0" fontId="39" fillId="106" borderId="17" xfId="0" applyFont="1" applyFill="1" applyBorder="1" applyAlignment="1">
      <alignment horizontal="center" vertical="center"/>
    </xf>
    <xf numFmtId="0" fontId="40" fillId="106" borderId="17" xfId="0" applyFont="1" applyFill="1" applyBorder="1" applyAlignment="1">
      <alignment horizontal="center" vertical="center"/>
    </xf>
    <xf numFmtId="0" fontId="2" fillId="106" borderId="17" xfId="0" applyFont="1" applyFill="1" applyBorder="1" applyAlignment="1">
      <alignment vertical="center"/>
    </xf>
    <xf numFmtId="0" fontId="84" fillId="106" borderId="17" xfId="0" applyFont="1" applyFill="1" applyBorder="1" applyAlignment="1">
      <alignment vertical="center"/>
    </xf>
    <xf numFmtId="0" fontId="40" fillId="106" borderId="0" xfId="0" applyFont="1" applyFill="1" applyBorder="1" applyAlignment="1">
      <alignment vertical="center"/>
    </xf>
    <xf numFmtId="0" fontId="38" fillId="106" borderId="17" xfId="0" applyFont="1" applyFill="1" applyBorder="1" applyAlignment="1">
      <alignment horizontal="center" vertical="center"/>
    </xf>
    <xf numFmtId="0" fontId="272" fillId="106" borderId="0" xfId="0" applyFont="1" applyFill="1" applyBorder="1" applyAlignment="1"/>
    <xf numFmtId="0" fontId="272" fillId="106" borderId="0" xfId="0" applyNumberFormat="1" applyFont="1" applyFill="1" applyBorder="1" applyAlignment="1"/>
    <xf numFmtId="1" fontId="353" fillId="86" borderId="474" xfId="0" applyNumberFormat="1" applyFont="1" applyFill="1" applyBorder="1" applyAlignment="1" applyProtection="1">
      <alignment horizontal="center" vertical="center"/>
      <protection locked="0"/>
    </xf>
    <xf numFmtId="1" fontId="353" fillId="87" borderId="434" xfId="0" applyNumberFormat="1" applyFont="1" applyFill="1" applyBorder="1" applyAlignment="1" applyProtection="1">
      <alignment horizontal="center" vertical="center"/>
      <protection locked="0"/>
    </xf>
    <xf numFmtId="1" fontId="353" fillId="89" borderId="434" xfId="0" applyNumberFormat="1" applyFont="1" applyFill="1" applyBorder="1" applyAlignment="1" applyProtection="1">
      <alignment horizontal="center" vertical="center"/>
      <protection locked="0"/>
    </xf>
    <xf numFmtId="1" fontId="360" fillId="89" borderId="434" xfId="0" applyNumberFormat="1" applyFont="1" applyFill="1" applyBorder="1" applyAlignment="1" applyProtection="1">
      <alignment horizontal="center" vertical="center"/>
      <protection locked="0"/>
    </xf>
    <xf numFmtId="1" fontId="353" fillId="86" borderId="474" xfId="0" applyNumberFormat="1" applyFont="1" applyFill="1" applyBorder="1" applyAlignment="1">
      <alignment horizontal="center" vertical="center"/>
    </xf>
    <xf numFmtId="1" fontId="353" fillId="87" borderId="434" xfId="0" applyNumberFormat="1" applyFont="1" applyFill="1" applyBorder="1" applyAlignment="1">
      <alignment horizontal="center" vertical="center"/>
    </xf>
    <xf numFmtId="1" fontId="353" fillId="89" borderId="434" xfId="0" applyNumberFormat="1" applyFont="1" applyFill="1" applyBorder="1" applyAlignment="1">
      <alignment horizontal="center" vertical="center"/>
    </xf>
    <xf numFmtId="1" fontId="360" fillId="89" borderId="434" xfId="0" applyNumberFormat="1" applyFont="1" applyFill="1" applyBorder="1" applyAlignment="1">
      <alignment horizontal="center" vertical="center"/>
    </xf>
    <xf numFmtId="1" fontId="353" fillId="42" borderId="474" xfId="0" applyNumberFormat="1" applyFont="1" applyFill="1" applyBorder="1" applyAlignment="1" applyProtection="1">
      <alignment horizontal="center" vertical="center"/>
      <protection locked="0"/>
    </xf>
    <xf numFmtId="1" fontId="353" fillId="34" borderId="434" xfId="0" applyNumberFormat="1" applyFont="1" applyFill="1" applyBorder="1" applyAlignment="1" applyProtection="1">
      <alignment horizontal="center" vertical="center"/>
      <protection locked="0"/>
    </xf>
    <xf numFmtId="165" fontId="353" fillId="87" borderId="434" xfId="0" applyNumberFormat="1" applyFont="1" applyFill="1" applyBorder="1" applyAlignment="1">
      <alignment horizontal="center" vertical="center"/>
    </xf>
    <xf numFmtId="0" fontId="353" fillId="87" borderId="434" xfId="0" applyFont="1" applyFill="1" applyBorder="1" applyAlignment="1">
      <alignment horizontal="center" vertical="center"/>
    </xf>
    <xf numFmtId="0" fontId="353" fillId="87" borderId="474" xfId="0" applyFont="1" applyFill="1" applyBorder="1" applyAlignment="1">
      <alignment horizontal="center" vertical="center"/>
    </xf>
    <xf numFmtId="165" fontId="353" fillId="88" borderId="434" xfId="0" applyNumberFormat="1" applyFont="1" applyFill="1" applyBorder="1" applyAlignment="1">
      <alignment horizontal="center" vertical="center"/>
    </xf>
    <xf numFmtId="1" fontId="353" fillId="88" borderId="434" xfId="0" applyNumberFormat="1" applyFont="1" applyFill="1" applyBorder="1" applyAlignment="1" applyProtection="1">
      <alignment horizontal="center" vertical="center"/>
      <protection locked="0"/>
    </xf>
    <xf numFmtId="1" fontId="353" fillId="88" borderId="474" xfId="0" applyNumberFormat="1" applyFont="1" applyFill="1" applyBorder="1" applyAlignment="1" applyProtection="1">
      <alignment horizontal="center" vertical="center"/>
      <protection locked="0"/>
    </xf>
    <xf numFmtId="1" fontId="355" fillId="88" borderId="434" xfId="0" applyNumberFormat="1" applyFont="1" applyFill="1" applyBorder="1" applyAlignment="1" applyProtection="1">
      <alignment horizontal="center" vertical="center"/>
      <protection locked="0"/>
    </xf>
    <xf numFmtId="1" fontId="353" fillId="88" borderId="434" xfId="0" applyNumberFormat="1" applyFont="1" applyFill="1" applyBorder="1" applyAlignment="1" applyProtection="1">
      <alignment horizontal="center" vertical="center" wrapText="1"/>
      <protection locked="0"/>
    </xf>
    <xf numFmtId="165" fontId="353" fillId="89" borderId="434" xfId="0" applyNumberFormat="1" applyFont="1" applyFill="1" applyBorder="1" applyAlignment="1">
      <alignment horizontal="center" vertical="center"/>
    </xf>
    <xf numFmtId="1" fontId="353" fillId="42" borderId="434" xfId="0" applyNumberFormat="1" applyFont="1" applyFill="1" applyBorder="1" applyAlignment="1" applyProtection="1">
      <alignment horizontal="center" vertical="center"/>
      <protection locked="0"/>
    </xf>
    <xf numFmtId="0" fontId="353" fillId="89" borderId="434" xfId="0" applyFont="1" applyFill="1" applyBorder="1" applyAlignment="1">
      <alignment horizontal="center" vertical="center"/>
    </xf>
    <xf numFmtId="1" fontId="353" fillId="68" borderId="474" xfId="0" applyNumberFormat="1" applyFont="1" applyFill="1" applyBorder="1" applyAlignment="1" applyProtection="1">
      <alignment horizontal="center" vertical="center"/>
      <protection locked="0"/>
    </xf>
    <xf numFmtId="0" fontId="353" fillId="89" borderId="474" xfId="0" applyFont="1" applyFill="1" applyBorder="1" applyAlignment="1">
      <alignment horizontal="center" vertical="center"/>
    </xf>
    <xf numFmtId="1" fontId="355" fillId="68" borderId="434" xfId="0" applyNumberFormat="1" applyFont="1" applyFill="1" applyBorder="1" applyAlignment="1" applyProtection="1">
      <alignment horizontal="center" vertical="center"/>
      <protection locked="0"/>
    </xf>
    <xf numFmtId="1" fontId="353" fillId="68" borderId="434" xfId="0" applyNumberFormat="1" applyFont="1" applyFill="1" applyBorder="1" applyAlignment="1" applyProtection="1">
      <alignment horizontal="center" vertical="center" wrapText="1"/>
      <protection locked="0"/>
    </xf>
    <xf numFmtId="0" fontId="371" fillId="0" borderId="0" xfId="0" applyFont="1" applyFill="1" applyBorder="1" applyAlignment="1">
      <alignment horizontal="right" wrapText="1"/>
    </xf>
    <xf numFmtId="173" fontId="388" fillId="0" borderId="0" xfId="401" applyNumberFormat="1" applyFont="1" applyFill="1" applyBorder="1"/>
    <xf numFmtId="173" fontId="89" fillId="0" borderId="0" xfId="401" applyNumberFormat="1" applyFont="1" applyFill="1" applyBorder="1" applyAlignment="1">
      <alignment horizontal="center"/>
    </xf>
    <xf numFmtId="1" fontId="353" fillId="86" borderId="435" xfId="0" applyNumberFormat="1" applyFont="1" applyFill="1" applyBorder="1" applyAlignment="1" applyProtection="1">
      <alignment horizontal="center" vertical="center"/>
      <protection locked="0"/>
    </xf>
    <xf numFmtId="1" fontId="353" fillId="86" borderId="434" xfId="0" applyNumberFormat="1" applyFont="1" applyFill="1" applyBorder="1" applyAlignment="1" applyProtection="1">
      <alignment horizontal="center" vertical="center"/>
      <protection locked="0"/>
    </xf>
    <xf numFmtId="1" fontId="353" fillId="86" borderId="434" xfId="0" applyNumberFormat="1" applyFont="1" applyFill="1" applyBorder="1" applyAlignment="1">
      <alignment horizontal="center" vertical="center"/>
    </xf>
    <xf numFmtId="165" fontId="353" fillId="86" borderId="434" xfId="0" applyNumberFormat="1" applyFont="1" applyFill="1" applyBorder="1" applyAlignment="1">
      <alignment horizontal="center" vertical="center"/>
    </xf>
    <xf numFmtId="0" fontId="353" fillId="86" borderId="434" xfId="0" applyFont="1" applyFill="1" applyBorder="1" applyAlignment="1">
      <alignment horizontal="center" vertical="center"/>
    </xf>
    <xf numFmtId="1" fontId="353" fillId="58" borderId="434" xfId="0" applyNumberFormat="1" applyFont="1" applyFill="1" applyBorder="1" applyAlignment="1" applyProtection="1">
      <alignment horizontal="center" vertical="center"/>
      <protection locked="0"/>
    </xf>
    <xf numFmtId="1" fontId="355" fillId="58" borderId="434" xfId="0" applyNumberFormat="1" applyFont="1" applyFill="1" applyBorder="1" applyAlignment="1" applyProtection="1">
      <alignment horizontal="center" vertical="center"/>
      <protection locked="0"/>
    </xf>
    <xf numFmtId="1" fontId="353" fillId="58" borderId="474" xfId="0" applyNumberFormat="1" applyFont="1" applyFill="1" applyBorder="1" applyAlignment="1" applyProtection="1">
      <alignment horizontal="center" vertical="center"/>
      <protection locked="0"/>
    </xf>
    <xf numFmtId="0" fontId="399" fillId="58" borderId="0" xfId="0" applyFont="1" applyFill="1" applyAlignment="1">
      <alignment horizontal="center"/>
    </xf>
    <xf numFmtId="0" fontId="353" fillId="86" borderId="474" xfId="0" applyFont="1" applyFill="1" applyBorder="1" applyAlignment="1">
      <alignment horizontal="center" vertical="center"/>
    </xf>
    <xf numFmtId="165" fontId="353" fillId="86" borderId="474" xfId="0" applyNumberFormat="1" applyFont="1" applyFill="1" applyBorder="1" applyAlignment="1">
      <alignment horizontal="center" vertical="center"/>
    </xf>
    <xf numFmtId="1" fontId="353" fillId="86" borderId="475" xfId="0" applyNumberFormat="1" applyFont="1" applyFill="1" applyBorder="1" applyAlignment="1" applyProtection="1">
      <alignment horizontal="center" vertical="center"/>
      <protection locked="0"/>
    </xf>
    <xf numFmtId="1" fontId="353" fillId="87" borderId="474" xfId="0" applyNumberFormat="1" applyFont="1" applyFill="1" applyBorder="1" applyAlignment="1" applyProtection="1">
      <alignment horizontal="center" vertical="center"/>
      <protection locked="0"/>
    </xf>
    <xf numFmtId="165" fontId="360" fillId="89" borderId="434" xfId="0" applyNumberFormat="1" applyFont="1" applyFill="1" applyBorder="1" applyAlignment="1">
      <alignment horizontal="center" vertical="center"/>
    </xf>
    <xf numFmtId="1" fontId="360" fillId="42" borderId="434" xfId="0" applyNumberFormat="1" applyFont="1" applyFill="1" applyBorder="1" applyAlignment="1" applyProtection="1">
      <alignment horizontal="center" vertical="center"/>
      <protection locked="0"/>
    </xf>
    <xf numFmtId="0" fontId="360" fillId="89" borderId="434" xfId="0" applyFont="1" applyFill="1" applyBorder="1" applyAlignment="1">
      <alignment horizontal="center" vertical="center"/>
    </xf>
    <xf numFmtId="1" fontId="360" fillId="68" borderId="434" xfId="0" applyNumberFormat="1" applyFont="1" applyFill="1" applyBorder="1" applyAlignment="1" applyProtection="1">
      <alignment horizontal="center" vertical="center" wrapText="1"/>
      <protection locked="0"/>
    </xf>
    <xf numFmtId="1" fontId="361" fillId="68" borderId="434" xfId="0" applyNumberFormat="1" applyFont="1" applyFill="1" applyBorder="1" applyAlignment="1" applyProtection="1">
      <alignment horizontal="center" vertical="center"/>
      <protection locked="0"/>
    </xf>
    <xf numFmtId="1" fontId="360" fillId="68" borderId="434" xfId="0" applyNumberFormat="1" applyFont="1" applyFill="1" applyBorder="1" applyAlignment="1" applyProtection="1">
      <alignment horizontal="center" vertical="center"/>
      <protection locked="0"/>
    </xf>
    <xf numFmtId="1" fontId="360" fillId="68" borderId="474" xfId="0" applyNumberFormat="1" applyFont="1" applyFill="1" applyBorder="1" applyAlignment="1" applyProtection="1">
      <alignment horizontal="center" vertical="center"/>
      <protection locked="0"/>
    </xf>
    <xf numFmtId="1" fontId="360" fillId="34" borderId="434" xfId="0" applyNumberFormat="1" applyFont="1" applyFill="1" applyBorder="1" applyAlignment="1" applyProtection="1">
      <alignment horizontal="center" vertical="center"/>
      <protection locked="0"/>
    </xf>
    <xf numFmtId="0" fontId="399" fillId="0" borderId="0" xfId="0" applyFont="1"/>
    <xf numFmtId="1" fontId="13" fillId="0" borderId="17" xfId="435" applyNumberFormat="1" applyFont="1" applyBorder="1" applyAlignment="1" applyProtection="1">
      <alignment horizontal="center"/>
    </xf>
    <xf numFmtId="0" fontId="378" fillId="0" borderId="0" xfId="0" applyFont="1" applyFill="1" applyBorder="1"/>
    <xf numFmtId="0" fontId="370" fillId="0" borderId="0" xfId="0" applyFont="1" applyBorder="1"/>
    <xf numFmtId="0" fontId="284" fillId="0" borderId="0" xfId="0" applyFont="1" applyBorder="1" applyAlignment="1">
      <alignment vertical="top"/>
    </xf>
    <xf numFmtId="0" fontId="0" fillId="0" borderId="0" xfId="0" applyBorder="1"/>
    <xf numFmtId="0" fontId="314" fillId="0" borderId="0" xfId="0" applyFont="1" applyBorder="1" applyAlignment="1">
      <alignment horizontal="center" vertical="center" wrapText="1"/>
    </xf>
    <xf numFmtId="20" fontId="401" fillId="0" borderId="10" xfId="0" applyNumberFormat="1" applyFont="1" applyBorder="1" applyAlignment="1">
      <alignment horizontal="center"/>
    </xf>
    <xf numFmtId="46" fontId="401" fillId="0" borderId="10" xfId="0" applyNumberFormat="1" applyFont="1" applyBorder="1" applyAlignment="1">
      <alignment horizontal="center"/>
    </xf>
    <xf numFmtId="2" fontId="401" fillId="0" borderId="10" xfId="0" applyNumberFormat="1" applyFont="1" applyBorder="1" applyAlignment="1">
      <alignment horizontal="center"/>
    </xf>
    <xf numFmtId="2" fontId="401" fillId="0" borderId="10" xfId="0" applyNumberFormat="1" applyFont="1" applyBorder="1" applyAlignment="1">
      <alignment horizontal="center" vertical="top"/>
    </xf>
    <xf numFmtId="2" fontId="401" fillId="0" borderId="10" xfId="0" applyNumberFormat="1" applyFont="1" applyBorder="1" applyAlignment="1">
      <alignment horizontal="center" vertical="center"/>
    </xf>
    <xf numFmtId="2" fontId="401" fillId="0" borderId="10" xfId="0" applyNumberFormat="1" applyFont="1" applyBorder="1" applyAlignment="1">
      <alignment horizontal="center" vertical="center" wrapText="1"/>
    </xf>
    <xf numFmtId="1" fontId="401" fillId="0" borderId="10" xfId="0" applyNumberFormat="1" applyFont="1" applyBorder="1" applyAlignment="1">
      <alignment horizontal="center" vertical="center"/>
    </xf>
    <xf numFmtId="1" fontId="401" fillId="0" borderId="10" xfId="0" applyNumberFormat="1" applyFont="1" applyBorder="1" applyAlignment="1">
      <alignment horizontal="center" vertical="top"/>
    </xf>
    <xf numFmtId="0" fontId="402" fillId="35" borderId="10" xfId="0" applyFont="1" applyFill="1" applyBorder="1" applyAlignment="1">
      <alignment vertical="center"/>
    </xf>
    <xf numFmtId="0" fontId="209" fillId="0" borderId="0" xfId="0" applyFont="1" applyBorder="1" applyAlignment="1">
      <alignment vertical="center"/>
    </xf>
    <xf numFmtId="0" fontId="209" fillId="31" borderId="0" xfId="0" applyNumberFormat="1" applyFont="1" applyFill="1" applyAlignment="1">
      <alignment horizontal="left" vertical="center"/>
    </xf>
    <xf numFmtId="173" fontId="13" fillId="0" borderId="92" xfId="435" applyNumberFormat="1" applyFont="1" applyBorder="1" applyAlignment="1" applyProtection="1"/>
    <xf numFmtId="173" fontId="13" fillId="0" borderId="94" xfId="435" applyNumberFormat="1" applyFont="1" applyBorder="1" applyAlignment="1" applyProtection="1"/>
    <xf numFmtId="173" fontId="13" fillId="0" borderId="194" xfId="435" applyNumberFormat="1" applyFont="1" applyBorder="1" applyAlignment="1" applyProtection="1"/>
    <xf numFmtId="173" fontId="13" fillId="0" borderId="179" xfId="435" applyNumberFormat="1" applyFont="1" applyBorder="1" applyAlignment="1" applyProtection="1"/>
    <xf numFmtId="173" fontId="13" fillId="0" borderId="94" xfId="435" applyNumberFormat="1" applyFont="1" applyBorder="1" applyAlignment="1"/>
    <xf numFmtId="173" fontId="13" fillId="0" borderId="194" xfId="435" applyNumberFormat="1" applyFont="1" applyBorder="1" applyAlignment="1"/>
    <xf numFmtId="173" fontId="13" fillId="0" borderId="93" xfId="435" applyNumberFormat="1" applyFont="1" applyBorder="1" applyAlignment="1" applyProtection="1"/>
    <xf numFmtId="173" fontId="13" fillId="0" borderId="48" xfId="435" applyNumberFormat="1" applyFont="1" applyBorder="1" applyAlignment="1"/>
    <xf numFmtId="173" fontId="13" fillId="0" borderId="26" xfId="435" applyNumberFormat="1" applyFont="1" applyBorder="1" applyAlignment="1" applyProtection="1">
      <alignment horizontal="center"/>
    </xf>
    <xf numFmtId="173" fontId="13" fillId="0" borderId="76" xfId="435" applyNumberFormat="1" applyFont="1" applyBorder="1" applyProtection="1"/>
    <xf numFmtId="173" fontId="105" fillId="0" borderId="301" xfId="401" applyNumberFormat="1" applyFont="1" applyBorder="1" applyAlignment="1"/>
    <xf numFmtId="173" fontId="13" fillId="0" borderId="48" xfId="435" applyNumberFormat="1" applyFont="1" applyBorder="1" applyProtection="1"/>
    <xf numFmtId="173" fontId="13" fillId="0" borderId="301" xfId="435" applyNumberFormat="1" applyFont="1" applyBorder="1" applyAlignment="1" applyProtection="1"/>
    <xf numFmtId="173" fontId="13" fillId="0" borderId="26" xfId="435" applyNumberFormat="1" applyFont="1" applyFill="1" applyBorder="1" applyAlignment="1" applyProtection="1">
      <alignment horizontal="center"/>
    </xf>
    <xf numFmtId="173" fontId="275" fillId="0" borderId="301" xfId="435" applyNumberFormat="1" applyFont="1" applyBorder="1" applyProtection="1"/>
    <xf numFmtId="173" fontId="276" fillId="0" borderId="301" xfId="401" applyNumberFormat="1" applyFont="1" applyBorder="1" applyAlignment="1">
      <alignment vertical="center"/>
    </xf>
    <xf numFmtId="173" fontId="89" fillId="0" borderId="48" xfId="401" applyNumberFormat="1" applyFont="1" applyBorder="1"/>
    <xf numFmtId="173" fontId="15" fillId="0" borderId="316" xfId="435" applyNumberFormat="1" applyFont="1" applyBorder="1"/>
    <xf numFmtId="0" fontId="42" fillId="0" borderId="476" xfId="0" applyNumberFormat="1" applyFont="1" applyFill="1" applyBorder="1" applyAlignment="1">
      <alignment vertical="center" wrapText="1"/>
    </xf>
    <xf numFmtId="1" fontId="290" fillId="71" borderId="477" xfId="0" applyNumberFormat="1" applyFont="1" applyFill="1" applyBorder="1" applyAlignment="1">
      <alignment horizontal="center" vertical="center"/>
    </xf>
    <xf numFmtId="1" fontId="204" fillId="71" borderId="478" xfId="0" applyNumberFormat="1" applyFont="1" applyFill="1" applyBorder="1" applyAlignment="1">
      <alignment horizontal="center" vertical="center"/>
    </xf>
    <xf numFmtId="1" fontId="204" fillId="71" borderId="479" xfId="0" applyNumberFormat="1" applyFont="1" applyFill="1" applyBorder="1" applyAlignment="1">
      <alignment horizontal="center" vertical="center"/>
    </xf>
    <xf numFmtId="1" fontId="204" fillId="71" borderId="474" xfId="0" applyNumberFormat="1" applyFont="1" applyFill="1" applyBorder="1" applyAlignment="1">
      <alignment horizontal="center" vertical="center"/>
    </xf>
    <xf numFmtId="173" fontId="7" fillId="0" borderId="480" xfId="414" applyNumberFormat="1" applyFont="1" applyFill="1" applyBorder="1" applyAlignment="1">
      <alignment vertical="center"/>
    </xf>
    <xf numFmtId="0" fontId="222" fillId="0" borderId="480" xfId="0" applyFont="1" applyBorder="1"/>
    <xf numFmtId="0" fontId="7" fillId="0" borderId="481" xfId="428" applyFont="1" applyFill="1" applyBorder="1" applyAlignment="1">
      <alignment horizontal="center" vertical="center"/>
    </xf>
    <xf numFmtId="0" fontId="7" fillId="0" borderId="481" xfId="0" applyFont="1" applyFill="1" applyBorder="1" applyAlignment="1">
      <alignment horizontal="center" vertical="center"/>
    </xf>
    <xf numFmtId="0" fontId="7" fillId="0" borderId="482" xfId="0" applyFont="1" applyFill="1" applyBorder="1" applyAlignment="1">
      <alignment horizontal="center" vertical="center"/>
    </xf>
    <xf numFmtId="0" fontId="7" fillId="0" borderId="481" xfId="428" applyNumberFormat="1" applyFont="1" applyFill="1" applyBorder="1" applyAlignment="1">
      <alignment horizontal="center" vertical="center"/>
    </xf>
    <xf numFmtId="0" fontId="7" fillId="0" borderId="480" xfId="428" applyFont="1" applyFill="1" applyBorder="1" applyAlignment="1">
      <alignment horizontal="center" vertical="center"/>
    </xf>
    <xf numFmtId="1" fontId="7" fillId="0" borderId="481" xfId="428" applyNumberFormat="1" applyFont="1" applyFill="1" applyBorder="1" applyAlignment="1">
      <alignment horizontal="center" vertical="center"/>
    </xf>
    <xf numFmtId="1" fontId="7" fillId="0" borderId="480" xfId="428" applyNumberFormat="1" applyFont="1" applyFill="1" applyBorder="1" applyAlignment="1" applyProtection="1">
      <alignment horizontal="center" vertical="center"/>
      <protection locked="0"/>
    </xf>
    <xf numFmtId="1" fontId="7" fillId="0" borderId="481" xfId="428" applyNumberFormat="1" applyFont="1" applyFill="1" applyBorder="1" applyAlignment="1" applyProtection="1">
      <alignment horizontal="center" vertical="center"/>
      <protection locked="0"/>
    </xf>
    <xf numFmtId="1" fontId="7" fillId="0" borderId="483" xfId="432" applyNumberFormat="1" applyFont="1" applyFill="1" applyBorder="1" applyAlignment="1" applyProtection="1">
      <alignment horizontal="center"/>
      <protection locked="0"/>
    </xf>
    <xf numFmtId="20" fontId="209" fillId="31" borderId="480" xfId="428" applyNumberFormat="1" applyFont="1" applyFill="1" applyBorder="1" applyAlignment="1">
      <alignment vertical="top"/>
    </xf>
    <xf numFmtId="20" fontId="143" fillId="0" borderId="483" xfId="428" applyNumberFormat="1" applyFont="1" applyFill="1" applyBorder="1" applyAlignment="1">
      <alignment vertical="center"/>
    </xf>
    <xf numFmtId="14" fontId="142" fillId="0" borderId="483" xfId="428" applyNumberFormat="1" applyFont="1" applyFill="1" applyBorder="1" applyAlignment="1">
      <alignment horizontal="left" vertical="center"/>
    </xf>
    <xf numFmtId="20" fontId="20" fillId="0" borderId="71" xfId="429" applyNumberFormat="1" applyFont="1" applyFill="1" applyBorder="1" applyAlignment="1">
      <alignment vertical="center"/>
    </xf>
    <xf numFmtId="0" fontId="284" fillId="0" borderId="13" xfId="0" applyFont="1" applyBorder="1"/>
    <xf numFmtId="0" fontId="403" fillId="0" borderId="0" xfId="0" applyFont="1" applyFill="1" applyBorder="1" applyAlignment="1">
      <alignment horizontal="center" vertical="center" wrapText="1"/>
    </xf>
    <xf numFmtId="0" fontId="404" fillId="0" borderId="0" xfId="0" applyFont="1" applyFill="1" applyBorder="1" applyAlignment="1">
      <alignment horizontal="center" vertical="center" wrapText="1"/>
    </xf>
    <xf numFmtId="0" fontId="405" fillId="0" borderId="0" xfId="504" applyFont="1"/>
    <xf numFmtId="165" fontId="209" fillId="31" borderId="61" xfId="0" applyNumberFormat="1" applyFont="1" applyFill="1" applyBorder="1" applyAlignment="1">
      <alignment horizontal="left" vertical="top"/>
    </xf>
    <xf numFmtId="0" fontId="7" fillId="0" borderId="111" xfId="428" applyNumberFormat="1" applyFont="1" applyFill="1" applyBorder="1" applyAlignment="1" applyProtection="1">
      <alignment horizontal="center" vertical="center"/>
    </xf>
    <xf numFmtId="0" fontId="406" fillId="0" borderId="0" xfId="0" applyFont="1" applyFill="1" applyBorder="1" applyAlignment="1">
      <alignment horizontal="center" vertical="top"/>
    </xf>
    <xf numFmtId="0" fontId="94" fillId="34" borderId="0" xfId="0" applyFont="1" applyFill="1"/>
    <xf numFmtId="0" fontId="94" fillId="34" borderId="0" xfId="0" applyFont="1" applyFill="1" applyAlignment="1"/>
    <xf numFmtId="1" fontId="210" fillId="0" borderId="0" xfId="0" applyNumberFormat="1" applyFont="1" applyFill="1"/>
    <xf numFmtId="1" fontId="290" fillId="79" borderId="485" xfId="0" applyNumberFormat="1" applyFont="1" applyFill="1" applyBorder="1" applyAlignment="1" applyProtection="1">
      <alignment horizontal="center" vertical="center"/>
      <protection locked="0"/>
    </xf>
    <xf numFmtId="1" fontId="7" fillId="0" borderId="487" xfId="432" applyNumberFormat="1" applyFont="1" applyFill="1" applyBorder="1" applyAlignment="1" applyProtection="1">
      <alignment horizontal="center"/>
      <protection locked="0"/>
    </xf>
    <xf numFmtId="0" fontId="109" fillId="0" borderId="0" xfId="0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384" fillId="0" borderId="0" xfId="0" applyFont="1" applyFill="1" applyBorder="1" applyAlignment="1"/>
    <xf numFmtId="0" fontId="92" fillId="34" borderId="0" xfId="414" applyNumberFormat="1" applyFont="1" applyFill="1" applyBorder="1" applyAlignment="1">
      <alignment horizontal="center"/>
    </xf>
    <xf numFmtId="0" fontId="92" fillId="34" borderId="0" xfId="414" applyNumberFormat="1" applyFont="1" applyFill="1" applyAlignment="1">
      <alignment horizontal="center"/>
    </xf>
    <xf numFmtId="0" fontId="155" fillId="58" borderId="452" xfId="0" applyFont="1" applyFill="1" applyBorder="1" applyAlignment="1">
      <alignment horizontal="center" vertical="center" wrapText="1"/>
    </xf>
    <xf numFmtId="20" fontId="155" fillId="58" borderId="454" xfId="0" applyNumberFormat="1" applyFont="1" applyFill="1" applyBorder="1" applyAlignment="1">
      <alignment horizontal="center" vertical="center" wrapText="1"/>
    </xf>
    <xf numFmtId="0" fontId="155" fillId="0" borderId="454" xfId="0" applyFont="1" applyBorder="1" applyAlignment="1">
      <alignment horizontal="center" vertical="center" wrapText="1"/>
    </xf>
    <xf numFmtId="20" fontId="155" fillId="0" borderId="456" xfId="0" applyNumberFormat="1" applyFont="1" applyBorder="1" applyAlignment="1">
      <alignment horizontal="center" vertical="center" wrapText="1"/>
    </xf>
    <xf numFmtId="1" fontId="155" fillId="0" borderId="458" xfId="0" applyNumberFormat="1" applyFont="1" applyBorder="1" applyAlignment="1">
      <alignment horizontal="center" vertical="center"/>
    </xf>
    <xf numFmtId="0" fontId="174" fillId="0" borderId="0" xfId="0" applyFont="1" applyBorder="1" applyAlignment="1">
      <alignment vertical="center"/>
    </xf>
    <xf numFmtId="1" fontId="151" fillId="27" borderId="62" xfId="0" applyNumberFormat="1" applyFont="1" applyFill="1" applyBorder="1" applyAlignment="1" applyProtection="1">
      <alignment horizontal="center" vertical="center"/>
      <protection locked="0"/>
    </xf>
    <xf numFmtId="2" fontId="92" fillId="0" borderId="0" xfId="414" applyNumberFormat="1" applyFont="1"/>
    <xf numFmtId="0" fontId="0" fillId="0" borderId="0" xfId="0" applyFill="1" applyBorder="1"/>
    <xf numFmtId="0" fontId="384" fillId="0" borderId="0" xfId="0" applyFont="1" applyBorder="1" applyAlignment="1"/>
    <xf numFmtId="0" fontId="407" fillId="102" borderId="0" xfId="0" applyFont="1" applyFill="1" applyBorder="1" applyAlignment="1">
      <alignment horizontal="center" vertical="center" wrapText="1"/>
    </xf>
    <xf numFmtId="0" fontId="92" fillId="0" borderId="0" xfId="0" applyFont="1" applyBorder="1" applyAlignment="1">
      <alignment horizontal="center" vertical="center" wrapText="1"/>
    </xf>
    <xf numFmtId="0" fontId="93" fillId="0" borderId="0" xfId="0" applyFont="1" applyBorder="1" applyAlignment="1">
      <alignment horizontal="center" vertical="center" wrapText="1"/>
    </xf>
    <xf numFmtId="171" fontId="93" fillId="0" borderId="0" xfId="401" applyFont="1" applyBorder="1" applyAlignment="1">
      <alignment horizontal="center" vertical="center" wrapText="1"/>
    </xf>
    <xf numFmtId="166" fontId="268" fillId="99" borderId="44" xfId="271" applyNumberFormat="1" applyFont="1" applyFill="1" applyBorder="1" applyAlignment="1">
      <alignment vertical="center"/>
    </xf>
    <xf numFmtId="0" fontId="209" fillId="31" borderId="0" xfId="0" applyFont="1" applyFill="1" applyBorder="1" applyAlignment="1">
      <alignment horizontal="left" vertical="top"/>
    </xf>
    <xf numFmtId="0" fontId="369" fillId="0" borderId="0" xfId="0" applyFont="1"/>
    <xf numFmtId="20" fontId="373" fillId="31" borderId="446" xfId="436" applyNumberFormat="1" applyFont="1" applyFill="1" applyBorder="1" applyAlignment="1" applyProtection="1">
      <alignment horizontal="center" vertical="center"/>
      <protection locked="0"/>
    </xf>
    <xf numFmtId="20" fontId="375" fillId="0" borderId="450" xfId="436" applyNumberFormat="1" applyFont="1" applyBorder="1" applyAlignment="1" applyProtection="1">
      <alignment horizontal="center" vertical="center"/>
      <protection locked="0"/>
    </xf>
    <xf numFmtId="20" fontId="375" fillId="0" borderId="446" xfId="436" applyNumberFormat="1" applyFont="1" applyBorder="1" applyAlignment="1" applyProtection="1">
      <alignment horizontal="center" vertical="center"/>
      <protection locked="0"/>
    </xf>
    <xf numFmtId="20" fontId="375" fillId="0" borderId="447" xfId="436" applyNumberFormat="1" applyFont="1" applyBorder="1" applyAlignment="1">
      <alignment horizontal="center" vertical="center"/>
    </xf>
    <xf numFmtId="20" fontId="410" fillId="0" borderId="442" xfId="436" applyNumberFormat="1" applyFont="1" applyBorder="1" applyAlignment="1">
      <alignment horizontal="center" vertical="center"/>
    </xf>
    <xf numFmtId="20" fontId="375" fillId="0" borderId="445" xfId="436" applyNumberFormat="1" applyFont="1" applyFill="1" applyBorder="1" applyAlignment="1" applyProtection="1">
      <alignment horizontal="center" vertical="center"/>
      <protection locked="0"/>
    </xf>
    <xf numFmtId="20" fontId="375" fillId="31" borderId="446" xfId="436" applyNumberFormat="1" applyFont="1" applyFill="1" applyBorder="1" applyAlignment="1" applyProtection="1">
      <alignment horizontal="center" vertical="center"/>
      <protection locked="0"/>
    </xf>
    <xf numFmtId="20" fontId="375" fillId="31" borderId="445" xfId="436" applyNumberFormat="1" applyFont="1" applyFill="1" applyBorder="1" applyAlignment="1" applyProtection="1">
      <alignment horizontal="center" vertical="center"/>
      <protection locked="0"/>
    </xf>
    <xf numFmtId="20" fontId="375" fillId="0" borderId="446" xfId="436" applyNumberFormat="1" applyFont="1" applyFill="1" applyBorder="1" applyAlignment="1" applyProtection="1">
      <alignment horizontal="center" vertical="center"/>
      <protection locked="0"/>
    </xf>
    <xf numFmtId="20" fontId="373" fillId="0" borderId="446" xfId="436" applyNumberFormat="1" applyFont="1" applyFill="1" applyBorder="1" applyAlignment="1" applyProtection="1">
      <alignment horizontal="center" vertical="center"/>
      <protection locked="0"/>
    </xf>
    <xf numFmtId="1" fontId="174" fillId="0" borderId="446" xfId="436" applyNumberFormat="1" applyFont="1" applyFill="1" applyBorder="1" applyAlignment="1" applyProtection="1">
      <alignment horizontal="center" vertical="center"/>
      <protection locked="0"/>
    </xf>
    <xf numFmtId="20" fontId="374" fillId="0" borderId="446" xfId="436" applyNumberFormat="1" applyFont="1" applyFill="1" applyBorder="1" applyAlignment="1" applyProtection="1">
      <alignment horizontal="center" vertical="center"/>
      <protection locked="0"/>
    </xf>
    <xf numFmtId="0" fontId="7" fillId="0" borderId="337" xfId="0" applyFont="1" applyFill="1" applyBorder="1" applyAlignment="1">
      <alignment horizontal="center" vertical="center"/>
    </xf>
    <xf numFmtId="1" fontId="290" fillId="71" borderId="485" xfId="0" applyNumberFormat="1" applyFont="1" applyFill="1" applyBorder="1" applyAlignment="1">
      <alignment horizontal="center" vertical="center"/>
    </xf>
    <xf numFmtId="166" fontId="290" fillId="77" borderId="485" xfId="271" applyNumberFormat="1" applyFont="1" applyFill="1" applyBorder="1" applyAlignment="1">
      <alignment horizontal="center" vertical="center"/>
    </xf>
    <xf numFmtId="1" fontId="290" fillId="71" borderId="485" xfId="0" applyNumberFormat="1" applyFont="1" applyFill="1" applyBorder="1" applyAlignment="1" applyProtection="1">
      <alignment horizontal="center" vertical="center"/>
      <protection locked="0"/>
    </xf>
    <xf numFmtId="1" fontId="290" fillId="71" borderId="488" xfId="0" applyNumberFormat="1" applyFont="1" applyFill="1" applyBorder="1" applyAlignment="1">
      <alignment horizontal="center" vertical="center"/>
    </xf>
    <xf numFmtId="1" fontId="49" fillId="93" borderId="489" xfId="0" applyNumberFormat="1" applyFont="1" applyFill="1" applyBorder="1" applyAlignment="1" applyProtection="1">
      <alignment horizontal="center" vertical="center"/>
      <protection locked="0"/>
    </xf>
    <xf numFmtId="1" fontId="49" fillId="93" borderId="484" xfId="0" applyNumberFormat="1" applyFont="1" applyFill="1" applyBorder="1" applyAlignment="1" applyProtection="1">
      <alignment horizontal="center" vertical="center"/>
      <protection locked="0"/>
    </xf>
    <xf numFmtId="1" fontId="49" fillId="42" borderId="484" xfId="0" applyNumberFormat="1" applyFont="1" applyFill="1" applyBorder="1" applyAlignment="1" applyProtection="1">
      <alignment horizontal="center" vertical="center"/>
      <protection locked="0"/>
    </xf>
    <xf numFmtId="1" fontId="49" fillId="93" borderId="485" xfId="0" applyNumberFormat="1" applyFont="1" applyFill="1" applyBorder="1" applyAlignment="1" applyProtection="1">
      <alignment horizontal="center" vertical="center"/>
      <protection locked="0"/>
    </xf>
    <xf numFmtId="1" fontId="49" fillId="80" borderId="485" xfId="0" applyNumberFormat="1" applyFont="1" applyFill="1" applyBorder="1" applyAlignment="1" applyProtection="1">
      <alignment horizontal="center" vertical="center"/>
      <protection locked="0"/>
    </xf>
    <xf numFmtId="1" fontId="49" fillId="93" borderId="490" xfId="0" applyNumberFormat="1" applyFont="1" applyFill="1" applyBorder="1" applyAlignment="1" applyProtection="1">
      <alignment horizontal="center" vertical="center"/>
      <protection locked="0"/>
    </xf>
    <xf numFmtId="1" fontId="144" fillId="32" borderId="72" xfId="428" applyNumberFormat="1" applyFont="1" applyFill="1" applyBorder="1" applyAlignment="1">
      <alignment horizontal="center" vertical="center"/>
    </xf>
    <xf numFmtId="0" fontId="7" fillId="0" borderId="491" xfId="428" applyFont="1" applyFill="1" applyBorder="1" applyAlignment="1">
      <alignment horizontal="center" vertical="center"/>
    </xf>
    <xf numFmtId="1" fontId="7" fillId="0" borderId="491" xfId="428" applyNumberFormat="1" applyFont="1" applyFill="1" applyBorder="1" applyAlignment="1">
      <alignment horizontal="center" vertical="center"/>
    </xf>
    <xf numFmtId="1" fontId="7" fillId="0" borderId="491" xfId="428" applyNumberFormat="1" applyFont="1" applyFill="1" applyBorder="1" applyAlignment="1" applyProtection="1">
      <alignment horizontal="center" vertical="center"/>
      <protection locked="0"/>
    </xf>
    <xf numFmtId="173" fontId="7" fillId="0" borderId="491" xfId="429" applyNumberFormat="1" applyFont="1" applyFill="1" applyBorder="1" applyAlignment="1">
      <alignment vertical="center"/>
    </xf>
    <xf numFmtId="0" fontId="7" fillId="0" borderId="491" xfId="428" applyFont="1" applyFill="1" applyBorder="1" applyAlignment="1">
      <alignment vertical="center"/>
    </xf>
    <xf numFmtId="14" fontId="20" fillId="0" borderId="71" xfId="429" applyNumberFormat="1" applyFont="1" applyFill="1" applyBorder="1" applyAlignment="1">
      <alignment horizontal="left" vertical="center"/>
    </xf>
    <xf numFmtId="20" fontId="170" fillId="0" borderId="27" xfId="500" applyNumberFormat="1" applyFont="1" applyFill="1" applyBorder="1" applyAlignment="1">
      <alignment horizontal="left" vertical="center"/>
    </xf>
    <xf numFmtId="14" fontId="170" fillId="0" borderId="27" xfId="0" applyNumberFormat="1" applyFont="1" applyBorder="1" applyAlignment="1">
      <alignment horizontal="left" vertical="center"/>
    </xf>
    <xf numFmtId="0" fontId="170" fillId="0" borderId="187" xfId="0" applyNumberFormat="1" applyFont="1" applyBorder="1" applyAlignment="1">
      <alignment horizontal="left" vertical="top"/>
    </xf>
    <xf numFmtId="0" fontId="409" fillId="0" borderId="0" xfId="0" applyFont="1" applyFill="1" applyBorder="1" applyAlignment="1" applyProtection="1">
      <alignment vertical="center"/>
    </xf>
    <xf numFmtId="0" fontId="409" fillId="0" borderId="0" xfId="0" applyFont="1" applyBorder="1" applyAlignment="1" applyProtection="1"/>
    <xf numFmtId="0" fontId="408" fillId="0" borderId="0" xfId="0" applyFont="1" applyBorder="1" applyAlignment="1" applyProtection="1">
      <alignment vertical="center"/>
    </xf>
    <xf numFmtId="0" fontId="280" fillId="0" borderId="0" xfId="0" applyFont="1" applyBorder="1" applyAlignment="1" applyProtection="1">
      <alignment horizontal="center"/>
      <protection locked="0"/>
    </xf>
    <xf numFmtId="1" fontId="7" fillId="0" borderId="491" xfId="432" applyNumberFormat="1" applyFont="1" applyFill="1" applyBorder="1" applyAlignment="1" applyProtection="1">
      <alignment horizontal="center"/>
      <protection locked="0"/>
    </xf>
    <xf numFmtId="1" fontId="7" fillId="0" borderId="74" xfId="432" applyNumberFormat="1" applyFont="1" applyFill="1" applyBorder="1" applyAlignment="1" applyProtection="1">
      <alignment horizontal="center"/>
      <protection locked="0"/>
    </xf>
    <xf numFmtId="14" fontId="143" fillId="0" borderId="492" xfId="428" applyNumberFormat="1" applyFont="1" applyFill="1" applyBorder="1" applyAlignment="1">
      <alignment vertical="center"/>
    </xf>
    <xf numFmtId="165" fontId="411" fillId="0" borderId="51" xfId="434" applyNumberFormat="1" applyFont="1" applyFill="1" applyBorder="1" applyAlignment="1">
      <alignment horizontal="right" vertical="center"/>
    </xf>
    <xf numFmtId="20" fontId="412" fillId="34" borderId="10" xfId="0" applyNumberFormat="1" applyFont="1" applyFill="1" applyBorder="1" applyAlignment="1">
      <alignment horizontal="center"/>
    </xf>
    <xf numFmtId="0" fontId="413" fillId="0" borderId="0" xfId="0" applyFont="1"/>
    <xf numFmtId="0" fontId="407" fillId="0" borderId="0" xfId="0" applyFont="1" applyFill="1" applyBorder="1" applyAlignment="1">
      <alignment horizontal="center" vertical="center" wrapText="1"/>
    </xf>
    <xf numFmtId="0" fontId="155" fillId="0" borderId="0" xfId="0" applyFont="1" applyFill="1" applyBorder="1" applyAlignment="1">
      <alignment horizontal="center" vertical="center" wrapText="1"/>
    </xf>
    <xf numFmtId="173" fontId="93" fillId="0" borderId="88" xfId="414" applyNumberFormat="1" applyFont="1" applyBorder="1"/>
    <xf numFmtId="49" fontId="7" fillId="0" borderId="189" xfId="434" applyNumberFormat="1" applyFont="1" applyFill="1" applyBorder="1" applyAlignment="1" applyProtection="1">
      <alignment horizontal="center" vertical="center"/>
    </xf>
    <xf numFmtId="173" fontId="93" fillId="0" borderId="94" xfId="414" applyNumberFormat="1" applyFont="1" applyBorder="1"/>
    <xf numFmtId="49" fontId="7" fillId="0" borderId="194" xfId="434" applyNumberFormat="1" applyFont="1" applyFill="1" applyBorder="1" applyAlignment="1" applyProtection="1">
      <alignment horizontal="center" vertical="center"/>
    </xf>
    <xf numFmtId="49" fontId="7" fillId="0" borderId="189" xfId="434" applyNumberFormat="1" applyFont="1" applyFill="1" applyBorder="1" applyAlignment="1" applyProtection="1">
      <alignment vertical="center"/>
    </xf>
    <xf numFmtId="173" fontId="93" fillId="0" borderId="476" xfId="414" applyNumberFormat="1" applyFont="1" applyBorder="1"/>
    <xf numFmtId="1" fontId="7" fillId="0" borderId="94" xfId="434" applyNumberFormat="1" applyFont="1" applyFill="1" applyBorder="1" applyAlignment="1" applyProtection="1">
      <alignment horizontal="center" vertical="center"/>
    </xf>
    <xf numFmtId="1" fontId="7" fillId="0" borderId="189" xfId="434" applyNumberFormat="1" applyFont="1" applyFill="1" applyBorder="1" applyAlignment="1" applyProtection="1">
      <alignment vertical="center"/>
    </xf>
    <xf numFmtId="49" fontId="7" fillId="0" borderId="94" xfId="434" applyNumberFormat="1" applyFont="1" applyFill="1" applyBorder="1" applyAlignment="1" applyProtection="1">
      <alignment horizontal="left" vertical="center"/>
    </xf>
    <xf numFmtId="49" fontId="7" fillId="0" borderId="46" xfId="434" applyNumberFormat="1" applyFont="1" applyFill="1" applyBorder="1" applyAlignment="1" applyProtection="1">
      <alignment horizontal="left" vertical="center"/>
    </xf>
    <xf numFmtId="49" fontId="7" fillId="0" borderId="58" xfId="434" applyNumberFormat="1" applyFont="1" applyFill="1" applyBorder="1" applyAlignment="1" applyProtection="1">
      <alignment horizontal="center" vertical="center"/>
    </xf>
    <xf numFmtId="0" fontId="318" fillId="0" borderId="0" xfId="0" applyFont="1" applyBorder="1" applyAlignment="1">
      <alignment horizontal="center"/>
    </xf>
    <xf numFmtId="49" fontId="7" fillId="0" borderId="10" xfId="434" applyNumberFormat="1" applyFont="1" applyFill="1" applyBorder="1" applyAlignment="1">
      <alignment horizontal="center" vertical="center"/>
    </xf>
    <xf numFmtId="1" fontId="7" fillId="0" borderId="10" xfId="434" applyNumberFormat="1" applyFont="1" applyFill="1" applyBorder="1" applyAlignment="1" applyProtection="1">
      <alignment vertical="center"/>
    </xf>
    <xf numFmtId="0" fontId="7" fillId="0" borderId="10" xfId="373" applyFont="1" applyBorder="1" applyAlignment="1">
      <alignment vertical="center"/>
    </xf>
    <xf numFmtId="0" fontId="209" fillId="0" borderId="10" xfId="373" applyFont="1" applyBorder="1" applyAlignment="1">
      <alignment horizontal="center" vertical="center"/>
    </xf>
    <xf numFmtId="0" fontId="7" fillId="0" borderId="10" xfId="373" applyFont="1" applyBorder="1" applyAlignment="1">
      <alignment horizontal="center"/>
    </xf>
    <xf numFmtId="49" fontId="7" fillId="0" borderId="26" xfId="434" applyNumberFormat="1" applyFont="1" applyFill="1" applyBorder="1" applyAlignment="1">
      <alignment horizontal="right" vertical="center"/>
    </xf>
    <xf numFmtId="49" fontId="7" fillId="0" borderId="309" xfId="434" applyNumberFormat="1" applyFont="1" applyFill="1" applyBorder="1" applyAlignment="1">
      <alignment horizontal="right" vertical="center"/>
    </xf>
    <xf numFmtId="49" fontId="7" fillId="0" borderId="23" xfId="434" applyNumberFormat="1" applyFont="1" applyFill="1" applyBorder="1" applyAlignment="1">
      <alignment horizontal="center" vertical="center"/>
    </xf>
    <xf numFmtId="0" fontId="7" fillId="0" borderId="23" xfId="373" applyFont="1" applyBorder="1" applyAlignment="1">
      <alignment vertical="center"/>
    </xf>
    <xf numFmtId="0" fontId="209" fillId="0" borderId="23" xfId="373" applyFont="1" applyBorder="1" applyAlignment="1">
      <alignment horizontal="center" vertical="center"/>
    </xf>
    <xf numFmtId="0" fontId="7" fillId="0" borderId="23" xfId="373" applyFont="1" applyBorder="1" applyAlignment="1">
      <alignment horizontal="center"/>
    </xf>
    <xf numFmtId="1" fontId="7" fillId="0" borderId="23" xfId="434" applyNumberFormat="1" applyFont="1" applyFill="1" applyBorder="1" applyAlignment="1" applyProtection="1">
      <alignment vertical="center"/>
    </xf>
    <xf numFmtId="49" fontId="9" fillId="0" borderId="62" xfId="434" applyNumberFormat="1" applyFont="1" applyFill="1" applyBorder="1" applyAlignment="1">
      <alignment horizontal="center" vertical="center"/>
    </xf>
    <xf numFmtId="0" fontId="9" fillId="0" borderId="62" xfId="0" applyFont="1" applyFill="1" applyBorder="1" applyAlignment="1">
      <alignment vertical="center"/>
    </xf>
    <xf numFmtId="0" fontId="9" fillId="0" borderId="62" xfId="0" applyFont="1" applyFill="1" applyBorder="1" applyAlignment="1">
      <alignment horizontal="center" vertical="center"/>
    </xf>
    <xf numFmtId="1" fontId="9" fillId="0" borderId="62" xfId="434" applyNumberFormat="1" applyFont="1" applyFill="1" applyBorder="1" applyAlignment="1" applyProtection="1">
      <alignment vertical="center"/>
    </xf>
    <xf numFmtId="49" fontId="7" fillId="0" borderId="106" xfId="434" applyNumberFormat="1" applyFont="1" applyFill="1" applyBorder="1" applyAlignment="1">
      <alignment horizontal="right" vertical="center"/>
    </xf>
    <xf numFmtId="49" fontId="7" fillId="0" borderId="31" xfId="434" applyNumberFormat="1" applyFont="1" applyFill="1" applyBorder="1" applyAlignment="1">
      <alignment horizontal="center" vertical="center"/>
    </xf>
    <xf numFmtId="0" fontId="7" fillId="31" borderId="31" xfId="373" applyFont="1" applyFill="1" applyBorder="1" applyAlignment="1">
      <alignment vertical="center"/>
    </xf>
    <xf numFmtId="0" fontId="209" fillId="31" borderId="31" xfId="373" applyFont="1" applyFill="1" applyBorder="1" applyAlignment="1">
      <alignment horizontal="center" vertical="center"/>
    </xf>
    <xf numFmtId="0" fontId="7" fillId="31" borderId="31" xfId="373" applyFont="1" applyFill="1" applyBorder="1" applyAlignment="1">
      <alignment horizontal="center"/>
    </xf>
    <xf numFmtId="1" fontId="7" fillId="0" borderId="31" xfId="434" applyNumberFormat="1" applyFont="1" applyFill="1" applyBorder="1" applyAlignment="1" applyProtection="1">
      <alignment horizontal="center" vertical="center"/>
    </xf>
    <xf numFmtId="1" fontId="7" fillId="0" borderId="31" xfId="434" applyNumberFormat="1" applyFont="1" applyFill="1" applyBorder="1" applyAlignment="1" applyProtection="1">
      <alignment vertical="center"/>
    </xf>
    <xf numFmtId="49" fontId="7" fillId="0" borderId="36" xfId="434" applyNumberFormat="1" applyFont="1" applyFill="1" applyBorder="1" applyAlignment="1" applyProtection="1">
      <alignment vertical="center"/>
    </xf>
    <xf numFmtId="49" fontId="7" fillId="0" borderId="35" xfId="434" applyNumberFormat="1" applyFont="1" applyFill="1" applyBorder="1" applyAlignment="1" applyProtection="1">
      <alignment horizontal="center" vertical="center"/>
    </xf>
    <xf numFmtId="173" fontId="93" fillId="0" borderId="35" xfId="414" applyNumberFormat="1" applyFont="1" applyBorder="1"/>
    <xf numFmtId="173" fontId="7" fillId="0" borderId="35" xfId="434" applyNumberFormat="1" applyFont="1" applyFill="1" applyBorder="1" applyAlignment="1">
      <alignment horizontal="center" vertical="center"/>
    </xf>
    <xf numFmtId="49" fontId="7" fillId="0" borderId="35" xfId="434" applyNumberFormat="1" applyFont="1" applyFill="1" applyBorder="1" applyAlignment="1">
      <alignment vertical="center"/>
    </xf>
    <xf numFmtId="1" fontId="7" fillId="0" borderId="35" xfId="434" applyNumberFormat="1" applyFont="1" applyFill="1" applyBorder="1" applyAlignment="1">
      <alignment vertical="center"/>
    </xf>
    <xf numFmtId="173" fontId="7" fillId="0" borderId="35" xfId="434" applyNumberFormat="1" applyFont="1" applyFill="1" applyBorder="1" applyAlignment="1">
      <alignment vertical="center"/>
    </xf>
    <xf numFmtId="171" fontId="7" fillId="0" borderId="105" xfId="434" applyNumberFormat="1" applyFont="1" applyFill="1" applyBorder="1" applyAlignment="1" applyProtection="1">
      <alignment vertical="center"/>
    </xf>
    <xf numFmtId="1" fontId="290" fillId="71" borderId="494" xfId="0" applyNumberFormat="1" applyFont="1" applyFill="1" applyBorder="1" applyAlignment="1">
      <alignment horizontal="center" vertical="center"/>
    </xf>
    <xf numFmtId="166" fontId="290" fillId="77" borderId="494" xfId="271" applyNumberFormat="1" applyFont="1" applyFill="1" applyBorder="1" applyAlignment="1">
      <alignment horizontal="center" vertical="center"/>
    </xf>
    <xf numFmtId="1" fontId="290" fillId="71" borderId="494" xfId="0" applyNumberFormat="1" applyFont="1" applyFill="1" applyBorder="1" applyAlignment="1" applyProtection="1">
      <alignment horizontal="center" vertical="center"/>
      <protection locked="0"/>
    </xf>
    <xf numFmtId="1" fontId="49" fillId="93" borderId="493" xfId="0" applyNumberFormat="1" applyFont="1" applyFill="1" applyBorder="1" applyAlignment="1" applyProtection="1">
      <alignment horizontal="center" vertical="center"/>
      <protection locked="0"/>
    </xf>
    <xf numFmtId="1" fontId="49" fillId="42" borderId="493" xfId="0" applyNumberFormat="1" applyFont="1" applyFill="1" applyBorder="1" applyAlignment="1" applyProtection="1">
      <alignment horizontal="center" vertical="center"/>
      <protection locked="0"/>
    </xf>
    <xf numFmtId="1" fontId="49" fillId="93" borderId="494" xfId="0" applyNumberFormat="1" applyFont="1" applyFill="1" applyBorder="1" applyAlignment="1" applyProtection="1">
      <alignment horizontal="center" vertical="center"/>
      <protection locked="0"/>
    </xf>
    <xf numFmtId="1" fontId="49" fillId="80" borderId="494" xfId="0" applyNumberFormat="1" applyFont="1" applyFill="1" applyBorder="1" applyAlignment="1" applyProtection="1">
      <alignment horizontal="center" vertical="center"/>
      <protection locked="0"/>
    </xf>
    <xf numFmtId="1" fontId="204" fillId="71" borderId="490" xfId="0" applyNumberFormat="1" applyFont="1" applyFill="1" applyBorder="1" applyAlignment="1">
      <alignment horizontal="center" vertical="center"/>
    </xf>
    <xf numFmtId="1" fontId="204" fillId="71" borderId="494" xfId="0" applyNumberFormat="1" applyFont="1" applyFill="1" applyBorder="1" applyAlignment="1">
      <alignment horizontal="center" vertical="center"/>
    </xf>
    <xf numFmtId="1" fontId="204" fillId="71" borderId="493" xfId="0" applyNumberFormat="1" applyFont="1" applyFill="1" applyBorder="1" applyAlignment="1">
      <alignment horizontal="center" vertical="center"/>
    </xf>
    <xf numFmtId="2" fontId="252" fillId="0" borderId="385" xfId="428" applyNumberFormat="1" applyFont="1" applyFill="1" applyBorder="1" applyAlignment="1">
      <alignment vertical="center"/>
    </xf>
    <xf numFmtId="173" fontId="7" fillId="0" borderId="496" xfId="414" applyNumberFormat="1" applyFont="1" applyFill="1" applyBorder="1" applyAlignment="1">
      <alignment vertical="center"/>
    </xf>
    <xf numFmtId="0" fontId="414" fillId="0" borderId="496" xfId="0" applyFont="1" applyFill="1" applyBorder="1" applyAlignment="1"/>
    <xf numFmtId="0" fontId="7" fillId="0" borderId="491" xfId="0" applyFont="1" applyFill="1" applyBorder="1" applyAlignment="1">
      <alignment horizontal="center" vertical="center"/>
    </xf>
    <xf numFmtId="0" fontId="7" fillId="0" borderId="491" xfId="428" applyNumberFormat="1" applyFont="1" applyFill="1" applyBorder="1" applyAlignment="1">
      <alignment horizontal="center" vertical="center"/>
    </xf>
    <xf numFmtId="20" fontId="143" fillId="0" borderId="492" xfId="428" applyNumberFormat="1" applyFont="1" applyFill="1" applyBorder="1" applyAlignment="1">
      <alignment vertical="center"/>
    </xf>
    <xf numFmtId="0" fontId="7" fillId="0" borderId="497" xfId="0" applyFont="1" applyFill="1" applyBorder="1" applyAlignment="1">
      <alignment horizontal="center" vertical="center"/>
    </xf>
    <xf numFmtId="0" fontId="7" fillId="0" borderId="496" xfId="428" applyFont="1" applyFill="1" applyBorder="1" applyAlignment="1">
      <alignment horizontal="center" vertical="center"/>
    </xf>
    <xf numFmtId="1" fontId="7" fillId="0" borderId="496" xfId="428" applyNumberFormat="1" applyFont="1" applyFill="1" applyBorder="1" applyAlignment="1" applyProtection="1">
      <alignment horizontal="center" vertical="center"/>
      <protection locked="0"/>
    </xf>
    <xf numFmtId="0" fontId="209" fillId="31" borderId="0" xfId="0" applyFont="1" applyFill="1" applyBorder="1" applyAlignment="1">
      <alignment horizontal="left" vertical="center"/>
    </xf>
    <xf numFmtId="49" fontId="9" fillId="0" borderId="82" xfId="434" applyNumberFormat="1" applyFont="1" applyFill="1" applyBorder="1" applyAlignment="1">
      <alignment horizontal="right" vertical="center"/>
    </xf>
    <xf numFmtId="1" fontId="9" fillId="0" borderId="62" xfId="434" applyNumberFormat="1" applyFont="1" applyFill="1" applyBorder="1" applyAlignment="1" applyProtection="1">
      <alignment horizontal="center" vertical="center"/>
    </xf>
    <xf numFmtId="173" fontId="172" fillId="0" borderId="63" xfId="414" applyNumberFormat="1" applyFont="1" applyBorder="1" applyAlignment="1"/>
    <xf numFmtId="165" fontId="380" fillId="0" borderId="0" xfId="401" applyNumberFormat="1" applyFont="1" applyFill="1" applyBorder="1" applyAlignment="1">
      <alignment horizontal="center" vertical="center"/>
    </xf>
    <xf numFmtId="165" fontId="380" fillId="0" borderId="0" xfId="0" applyNumberFormat="1" applyFont="1" applyFill="1" applyBorder="1" applyAlignment="1">
      <alignment horizontal="center" vertical="center"/>
    </xf>
    <xf numFmtId="0" fontId="210" fillId="0" borderId="498" xfId="0" applyFont="1" applyBorder="1" applyAlignment="1">
      <alignment horizontal="center" vertical="center"/>
    </xf>
    <xf numFmtId="173" fontId="7" fillId="0" borderId="76" xfId="429" applyNumberFormat="1" applyFont="1" applyFill="1" applyBorder="1" applyAlignment="1">
      <alignment vertical="center"/>
    </xf>
    <xf numFmtId="0" fontId="418" fillId="0" borderId="0" xfId="0" applyFont="1" applyFill="1" applyBorder="1" applyAlignment="1">
      <alignment horizontal="center" vertical="center" wrapText="1"/>
    </xf>
    <xf numFmtId="1" fontId="247" fillId="0" borderId="0" xfId="430" applyNumberFormat="1" applyFont="1" applyFill="1" applyBorder="1" applyAlignment="1">
      <alignment horizontal="center" vertical="center"/>
    </xf>
    <xf numFmtId="0" fontId="416" fillId="0" borderId="0" xfId="0" applyFont="1" applyFill="1" applyBorder="1" applyAlignment="1">
      <alignment horizontal="center" vertical="center" wrapText="1"/>
    </xf>
    <xf numFmtId="0" fontId="417" fillId="0" borderId="0" xfId="0" applyFont="1" applyFill="1" applyBorder="1" applyAlignment="1">
      <alignment horizontal="center" vertical="center" wrapText="1"/>
    </xf>
    <xf numFmtId="0" fontId="415" fillId="0" borderId="0" xfId="0" applyFont="1" applyFill="1" applyBorder="1" applyAlignment="1">
      <alignment horizontal="center" vertical="center" wrapText="1"/>
    </xf>
    <xf numFmtId="0" fontId="419" fillId="0" borderId="0" xfId="0" applyFont="1" applyFill="1" applyBorder="1" applyAlignment="1">
      <alignment horizontal="center" vertical="center" wrapText="1"/>
    </xf>
    <xf numFmtId="2" fontId="421" fillId="27" borderId="63" xfId="0" applyNumberFormat="1" applyFont="1" applyFill="1" applyBorder="1" applyAlignment="1" applyProtection="1">
      <alignment horizontal="center" vertical="center"/>
      <protection locked="0"/>
    </xf>
    <xf numFmtId="14" fontId="209" fillId="31" borderId="495" xfId="0" applyNumberFormat="1" applyFont="1" applyFill="1" applyBorder="1" applyAlignment="1">
      <alignment vertical="center"/>
    </xf>
    <xf numFmtId="0" fontId="422" fillId="0" borderId="88" xfId="436" applyFont="1" applyFill="1" applyBorder="1" applyAlignment="1">
      <alignment vertical="center"/>
    </xf>
    <xf numFmtId="0" fontId="422" fillId="0" borderId="179" xfId="436" applyFont="1" applyFill="1" applyBorder="1" applyAlignment="1">
      <alignment vertical="center"/>
    </xf>
    <xf numFmtId="0" fontId="379" fillId="0" borderId="179" xfId="0" applyFont="1" applyBorder="1" applyAlignment="1">
      <alignment horizontal="center" vertical="center"/>
    </xf>
    <xf numFmtId="0" fontId="379" fillId="0" borderId="179" xfId="0" applyFont="1" applyBorder="1" applyAlignment="1">
      <alignment vertical="center"/>
    </xf>
    <xf numFmtId="0" fontId="422" fillId="0" borderId="47" xfId="436" applyFont="1" applyFill="1" applyBorder="1" applyAlignment="1">
      <alignment vertical="center"/>
    </xf>
    <xf numFmtId="0" fontId="422" fillId="0" borderId="0" xfId="436" applyFont="1" applyFill="1" applyBorder="1" applyAlignment="1">
      <alignment vertical="center"/>
    </xf>
    <xf numFmtId="0" fontId="10" fillId="0" borderId="0" xfId="436" applyFont="1" applyFill="1" applyBorder="1" applyAlignment="1">
      <alignment horizontal="center" vertical="center"/>
    </xf>
    <xf numFmtId="0" fontId="379" fillId="0" borderId="0" xfId="436" applyFont="1" applyFill="1" applyBorder="1" applyAlignment="1">
      <alignment horizontal="center" vertical="center"/>
    </xf>
    <xf numFmtId="0" fontId="379" fillId="0" borderId="0" xfId="436" applyFont="1" applyFill="1" applyBorder="1" applyAlignment="1">
      <alignment vertical="center"/>
    </xf>
    <xf numFmtId="0" fontId="141" fillId="0" borderId="0" xfId="436" applyFont="1" applyFill="1" applyBorder="1" applyAlignment="1">
      <alignment vertical="center"/>
    </xf>
    <xf numFmtId="0" fontId="141" fillId="0" borderId="0" xfId="436" applyFont="1" applyBorder="1" applyAlignment="1">
      <alignment vertical="center"/>
    </xf>
    <xf numFmtId="0" fontId="125" fillId="0" borderId="42" xfId="0" applyFont="1" applyBorder="1" applyAlignment="1">
      <alignment vertical="center"/>
    </xf>
    <xf numFmtId="0" fontId="141" fillId="0" borderId="42" xfId="436" applyFont="1" applyFill="1" applyBorder="1" applyAlignment="1" applyProtection="1">
      <alignment horizontal="left" vertical="center"/>
      <protection locked="0"/>
    </xf>
    <xf numFmtId="0" fontId="141" fillId="0" borderId="42" xfId="436" applyFont="1" applyBorder="1" applyAlignment="1" applyProtection="1">
      <alignment vertical="center"/>
      <protection locked="0"/>
    </xf>
    <xf numFmtId="0" fontId="125" fillId="0" borderId="0" xfId="436" applyFont="1" applyBorder="1" applyAlignment="1">
      <alignment vertical="center"/>
    </xf>
    <xf numFmtId="0" fontId="10" fillId="0" borderId="0" xfId="436" applyFont="1" applyBorder="1" applyAlignment="1">
      <alignment vertical="center"/>
    </xf>
    <xf numFmtId="0" fontId="141" fillId="0" borderId="41" xfId="0" applyFont="1" applyBorder="1" applyAlignment="1"/>
    <xf numFmtId="0" fontId="141" fillId="0" borderId="301" xfId="0" applyFont="1" applyBorder="1"/>
    <xf numFmtId="0" fontId="141" fillId="0" borderId="301" xfId="0" applyFont="1" applyBorder="1" applyAlignment="1"/>
    <xf numFmtId="0" fontId="426" fillId="0" borderId="301" xfId="0" applyFont="1" applyBorder="1"/>
    <xf numFmtId="0" fontId="141" fillId="0" borderId="301" xfId="0" applyFont="1" applyBorder="1" applyAlignment="1">
      <alignment vertical="top"/>
    </xf>
    <xf numFmtId="0" fontId="426" fillId="0" borderId="301" xfId="0" applyFont="1" applyBorder="1" applyAlignment="1">
      <alignment vertical="center"/>
    </xf>
    <xf numFmtId="0" fontId="141" fillId="0" borderId="301" xfId="0" applyFont="1" applyBorder="1" applyAlignment="1">
      <alignment vertical="center"/>
    </xf>
    <xf numFmtId="0" fontId="425" fillId="0" borderId="301" xfId="0" applyFont="1" applyBorder="1" applyAlignment="1"/>
    <xf numFmtId="0" fontId="141" fillId="0" borderId="48" xfId="0" applyFont="1" applyFill="1" applyBorder="1" applyAlignment="1"/>
    <xf numFmtId="0" fontId="141" fillId="0" borderId="48" xfId="0" applyFont="1" applyBorder="1" applyAlignment="1"/>
    <xf numFmtId="0" fontId="384" fillId="0" borderId="0" xfId="0" applyFont="1" applyAlignment="1"/>
    <xf numFmtId="173" fontId="50" fillId="0" borderId="49" xfId="430" applyNumberFormat="1" applyFont="1" applyFill="1" applyBorder="1" applyAlignment="1">
      <alignment vertical="center"/>
    </xf>
    <xf numFmtId="173" fontId="50" fillId="0" borderId="40" xfId="430" applyNumberFormat="1" applyFont="1" applyFill="1" applyBorder="1" applyAlignment="1">
      <alignment vertical="center"/>
    </xf>
    <xf numFmtId="173" fontId="50" fillId="0" borderId="45" xfId="430" applyNumberFormat="1" applyFont="1" applyFill="1" applyBorder="1" applyAlignment="1">
      <alignment vertical="center"/>
    </xf>
    <xf numFmtId="173" fontId="50" fillId="0" borderId="36" xfId="430" applyNumberFormat="1" applyFont="1" applyFill="1" applyBorder="1" applyAlignment="1">
      <alignment horizontal="center" vertical="center"/>
    </xf>
    <xf numFmtId="173" fontId="45" fillId="0" borderId="35" xfId="430" applyNumberFormat="1" applyFont="1" applyFill="1" applyBorder="1" applyAlignment="1">
      <alignment horizontal="center" vertical="center"/>
    </xf>
    <xf numFmtId="173" fontId="50" fillId="0" borderId="35" xfId="430" applyNumberFormat="1" applyFont="1" applyFill="1" applyBorder="1" applyAlignment="1">
      <alignment horizontal="center" vertical="center"/>
    </xf>
    <xf numFmtId="173" fontId="50" fillId="0" borderId="34" xfId="430" applyNumberFormat="1" applyFont="1" applyFill="1" applyBorder="1" applyAlignment="1">
      <alignment horizontal="center" vertical="center"/>
    </xf>
    <xf numFmtId="173" fontId="50" fillId="0" borderId="105" xfId="430" applyNumberFormat="1" applyFont="1" applyFill="1" applyBorder="1" applyAlignment="1">
      <alignment horizontal="center" vertical="center"/>
    </xf>
    <xf numFmtId="1" fontId="50" fillId="0" borderId="66" xfId="430" applyNumberFormat="1" applyFont="1" applyFill="1" applyBorder="1" applyAlignment="1">
      <alignment horizontal="center" vertical="center"/>
    </xf>
    <xf numFmtId="1" fontId="50" fillId="0" borderId="75" xfId="430" applyNumberFormat="1" applyFont="1" applyFill="1" applyBorder="1" applyAlignment="1">
      <alignment horizontal="center" vertical="center"/>
    </xf>
    <xf numFmtId="1" fontId="50" fillId="0" borderId="76" xfId="430" applyNumberFormat="1" applyFont="1" applyFill="1" applyBorder="1" applyAlignment="1">
      <alignment horizontal="center" vertical="center"/>
    </xf>
    <xf numFmtId="20" fontId="50" fillId="0" borderId="82" xfId="430" applyNumberFormat="1" applyFont="1" applyFill="1" applyBorder="1" applyAlignment="1">
      <alignment horizontal="center" vertical="center"/>
    </xf>
    <xf numFmtId="1" fontId="247" fillId="0" borderId="62" xfId="430" quotePrefix="1" applyNumberFormat="1" applyFont="1" applyFill="1" applyBorder="1" applyAlignment="1">
      <alignment horizontal="center" vertical="center"/>
    </xf>
    <xf numFmtId="1" fontId="50" fillId="0" borderId="62" xfId="430" applyNumberFormat="1" applyFont="1" applyFill="1" applyBorder="1" applyAlignment="1">
      <alignment horizontal="center" vertical="center"/>
    </xf>
    <xf numFmtId="1" fontId="78" fillId="0" borderId="63" xfId="430" applyNumberFormat="1" applyFont="1" applyFill="1" applyBorder="1" applyAlignment="1">
      <alignment horizontal="center" vertical="center"/>
    </xf>
    <xf numFmtId="1" fontId="247" fillId="36" borderId="31" xfId="430" applyNumberFormat="1" applyFont="1" applyFill="1" applyBorder="1" applyAlignment="1">
      <alignment horizontal="center" vertical="center"/>
    </xf>
    <xf numFmtId="0" fontId="430" fillId="0" borderId="10" xfId="0" applyFont="1" applyBorder="1" applyAlignment="1">
      <alignment horizontal="center" vertical="center" wrapText="1"/>
    </xf>
    <xf numFmtId="168" fontId="194" fillId="0" borderId="31" xfId="0" applyNumberFormat="1" applyFont="1" applyBorder="1" applyAlignment="1">
      <alignment horizontal="center" vertical="center" wrapText="1"/>
    </xf>
    <xf numFmtId="0" fontId="220" fillId="0" borderId="13" xfId="0" applyFont="1" applyFill="1" applyBorder="1" applyAlignment="1">
      <alignment vertical="top"/>
    </xf>
    <xf numFmtId="173" fontId="182" fillId="0" borderId="13" xfId="401" applyNumberFormat="1" applyFont="1" applyBorder="1" applyAlignment="1"/>
    <xf numFmtId="173" fontId="167" fillId="0" borderId="13" xfId="401" applyNumberFormat="1" applyFont="1" applyBorder="1" applyAlignment="1"/>
    <xf numFmtId="173" fontId="93" fillId="0" borderId="187" xfId="0" applyNumberFormat="1" applyFont="1" applyFill="1" applyBorder="1" applyAlignment="1" applyProtection="1">
      <alignment horizontal="left"/>
    </xf>
    <xf numFmtId="173" fontId="26" fillId="0" borderId="186" xfId="414" applyNumberFormat="1" applyFont="1" applyFill="1" applyBorder="1" applyAlignment="1">
      <alignment vertical="center"/>
    </xf>
    <xf numFmtId="173" fontId="93" fillId="0" borderId="187" xfId="414" applyNumberFormat="1" applyFont="1" applyBorder="1"/>
    <xf numFmtId="173" fontId="93" fillId="0" borderId="187" xfId="414" applyNumberFormat="1" applyFont="1" applyBorder="1" applyAlignment="1">
      <alignment horizontal="left"/>
    </xf>
    <xf numFmtId="173" fontId="93" fillId="0" borderId="187" xfId="414" applyNumberFormat="1" applyFont="1" applyBorder="1" applyAlignment="1">
      <alignment horizontal="left" vertical="top"/>
    </xf>
    <xf numFmtId="0" fontId="123" fillId="0" borderId="13" xfId="0" applyFont="1" applyBorder="1" applyAlignment="1" applyProtection="1">
      <alignment horizontal="left" vertical="center"/>
      <protection locked="0"/>
    </xf>
    <xf numFmtId="0" fontId="123" fillId="0" borderId="13" xfId="0" applyFont="1" applyBorder="1" applyAlignment="1">
      <alignment vertical="center"/>
    </xf>
    <xf numFmtId="0" fontId="431" fillId="0" borderId="10" xfId="0" applyFont="1" applyBorder="1" applyAlignment="1">
      <alignment horizontal="center" vertical="center" wrapText="1"/>
    </xf>
    <xf numFmtId="173" fontId="127" fillId="50" borderId="95" xfId="0" applyNumberFormat="1" applyFont="1" applyFill="1" applyBorder="1" applyAlignment="1">
      <alignment horizontal="center" vertical="center" wrapText="1"/>
    </xf>
    <xf numFmtId="0" fontId="214" fillId="24" borderId="99" xfId="0" applyNumberFormat="1" applyFont="1" applyFill="1" applyBorder="1" applyAlignment="1">
      <alignment horizontal="center" vertical="center" wrapText="1"/>
    </xf>
    <xf numFmtId="173" fontId="214" fillId="30" borderId="95" xfId="0" applyNumberFormat="1" applyFont="1" applyFill="1" applyBorder="1" applyAlignment="1">
      <alignment horizontal="center" vertical="center" wrapText="1"/>
    </xf>
    <xf numFmtId="173" fontId="214" fillId="30" borderId="10" xfId="0" applyNumberFormat="1" applyFont="1" applyFill="1" applyBorder="1" applyAlignment="1">
      <alignment vertical="center" wrapText="1"/>
    </xf>
    <xf numFmtId="173" fontId="432" fillId="30" borderId="95" xfId="0" applyNumberFormat="1" applyFont="1" applyFill="1" applyBorder="1" applyAlignment="1">
      <alignment horizontal="center" vertical="center" wrapText="1"/>
    </xf>
    <xf numFmtId="173" fontId="214" fillId="75" borderId="95" xfId="0" applyNumberFormat="1" applyFont="1" applyFill="1" applyBorder="1" applyAlignment="1">
      <alignment horizontal="center" vertical="center" wrapText="1"/>
    </xf>
    <xf numFmtId="173" fontId="214" fillId="30" borderId="457" xfId="0" applyNumberFormat="1" applyFont="1" applyFill="1" applyBorder="1" applyAlignment="1">
      <alignment horizontal="center" vertical="center" wrapText="1"/>
    </xf>
    <xf numFmtId="0" fontId="214" fillId="0" borderId="0" xfId="0" applyFont="1"/>
    <xf numFmtId="20" fontId="213" fillId="95" borderId="12" xfId="0" quotePrefix="1" applyNumberFormat="1" applyFont="1" applyFill="1" applyBorder="1" applyAlignment="1">
      <alignment horizontal="center" vertical="center"/>
    </xf>
    <xf numFmtId="20" fontId="213" fillId="95" borderId="12" xfId="0" applyNumberFormat="1" applyFont="1" applyFill="1" applyBorder="1" applyAlignment="1">
      <alignment horizontal="center" vertical="center"/>
    </xf>
    <xf numFmtId="20" fontId="213" fillId="77" borderId="486" xfId="0" applyNumberFormat="1" applyFont="1" applyFill="1" applyBorder="1" applyAlignment="1">
      <alignment horizontal="center" vertical="center"/>
    </xf>
    <xf numFmtId="20" fontId="213" fillId="26" borderId="486" xfId="0" applyNumberFormat="1" applyFont="1" applyFill="1" applyBorder="1" applyAlignment="1">
      <alignment horizontal="center" vertical="center"/>
    </xf>
    <xf numFmtId="0" fontId="433" fillId="0" borderId="0" xfId="0" applyFont="1"/>
    <xf numFmtId="0" fontId="434" fillId="0" borderId="48" xfId="0" applyFont="1" applyBorder="1" applyAlignment="1"/>
    <xf numFmtId="0" fontId="434" fillId="0" borderId="48" xfId="0" applyFont="1" applyBorder="1"/>
    <xf numFmtId="173" fontId="237" fillId="0" borderId="39" xfId="430" applyNumberFormat="1" applyFont="1" applyFill="1" applyBorder="1" applyAlignment="1">
      <alignment horizontal="center" vertical="center"/>
    </xf>
    <xf numFmtId="173" fontId="82" fillId="96" borderId="95" xfId="0" applyNumberFormat="1" applyFont="1" applyFill="1" applyBorder="1" applyAlignment="1">
      <alignment horizontal="center" vertical="center" wrapText="1"/>
    </xf>
    <xf numFmtId="173" fontId="237" fillId="76" borderId="95" xfId="0" applyNumberFormat="1" applyFont="1" applyFill="1" applyBorder="1" applyAlignment="1">
      <alignment horizontal="center" vertical="center" wrapText="1"/>
    </xf>
    <xf numFmtId="0" fontId="435" fillId="0" borderId="0" xfId="0" applyFont="1" applyBorder="1"/>
    <xf numFmtId="0" fontId="435" fillId="0" borderId="0" xfId="0" applyFont="1"/>
    <xf numFmtId="0" fontId="435" fillId="0" borderId="0" xfId="0" applyFont="1" applyProtection="1">
      <protection locked="0"/>
    </xf>
    <xf numFmtId="0" fontId="284" fillId="0" borderId="0" xfId="0" applyFont="1" applyAlignment="1">
      <alignment vertical="center"/>
    </xf>
    <xf numFmtId="0" fontId="284" fillId="0" borderId="0" xfId="0" applyFont="1"/>
    <xf numFmtId="0" fontId="284" fillId="0" borderId="42" xfId="0" applyFont="1" applyBorder="1"/>
    <xf numFmtId="0" fontId="284" fillId="0" borderId="301" xfId="0" applyFont="1" applyBorder="1"/>
    <xf numFmtId="0" fontId="384" fillId="0" borderId="0" xfId="0" applyFont="1" applyBorder="1"/>
    <xf numFmtId="0" fontId="284" fillId="0" borderId="0" xfId="0" applyFont="1" applyFill="1"/>
    <xf numFmtId="0" fontId="123" fillId="0" borderId="13" xfId="0" applyFont="1" applyBorder="1" applyAlignment="1" applyProtection="1">
      <alignment vertical="top"/>
    </xf>
    <xf numFmtId="0" fontId="310" fillId="0" borderId="0" xfId="0" applyFont="1"/>
    <xf numFmtId="0" fontId="7" fillId="0" borderId="12" xfId="423" applyNumberFormat="1" applyFont="1" applyBorder="1" applyAlignment="1">
      <alignment wrapText="1"/>
    </xf>
    <xf numFmtId="166" fontId="141" fillId="100" borderId="44" xfId="271" applyNumberFormat="1" applyFont="1" applyFill="1" applyBorder="1" applyAlignment="1">
      <alignment vertical="center"/>
    </xf>
    <xf numFmtId="166" fontId="141" fillId="100" borderId="72" xfId="271" applyNumberFormat="1" applyFont="1" applyFill="1" applyBorder="1" applyAlignment="1">
      <alignment vertical="center"/>
    </xf>
    <xf numFmtId="1" fontId="181" fillId="39" borderId="10" xfId="0" applyNumberFormat="1" applyFont="1" applyFill="1" applyBorder="1" applyAlignment="1">
      <alignment horizontal="center"/>
    </xf>
    <xf numFmtId="0" fontId="437" fillId="0" borderId="0" xfId="0" applyFont="1" applyAlignment="1"/>
    <xf numFmtId="0" fontId="436" fillId="0" borderId="0" xfId="0" applyFont="1" applyBorder="1"/>
    <xf numFmtId="0" fontId="438" fillId="0" borderId="0" xfId="0" applyFont="1" applyAlignment="1">
      <alignment vertical="center"/>
    </xf>
    <xf numFmtId="0" fontId="441" fillId="0" borderId="0" xfId="0" applyFont="1"/>
    <xf numFmtId="0" fontId="438" fillId="0" borderId="0" xfId="0" applyFont="1" applyFill="1"/>
    <xf numFmtId="0" fontId="441" fillId="0" borderId="0" xfId="0" applyFont="1" applyFill="1"/>
    <xf numFmtId="0" fontId="440" fillId="0" borderId="0" xfId="0" applyFont="1"/>
    <xf numFmtId="173" fontId="442" fillId="0" borderId="32" xfId="435" applyNumberFormat="1" applyFont="1" applyBorder="1" applyProtection="1"/>
    <xf numFmtId="173" fontId="14" fillId="0" borderId="502" xfId="435" applyNumberFormat="1" applyFont="1" applyBorder="1" applyProtection="1"/>
    <xf numFmtId="173" fontId="442" fillId="0" borderId="279" xfId="435" applyNumberFormat="1" applyFont="1" applyBorder="1"/>
    <xf numFmtId="173" fontId="14" fillId="0" borderId="280" xfId="435" applyNumberFormat="1" applyFont="1" applyBorder="1" applyProtection="1"/>
    <xf numFmtId="173" fontId="14" fillId="0" borderId="82" xfId="435" applyNumberFormat="1" applyFont="1" applyBorder="1" applyAlignment="1" applyProtection="1">
      <alignment horizontal="center"/>
    </xf>
    <xf numFmtId="1" fontId="14" fillId="0" borderId="188" xfId="435" applyNumberFormat="1" applyFont="1" applyBorder="1" applyAlignment="1" applyProtection="1">
      <alignment horizontal="center"/>
    </xf>
    <xf numFmtId="1" fontId="14" fillId="0" borderId="62" xfId="435" applyNumberFormat="1" applyFont="1" applyBorder="1" applyAlignment="1" applyProtection="1">
      <alignment horizontal="center"/>
    </xf>
    <xf numFmtId="1" fontId="14" fillId="0" borderId="63" xfId="435" applyNumberFormat="1" applyFont="1" applyBorder="1" applyAlignment="1" applyProtection="1">
      <alignment horizontal="center"/>
    </xf>
    <xf numFmtId="173" fontId="14" fillId="0" borderId="39" xfId="435" applyNumberFormat="1" applyFont="1" applyFill="1" applyBorder="1" applyAlignment="1" applyProtection="1">
      <alignment horizontal="center"/>
    </xf>
    <xf numFmtId="0" fontId="443" fillId="0" borderId="62" xfId="0" applyFont="1" applyBorder="1" applyAlignment="1">
      <alignment horizontal="center" vertical="center" wrapText="1"/>
    </xf>
    <xf numFmtId="0" fontId="444" fillId="0" borderId="63" xfId="0" applyFont="1" applyBorder="1" applyAlignment="1">
      <alignment horizontal="center" vertical="center" wrapText="1"/>
    </xf>
    <xf numFmtId="173" fontId="13" fillId="0" borderId="306" xfId="435" applyNumberFormat="1" applyFont="1" applyBorder="1" applyAlignment="1" applyProtection="1"/>
    <xf numFmtId="173" fontId="13" fillId="0" borderId="32" xfId="435" applyNumberFormat="1" applyFont="1" applyBorder="1" applyAlignment="1" applyProtection="1"/>
    <xf numFmtId="173" fontId="13" fillId="0" borderId="33" xfId="435" applyNumberFormat="1" applyFont="1" applyBorder="1" applyAlignment="1" applyProtection="1"/>
    <xf numFmtId="173" fontId="13" fillId="0" borderId="502" xfId="435" applyNumberFormat="1" applyFont="1" applyBorder="1" applyAlignment="1" applyProtection="1"/>
    <xf numFmtId="173" fontId="13" fillId="0" borderId="316" xfId="435" applyNumberFormat="1" applyFont="1" applyBorder="1" applyAlignment="1" applyProtection="1"/>
    <xf numFmtId="173" fontId="13" fillId="0" borderId="32" xfId="435" applyNumberFormat="1" applyFont="1" applyBorder="1" applyAlignment="1"/>
    <xf numFmtId="173" fontId="13" fillId="0" borderId="33" xfId="435" applyNumberFormat="1" applyFont="1" applyBorder="1" applyAlignment="1"/>
    <xf numFmtId="173" fontId="13" fillId="0" borderId="280" xfId="435" applyNumberFormat="1" applyFont="1" applyBorder="1" applyAlignment="1"/>
    <xf numFmtId="0" fontId="416" fillId="0" borderId="499" xfId="0" applyFont="1" applyBorder="1" applyAlignment="1">
      <alignment horizontal="center" vertical="center" wrapText="1"/>
    </xf>
    <xf numFmtId="0" fontId="416" fillId="102" borderId="499" xfId="0" applyFont="1" applyFill="1" applyBorder="1" applyAlignment="1">
      <alignment horizontal="center" vertical="center" wrapText="1"/>
    </xf>
    <xf numFmtId="0" fontId="101" fillId="34" borderId="499" xfId="0" applyFont="1" applyFill="1" applyBorder="1" applyAlignment="1">
      <alignment horizontal="center" vertical="center" wrapText="1"/>
    </xf>
    <xf numFmtId="168" fontId="445" fillId="0" borderId="62" xfId="0" applyNumberFormat="1" applyFont="1" applyBorder="1" applyAlignment="1">
      <alignment horizontal="center" vertical="center" wrapText="1"/>
    </xf>
    <xf numFmtId="168" fontId="446" fillId="0" borderId="62" xfId="0" applyNumberFormat="1" applyFont="1" applyBorder="1" applyAlignment="1">
      <alignment horizontal="center" vertical="center" wrapText="1"/>
    </xf>
    <xf numFmtId="0" fontId="284" fillId="0" borderId="13" xfId="0" applyFont="1" applyBorder="1" applyAlignment="1">
      <alignment vertical="center"/>
    </xf>
    <xf numFmtId="0" fontId="284" fillId="0" borderId="13" xfId="0" applyFont="1" applyFill="1" applyBorder="1"/>
    <xf numFmtId="20" fontId="310" fillId="0" borderId="13" xfId="0" applyNumberFormat="1" applyFont="1" applyBorder="1"/>
    <xf numFmtId="0" fontId="439" fillId="0" borderId="13" xfId="0" applyFont="1" applyBorder="1"/>
    <xf numFmtId="0" fontId="338" fillId="0" borderId="13" xfId="0" applyFont="1" applyBorder="1"/>
    <xf numFmtId="0" fontId="310" fillId="0" borderId="13" xfId="0" applyFont="1" applyFill="1" applyBorder="1"/>
    <xf numFmtId="0" fontId="284" fillId="0" borderId="24" xfId="0" applyFont="1" applyBorder="1"/>
    <xf numFmtId="0" fontId="447" fillId="0" borderId="504" xfId="0" applyFont="1" applyBorder="1" applyAlignment="1">
      <alignment wrapText="1"/>
    </xf>
    <xf numFmtId="14" fontId="209" fillId="31" borderId="501" xfId="0" applyNumberFormat="1" applyFont="1" applyFill="1" applyBorder="1" applyAlignment="1">
      <alignment horizontal="left" vertical="center"/>
    </xf>
    <xf numFmtId="1" fontId="205" fillId="97" borderId="62" xfId="0" applyNumberFormat="1" applyFont="1" applyFill="1" applyBorder="1" applyAlignment="1" applyProtection="1">
      <protection locked="0"/>
    </xf>
    <xf numFmtId="1" fontId="7" fillId="0" borderId="48" xfId="432" applyNumberFormat="1" applyFont="1" applyFill="1" applyBorder="1" applyAlignment="1" applyProtection="1">
      <alignment horizontal="center" vertical="center"/>
      <protection locked="0"/>
    </xf>
    <xf numFmtId="20" fontId="209" fillId="31" borderId="503" xfId="0" applyNumberFormat="1" applyFont="1" applyFill="1" applyBorder="1" applyAlignment="1">
      <alignment vertical="top"/>
    </xf>
    <xf numFmtId="14" fontId="142" fillId="0" borderId="505" xfId="429" applyNumberFormat="1" applyFont="1" applyFill="1" applyBorder="1" applyAlignment="1">
      <alignment horizontal="left"/>
    </xf>
    <xf numFmtId="1" fontId="290" fillId="71" borderId="500" xfId="0" applyNumberFormat="1" applyFont="1" applyFill="1" applyBorder="1" applyAlignment="1">
      <alignment horizontal="center" vertical="center"/>
    </xf>
    <xf numFmtId="166" fontId="290" fillId="77" borderId="500" xfId="271" applyNumberFormat="1" applyFont="1" applyFill="1" applyBorder="1" applyAlignment="1">
      <alignment horizontal="center" vertical="center"/>
    </xf>
    <xf numFmtId="1" fontId="290" fillId="71" borderId="500" xfId="0" applyNumberFormat="1" applyFont="1" applyFill="1" applyBorder="1" applyAlignment="1" applyProtection="1">
      <alignment horizontal="center" vertical="center"/>
      <protection locked="0"/>
    </xf>
    <xf numFmtId="1" fontId="290" fillId="79" borderId="490" xfId="0" applyNumberFormat="1" applyFont="1" applyFill="1" applyBorder="1" applyAlignment="1" applyProtection="1">
      <alignment horizontal="center" vertical="center"/>
      <protection locked="0"/>
    </xf>
    <xf numFmtId="166" fontId="290" fillId="79" borderId="490" xfId="271" applyNumberFormat="1" applyFont="1" applyFill="1" applyBorder="1" applyAlignment="1">
      <alignment horizontal="center" vertical="center"/>
    </xf>
    <xf numFmtId="1" fontId="290" fillId="78" borderId="490" xfId="0" applyNumberFormat="1" applyFont="1" applyFill="1" applyBorder="1" applyAlignment="1" applyProtection="1">
      <alignment horizontal="center" vertical="center"/>
      <protection locked="0"/>
    </xf>
    <xf numFmtId="1" fontId="290" fillId="79" borderId="506" xfId="0" applyNumberFormat="1" applyFont="1" applyFill="1" applyBorder="1" applyAlignment="1" applyProtection="1">
      <alignment horizontal="center" vertical="center"/>
      <protection locked="0"/>
    </xf>
    <xf numFmtId="1" fontId="204" fillId="39" borderId="500" xfId="0" applyNumberFormat="1" applyFont="1" applyFill="1" applyBorder="1" applyAlignment="1" applyProtection="1">
      <alignment horizontal="center" vertical="center"/>
      <protection locked="0"/>
    </xf>
    <xf numFmtId="1" fontId="448" fillId="35" borderId="62" xfId="0" applyNumberFormat="1" applyFont="1" applyFill="1" applyBorder="1" applyAlignment="1" applyProtection="1">
      <alignment horizontal="center" vertical="center"/>
      <protection locked="0"/>
    </xf>
    <xf numFmtId="0" fontId="209" fillId="31" borderId="0" xfId="0" applyNumberFormat="1" applyFont="1" applyFill="1" applyBorder="1" applyAlignment="1">
      <alignment horizontal="left"/>
    </xf>
    <xf numFmtId="173" fontId="7" fillId="0" borderId="507" xfId="429" applyNumberFormat="1" applyFont="1" applyFill="1" applyBorder="1" applyAlignment="1">
      <alignment vertical="center"/>
    </xf>
    <xf numFmtId="0" fontId="7" fillId="0" borderId="507" xfId="428" applyFont="1" applyFill="1" applyBorder="1" applyAlignment="1">
      <alignment vertical="center"/>
    </xf>
    <xf numFmtId="0" fontId="7" fillId="0" borderId="507" xfId="428" applyFont="1" applyFill="1" applyBorder="1" applyAlignment="1">
      <alignment horizontal="center" vertical="center"/>
    </xf>
    <xf numFmtId="0" fontId="7" fillId="0" borderId="507" xfId="0" applyFont="1" applyFill="1" applyBorder="1" applyAlignment="1">
      <alignment horizontal="center" vertical="center"/>
    </xf>
    <xf numFmtId="1" fontId="7" fillId="0" borderId="507" xfId="428" applyNumberFormat="1" applyFont="1" applyFill="1" applyBorder="1" applyAlignment="1">
      <alignment horizontal="center" vertical="center"/>
    </xf>
    <xf numFmtId="1" fontId="7" fillId="0" borderId="507" xfId="428" applyNumberFormat="1" applyFont="1" applyFill="1" applyBorder="1" applyAlignment="1" applyProtection="1">
      <alignment horizontal="center" vertical="center"/>
      <protection locked="0"/>
    </xf>
    <xf numFmtId="1" fontId="7" fillId="0" borderId="507" xfId="432" applyNumberFormat="1" applyFont="1" applyFill="1" applyBorder="1" applyAlignment="1" applyProtection="1">
      <alignment horizontal="center"/>
      <protection locked="0"/>
    </xf>
    <xf numFmtId="0" fontId="209" fillId="31" borderId="508" xfId="0" applyFont="1" applyFill="1" applyBorder="1"/>
    <xf numFmtId="20" fontId="143" fillId="0" borderId="509" xfId="428" applyNumberFormat="1" applyFont="1" applyFill="1" applyBorder="1" applyAlignment="1">
      <alignment vertical="center"/>
    </xf>
    <xf numFmtId="14" fontId="142" fillId="0" borderId="507" xfId="428" applyNumberFormat="1" applyFont="1" applyFill="1" applyBorder="1" applyAlignment="1">
      <alignment horizontal="left" vertical="center"/>
    </xf>
    <xf numFmtId="0" fontId="7" fillId="0" borderId="510" xfId="428" applyFont="1" applyFill="1" applyBorder="1" applyAlignment="1">
      <alignment horizontal="center" vertical="center"/>
    </xf>
    <xf numFmtId="20" fontId="143" fillId="0" borderId="511" xfId="428" applyNumberFormat="1" applyFont="1" applyFill="1" applyBorder="1" applyAlignment="1">
      <alignment vertical="center"/>
    </xf>
    <xf numFmtId="0" fontId="416" fillId="63" borderId="0" xfId="0" applyFont="1" applyFill="1" applyBorder="1" applyAlignment="1">
      <alignment horizontal="center" vertical="center" wrapText="1"/>
    </xf>
    <xf numFmtId="0" fontId="416" fillId="0" borderId="0" xfId="0" applyFont="1" applyBorder="1" applyAlignment="1">
      <alignment horizontal="center" vertical="center" wrapText="1"/>
    </xf>
    <xf numFmtId="0" fontId="416" fillId="102" borderId="0" xfId="0" applyFont="1" applyFill="1" applyBorder="1" applyAlignment="1">
      <alignment horizontal="center" vertical="center" wrapText="1"/>
    </xf>
    <xf numFmtId="0" fontId="447" fillId="0" borderId="0" xfId="0" applyFont="1" applyBorder="1" applyAlignment="1">
      <alignment horizontal="right" wrapText="1"/>
    </xf>
    <xf numFmtId="0" fontId="101" fillId="34" borderId="0" xfId="0" applyFont="1" applyFill="1" applyBorder="1" applyAlignment="1">
      <alignment horizontal="center" vertical="center" wrapText="1"/>
    </xf>
    <xf numFmtId="0" fontId="447" fillId="0" borderId="458" xfId="0" applyFont="1" applyBorder="1" applyAlignment="1"/>
    <xf numFmtId="0" fontId="101" fillId="101" borderId="458" xfId="0" applyFont="1" applyFill="1" applyBorder="1" applyAlignment="1">
      <alignment horizontal="center" vertical="center"/>
    </xf>
    <xf numFmtId="1" fontId="9" fillId="0" borderId="37" xfId="428" applyNumberFormat="1" applyFont="1" applyFill="1" applyBorder="1" applyAlignment="1">
      <alignment vertical="center"/>
    </xf>
    <xf numFmtId="0" fontId="122" fillId="0" borderId="0" xfId="0" applyFont="1"/>
    <xf numFmtId="0" fontId="225" fillId="0" borderId="0" xfId="0" quotePrefix="1" applyFont="1"/>
    <xf numFmtId="1" fontId="290" fillId="71" borderId="512" xfId="0" applyNumberFormat="1" applyFont="1" applyFill="1" applyBorder="1" applyAlignment="1">
      <alignment horizontal="center" vertical="center"/>
    </xf>
    <xf numFmtId="166" fontId="290" fillId="77" borderId="512" xfId="271" applyNumberFormat="1" applyFont="1" applyFill="1" applyBorder="1" applyAlignment="1">
      <alignment horizontal="center" vertical="center"/>
    </xf>
    <xf numFmtId="1" fontId="290" fillId="71" borderId="512" xfId="0" applyNumberFormat="1" applyFont="1" applyFill="1" applyBorder="1" applyAlignment="1" applyProtection="1">
      <alignment horizontal="center" vertical="center"/>
      <protection locked="0"/>
    </xf>
    <xf numFmtId="1" fontId="290" fillId="71" borderId="513" xfId="0" applyNumberFormat="1" applyFont="1" applyFill="1" applyBorder="1" applyAlignment="1">
      <alignment horizontal="center" vertical="center"/>
    </xf>
    <xf numFmtId="1" fontId="49" fillId="89" borderId="273" xfId="0" applyNumberFormat="1" applyFont="1" applyFill="1" applyBorder="1" applyAlignment="1" applyProtection="1">
      <alignment horizontal="center" vertical="center"/>
      <protection locked="0"/>
    </xf>
    <xf numFmtId="1" fontId="49" fillId="89" borderId="100" xfId="0" applyNumberFormat="1" applyFont="1" applyFill="1" applyBorder="1" applyAlignment="1" applyProtection="1">
      <alignment horizontal="center" vertical="center"/>
      <protection locked="0"/>
    </xf>
    <xf numFmtId="1" fontId="49" fillId="89" borderId="514" xfId="0" applyNumberFormat="1" applyFont="1" applyFill="1" applyBorder="1" applyAlignment="1" applyProtection="1">
      <alignment horizontal="center" vertical="center"/>
      <protection locked="0"/>
    </xf>
    <xf numFmtId="1" fontId="49" fillId="68" borderId="514" xfId="0" applyNumberFormat="1" applyFont="1" applyFill="1" applyBorder="1" applyAlignment="1" applyProtection="1">
      <alignment horizontal="center" vertical="center"/>
      <protection locked="0"/>
    </xf>
    <xf numFmtId="1" fontId="49" fillId="89" borderId="515" xfId="0" applyNumberFormat="1" applyFont="1" applyFill="1" applyBorder="1" applyAlignment="1" applyProtection="1">
      <alignment horizontal="center" vertical="center"/>
      <protection locked="0"/>
    </xf>
    <xf numFmtId="1" fontId="2" fillId="89" borderId="187" xfId="0" applyNumberFormat="1" applyFont="1" applyFill="1" applyBorder="1" applyAlignment="1" applyProtection="1">
      <alignment horizontal="center" vertical="center"/>
      <protection locked="0"/>
    </xf>
    <xf numFmtId="1" fontId="204" fillId="71" borderId="516" xfId="0" applyNumberFormat="1" applyFont="1" applyFill="1" applyBorder="1" applyAlignment="1">
      <alignment horizontal="center" vertical="center"/>
    </xf>
    <xf numFmtId="1" fontId="448" fillId="35" borderId="188" xfId="0" applyNumberFormat="1" applyFont="1" applyFill="1" applyBorder="1" applyAlignment="1">
      <alignment horizontal="center" vertical="center"/>
    </xf>
    <xf numFmtId="0" fontId="416" fillId="63" borderId="451" xfId="0" applyFont="1" applyFill="1" applyBorder="1" applyAlignment="1">
      <alignment horizontal="center" vertical="center" wrapText="1"/>
    </xf>
    <xf numFmtId="0" fontId="92" fillId="0" borderId="499" xfId="0" applyFont="1" applyBorder="1" applyAlignment="1">
      <alignment horizontal="center" wrapText="1"/>
    </xf>
    <xf numFmtId="0" fontId="423" fillId="0" borderId="189" xfId="436" applyFont="1" applyBorder="1" applyAlignment="1">
      <alignment vertical="center"/>
    </xf>
    <xf numFmtId="0" fontId="379" fillId="0" borderId="301" xfId="436" applyNumberFormat="1" applyFont="1" applyFill="1" applyBorder="1" applyAlignment="1" applyProtection="1">
      <alignment horizontal="right" vertical="center"/>
      <protection locked="0"/>
    </xf>
    <xf numFmtId="0" fontId="379" fillId="0" borderId="301" xfId="436" applyFont="1" applyFill="1" applyBorder="1" applyAlignment="1">
      <alignment horizontal="right" vertical="center"/>
    </xf>
    <xf numFmtId="0" fontId="422" fillId="0" borderId="301" xfId="436" applyFont="1" applyBorder="1" applyAlignment="1">
      <alignment vertical="center"/>
    </xf>
    <xf numFmtId="0" fontId="422" fillId="0" borderId="41" xfId="436" applyFont="1" applyBorder="1" applyAlignment="1" applyProtection="1">
      <alignment vertical="center"/>
      <protection locked="0"/>
    </xf>
    <xf numFmtId="173" fontId="7" fillId="0" borderId="74" xfId="429" applyNumberFormat="1" applyFont="1" applyFill="1" applyBorder="1" applyAlignment="1">
      <alignment vertical="center"/>
    </xf>
    <xf numFmtId="1" fontId="7" fillId="0" borderId="74" xfId="429" applyNumberFormat="1" applyFont="1" applyFill="1" applyBorder="1" applyAlignment="1">
      <alignment horizontal="center" vertical="center"/>
    </xf>
    <xf numFmtId="20" fontId="20" fillId="0" borderId="74" xfId="429" applyNumberFormat="1" applyFont="1" applyFill="1" applyBorder="1" applyAlignment="1">
      <alignment vertical="center"/>
    </xf>
    <xf numFmtId="166" fontId="141" fillId="54" borderId="72" xfId="271" applyNumberFormat="1" applyFont="1" applyFill="1" applyBorder="1" applyAlignment="1">
      <alignment horizontal="center" vertical="center"/>
    </xf>
    <xf numFmtId="0" fontId="451" fillId="0" borderId="0" xfId="0" applyFont="1" applyBorder="1" applyAlignment="1">
      <alignment vertical="center"/>
    </xf>
    <xf numFmtId="166" fontId="141" fillId="110" borderId="44" xfId="271" applyNumberFormat="1" applyFont="1" applyFill="1" applyBorder="1" applyAlignment="1">
      <alignment vertical="center"/>
    </xf>
    <xf numFmtId="166" fontId="141" fillId="110" borderId="72" xfId="271" applyNumberFormat="1" applyFont="1" applyFill="1" applyBorder="1" applyAlignment="1">
      <alignment vertical="center"/>
    </xf>
    <xf numFmtId="173" fontId="7" fillId="82" borderId="520" xfId="429" applyNumberFormat="1" applyFont="1" applyFill="1" applyBorder="1" applyAlignment="1">
      <alignment vertical="center"/>
    </xf>
    <xf numFmtId="0" fontId="7" fillId="82" borderId="521" xfId="428" applyFont="1" applyFill="1" applyBorder="1" applyAlignment="1">
      <alignment vertical="center"/>
    </xf>
    <xf numFmtId="0" fontId="7" fillId="82" borderId="522" xfId="428" applyFont="1" applyFill="1" applyBorder="1" applyAlignment="1">
      <alignment horizontal="center" vertical="center"/>
    </xf>
    <xf numFmtId="0" fontId="7" fillId="82" borderId="523" xfId="428" applyFont="1" applyFill="1" applyBorder="1" applyAlignment="1">
      <alignment horizontal="center" vertical="center"/>
    </xf>
    <xf numFmtId="0" fontId="7" fillId="82" borderId="524" xfId="428" applyFont="1" applyFill="1" applyBorder="1" applyAlignment="1">
      <alignment horizontal="center" vertical="center"/>
    </xf>
    <xf numFmtId="0" fontId="7" fillId="82" borderId="522" xfId="428" applyNumberFormat="1" applyFont="1" applyFill="1" applyBorder="1" applyAlignment="1">
      <alignment horizontal="center" vertical="center"/>
    </xf>
    <xf numFmtId="0" fontId="7" fillId="82" borderId="521" xfId="428" applyFont="1" applyFill="1" applyBorder="1" applyAlignment="1">
      <alignment horizontal="center" vertical="center"/>
    </xf>
    <xf numFmtId="1" fontId="7" fillId="82" borderId="523" xfId="428" applyNumberFormat="1" applyFont="1" applyFill="1" applyBorder="1" applyAlignment="1">
      <alignment horizontal="center" vertical="center"/>
    </xf>
    <xf numFmtId="1" fontId="7" fillId="82" borderId="522" xfId="428" applyNumberFormat="1" applyFont="1" applyFill="1" applyBorder="1" applyAlignment="1">
      <alignment horizontal="center" vertical="center"/>
    </xf>
    <xf numFmtId="1" fontId="7" fillId="82" borderId="523" xfId="428" applyNumberFormat="1" applyFont="1" applyFill="1" applyBorder="1" applyAlignment="1" applyProtection="1">
      <alignment horizontal="center" vertical="center"/>
      <protection locked="0"/>
    </xf>
    <xf numFmtId="1" fontId="7" fillId="82" borderId="522" xfId="428" applyNumberFormat="1" applyFont="1" applyFill="1" applyBorder="1" applyAlignment="1" applyProtection="1">
      <alignment horizontal="center" vertical="center"/>
      <protection locked="0"/>
    </xf>
    <xf numFmtId="14" fontId="142" fillId="82" borderId="521" xfId="428" applyNumberFormat="1" applyFont="1" applyFill="1" applyBorder="1" applyAlignment="1">
      <alignment horizontal="left" vertical="center"/>
    </xf>
    <xf numFmtId="20" fontId="209" fillId="31" borderId="525" xfId="0" applyNumberFormat="1" applyFont="1" applyFill="1" applyBorder="1" applyAlignment="1">
      <alignment vertical="top"/>
    </xf>
    <xf numFmtId="173" fontId="214" fillId="111" borderId="95" xfId="0" applyNumberFormat="1" applyFont="1" applyFill="1" applyBorder="1" applyAlignment="1">
      <alignment horizontal="center" vertical="center" wrapText="1"/>
    </xf>
    <xf numFmtId="0" fontId="451" fillId="0" borderId="0" xfId="0" applyFont="1" applyBorder="1" applyAlignment="1"/>
    <xf numFmtId="0" fontId="451" fillId="0" borderId="0" xfId="0" applyFont="1" applyBorder="1"/>
    <xf numFmtId="1" fontId="450" fillId="0" borderId="48" xfId="0" applyNumberFormat="1" applyFont="1" applyBorder="1" applyAlignment="1">
      <alignment horizontal="center" vertical="center"/>
    </xf>
    <xf numFmtId="0" fontId="209" fillId="31" borderId="525" xfId="0" applyNumberFormat="1" applyFont="1" applyFill="1" applyBorder="1" applyAlignment="1">
      <alignment vertical="center"/>
    </xf>
    <xf numFmtId="1" fontId="290" fillId="79" borderId="516" xfId="0" applyNumberFormat="1" applyFont="1" applyFill="1" applyBorder="1" applyAlignment="1" applyProtection="1">
      <alignment horizontal="center" vertical="center"/>
      <protection locked="0"/>
    </xf>
    <xf numFmtId="166" fontId="290" fillId="79" borderId="516" xfId="271" applyNumberFormat="1" applyFont="1" applyFill="1" applyBorder="1" applyAlignment="1">
      <alignment horizontal="center" vertical="center"/>
    </xf>
    <xf numFmtId="1" fontId="290" fillId="78" borderId="516" xfId="0" applyNumberFormat="1" applyFont="1" applyFill="1" applyBorder="1" applyAlignment="1" applyProtection="1">
      <alignment horizontal="center" vertical="center"/>
      <protection locked="0"/>
    </xf>
    <xf numFmtId="1" fontId="290" fillId="79" borderId="528" xfId="0" applyNumberFormat="1" applyFont="1" applyFill="1" applyBorder="1" applyAlignment="1" applyProtection="1">
      <alignment horizontal="center" vertical="center"/>
      <protection locked="0"/>
    </xf>
    <xf numFmtId="1" fontId="204" fillId="39" borderId="516" xfId="0" applyNumberFormat="1" applyFont="1" applyFill="1" applyBorder="1" applyAlignment="1" applyProtection="1">
      <alignment horizontal="center" vertical="center"/>
      <protection locked="0"/>
    </xf>
    <xf numFmtId="1" fontId="448" fillId="35" borderId="188" xfId="0" applyNumberFormat="1" applyFont="1" applyFill="1" applyBorder="1" applyAlignment="1" applyProtection="1">
      <alignment horizontal="center" vertical="center"/>
      <protection locked="0"/>
    </xf>
    <xf numFmtId="1" fontId="204" fillId="39" borderId="527" xfId="0" applyNumberFormat="1" applyFont="1" applyFill="1" applyBorder="1" applyAlignment="1" applyProtection="1">
      <alignment horizontal="center" vertical="center"/>
      <protection locked="0"/>
    </xf>
    <xf numFmtId="1" fontId="204" fillId="39" borderId="526" xfId="0" applyNumberFormat="1" applyFont="1" applyFill="1" applyBorder="1" applyAlignment="1" applyProtection="1">
      <alignment horizontal="center" vertical="center"/>
      <protection locked="0"/>
    </xf>
    <xf numFmtId="0" fontId="454" fillId="0" borderId="0" xfId="0" applyFont="1"/>
    <xf numFmtId="173" fontId="7" fillId="47" borderId="70" xfId="429" applyNumberFormat="1" applyFont="1" applyFill="1" applyBorder="1" applyAlignment="1">
      <alignment vertical="center"/>
    </xf>
    <xf numFmtId="173" fontId="7" fillId="47" borderId="70" xfId="429" applyNumberFormat="1" applyFont="1" applyFill="1" applyBorder="1" applyAlignment="1">
      <alignment horizontal="center" vertical="center"/>
    </xf>
    <xf numFmtId="173" fontId="7" fillId="47" borderId="60" xfId="429" applyNumberFormat="1" applyFont="1" applyFill="1" applyBorder="1" applyAlignment="1">
      <alignment horizontal="center" vertical="center"/>
    </xf>
    <xf numFmtId="1" fontId="7" fillId="47" borderId="70" xfId="429" applyNumberFormat="1" applyFont="1" applyFill="1" applyBorder="1" applyAlignment="1">
      <alignment horizontal="center" vertical="center"/>
    </xf>
    <xf numFmtId="1" fontId="7" fillId="47" borderId="15" xfId="429" applyNumberFormat="1" applyFont="1" applyFill="1" applyBorder="1" applyAlignment="1">
      <alignment horizontal="center" vertical="center"/>
    </xf>
    <xf numFmtId="1" fontId="7" fillId="47" borderId="65" xfId="428" applyNumberFormat="1" applyFont="1" applyFill="1" applyBorder="1" applyAlignment="1" applyProtection="1">
      <alignment horizontal="center" vertical="center"/>
      <protection locked="0"/>
    </xf>
    <xf numFmtId="1" fontId="336" fillId="47" borderId="65" xfId="429" applyNumberFormat="1" applyFont="1" applyFill="1" applyBorder="1" applyAlignment="1" applyProtection="1">
      <alignment horizontal="center" vertical="center"/>
    </xf>
    <xf numFmtId="20" fontId="145" fillId="47" borderId="70" xfId="429" applyNumberFormat="1" applyFont="1" applyFill="1" applyBorder="1" applyAlignment="1">
      <alignment vertical="center"/>
    </xf>
    <xf numFmtId="1" fontId="7" fillId="47" borderId="75" xfId="429" applyNumberFormat="1" applyFont="1" applyFill="1" applyBorder="1" applyAlignment="1" applyProtection="1">
      <alignment horizontal="center" vertical="center"/>
    </xf>
    <xf numFmtId="0" fontId="284" fillId="0" borderId="13" xfId="0" applyFont="1" applyBorder="1" applyAlignment="1"/>
    <xf numFmtId="1" fontId="290" fillId="71" borderId="527" xfId="0" applyNumberFormat="1" applyFont="1" applyFill="1" applyBorder="1" applyAlignment="1">
      <alignment horizontal="center" vertical="center"/>
    </xf>
    <xf numFmtId="166" fontId="290" fillId="77" borderId="527" xfId="271" applyNumberFormat="1" applyFont="1" applyFill="1" applyBorder="1" applyAlignment="1">
      <alignment horizontal="center" vertical="center"/>
    </xf>
    <xf numFmtId="1" fontId="290" fillId="71" borderId="527" xfId="0" applyNumberFormat="1" applyFont="1" applyFill="1" applyBorder="1" applyAlignment="1" applyProtection="1">
      <alignment horizontal="center" vertical="center"/>
      <protection locked="0"/>
    </xf>
    <xf numFmtId="1" fontId="290" fillId="71" borderId="530" xfId="0" applyNumberFormat="1" applyFont="1" applyFill="1" applyBorder="1" applyAlignment="1">
      <alignment horizontal="center" vertical="center"/>
    </xf>
    <xf numFmtId="1" fontId="204" fillId="71" borderId="531" xfId="0" applyNumberFormat="1" applyFont="1" applyFill="1" applyBorder="1" applyAlignment="1">
      <alignment horizontal="center" vertical="center"/>
    </xf>
    <xf numFmtId="1" fontId="204" fillId="71" borderId="532" xfId="0" applyNumberFormat="1" applyFont="1" applyFill="1" applyBorder="1" applyAlignment="1">
      <alignment horizontal="center" vertical="center"/>
    </xf>
    <xf numFmtId="0" fontId="7" fillId="0" borderId="533" xfId="428" applyFont="1" applyFill="1" applyBorder="1" applyAlignment="1">
      <alignment horizontal="center" vertical="center"/>
    </xf>
    <xf numFmtId="173" fontId="7" fillId="0" borderId="533" xfId="429" applyNumberFormat="1" applyFont="1" applyFill="1" applyBorder="1" applyAlignment="1">
      <alignment vertical="center"/>
    </xf>
    <xf numFmtId="0" fontId="7" fillId="0" borderId="533" xfId="428" applyFont="1" applyFill="1" applyBorder="1" applyAlignment="1">
      <alignment vertical="center"/>
    </xf>
    <xf numFmtId="1" fontId="7" fillId="0" borderId="533" xfId="428" applyNumberFormat="1" applyFont="1" applyFill="1" applyBorder="1" applyAlignment="1">
      <alignment horizontal="center" vertical="center"/>
    </xf>
    <xf numFmtId="1" fontId="7" fillId="0" borderId="533" xfId="428" applyNumberFormat="1" applyFont="1" applyFill="1" applyBorder="1" applyAlignment="1" applyProtection="1">
      <alignment horizontal="center" vertical="center"/>
      <protection locked="0"/>
    </xf>
    <xf numFmtId="1" fontId="7" fillId="0" borderId="533" xfId="432" applyNumberFormat="1" applyFont="1" applyFill="1" applyBorder="1" applyAlignment="1" applyProtection="1">
      <alignment horizontal="center"/>
      <protection locked="0"/>
    </xf>
    <xf numFmtId="0" fontId="209" fillId="31" borderId="529" xfId="0" applyFont="1" applyFill="1" applyBorder="1" applyAlignment="1">
      <alignment horizontal="left" vertical="top"/>
    </xf>
    <xf numFmtId="20" fontId="143" fillId="0" borderId="534" xfId="428" applyNumberFormat="1" applyFont="1" applyFill="1" applyBorder="1" applyAlignment="1">
      <alignment vertical="center"/>
    </xf>
    <xf numFmtId="14" fontId="142" fillId="0" borderId="533" xfId="428" applyNumberFormat="1" applyFont="1" applyFill="1" applyBorder="1" applyAlignment="1">
      <alignment horizontal="left" vertical="center"/>
    </xf>
    <xf numFmtId="0" fontId="7" fillId="0" borderId="535" xfId="428" applyFont="1" applyFill="1" applyBorder="1" applyAlignment="1">
      <alignment horizontal="center" vertical="center"/>
    </xf>
    <xf numFmtId="0" fontId="7" fillId="0" borderId="536" xfId="428" applyFont="1" applyFill="1" applyBorder="1" applyAlignment="1">
      <alignment horizontal="center" vertical="center"/>
    </xf>
    <xf numFmtId="0" fontId="7" fillId="0" borderId="537" xfId="428" applyFont="1" applyFill="1" applyBorder="1" applyAlignment="1">
      <alignment horizontal="center" vertical="center"/>
    </xf>
    <xf numFmtId="1" fontId="7" fillId="0" borderId="537" xfId="428" applyNumberFormat="1" applyFont="1" applyFill="1" applyBorder="1" applyAlignment="1">
      <alignment horizontal="center" vertical="center"/>
    </xf>
    <xf numFmtId="1" fontId="7" fillId="0" borderId="536" xfId="428" applyNumberFormat="1" applyFont="1" applyFill="1" applyBorder="1" applyAlignment="1" applyProtection="1">
      <alignment horizontal="center" vertical="center"/>
      <protection locked="0"/>
    </xf>
    <xf numFmtId="1" fontId="7" fillId="0" borderId="537" xfId="428" applyNumberFormat="1" applyFont="1" applyFill="1" applyBorder="1" applyAlignment="1" applyProtection="1">
      <alignment horizontal="center" vertical="center"/>
      <protection locked="0"/>
    </xf>
    <xf numFmtId="1" fontId="7" fillId="0" borderId="538" xfId="432" applyNumberFormat="1" applyFont="1" applyFill="1" applyBorder="1" applyAlignment="1" applyProtection="1">
      <alignment horizontal="center"/>
      <protection locked="0"/>
    </xf>
    <xf numFmtId="0" fontId="209" fillId="31" borderId="535" xfId="0" applyFont="1" applyFill="1" applyBorder="1" applyAlignment="1">
      <alignment horizontal="left" vertical="top"/>
    </xf>
    <xf numFmtId="20" fontId="143" fillId="0" borderId="539" xfId="428" applyNumberFormat="1" applyFont="1" applyFill="1" applyBorder="1" applyAlignment="1">
      <alignment vertical="center"/>
    </xf>
    <xf numFmtId="14" fontId="142" fillId="0" borderId="538" xfId="428" applyNumberFormat="1" applyFont="1" applyFill="1" applyBorder="1" applyAlignment="1">
      <alignment horizontal="left" vertical="center"/>
    </xf>
    <xf numFmtId="0" fontId="7" fillId="0" borderId="537" xfId="0" applyFont="1" applyFill="1" applyBorder="1" applyAlignment="1">
      <alignment horizontal="center" vertical="center"/>
    </xf>
    <xf numFmtId="0" fontId="7" fillId="0" borderId="537" xfId="428" applyNumberFormat="1" applyFont="1" applyFill="1" applyBorder="1" applyAlignment="1">
      <alignment horizontal="center" vertical="center"/>
    </xf>
    <xf numFmtId="173" fontId="7" fillId="0" borderId="537" xfId="414" applyNumberFormat="1" applyFont="1" applyFill="1" applyBorder="1" applyAlignment="1">
      <alignment vertical="center"/>
    </xf>
    <xf numFmtId="0" fontId="222" fillId="0" borderId="537" xfId="0" applyFont="1" applyBorder="1"/>
    <xf numFmtId="1" fontId="7" fillId="0" borderId="537" xfId="432" applyNumberFormat="1" applyFont="1" applyFill="1" applyBorder="1" applyAlignment="1" applyProtection="1">
      <alignment horizontal="center"/>
      <protection locked="0"/>
    </xf>
    <xf numFmtId="14" fontId="142" fillId="0" borderId="537" xfId="428" applyNumberFormat="1" applyFont="1" applyFill="1" applyBorder="1" applyAlignment="1">
      <alignment horizontal="left" vertical="center"/>
    </xf>
    <xf numFmtId="17" fontId="109" fillId="0" borderId="0" xfId="0" applyNumberFormat="1" applyFont="1"/>
    <xf numFmtId="0" fontId="175" fillId="0" borderId="0" xfId="436" applyFont="1" applyBorder="1" applyAlignment="1">
      <alignment horizontal="left" vertical="center"/>
    </xf>
    <xf numFmtId="0" fontId="175" fillId="0" borderId="0" xfId="436" applyFont="1" applyAlignment="1">
      <alignment horizontal="right" vertical="center"/>
    </xf>
    <xf numFmtId="0" fontId="174" fillId="0" borderId="0" xfId="436" applyFont="1">
      <alignment vertical="center"/>
    </xf>
    <xf numFmtId="0" fontId="397" fillId="0" borderId="0" xfId="0" applyFont="1" applyAlignment="1">
      <alignment vertical="center"/>
    </xf>
    <xf numFmtId="15" fontId="175" fillId="0" borderId="0" xfId="436" applyNumberFormat="1" applyFont="1" applyAlignment="1">
      <alignment horizontal="left" vertical="center"/>
    </xf>
    <xf numFmtId="0" fontId="372" fillId="0" borderId="0" xfId="0" applyFont="1"/>
    <xf numFmtId="0" fontId="175" fillId="0" borderId="0" xfId="0" applyFont="1" applyAlignment="1">
      <alignment horizontal="left" vertical="center"/>
    </xf>
    <xf numFmtId="0" fontId="175" fillId="0" borderId="0" xfId="0" applyFont="1" applyBorder="1" applyAlignment="1">
      <alignment horizontal="left" vertical="center"/>
    </xf>
    <xf numFmtId="0" fontId="175" fillId="0" borderId="0" xfId="0" applyFont="1" applyBorder="1" applyAlignment="1" applyProtection="1">
      <alignment vertical="center"/>
      <protection locked="0"/>
    </xf>
    <xf numFmtId="0" fontId="372" fillId="0" borderId="0" xfId="0" applyFont="1" applyBorder="1"/>
    <xf numFmtId="0" fontId="397" fillId="0" borderId="0" xfId="0" applyFont="1" applyBorder="1"/>
    <xf numFmtId="1" fontId="7" fillId="0" borderId="74" xfId="414" applyNumberFormat="1" applyFont="1" applyFill="1" applyBorder="1" applyAlignment="1">
      <alignment horizontal="center" vertical="center"/>
    </xf>
    <xf numFmtId="14" fontId="20" fillId="0" borderId="65" xfId="429" applyNumberFormat="1" applyFont="1" applyFill="1" applyBorder="1" applyAlignment="1">
      <alignment horizontal="left" vertical="center"/>
    </xf>
    <xf numFmtId="173" fontId="7" fillId="0" borderId="66" xfId="429" applyNumberFormat="1" applyFont="1" applyFill="1" applyBorder="1" applyAlignment="1">
      <alignment vertical="center"/>
    </xf>
    <xf numFmtId="0" fontId="7" fillId="0" borderId="540" xfId="428" applyNumberFormat="1" applyFont="1" applyFill="1" applyBorder="1" applyAlignment="1" applyProtection="1">
      <alignment horizontal="center" vertical="center"/>
    </xf>
    <xf numFmtId="14" fontId="142" fillId="0" borderId="541" xfId="428" applyNumberFormat="1" applyFont="1" applyFill="1" applyBorder="1" applyAlignment="1">
      <alignment horizontal="left" vertical="center"/>
    </xf>
    <xf numFmtId="20" fontId="143" fillId="0" borderId="542" xfId="428" applyNumberFormat="1" applyFont="1" applyFill="1" applyBorder="1" applyAlignment="1">
      <alignment vertical="center"/>
    </xf>
    <xf numFmtId="1" fontId="210" fillId="0" borderId="0" xfId="0" applyNumberFormat="1" applyFont="1" applyFill="1" applyAlignment="1">
      <alignment horizontal="center" vertical="center"/>
    </xf>
    <xf numFmtId="0" fontId="220" fillId="0" borderId="0" xfId="0" applyFont="1" applyBorder="1"/>
    <xf numFmtId="0" fontId="456" fillId="0" borderId="0" xfId="0" applyFont="1"/>
    <xf numFmtId="1" fontId="456" fillId="0" borderId="0" xfId="0" applyNumberFormat="1" applyFont="1"/>
    <xf numFmtId="165" fontId="456" fillId="0" borderId="0" xfId="0" applyNumberFormat="1" applyFont="1"/>
    <xf numFmtId="0" fontId="209" fillId="0" borderId="543" xfId="0" applyFont="1" applyFill="1" applyBorder="1" applyAlignment="1">
      <alignment vertical="center"/>
    </xf>
    <xf numFmtId="0" fontId="209" fillId="0" borderId="543" xfId="0" applyFont="1" applyFill="1" applyBorder="1" applyAlignment="1">
      <alignment horizontal="left" vertical="center"/>
    </xf>
    <xf numFmtId="0" fontId="209" fillId="0" borderId="543" xfId="0" applyNumberFormat="1" applyFont="1" applyFill="1" applyBorder="1" applyAlignment="1">
      <alignment horizontal="left" vertical="center"/>
    </xf>
    <xf numFmtId="0" fontId="92" fillId="61" borderId="30" xfId="0" applyFont="1" applyFill="1" applyBorder="1" applyAlignment="1">
      <alignment vertical="center"/>
    </xf>
    <xf numFmtId="0" fontId="92" fillId="46" borderId="17" xfId="0" applyFont="1" applyFill="1" applyBorder="1" applyAlignment="1">
      <alignment vertical="center"/>
    </xf>
    <xf numFmtId="1" fontId="7" fillId="46" borderId="30" xfId="0" applyNumberFormat="1" applyFont="1" applyFill="1" applyBorder="1" applyAlignment="1">
      <alignment horizontal="left"/>
    </xf>
    <xf numFmtId="1" fontId="148" fillId="46" borderId="30" xfId="0" applyNumberFormat="1" applyFont="1" applyFill="1" applyBorder="1" applyAlignment="1">
      <alignment horizontal="right"/>
    </xf>
    <xf numFmtId="1" fontId="7" fillId="46" borderId="301" xfId="0" applyNumberFormat="1" applyFont="1" applyFill="1" applyBorder="1" applyAlignment="1">
      <alignment horizontal="left"/>
    </xf>
    <xf numFmtId="1" fontId="148" fillId="46" borderId="30" xfId="428" applyNumberFormat="1" applyFont="1" applyFill="1" applyBorder="1" applyAlignment="1">
      <alignment horizontal="right"/>
    </xf>
    <xf numFmtId="1" fontId="7" fillId="46" borderId="18" xfId="0" applyNumberFormat="1" applyFont="1" applyFill="1" applyBorder="1" applyAlignment="1">
      <alignment horizontal="left"/>
    </xf>
    <xf numFmtId="20" fontId="209" fillId="31" borderId="368" xfId="0" applyNumberFormat="1" applyFont="1" applyFill="1" applyBorder="1" applyAlignment="1">
      <alignment vertical="top"/>
    </xf>
    <xf numFmtId="1" fontId="290" fillId="71" borderId="544" xfId="0" applyNumberFormat="1" applyFont="1" applyFill="1" applyBorder="1" applyAlignment="1">
      <alignment horizontal="center" vertical="center"/>
    </xf>
    <xf numFmtId="166" fontId="290" fillId="77" borderId="544" xfId="271" applyNumberFormat="1" applyFont="1" applyFill="1" applyBorder="1" applyAlignment="1">
      <alignment horizontal="center" vertical="center"/>
    </xf>
    <xf numFmtId="1" fontId="290" fillId="71" borderId="544" xfId="0" applyNumberFormat="1" applyFont="1" applyFill="1" applyBorder="1" applyAlignment="1" applyProtection="1">
      <alignment horizontal="center" vertical="center"/>
      <protection locked="0"/>
    </xf>
    <xf numFmtId="1" fontId="290" fillId="71" borderId="545" xfId="0" applyNumberFormat="1" applyFont="1" applyFill="1" applyBorder="1" applyAlignment="1">
      <alignment horizontal="center" vertical="center"/>
    </xf>
    <xf numFmtId="1" fontId="49" fillId="89" borderId="547" xfId="0" applyNumberFormat="1" applyFont="1" applyFill="1" applyBorder="1" applyAlignment="1" applyProtection="1">
      <alignment horizontal="center" vertical="center"/>
      <protection locked="0"/>
    </xf>
    <xf numFmtId="1" fontId="49" fillId="89" borderId="546" xfId="0" applyNumberFormat="1" applyFont="1" applyFill="1" applyBorder="1" applyAlignment="1" applyProtection="1">
      <alignment horizontal="center" vertical="center"/>
      <protection locked="0"/>
    </xf>
    <xf numFmtId="1" fontId="49" fillId="42" borderId="546" xfId="0" applyNumberFormat="1" applyFont="1" applyFill="1" applyBorder="1" applyAlignment="1" applyProtection="1">
      <alignment horizontal="center" vertical="center"/>
      <protection locked="0"/>
    </xf>
    <xf numFmtId="1" fontId="49" fillId="89" borderId="544" xfId="0" applyNumberFormat="1" applyFont="1" applyFill="1" applyBorder="1" applyAlignment="1" applyProtection="1">
      <alignment horizontal="center" vertical="center"/>
      <protection locked="0"/>
    </xf>
    <xf numFmtId="1" fontId="49" fillId="68" borderId="544" xfId="0" applyNumberFormat="1" applyFont="1" applyFill="1" applyBorder="1" applyAlignment="1" applyProtection="1">
      <alignment horizontal="center" vertical="center"/>
      <protection locked="0"/>
    </xf>
    <xf numFmtId="1" fontId="49" fillId="89" borderId="548" xfId="0" applyNumberFormat="1" applyFont="1" applyFill="1" applyBorder="1" applyAlignment="1" applyProtection="1">
      <alignment horizontal="center" vertical="center"/>
      <protection locked="0"/>
    </xf>
    <xf numFmtId="1" fontId="204" fillId="71" borderId="548" xfId="0" applyNumberFormat="1" applyFont="1" applyFill="1" applyBorder="1" applyAlignment="1">
      <alignment horizontal="center" vertical="center"/>
    </xf>
    <xf numFmtId="1" fontId="204" fillId="71" borderId="549" xfId="0" applyNumberFormat="1" applyFont="1" applyFill="1" applyBorder="1" applyAlignment="1">
      <alignment horizontal="center" vertical="center"/>
    </xf>
    <xf numFmtId="1" fontId="204" fillId="71" borderId="544" xfId="0" applyNumberFormat="1" applyFont="1" applyFill="1" applyBorder="1" applyAlignment="1">
      <alignment horizontal="center" vertical="center"/>
    </xf>
    <xf numFmtId="1" fontId="204" fillId="71" borderId="546" xfId="0" applyNumberFormat="1" applyFont="1" applyFill="1" applyBorder="1" applyAlignment="1">
      <alignment horizontal="center" vertical="center"/>
    </xf>
    <xf numFmtId="0" fontId="7" fillId="0" borderId="550" xfId="428" applyFont="1" applyFill="1" applyBorder="1" applyAlignment="1">
      <alignment horizontal="center" vertical="center"/>
    </xf>
    <xf numFmtId="173" fontId="7" fillId="0" borderId="551" xfId="429" applyNumberFormat="1" applyFont="1" applyFill="1" applyBorder="1" applyAlignment="1">
      <alignment vertical="center"/>
    </xf>
    <xf numFmtId="0" fontId="7" fillId="0" borderId="552" xfId="428" applyFont="1" applyFill="1" applyBorder="1" applyAlignment="1">
      <alignment vertical="center"/>
    </xf>
    <xf numFmtId="0" fontId="7" fillId="0" borderId="553" xfId="428" applyFont="1" applyFill="1" applyBorder="1" applyAlignment="1">
      <alignment horizontal="center" vertical="center"/>
    </xf>
    <xf numFmtId="0" fontId="7" fillId="0" borderId="554" xfId="428" applyFont="1" applyFill="1" applyBorder="1" applyAlignment="1">
      <alignment horizontal="center" vertical="center"/>
    </xf>
    <xf numFmtId="0" fontId="7" fillId="0" borderId="555" xfId="428" applyFont="1" applyFill="1" applyBorder="1" applyAlignment="1">
      <alignment horizontal="center" vertical="center"/>
    </xf>
    <xf numFmtId="0" fontId="7" fillId="0" borderId="553" xfId="436" applyFont="1" applyFill="1" applyBorder="1" applyAlignment="1">
      <alignment horizontal="center" vertical="center"/>
    </xf>
    <xf numFmtId="0" fontId="7" fillId="0" borderId="552" xfId="436" applyFont="1" applyFill="1" applyBorder="1" applyAlignment="1">
      <alignment horizontal="center" vertical="center"/>
    </xf>
    <xf numFmtId="1" fontId="7" fillId="0" borderId="554" xfId="428" applyNumberFormat="1" applyFont="1" applyFill="1" applyBorder="1" applyAlignment="1">
      <alignment horizontal="center" vertical="center"/>
    </xf>
    <xf numFmtId="1" fontId="7" fillId="0" borderId="553" xfId="428" applyNumberFormat="1" applyFont="1" applyFill="1" applyBorder="1" applyAlignment="1">
      <alignment horizontal="center" vertical="center"/>
    </xf>
    <xf numFmtId="1" fontId="7" fillId="0" borderId="554" xfId="428" applyNumberFormat="1" applyFont="1" applyFill="1" applyBorder="1" applyAlignment="1" applyProtection="1">
      <alignment horizontal="center" vertical="center"/>
      <protection locked="0"/>
    </xf>
    <xf numFmtId="1" fontId="7" fillId="0" borderId="553" xfId="428" applyNumberFormat="1" applyFont="1" applyFill="1" applyBorder="1" applyAlignment="1" applyProtection="1">
      <alignment horizontal="center" vertical="center"/>
      <protection locked="0"/>
    </xf>
    <xf numFmtId="0" fontId="209" fillId="31" borderId="556" xfId="0" applyNumberFormat="1" applyFont="1" applyFill="1" applyBorder="1" applyAlignment="1">
      <alignment horizontal="left" vertical="center"/>
    </xf>
    <xf numFmtId="20" fontId="143" fillId="0" borderId="552" xfId="428" applyNumberFormat="1" applyFont="1" applyFill="1" applyBorder="1" applyAlignment="1">
      <alignment vertical="center"/>
    </xf>
    <xf numFmtId="0" fontId="49" fillId="0" borderId="414" xfId="428" applyFont="1" applyFill="1" applyBorder="1" applyAlignment="1">
      <alignment horizontal="center" vertical="center"/>
    </xf>
    <xf numFmtId="173" fontId="49" fillId="0" borderId="551" xfId="429" applyNumberFormat="1" applyFont="1" applyFill="1" applyBorder="1" applyAlignment="1">
      <alignment vertical="center"/>
    </xf>
    <xf numFmtId="0" fontId="49" fillId="0" borderId="552" xfId="428" applyFont="1" applyFill="1" applyBorder="1" applyAlignment="1">
      <alignment vertical="center"/>
    </xf>
    <xf numFmtId="0" fontId="49" fillId="0" borderId="554" xfId="428" applyFont="1" applyFill="1" applyBorder="1" applyAlignment="1">
      <alignment horizontal="center" vertical="center"/>
    </xf>
    <xf numFmtId="0" fontId="49" fillId="0" borderId="555" xfId="428" applyFont="1" applyFill="1" applyBorder="1" applyAlignment="1">
      <alignment horizontal="center" vertical="center"/>
    </xf>
    <xf numFmtId="0" fontId="49" fillId="0" borderId="553" xfId="436" applyFont="1" applyFill="1" applyBorder="1" applyAlignment="1">
      <alignment horizontal="center" vertical="center"/>
    </xf>
    <xf numFmtId="1" fontId="49" fillId="0" borderId="554" xfId="428" applyNumberFormat="1" applyFont="1" applyFill="1" applyBorder="1" applyAlignment="1">
      <alignment horizontal="center" vertical="center"/>
    </xf>
    <xf numFmtId="1" fontId="49" fillId="0" borderId="557" xfId="428" applyNumberFormat="1" applyFont="1" applyFill="1" applyBorder="1" applyAlignment="1" applyProtection="1">
      <alignment horizontal="center" vertical="center"/>
      <protection locked="0"/>
    </xf>
    <xf numFmtId="0" fontId="49" fillId="0" borderId="551" xfId="423" applyNumberFormat="1" applyFont="1" applyBorder="1"/>
    <xf numFmtId="1" fontId="7" fillId="0" borderId="559" xfId="428" applyNumberFormat="1" applyFont="1" applyFill="1" applyBorder="1" applyAlignment="1">
      <alignment horizontal="center" vertical="center"/>
    </xf>
    <xf numFmtId="173" fontId="7" fillId="0" borderId="559" xfId="429" applyNumberFormat="1" applyFont="1" applyFill="1" applyBorder="1" applyAlignment="1">
      <alignment vertical="center"/>
    </xf>
    <xf numFmtId="0" fontId="7" fillId="0" borderId="559" xfId="428" applyFont="1" applyFill="1" applyBorder="1" applyAlignment="1">
      <alignment vertical="center"/>
    </xf>
    <xf numFmtId="0" fontId="7" fillId="0" borderId="559" xfId="428" applyFont="1" applyFill="1" applyBorder="1" applyAlignment="1">
      <alignment horizontal="center" vertical="center"/>
    </xf>
    <xf numFmtId="0" fontId="7" fillId="0" borderId="559" xfId="0" applyFont="1" applyFill="1" applyBorder="1" applyAlignment="1">
      <alignment horizontal="center" vertical="center"/>
    </xf>
    <xf numFmtId="1" fontId="7" fillId="0" borderId="559" xfId="428" applyNumberFormat="1" applyFont="1" applyFill="1" applyBorder="1" applyAlignment="1" applyProtection="1">
      <alignment horizontal="center" vertical="center"/>
      <protection locked="0"/>
    </xf>
    <xf numFmtId="1" fontId="7" fillId="0" borderId="559" xfId="432" applyNumberFormat="1" applyFont="1" applyFill="1" applyBorder="1" applyAlignment="1" applyProtection="1">
      <alignment horizontal="center"/>
      <protection locked="0"/>
    </xf>
    <xf numFmtId="0" fontId="209" fillId="31" borderId="560" xfId="0" applyFont="1" applyFill="1" applyBorder="1"/>
    <xf numFmtId="20" fontId="143" fillId="0" borderId="561" xfId="428" applyNumberFormat="1" applyFont="1" applyFill="1" applyBorder="1" applyAlignment="1">
      <alignment vertical="center"/>
    </xf>
    <xf numFmtId="1" fontId="7" fillId="0" borderId="558" xfId="428" applyNumberFormat="1" applyFont="1" applyFill="1" applyBorder="1" applyAlignment="1">
      <alignment horizontal="center" vertical="center"/>
    </xf>
    <xf numFmtId="173" fontId="7" fillId="0" borderId="558" xfId="429" applyNumberFormat="1" applyFont="1" applyFill="1" applyBorder="1" applyAlignment="1">
      <alignment vertical="center"/>
    </xf>
    <xf numFmtId="0" fontId="7" fillId="0" borderId="558" xfId="428" applyFont="1" applyFill="1" applyBorder="1" applyAlignment="1">
      <alignment vertical="center"/>
    </xf>
    <xf numFmtId="0" fontId="7" fillId="0" borderId="558" xfId="428" applyFont="1" applyFill="1" applyBorder="1" applyAlignment="1">
      <alignment horizontal="center" vertical="center"/>
    </xf>
    <xf numFmtId="0" fontId="7" fillId="0" borderId="558" xfId="0" applyFont="1" applyFill="1" applyBorder="1" applyAlignment="1">
      <alignment horizontal="center" vertical="center"/>
    </xf>
    <xf numFmtId="1" fontId="7" fillId="0" borderId="558" xfId="428" applyNumberFormat="1" applyFont="1" applyFill="1" applyBorder="1" applyAlignment="1" applyProtection="1">
      <alignment horizontal="center" vertical="center"/>
      <protection locked="0"/>
    </xf>
    <xf numFmtId="1" fontId="7" fillId="0" borderId="558" xfId="432" applyNumberFormat="1" applyFont="1" applyFill="1" applyBorder="1" applyAlignment="1" applyProtection="1">
      <alignment horizontal="center"/>
      <protection locked="0"/>
    </xf>
    <xf numFmtId="14" fontId="142" fillId="0" borderId="558" xfId="428" applyNumberFormat="1" applyFont="1" applyFill="1" applyBorder="1" applyAlignment="1">
      <alignment horizontal="left" vertical="center"/>
    </xf>
    <xf numFmtId="0" fontId="209" fillId="31" borderId="563" xfId="0" applyFont="1" applyFill="1" applyBorder="1"/>
    <xf numFmtId="20" fontId="143" fillId="0" borderId="562" xfId="428" applyNumberFormat="1" applyFont="1" applyFill="1" applyBorder="1" applyAlignment="1">
      <alignment vertical="center"/>
    </xf>
    <xf numFmtId="0" fontId="113" fillId="0" borderId="0" xfId="0" applyFont="1" applyBorder="1" applyAlignment="1">
      <alignment vertical="center"/>
    </xf>
    <xf numFmtId="0" fontId="284" fillId="0" borderId="0" xfId="0" applyFont="1" applyFill="1" applyBorder="1" applyAlignment="1">
      <alignment vertical="top"/>
    </xf>
    <xf numFmtId="0" fontId="317" fillId="0" borderId="0" xfId="0" applyFont="1" applyBorder="1" applyAlignment="1">
      <alignment horizontal="left" vertical="center"/>
    </xf>
    <xf numFmtId="0" fontId="453" fillId="0" borderId="0" xfId="0" applyFont="1" applyBorder="1" applyAlignment="1">
      <alignment horizontal="left" vertical="center"/>
    </xf>
    <xf numFmtId="0" fontId="284" fillId="0" borderId="0" xfId="0" applyFont="1" applyBorder="1" applyAlignment="1">
      <alignment vertical="top" wrapText="1"/>
    </xf>
    <xf numFmtId="0" fontId="454" fillId="0" borderId="0" xfId="0" applyFont="1" applyBorder="1"/>
    <xf numFmtId="164" fontId="27" fillId="0" borderId="0" xfId="436" applyNumberFormat="1" applyFont="1" applyAlignment="1">
      <alignment horizontal="left" vertical="center"/>
    </xf>
    <xf numFmtId="0" fontId="452" fillId="0" borderId="0" xfId="436" applyFont="1" applyBorder="1" applyAlignment="1">
      <alignment vertical="center"/>
    </xf>
    <xf numFmtId="0" fontId="452" fillId="0" borderId="0" xfId="436" applyFont="1" applyFill="1" applyBorder="1" applyAlignment="1" applyProtection="1">
      <alignment vertical="center"/>
      <protection locked="0"/>
    </xf>
    <xf numFmtId="0" fontId="457" fillId="0" borderId="0" xfId="0" applyFont="1" applyBorder="1" applyAlignment="1"/>
    <xf numFmtId="0" fontId="284" fillId="0" borderId="0" xfId="0" applyFont="1" applyAlignment="1"/>
    <xf numFmtId="0" fontId="284" fillId="0" borderId="0" xfId="0" applyFont="1" applyFill="1" applyAlignment="1"/>
    <xf numFmtId="0" fontId="310" fillId="0" borderId="13" xfId="0" applyFont="1" applyBorder="1" applyAlignment="1"/>
    <xf numFmtId="0" fontId="458" fillId="0" borderId="0" xfId="0" applyFont="1" applyBorder="1" applyAlignment="1" applyProtection="1">
      <alignment horizontal="center" vertical="top"/>
      <protection locked="0"/>
    </xf>
    <xf numFmtId="0" fontId="459" fillId="0" borderId="301" xfId="0" applyFont="1" applyBorder="1"/>
    <xf numFmtId="0" fontId="284" fillId="0" borderId="0" xfId="0" applyFont="1" applyFill="1" applyBorder="1" applyAlignment="1">
      <alignment vertical="center"/>
    </xf>
    <xf numFmtId="0" fontId="460" fillId="0" borderId="0" xfId="0" applyFont="1" applyBorder="1"/>
    <xf numFmtId="0" fontId="461" fillId="0" borderId="13" xfId="0" applyFont="1" applyBorder="1"/>
    <xf numFmtId="0" fontId="461" fillId="0" borderId="0" xfId="0" applyFont="1" applyBorder="1"/>
    <xf numFmtId="0" fontId="461" fillId="0" borderId="0" xfId="0" applyFont="1" applyBorder="1" applyAlignment="1"/>
    <xf numFmtId="14" fontId="142" fillId="0" borderId="564" xfId="429" applyNumberFormat="1" applyFont="1" applyFill="1" applyBorder="1" applyAlignment="1">
      <alignment horizontal="left" vertical="center"/>
    </xf>
    <xf numFmtId="0" fontId="284" fillId="0" borderId="0" xfId="0" applyFont="1" applyFill="1" applyBorder="1" applyAlignment="1"/>
    <xf numFmtId="0" fontId="123" fillId="0" borderId="13" xfId="0" applyFont="1" applyFill="1" applyBorder="1"/>
    <xf numFmtId="0" fontId="384" fillId="0" borderId="0" xfId="0" applyFont="1" applyFill="1" applyBorder="1"/>
    <xf numFmtId="173" fontId="7" fillId="0" borderId="27" xfId="429" applyNumberFormat="1" applyFont="1" applyFill="1" applyBorder="1" applyAlignment="1">
      <alignment horizontal="left" vertical="center"/>
    </xf>
    <xf numFmtId="166" fontId="464" fillId="54" borderId="44" xfId="271" applyNumberFormat="1" applyFont="1" applyFill="1" applyBorder="1" applyAlignment="1">
      <alignment vertical="center"/>
    </xf>
    <xf numFmtId="0" fontId="324" fillId="0" borderId="179" xfId="436" applyFont="1" applyFill="1" applyBorder="1" applyAlignment="1">
      <alignment vertical="center"/>
    </xf>
    <xf numFmtId="0" fontId="324" fillId="0" borderId="179" xfId="436" applyFont="1" applyFill="1" applyBorder="1" applyAlignment="1">
      <alignment horizontal="center" vertical="center"/>
    </xf>
    <xf numFmtId="0" fontId="452" fillId="0" borderId="179" xfId="0" applyFont="1" applyBorder="1" applyAlignment="1">
      <alignment horizontal="center" vertical="center"/>
    </xf>
    <xf numFmtId="0" fontId="465" fillId="0" borderId="179" xfId="0" applyFont="1" applyBorder="1" applyAlignment="1">
      <alignment horizontal="center" vertical="center"/>
    </xf>
    <xf numFmtId="0" fontId="324" fillId="0" borderId="0" xfId="436" applyFont="1" applyFill="1" applyBorder="1" applyAlignment="1">
      <alignment vertical="center"/>
    </xf>
    <xf numFmtId="0" fontId="324" fillId="0" borderId="0" xfId="436" applyFont="1" applyFill="1" applyBorder="1" applyAlignment="1">
      <alignment horizontal="center" vertical="center"/>
    </xf>
    <xf numFmtId="0" fontId="452" fillId="0" borderId="0" xfId="436" applyFont="1" applyFill="1" applyBorder="1" applyAlignment="1">
      <alignment horizontal="center" vertical="center"/>
    </xf>
    <xf numFmtId="0" fontId="465" fillId="0" borderId="0" xfId="436" applyFont="1" applyFill="1" applyBorder="1" applyAlignment="1">
      <alignment horizontal="center" vertical="center"/>
    </xf>
    <xf numFmtId="0" fontId="7" fillId="0" borderId="0" xfId="436" applyFont="1" applyFill="1" applyAlignment="1">
      <alignment vertical="center" wrapText="1"/>
    </xf>
    <xf numFmtId="0" fontId="25" fillId="0" borderId="0" xfId="436" applyFont="1" applyFill="1" applyAlignment="1">
      <alignment vertical="center"/>
    </xf>
    <xf numFmtId="0" fontId="94" fillId="0" borderId="0" xfId="0" applyFont="1" applyAlignment="1"/>
    <xf numFmtId="0" fontId="7" fillId="0" borderId="0" xfId="0" applyNumberFormat="1" applyFont="1" applyFill="1" applyBorder="1" applyAlignment="1" applyProtection="1">
      <alignment vertical="center"/>
    </xf>
    <xf numFmtId="0" fontId="49" fillId="0" borderId="0" xfId="0" applyNumberFormat="1" applyFont="1" applyFill="1" applyBorder="1" applyAlignment="1" applyProtection="1">
      <alignment vertical="center"/>
    </xf>
    <xf numFmtId="0" fontId="324" fillId="0" borderId="0" xfId="436" applyFont="1" applyAlignment="1">
      <alignment vertical="top"/>
    </xf>
    <xf numFmtId="0" fontId="324" fillId="0" borderId="0" xfId="436" applyFont="1" applyAlignment="1">
      <alignment horizontal="center" vertical="top"/>
    </xf>
    <xf numFmtId="0" fontId="465" fillId="0" borderId="0" xfId="436" applyFont="1" applyAlignment="1">
      <alignment horizontal="center" vertical="top"/>
    </xf>
    <xf numFmtId="0" fontId="324" fillId="0" borderId="0" xfId="0" applyNumberFormat="1" applyFont="1" applyFill="1" applyBorder="1" applyAlignment="1" applyProtection="1">
      <alignment horizontal="center" vertical="center"/>
    </xf>
    <xf numFmtId="0" fontId="452" fillId="0" borderId="0" xfId="436" applyFont="1" applyFill="1" applyAlignment="1">
      <alignment horizontal="center" vertical="center"/>
    </xf>
    <xf numFmtId="0" fontId="465" fillId="0" borderId="0" xfId="436" applyFont="1" applyFill="1" applyAlignment="1">
      <alignment horizontal="center" vertical="center"/>
    </xf>
    <xf numFmtId="0" fontId="175" fillId="0" borderId="0" xfId="436" applyFont="1" applyFill="1" applyAlignment="1">
      <alignment vertical="center"/>
    </xf>
    <xf numFmtId="0" fontId="49" fillId="0" borderId="26" xfId="428" applyFont="1" applyFill="1" applyBorder="1" applyAlignment="1">
      <alignment horizontal="center" vertical="center"/>
    </xf>
    <xf numFmtId="0" fontId="243" fillId="0" borderId="565" xfId="428" applyFont="1" applyFill="1" applyBorder="1" applyAlignment="1">
      <alignment horizontal="center" vertical="center"/>
    </xf>
    <xf numFmtId="0" fontId="49" fillId="0" borderId="566" xfId="428" applyFont="1" applyFill="1" applyBorder="1" applyAlignment="1">
      <alignment horizontal="center" vertical="center"/>
    </xf>
    <xf numFmtId="0" fontId="10" fillId="0" borderId="0" xfId="436" applyFont="1" applyAlignment="1">
      <alignment horizontal="center" vertical="top"/>
    </xf>
    <xf numFmtId="0" fontId="284" fillId="0" borderId="301" xfId="0" applyFont="1" applyBorder="1" applyAlignment="1"/>
    <xf numFmtId="0" fontId="284" fillId="0" borderId="301" xfId="0" applyFont="1" applyBorder="1" applyAlignment="1">
      <alignment vertical="center"/>
    </xf>
    <xf numFmtId="0" fontId="0" fillId="0" borderId="451" xfId="0" applyBorder="1" applyAlignment="1">
      <alignment horizontal="center" vertical="center" wrapText="1"/>
    </xf>
    <xf numFmtId="0" fontId="100" fillId="102" borderId="499" xfId="0" applyFont="1" applyFill="1" applyBorder="1" applyAlignment="1">
      <alignment horizontal="center" wrapText="1"/>
    </xf>
    <xf numFmtId="173" fontId="0" fillId="0" borderId="0" xfId="0" applyNumberFormat="1" applyFont="1" applyFill="1" applyBorder="1" applyAlignment="1" applyProtection="1"/>
    <xf numFmtId="49" fontId="89" fillId="0" borderId="0" xfId="401" applyNumberFormat="1" applyFont="1"/>
    <xf numFmtId="43" fontId="336" fillId="26" borderId="10" xfId="271" applyFont="1" applyFill="1" applyBorder="1" applyAlignment="1">
      <alignment horizontal="left" vertical="center"/>
    </xf>
    <xf numFmtId="1" fontId="372" fillId="0" borderId="567" xfId="436" applyNumberFormat="1" applyFont="1" applyFill="1" applyBorder="1" applyAlignment="1" applyProtection="1">
      <alignment horizontal="center" vertical="center"/>
      <protection locked="0"/>
    </xf>
    <xf numFmtId="20" fontId="373" fillId="0" borderId="567" xfId="436" applyNumberFormat="1" applyFont="1" applyFill="1" applyBorder="1" applyAlignment="1" applyProtection="1">
      <alignment horizontal="center" vertical="center"/>
      <protection locked="0"/>
    </xf>
    <xf numFmtId="20" fontId="375" fillId="0" borderId="567" xfId="436" applyNumberFormat="1" applyFont="1" applyFill="1" applyBorder="1" applyAlignment="1" applyProtection="1">
      <alignment horizontal="center" vertical="center"/>
      <protection locked="0"/>
    </xf>
    <xf numFmtId="20" fontId="375" fillId="31" borderId="567" xfId="436" applyNumberFormat="1" applyFont="1" applyFill="1" applyBorder="1" applyAlignment="1" applyProtection="1">
      <alignment horizontal="center" vertical="center"/>
      <protection locked="0"/>
    </xf>
    <xf numFmtId="1" fontId="372" fillId="31" borderId="567" xfId="436" applyNumberFormat="1" applyFont="1" applyFill="1" applyBorder="1" applyAlignment="1" applyProtection="1">
      <alignment horizontal="center" vertical="center"/>
      <protection locked="0"/>
    </xf>
    <xf numFmtId="1" fontId="372" fillId="0" borderId="567" xfId="0" applyNumberFormat="1" applyFont="1" applyBorder="1" applyAlignment="1" applyProtection="1">
      <alignment horizontal="center"/>
      <protection locked="0"/>
    </xf>
    <xf numFmtId="20" fontId="375" fillId="0" borderId="567" xfId="0" applyNumberFormat="1" applyFont="1" applyBorder="1" applyAlignment="1" applyProtection="1">
      <alignment horizontal="center"/>
      <protection locked="0"/>
    </xf>
    <xf numFmtId="20" fontId="373" fillId="0" borderId="567" xfId="0" applyNumberFormat="1" applyFont="1" applyBorder="1" applyAlignment="1" applyProtection="1">
      <alignment horizontal="center"/>
      <protection locked="0"/>
    </xf>
    <xf numFmtId="166" fontId="466" fillId="31" borderId="0" xfId="0" applyNumberFormat="1" applyFont="1" applyFill="1" applyAlignment="1">
      <alignment horizontal="center" vertical="center"/>
    </xf>
    <xf numFmtId="0" fontId="467" fillId="31" borderId="0" xfId="0" applyFont="1" applyFill="1"/>
    <xf numFmtId="166" fontId="268" fillId="99" borderId="72" xfId="271" applyNumberFormat="1" applyFont="1" applyFill="1" applyBorder="1" applyAlignment="1">
      <alignment vertical="center"/>
    </xf>
    <xf numFmtId="0" fontId="143" fillId="0" borderId="250" xfId="0" applyNumberFormat="1" applyFont="1" applyFill="1" applyBorder="1" applyAlignment="1">
      <alignment horizontal="center" vertical="center"/>
    </xf>
    <xf numFmtId="0" fontId="7" fillId="47" borderId="70" xfId="429" applyNumberFormat="1" applyFont="1" applyFill="1" applyBorder="1" applyAlignment="1">
      <alignment vertical="center"/>
    </xf>
    <xf numFmtId="0" fontId="93" fillId="47" borderId="70" xfId="414" applyNumberFormat="1" applyFont="1" applyFill="1" applyBorder="1" applyAlignment="1">
      <alignment horizontal="center"/>
    </xf>
    <xf numFmtId="1" fontId="7" fillId="47" borderId="75" xfId="429" applyNumberFormat="1" applyFont="1" applyFill="1" applyBorder="1" applyAlignment="1">
      <alignment horizontal="center" vertical="center"/>
    </xf>
    <xf numFmtId="1" fontId="7" fillId="47" borderId="65" xfId="271" applyNumberFormat="1" applyFont="1" applyFill="1" applyBorder="1" applyAlignment="1">
      <alignment horizontal="center" vertical="center"/>
    </xf>
    <xf numFmtId="1" fontId="7" fillId="47" borderId="70" xfId="429" applyNumberFormat="1" applyFont="1" applyFill="1" applyBorder="1" applyAlignment="1" applyProtection="1">
      <alignment horizontal="center" vertical="center"/>
    </xf>
    <xf numFmtId="1" fontId="327" fillId="47" borderId="65" xfId="429" applyNumberFormat="1" applyFont="1" applyFill="1" applyBorder="1" applyAlignment="1" applyProtection="1">
      <alignment horizontal="center" vertical="center"/>
    </xf>
    <xf numFmtId="0" fontId="90" fillId="0" borderId="0" xfId="414" applyNumberFormat="1" applyFont="1" applyFill="1" applyBorder="1" applyAlignment="1" applyProtection="1"/>
    <xf numFmtId="0" fontId="7" fillId="114" borderId="111" xfId="428" applyFont="1" applyFill="1" applyBorder="1" applyAlignment="1">
      <alignment horizontal="center" vertical="center"/>
    </xf>
    <xf numFmtId="0" fontId="7" fillId="114" borderId="12" xfId="429" applyNumberFormat="1" applyFont="1" applyFill="1" applyBorder="1" applyAlignment="1">
      <alignment vertical="center"/>
    </xf>
    <xf numFmtId="0" fontId="7" fillId="114" borderId="113" xfId="428" applyFont="1" applyFill="1" applyBorder="1" applyAlignment="1">
      <alignment vertical="center"/>
    </xf>
    <xf numFmtId="0" fontId="7" fillId="114" borderId="112" xfId="428" applyFont="1" applyFill="1" applyBorder="1" applyAlignment="1">
      <alignment horizontal="center" vertical="center"/>
    </xf>
    <xf numFmtId="0" fontId="7" fillId="114" borderId="85" xfId="428" applyFont="1" applyFill="1" applyBorder="1" applyAlignment="1">
      <alignment horizontal="center" vertical="center"/>
    </xf>
    <xf numFmtId="0" fontId="7" fillId="114" borderId="113" xfId="428" applyFont="1" applyFill="1" applyBorder="1" applyAlignment="1">
      <alignment horizontal="center" vertical="center"/>
    </xf>
    <xf numFmtId="1" fontId="7" fillId="114" borderId="85" xfId="428" applyNumberFormat="1" applyFont="1" applyFill="1" applyBorder="1" applyAlignment="1">
      <alignment horizontal="center" vertical="center"/>
    </xf>
    <xf numFmtId="1" fontId="7" fillId="114" borderId="111" xfId="428" applyNumberFormat="1" applyFont="1" applyFill="1" applyBorder="1" applyAlignment="1">
      <alignment horizontal="center" vertical="center"/>
    </xf>
    <xf numFmtId="1" fontId="7" fillId="114" borderId="85" xfId="428" applyNumberFormat="1" applyFont="1" applyFill="1" applyBorder="1" applyAlignment="1" applyProtection="1">
      <alignment horizontal="center" vertical="center"/>
    </xf>
    <xf numFmtId="1" fontId="7" fillId="114" borderId="111" xfId="428" applyNumberFormat="1" applyFont="1" applyFill="1" applyBorder="1" applyAlignment="1" applyProtection="1">
      <alignment horizontal="center" vertical="center"/>
      <protection locked="0"/>
    </xf>
    <xf numFmtId="1" fontId="7" fillId="114" borderId="109" xfId="432" applyNumberFormat="1" applyFont="1" applyFill="1" applyBorder="1" applyAlignment="1" applyProtection="1">
      <alignment horizontal="center" vertical="center"/>
      <protection locked="0"/>
    </xf>
    <xf numFmtId="20" fontId="209" fillId="114" borderId="358" xfId="428" applyNumberFormat="1" applyFont="1" applyFill="1" applyBorder="1" applyAlignment="1">
      <alignment vertical="top"/>
    </xf>
    <xf numFmtId="14" fontId="143" fillId="114" borderId="353" xfId="428" applyNumberFormat="1" applyFont="1" applyFill="1" applyBorder="1" applyAlignment="1">
      <alignment vertical="center"/>
    </xf>
    <xf numFmtId="14" fontId="143" fillId="114" borderId="113" xfId="428" applyNumberFormat="1" applyFont="1" applyFill="1" applyBorder="1" applyAlignment="1">
      <alignment horizontal="left" vertical="center"/>
    </xf>
    <xf numFmtId="0" fontId="284" fillId="0" borderId="351" xfId="0" applyFont="1" applyBorder="1"/>
    <xf numFmtId="166" fontId="469" fillId="54" borderId="44" xfId="271" applyNumberFormat="1" applyFont="1" applyFill="1" applyBorder="1" applyAlignment="1">
      <alignment vertical="center"/>
    </xf>
    <xf numFmtId="14" fontId="142" fillId="0" borderId="564" xfId="0" applyNumberFormat="1" applyFont="1" applyFill="1" applyBorder="1" applyAlignment="1">
      <alignment horizontal="left" vertical="center"/>
    </xf>
    <xf numFmtId="0" fontId="400" fillId="108" borderId="569" xfId="556" applyFont="1" applyFill="1" applyBorder="1" applyAlignment="1" applyProtection="1">
      <alignment horizontal="center" vertical="center" wrapText="1"/>
    </xf>
    <xf numFmtId="20" fontId="375" fillId="31" borderId="569" xfId="436" applyNumberFormat="1" applyFont="1" applyFill="1" applyBorder="1" applyAlignment="1" applyProtection="1">
      <alignment horizontal="center" vertical="center"/>
      <protection locked="0"/>
    </xf>
    <xf numFmtId="0" fontId="400" fillId="0" borderId="569" xfId="556" applyNumberFormat="1" applyFont="1" applyFill="1" applyBorder="1" applyAlignment="1">
      <alignment horizontal="center" vertical="center" wrapText="1"/>
    </xf>
    <xf numFmtId="20" fontId="375" fillId="104" borderId="569" xfId="556" applyNumberFormat="1" applyFont="1" applyFill="1" applyBorder="1" applyAlignment="1">
      <alignment horizontal="center" vertical="center"/>
    </xf>
    <xf numFmtId="0" fontId="174" fillId="104" borderId="569" xfId="556" applyFont="1" applyFill="1" applyBorder="1" applyAlignment="1">
      <alignment horizontal="center" vertical="center"/>
    </xf>
    <xf numFmtId="190" fontId="375" fillId="104" borderId="569" xfId="556" applyNumberFormat="1" applyFont="1" applyFill="1" applyBorder="1" applyAlignment="1">
      <alignment horizontal="center" vertical="center"/>
    </xf>
    <xf numFmtId="0" fontId="400" fillId="108" borderId="569" xfId="556" applyNumberFormat="1" applyFont="1" applyFill="1" applyBorder="1" applyAlignment="1">
      <alignment horizontal="center" vertical="center" wrapText="1"/>
    </xf>
    <xf numFmtId="190" fontId="375" fillId="108" borderId="569" xfId="556" applyNumberFormat="1" applyFont="1" applyFill="1" applyBorder="1" applyAlignment="1">
      <alignment horizontal="center" vertical="center"/>
    </xf>
    <xf numFmtId="0" fontId="174" fillId="108" borderId="569" xfId="556" applyFont="1" applyFill="1" applyBorder="1" applyAlignment="1">
      <alignment horizontal="center" vertical="center"/>
    </xf>
    <xf numFmtId="0" fontId="400" fillId="0" borderId="569" xfId="556" applyFont="1" applyFill="1" applyBorder="1" applyAlignment="1" applyProtection="1">
      <alignment horizontal="center" vertical="center" wrapText="1"/>
    </xf>
    <xf numFmtId="0" fontId="174" fillId="0" borderId="569" xfId="556" applyFont="1" applyFill="1" applyBorder="1" applyAlignment="1">
      <alignment horizontal="center" vertical="center"/>
    </xf>
    <xf numFmtId="20" fontId="375" fillId="0" borderId="569" xfId="436" applyNumberFormat="1" applyFont="1" applyBorder="1" applyAlignment="1" applyProtection="1">
      <alignment horizontal="center" vertical="center"/>
      <protection locked="0"/>
    </xf>
    <xf numFmtId="0" fontId="174" fillId="108" borderId="570" xfId="556" applyFont="1" applyFill="1" applyBorder="1" applyAlignment="1" applyProtection="1">
      <alignment horizontal="center" vertical="center"/>
    </xf>
    <xf numFmtId="20" fontId="375" fillId="108" borderId="571" xfId="556" applyNumberFormat="1" applyFont="1" applyFill="1" applyBorder="1" applyAlignment="1">
      <alignment horizontal="center" vertical="center"/>
    </xf>
    <xf numFmtId="0" fontId="174" fillId="0" borderId="570" xfId="556" applyFont="1" applyFill="1" applyBorder="1" applyAlignment="1" applyProtection="1">
      <alignment horizontal="center" vertical="center"/>
    </xf>
    <xf numFmtId="20" fontId="372" fillId="109" borderId="572" xfId="0" applyNumberFormat="1" applyFont="1" applyFill="1" applyBorder="1" applyAlignment="1" applyProtection="1">
      <alignment horizontal="center" vertical="center"/>
    </xf>
    <xf numFmtId="0" fontId="174" fillId="104" borderId="570" xfId="556" applyFont="1" applyFill="1" applyBorder="1" applyAlignment="1">
      <alignment horizontal="center" vertical="center"/>
    </xf>
    <xf numFmtId="20" fontId="375" fillId="108" borderId="569" xfId="556" applyNumberFormat="1" applyFont="1" applyFill="1" applyBorder="1" applyAlignment="1">
      <alignment horizontal="center" vertical="center"/>
    </xf>
    <xf numFmtId="0" fontId="174" fillId="108" borderId="569" xfId="556" applyFont="1" applyFill="1" applyBorder="1" applyAlignment="1" applyProtection="1">
      <alignment horizontal="center" vertical="center"/>
    </xf>
    <xf numFmtId="20" fontId="375" fillId="0" borderId="569" xfId="436" applyNumberFormat="1" applyFont="1" applyFill="1" applyBorder="1" applyAlignment="1" applyProtection="1">
      <alignment horizontal="center" vertical="center"/>
      <protection locked="0"/>
    </xf>
    <xf numFmtId="0" fontId="174" fillId="108" borderId="569" xfId="556" applyFont="1" applyFill="1" applyBorder="1" applyAlignment="1">
      <alignment horizontal="center"/>
    </xf>
    <xf numFmtId="0" fontId="174" fillId="104" borderId="569" xfId="556" applyFont="1" applyFill="1" applyBorder="1" applyAlignment="1" applyProtection="1">
      <alignment horizontal="center" vertical="center"/>
    </xf>
    <xf numFmtId="0" fontId="174" fillId="104" borderId="569" xfId="556" applyFont="1" applyFill="1" applyBorder="1" applyAlignment="1">
      <alignment horizontal="center"/>
    </xf>
    <xf numFmtId="0" fontId="174" fillId="104" borderId="569" xfId="556" applyFont="1" applyFill="1" applyBorder="1" applyAlignment="1">
      <alignment horizontal="center" vertical="top"/>
    </xf>
    <xf numFmtId="0" fontId="174" fillId="0" borderId="569" xfId="556" applyFont="1" applyFill="1" applyBorder="1" applyAlignment="1" applyProtection="1">
      <alignment horizontal="center" vertical="center"/>
    </xf>
    <xf numFmtId="0" fontId="174" fillId="31" borderId="569" xfId="556" applyFont="1" applyFill="1" applyBorder="1" applyAlignment="1">
      <alignment horizontal="center" vertical="center"/>
    </xf>
    <xf numFmtId="20" fontId="375" fillId="0" borderId="569" xfId="556" applyNumberFormat="1" applyFont="1" applyFill="1" applyBorder="1" applyAlignment="1" applyProtection="1">
      <alignment horizontal="center" vertical="center"/>
      <protection locked="0"/>
    </xf>
    <xf numFmtId="0" fontId="174" fillId="104" borderId="569" xfId="0" applyFont="1" applyFill="1" applyBorder="1" applyAlignment="1">
      <alignment horizontal="center" vertical="center"/>
    </xf>
    <xf numFmtId="20" fontId="375" fillId="108" borderId="569" xfId="0" applyNumberFormat="1" applyFont="1" applyFill="1" applyBorder="1" applyAlignment="1" applyProtection="1">
      <alignment horizontal="center" vertical="center"/>
    </xf>
    <xf numFmtId="20" fontId="375" fillId="104" borderId="569" xfId="436" applyNumberFormat="1" applyFont="1" applyFill="1" applyBorder="1" applyAlignment="1" applyProtection="1">
      <alignment horizontal="center" vertical="center"/>
    </xf>
    <xf numFmtId="20" fontId="375" fillId="104" borderId="569" xfId="556" applyNumberFormat="1" applyFont="1" applyFill="1" applyBorder="1" applyAlignment="1">
      <alignment horizontal="center"/>
    </xf>
    <xf numFmtId="0" fontId="174" fillId="108" borderId="569" xfId="556" applyFont="1" applyFill="1" applyBorder="1" applyAlignment="1">
      <alignment horizontal="center" vertical="top"/>
    </xf>
    <xf numFmtId="20" fontId="375" fillId="108" borderId="569" xfId="556" applyNumberFormat="1" applyFont="1" applyFill="1" applyBorder="1" applyAlignment="1">
      <alignment horizontal="center" vertical="top"/>
    </xf>
    <xf numFmtId="20" fontId="375" fillId="107" borderId="569" xfId="556" applyNumberFormat="1" applyFont="1" applyFill="1" applyBorder="1" applyAlignment="1">
      <alignment horizontal="center" vertical="center"/>
    </xf>
    <xf numFmtId="20" fontId="375" fillId="108" borderId="573" xfId="556" applyNumberFormat="1" applyFont="1" applyFill="1" applyBorder="1" applyAlignment="1">
      <alignment horizontal="center" vertical="center"/>
    </xf>
    <xf numFmtId="0" fontId="375" fillId="104" borderId="569" xfId="556" applyFont="1" applyFill="1" applyBorder="1" applyAlignment="1">
      <alignment horizontal="center" vertical="center"/>
    </xf>
    <xf numFmtId="165" fontId="125" fillId="32" borderId="26" xfId="0" applyNumberFormat="1" applyFont="1" applyFill="1" applyBorder="1" applyAlignment="1">
      <alignment horizontal="center"/>
    </xf>
    <xf numFmtId="173" fontId="7" fillId="0" borderId="566" xfId="429" applyNumberFormat="1" applyFont="1" applyFill="1" applyBorder="1" applyAlignment="1">
      <alignment vertical="center"/>
    </xf>
    <xf numFmtId="0" fontId="7" fillId="0" borderId="566" xfId="428" applyFont="1" applyFill="1" applyBorder="1" applyAlignment="1">
      <alignment vertical="center"/>
    </xf>
    <xf numFmtId="0" fontId="7" fillId="0" borderId="566" xfId="428" applyFont="1" applyFill="1" applyBorder="1" applyAlignment="1">
      <alignment horizontal="center" vertical="center"/>
    </xf>
    <xf numFmtId="0" fontId="144" fillId="0" borderId="565" xfId="428" applyFont="1" applyFill="1" applyBorder="1" applyAlignment="1">
      <alignment vertical="center"/>
    </xf>
    <xf numFmtId="0" fontId="144" fillId="0" borderId="565" xfId="428" applyFont="1" applyFill="1" applyBorder="1" applyAlignment="1">
      <alignment horizontal="center" vertical="center"/>
    </xf>
    <xf numFmtId="0" fontId="468" fillId="86" borderId="474" xfId="0" applyFont="1" applyFill="1" applyBorder="1" applyAlignment="1">
      <alignment horizontal="left" vertical="center"/>
    </xf>
    <xf numFmtId="166" fontId="141" fillId="54" borderId="565" xfId="271" applyNumberFormat="1" applyFont="1" applyFill="1" applyBorder="1" applyAlignment="1">
      <alignment vertical="center"/>
    </xf>
    <xf numFmtId="166" fontId="205" fillId="33" borderId="565" xfId="271" applyNumberFormat="1" applyFont="1" applyFill="1" applyBorder="1" applyAlignment="1">
      <alignment vertical="center"/>
    </xf>
    <xf numFmtId="1" fontId="7" fillId="0" borderId="566" xfId="428" applyNumberFormat="1" applyFont="1" applyFill="1" applyBorder="1" applyAlignment="1">
      <alignment horizontal="center" vertical="center"/>
    </xf>
    <xf numFmtId="20" fontId="143" fillId="0" borderId="574" xfId="428" applyNumberFormat="1" applyFont="1" applyFill="1" applyBorder="1" applyAlignment="1">
      <alignment vertical="center"/>
    </xf>
    <xf numFmtId="173" fontId="471" fillId="30" borderId="95" xfId="0" applyNumberFormat="1" applyFont="1" applyFill="1" applyBorder="1" applyAlignment="1">
      <alignment horizontal="center" vertical="center" wrapText="1"/>
    </xf>
    <xf numFmtId="1" fontId="290" fillId="71" borderId="575" xfId="0" applyNumberFormat="1" applyFont="1" applyFill="1" applyBorder="1" applyAlignment="1">
      <alignment horizontal="center" vertical="center"/>
    </xf>
    <xf numFmtId="166" fontId="290" fillId="77" borderId="575" xfId="271" applyNumberFormat="1" applyFont="1" applyFill="1" applyBorder="1" applyAlignment="1">
      <alignment horizontal="center" vertical="center"/>
    </xf>
    <xf numFmtId="1" fontId="290" fillId="71" borderId="575" xfId="0" applyNumberFormat="1" applyFont="1" applyFill="1" applyBorder="1" applyAlignment="1" applyProtection="1">
      <alignment horizontal="center" vertical="center"/>
      <protection locked="0"/>
    </xf>
    <xf numFmtId="1" fontId="290" fillId="71" borderId="576" xfId="0" applyNumberFormat="1" applyFont="1" applyFill="1" applyBorder="1" applyAlignment="1">
      <alignment horizontal="center" vertical="center"/>
    </xf>
    <xf numFmtId="1" fontId="204" fillId="71" borderId="577" xfId="0" applyNumberFormat="1" applyFont="1" applyFill="1" applyBorder="1" applyAlignment="1">
      <alignment horizontal="center" vertical="center"/>
    </xf>
    <xf numFmtId="1" fontId="470" fillId="35" borderId="188" xfId="0" applyNumberFormat="1" applyFont="1" applyFill="1" applyBorder="1" applyAlignment="1">
      <alignment horizontal="center" vertical="center"/>
    </xf>
    <xf numFmtId="1" fontId="204" fillId="71" borderId="575" xfId="0" applyNumberFormat="1" applyFont="1" applyFill="1" applyBorder="1" applyAlignment="1">
      <alignment horizontal="center" vertical="center"/>
    </xf>
    <xf numFmtId="0" fontId="324" fillId="0" borderId="0" xfId="0" applyFont="1" applyBorder="1"/>
    <xf numFmtId="0" fontId="324" fillId="0" borderId="0" xfId="0" applyFont="1" applyBorder="1" applyAlignment="1">
      <alignment horizontal="center"/>
    </xf>
    <xf numFmtId="0" fontId="50" fillId="0" borderId="0" xfId="0" applyFont="1" applyBorder="1" applyAlignment="1">
      <alignment horizontal="center" vertical="center"/>
    </xf>
    <xf numFmtId="0" fontId="465" fillId="0" borderId="0" xfId="0" applyFont="1" applyBorder="1" applyAlignment="1">
      <alignment horizontal="center" vertical="center"/>
    </xf>
    <xf numFmtId="0" fontId="78" fillId="0" borderId="0" xfId="0" applyFont="1" applyBorder="1" applyAlignment="1">
      <alignment vertical="center"/>
    </xf>
    <xf numFmtId="1" fontId="56" fillId="0" borderId="575" xfId="436" applyNumberFormat="1" applyFont="1" applyBorder="1" applyAlignment="1">
      <alignment horizontal="right" vertical="top"/>
    </xf>
    <xf numFmtId="0" fontId="472" fillId="0" borderId="47" xfId="436" applyFont="1" applyFill="1" applyBorder="1" applyAlignment="1">
      <alignment vertical="center"/>
    </xf>
    <xf numFmtId="0" fontId="472" fillId="0" borderId="0" xfId="436" applyFont="1" applyFill="1" applyBorder="1" applyAlignment="1">
      <alignment vertical="center"/>
    </xf>
    <xf numFmtId="0" fontId="40" fillId="0" borderId="53" xfId="436" applyFont="1" applyFill="1" applyBorder="1" applyAlignment="1">
      <alignment vertical="center"/>
    </xf>
    <xf numFmtId="0" fontId="40" fillId="0" borderId="42" xfId="436" applyFont="1" applyBorder="1" applyAlignment="1">
      <alignment horizontal="right" vertical="center"/>
    </xf>
    <xf numFmtId="0" fontId="458" fillId="0" borderId="0" xfId="0" applyFont="1" applyBorder="1" applyAlignment="1">
      <alignment horizontal="center" vertical="top"/>
    </xf>
    <xf numFmtId="0" fontId="94" fillId="0" borderId="179" xfId="0" applyFont="1" applyBorder="1"/>
    <xf numFmtId="0" fontId="473" fillId="0" borderId="13" xfId="0" applyFont="1" applyBorder="1" applyAlignment="1">
      <alignment horizontal="center" vertical="center"/>
    </xf>
    <xf numFmtId="0" fontId="473" fillId="0" borderId="0" xfId="0" applyFont="1" applyBorder="1" applyAlignment="1">
      <alignment horizontal="center" vertical="center"/>
    </xf>
    <xf numFmtId="0" fontId="474" fillId="0" borderId="48" xfId="0" applyFont="1" applyBorder="1" applyAlignment="1">
      <alignment horizontal="center" vertical="center"/>
    </xf>
    <xf numFmtId="0" fontId="473" fillId="0" borderId="32" xfId="0" applyFont="1" applyBorder="1" applyAlignment="1">
      <alignment horizontal="center" vertical="center"/>
    </xf>
    <xf numFmtId="0" fontId="475" fillId="0" borderId="316" xfId="436" applyFont="1" applyBorder="1" applyAlignment="1">
      <alignment horizontal="center" vertical="center"/>
    </xf>
    <xf numFmtId="0" fontId="475" fillId="0" borderId="316" xfId="436" applyFont="1" applyFill="1" applyBorder="1" applyAlignment="1" applyProtection="1">
      <alignment horizontal="center" vertical="center"/>
      <protection locked="0"/>
    </xf>
    <xf numFmtId="0" fontId="473" fillId="0" borderId="316" xfId="0" applyFont="1" applyBorder="1" applyAlignment="1">
      <alignment horizontal="center" vertical="center"/>
    </xf>
    <xf numFmtId="0" fontId="475" fillId="0" borderId="316" xfId="0" applyFont="1" applyBorder="1" applyAlignment="1">
      <alignment horizontal="center" vertical="center"/>
    </xf>
    <xf numFmtId="0" fontId="475" fillId="0" borderId="316" xfId="0" applyFont="1" applyBorder="1" applyAlignment="1" applyProtection="1">
      <alignment horizontal="center" vertical="center"/>
      <protection locked="0"/>
    </xf>
    <xf numFmtId="0" fontId="474" fillId="0" borderId="340" xfId="0" applyFont="1" applyBorder="1" applyAlignment="1">
      <alignment horizontal="center" vertical="center"/>
    </xf>
    <xf numFmtId="0" fontId="247" fillId="0" borderId="47" xfId="436" applyFont="1" applyBorder="1" applyAlignment="1">
      <alignment vertical="center"/>
    </xf>
    <xf numFmtId="0" fontId="247" fillId="0" borderId="0" xfId="436" applyFont="1" applyFill="1" applyBorder="1" applyAlignment="1">
      <alignment vertical="center"/>
    </xf>
    <xf numFmtId="165" fontId="476" fillId="0" borderId="0" xfId="436" applyNumberFormat="1" applyFont="1" applyFill="1" applyBorder="1" applyAlignment="1">
      <alignment horizontal="left" vertical="center"/>
    </xf>
    <xf numFmtId="20" fontId="476" fillId="0" borderId="17" xfId="436" applyNumberFormat="1" applyFont="1" applyFill="1" applyBorder="1" applyAlignment="1">
      <alignment horizontal="right" vertical="center"/>
    </xf>
    <xf numFmtId="180" fontId="476" fillId="0" borderId="17" xfId="436" applyNumberFormat="1" applyFont="1" applyFill="1" applyBorder="1" applyAlignment="1">
      <alignment horizontal="center" vertical="center"/>
    </xf>
    <xf numFmtId="180" fontId="282" fillId="0" borderId="17" xfId="436" applyNumberFormat="1" applyFont="1" applyFill="1" applyBorder="1" applyAlignment="1">
      <alignment horizontal="center" vertical="center"/>
    </xf>
    <xf numFmtId="20" fontId="322" fillId="0" borderId="18" xfId="436" applyNumberFormat="1" applyFont="1" applyFill="1" applyBorder="1" applyAlignment="1">
      <alignment horizontal="center" vertical="center"/>
    </xf>
    <xf numFmtId="0" fontId="247" fillId="0" borderId="60" xfId="436" applyFont="1" applyFill="1" applyBorder="1" applyAlignment="1">
      <alignment vertical="center"/>
    </xf>
    <xf numFmtId="0" fontId="247" fillId="0" borderId="15" xfId="436" applyFont="1" applyFill="1" applyBorder="1" applyAlignment="1">
      <alignment vertical="center"/>
    </xf>
    <xf numFmtId="14" fontId="247" fillId="0" borderId="15" xfId="436" applyNumberFormat="1" applyFont="1" applyFill="1" applyBorder="1" applyAlignment="1">
      <alignment horizontal="left" vertical="center"/>
    </xf>
    <xf numFmtId="14" fontId="247" fillId="0" borderId="15" xfId="436" applyNumberFormat="1" applyFont="1" applyFill="1" applyBorder="1" applyAlignment="1">
      <alignment horizontal="center" vertical="center"/>
    </xf>
    <xf numFmtId="14" fontId="477" fillId="0" borderId="30" xfId="436" applyNumberFormat="1" applyFont="1" applyFill="1" applyBorder="1" applyAlignment="1">
      <alignment horizontal="center" vertical="center"/>
    </xf>
    <xf numFmtId="0" fontId="220" fillId="0" borderId="47" xfId="436" applyFont="1" applyBorder="1" applyAlignment="1">
      <alignment vertical="center"/>
    </xf>
    <xf numFmtId="0" fontId="220" fillId="0" borderId="0" xfId="436" applyFont="1" applyBorder="1" applyAlignment="1">
      <alignment vertical="center"/>
    </xf>
    <xf numFmtId="165" fontId="220" fillId="0" borderId="0" xfId="436" applyNumberFormat="1" applyFont="1" applyBorder="1" applyAlignment="1" applyProtection="1">
      <alignment horizontal="right" vertical="center"/>
    </xf>
    <xf numFmtId="20" fontId="220" fillId="0" borderId="0" xfId="436" applyNumberFormat="1" applyFont="1" applyFill="1" applyBorder="1" applyAlignment="1" applyProtection="1">
      <alignment horizontal="left" vertical="center"/>
    </xf>
    <xf numFmtId="0" fontId="123" fillId="0" borderId="42" xfId="0" applyFont="1" applyBorder="1" applyAlignment="1">
      <alignment vertical="center"/>
    </xf>
    <xf numFmtId="20" fontId="123" fillId="0" borderId="42" xfId="0" applyNumberFormat="1" applyFont="1" applyBorder="1" applyAlignment="1">
      <alignment horizontal="center" vertical="center"/>
    </xf>
    <xf numFmtId="1" fontId="220" fillId="0" borderId="42" xfId="0" applyNumberFormat="1" applyFont="1" applyBorder="1" applyAlignment="1">
      <alignment horizontal="right" vertical="center"/>
    </xf>
    <xf numFmtId="0" fontId="322" fillId="0" borderId="301" xfId="436" applyFont="1" applyFill="1" applyBorder="1" applyAlignment="1">
      <alignment vertical="center"/>
    </xf>
    <xf numFmtId="0" fontId="220" fillId="0" borderId="0" xfId="436" applyFont="1" applyFill="1" applyBorder="1" applyAlignment="1">
      <alignment vertical="center"/>
    </xf>
    <xf numFmtId="165" fontId="220" fillId="0" borderId="0" xfId="436" applyNumberFormat="1" applyFont="1" applyBorder="1" applyAlignment="1">
      <alignment horizontal="right" vertical="center"/>
    </xf>
    <xf numFmtId="1" fontId="220" fillId="0" borderId="0" xfId="436" applyNumberFormat="1" applyFont="1" applyFill="1" applyBorder="1" applyAlignment="1">
      <alignment horizontal="right" vertical="center"/>
    </xf>
    <xf numFmtId="20" fontId="220" fillId="0" borderId="0" xfId="436" applyNumberFormat="1" applyFont="1" applyFill="1" applyBorder="1" applyAlignment="1">
      <alignment horizontal="left" vertical="center"/>
    </xf>
    <xf numFmtId="0" fontId="220" fillId="0" borderId="0" xfId="0" applyFont="1" applyBorder="1" applyAlignment="1">
      <alignment vertical="center"/>
    </xf>
    <xf numFmtId="0" fontId="478" fillId="0" borderId="0" xfId="428" applyFont="1" applyBorder="1" applyAlignment="1">
      <alignment horizontal="center" vertical="center"/>
    </xf>
    <xf numFmtId="0" fontId="220" fillId="0" borderId="54" xfId="436" applyFont="1" applyBorder="1" applyAlignment="1">
      <alignment vertical="center"/>
    </xf>
    <xf numFmtId="0" fontId="220" fillId="0" borderId="17" xfId="436" applyFont="1" applyFill="1" applyBorder="1" applyAlignment="1">
      <alignment vertical="center"/>
    </xf>
    <xf numFmtId="165" fontId="220" fillId="0" borderId="17" xfId="436" applyNumberFormat="1" applyFont="1" applyBorder="1" applyAlignment="1">
      <alignment horizontal="right" vertical="center"/>
    </xf>
    <xf numFmtId="0" fontId="220" fillId="0" borderId="17" xfId="436" applyFont="1" applyBorder="1" applyAlignment="1">
      <alignment horizontal="right"/>
    </xf>
    <xf numFmtId="10" fontId="220" fillId="0" borderId="17" xfId="436" applyNumberFormat="1" applyFont="1" applyFill="1" applyBorder="1" applyAlignment="1">
      <alignment horizontal="left" vertical="center"/>
    </xf>
    <xf numFmtId="1" fontId="220" fillId="0" borderId="17" xfId="436" applyNumberFormat="1" applyFont="1" applyFill="1" applyBorder="1" applyAlignment="1">
      <alignment horizontal="right" vertical="center"/>
    </xf>
    <xf numFmtId="0" fontId="322" fillId="0" borderId="18" xfId="436" applyFont="1" applyFill="1" applyBorder="1" applyAlignment="1">
      <alignment vertical="center"/>
    </xf>
    <xf numFmtId="0" fontId="220" fillId="0" borderId="47" xfId="436" applyFont="1" applyFill="1" applyBorder="1" applyAlignment="1">
      <alignment vertical="center"/>
    </xf>
    <xf numFmtId="0" fontId="247" fillId="0" borderId="0" xfId="436" applyFont="1" applyFill="1" applyBorder="1" applyAlignment="1">
      <alignment horizontal="center" vertical="center"/>
    </xf>
    <xf numFmtId="0" fontId="479" fillId="0" borderId="0" xfId="436" applyFont="1" applyFill="1" applyBorder="1" applyAlignment="1">
      <alignment vertical="center"/>
    </xf>
    <xf numFmtId="0" fontId="220" fillId="0" borderId="0" xfId="436" applyFont="1" applyFill="1" applyBorder="1" applyAlignment="1">
      <alignment horizontal="right" vertical="center"/>
    </xf>
    <xf numFmtId="177" fontId="220" fillId="0" borderId="0" xfId="436" applyNumberFormat="1" applyFont="1" applyFill="1" applyBorder="1" applyAlignment="1">
      <alignment horizontal="right" vertical="center"/>
    </xf>
    <xf numFmtId="0" fontId="322" fillId="0" borderId="301" xfId="271" applyNumberFormat="1" applyFont="1" applyFill="1" applyBorder="1" applyAlignment="1">
      <alignment horizontal="left" vertical="center"/>
    </xf>
    <xf numFmtId="1" fontId="220" fillId="0" borderId="0" xfId="436" applyNumberFormat="1" applyFont="1" applyFill="1" applyBorder="1" applyAlignment="1">
      <alignment vertical="center"/>
    </xf>
    <xf numFmtId="0" fontId="220" fillId="0" borderId="42" xfId="436" applyFont="1" applyBorder="1" applyAlignment="1">
      <alignment horizontal="left" vertical="center"/>
    </xf>
    <xf numFmtId="15" fontId="220" fillId="0" borderId="42" xfId="436" applyNumberFormat="1" applyFont="1" applyBorder="1" applyAlignment="1">
      <alignment horizontal="left" vertical="center"/>
    </xf>
    <xf numFmtId="15" fontId="220" fillId="0" borderId="42" xfId="436" applyNumberFormat="1" applyFont="1" applyBorder="1" applyAlignment="1">
      <alignment horizontal="center" vertical="center"/>
    </xf>
    <xf numFmtId="0" fontId="220" fillId="0" borderId="42" xfId="436" applyFont="1" applyBorder="1" applyAlignment="1">
      <alignment vertical="center"/>
    </xf>
    <xf numFmtId="0" fontId="322" fillId="0" borderId="41" xfId="436" applyFont="1" applyFill="1" applyBorder="1" applyAlignment="1">
      <alignment vertical="center"/>
    </xf>
    <xf numFmtId="0" fontId="220" fillId="0" borderId="54" xfId="436" applyFont="1" applyBorder="1" applyAlignment="1">
      <alignment horizontal="right" vertical="center"/>
    </xf>
    <xf numFmtId="2" fontId="220" fillId="0" borderId="17" xfId="436" applyNumberFormat="1" applyFont="1" applyFill="1" applyBorder="1" applyAlignment="1">
      <alignment horizontal="center" vertical="center"/>
    </xf>
    <xf numFmtId="0" fontId="220" fillId="0" borderId="17" xfId="436" applyFont="1" applyBorder="1" applyAlignment="1">
      <alignment vertical="center"/>
    </xf>
    <xf numFmtId="0" fontId="220" fillId="0" borderId="17" xfId="436" applyFont="1" applyBorder="1" applyAlignment="1">
      <alignment horizontal="right" vertical="center"/>
    </xf>
    <xf numFmtId="2" fontId="220" fillId="0" borderId="17" xfId="436" applyNumberFormat="1" applyFont="1" applyBorder="1" applyAlignment="1">
      <alignment horizontal="center" vertical="center"/>
    </xf>
    <xf numFmtId="0" fontId="480" fillId="0" borderId="0" xfId="436" applyFont="1" applyBorder="1" applyAlignment="1">
      <alignment horizontal="left" vertical="center"/>
    </xf>
    <xf numFmtId="2" fontId="480" fillId="0" borderId="0" xfId="436" applyNumberFormat="1" applyFont="1" applyFill="1" applyBorder="1" applyAlignment="1">
      <alignment horizontal="center" vertical="center"/>
    </xf>
    <xf numFmtId="0" fontId="480" fillId="0" borderId="0" xfId="436" applyFont="1" applyBorder="1" applyAlignment="1">
      <alignment vertical="center"/>
    </xf>
    <xf numFmtId="0" fontId="322" fillId="0" borderId="301" xfId="436" applyFont="1" applyBorder="1" applyAlignment="1">
      <alignment vertical="center"/>
    </xf>
    <xf numFmtId="2" fontId="220" fillId="0" borderId="0" xfId="436" applyNumberFormat="1" applyFont="1" applyFill="1" applyBorder="1" applyAlignment="1">
      <alignment horizontal="right" vertical="center"/>
    </xf>
    <xf numFmtId="0" fontId="220" fillId="0" borderId="0" xfId="436" applyFont="1" applyFill="1" applyBorder="1" applyAlignment="1">
      <alignment horizontal="left" vertical="center"/>
    </xf>
    <xf numFmtId="1" fontId="220" fillId="0" borderId="0" xfId="436" applyNumberFormat="1" applyFont="1" applyFill="1" applyBorder="1" applyAlignment="1">
      <alignment horizontal="center" vertical="center"/>
    </xf>
    <xf numFmtId="0" fontId="123" fillId="0" borderId="47" xfId="0" applyFont="1" applyBorder="1" applyAlignment="1">
      <alignment vertical="center"/>
    </xf>
    <xf numFmtId="0" fontId="455" fillId="0" borderId="0" xfId="0" applyFont="1" applyBorder="1" applyAlignment="1">
      <alignment horizontal="right" vertical="center"/>
    </xf>
    <xf numFmtId="181" fontId="123" fillId="0" borderId="0" xfId="0" applyNumberFormat="1" applyFont="1" applyBorder="1" applyAlignment="1">
      <alignment horizontal="center" vertical="center"/>
    </xf>
    <xf numFmtId="181" fontId="220" fillId="0" borderId="17" xfId="436" applyNumberFormat="1" applyFont="1" applyFill="1" applyBorder="1" applyAlignment="1">
      <alignment vertical="center"/>
    </xf>
    <xf numFmtId="1" fontId="247" fillId="0" borderId="17" xfId="436" applyNumberFormat="1" applyFont="1" applyFill="1" applyBorder="1" applyAlignment="1">
      <alignment horizontal="right" vertical="center"/>
    </xf>
    <xf numFmtId="181" fontId="123" fillId="0" borderId="17" xfId="0" applyNumberFormat="1" applyFont="1" applyBorder="1" applyAlignment="1">
      <alignment horizontal="center" vertical="center"/>
    </xf>
    <xf numFmtId="0" fontId="220" fillId="0" borderId="17" xfId="436" applyFont="1" applyFill="1" applyBorder="1" applyAlignment="1">
      <alignment horizontal="right" vertical="center"/>
    </xf>
    <xf numFmtId="181" fontId="220" fillId="0" borderId="17" xfId="271" applyNumberFormat="1" applyFont="1" applyFill="1" applyBorder="1" applyAlignment="1">
      <alignment horizontal="left" vertical="center"/>
    </xf>
    <xf numFmtId="181" fontId="220" fillId="0" borderId="17" xfId="436" applyNumberFormat="1" applyFont="1" applyBorder="1" applyAlignment="1">
      <alignment horizontal="left" vertical="center"/>
    </xf>
    <xf numFmtId="1" fontId="322" fillId="0" borderId="18" xfId="436" applyNumberFormat="1" applyFont="1" applyFill="1" applyBorder="1" applyAlignment="1">
      <alignment vertical="center"/>
    </xf>
    <xf numFmtId="0" fontId="481" fillId="0" borderId="0" xfId="436" applyFont="1" applyFill="1" applyBorder="1" applyAlignment="1">
      <alignment vertical="center"/>
    </xf>
    <xf numFmtId="0" fontId="322" fillId="0" borderId="301" xfId="436" applyFont="1" applyFill="1" applyBorder="1" applyAlignment="1">
      <alignment horizontal="right" vertical="center"/>
    </xf>
    <xf numFmtId="0" fontId="481" fillId="0" borderId="0" xfId="436" applyFont="1" applyBorder="1" applyAlignment="1">
      <alignment vertical="center"/>
    </xf>
    <xf numFmtId="0" fontId="220" fillId="0" borderId="317" xfId="436" applyFont="1" applyFill="1" applyBorder="1" applyAlignment="1">
      <alignment vertical="center"/>
    </xf>
    <xf numFmtId="0" fontId="220" fillId="0" borderId="145" xfId="436" applyFont="1" applyFill="1" applyBorder="1" applyAlignment="1">
      <alignment horizontal="left" vertical="center"/>
    </xf>
    <xf numFmtId="0" fontId="220" fillId="0" borderId="145" xfId="436" applyFont="1" applyFill="1" applyBorder="1" applyAlignment="1">
      <alignment vertical="center"/>
    </xf>
    <xf numFmtId="0" fontId="220" fillId="0" borderId="145" xfId="436" applyFont="1" applyFill="1" applyBorder="1" applyAlignment="1">
      <alignment horizontal="center" vertical="center"/>
    </xf>
    <xf numFmtId="0" fontId="220" fillId="0" borderId="182" xfId="436" applyFont="1" applyFill="1" applyBorder="1" applyAlignment="1">
      <alignment vertical="center"/>
    </xf>
    <xf numFmtId="0" fontId="220" fillId="0" borderId="182" xfId="436" applyFont="1" applyFill="1" applyBorder="1" applyAlignment="1">
      <alignment horizontal="right" vertical="center"/>
    </xf>
    <xf numFmtId="0" fontId="322" fillId="0" borderId="517" xfId="436" applyFont="1" applyFill="1" applyBorder="1" applyAlignment="1">
      <alignment vertical="center"/>
    </xf>
    <xf numFmtId="0" fontId="220" fillId="0" borderId="0" xfId="436" applyFont="1" applyFill="1" applyBorder="1" applyAlignment="1">
      <alignment horizontal="center" vertical="center"/>
    </xf>
    <xf numFmtId="0" fontId="220" fillId="0" borderId="184" xfId="436" applyFont="1" applyFill="1" applyBorder="1" applyAlignment="1">
      <alignment vertical="center"/>
    </xf>
    <xf numFmtId="0" fontId="220" fillId="0" borderId="0" xfId="436" applyFont="1" applyBorder="1" applyAlignment="1">
      <alignment horizontal="left" vertical="center"/>
    </xf>
    <xf numFmtId="0" fontId="220" fillId="0" borderId="54" xfId="436" applyFont="1" applyFill="1" applyBorder="1" applyAlignment="1">
      <alignment vertical="center"/>
    </xf>
    <xf numFmtId="20" fontId="220" fillId="0" borderId="17" xfId="436" applyNumberFormat="1" applyFont="1" applyFill="1" applyBorder="1" applyAlignment="1">
      <alignment horizontal="center" vertical="center"/>
    </xf>
    <xf numFmtId="0" fontId="220" fillId="0" borderId="17" xfId="436" applyFont="1" applyFill="1" applyBorder="1" applyAlignment="1">
      <alignment horizontal="center" vertical="center"/>
    </xf>
    <xf numFmtId="0" fontId="220" fillId="0" borderId="17" xfId="436" applyFont="1" applyFill="1" applyBorder="1" applyAlignment="1">
      <alignment horizontal="left" vertical="center"/>
    </xf>
    <xf numFmtId="0" fontId="220" fillId="0" borderId="53" xfId="436" applyFont="1" applyBorder="1" applyAlignment="1">
      <alignment horizontal="left" vertical="center"/>
    </xf>
    <xf numFmtId="20" fontId="220" fillId="0" borderId="0" xfId="0" applyNumberFormat="1" applyFont="1" applyBorder="1" applyAlignment="1">
      <alignment horizontal="center" vertical="center"/>
    </xf>
    <xf numFmtId="1" fontId="282" fillId="0" borderId="0" xfId="436" applyNumberFormat="1" applyFont="1" applyFill="1" applyBorder="1" applyAlignment="1">
      <alignment horizontal="center" vertical="center"/>
    </xf>
    <xf numFmtId="1" fontId="123" fillId="0" borderId="42" xfId="0" applyNumberFormat="1" applyFont="1" applyBorder="1" applyAlignment="1">
      <alignment horizontal="center" vertical="center"/>
    </xf>
    <xf numFmtId="9" fontId="220" fillId="0" borderId="0" xfId="458" applyFont="1" applyFill="1" applyBorder="1" applyAlignment="1">
      <alignment horizontal="center" vertical="center"/>
    </xf>
    <xf numFmtId="0" fontId="322" fillId="0" borderId="41" xfId="436" applyFont="1" applyFill="1" applyBorder="1" applyAlignment="1">
      <alignment horizontal="center" vertical="center"/>
    </xf>
    <xf numFmtId="0" fontId="220" fillId="0" borderId="47" xfId="436" applyFont="1" applyBorder="1" applyAlignment="1">
      <alignment horizontal="left" vertical="center"/>
    </xf>
    <xf numFmtId="1" fontId="123" fillId="0" borderId="0" xfId="0" applyNumberFormat="1" applyFont="1" applyBorder="1" applyAlignment="1">
      <alignment horizontal="center" vertical="center"/>
    </xf>
    <xf numFmtId="0" fontId="322" fillId="0" borderId="301" xfId="436" applyFont="1" applyFill="1" applyBorder="1" applyAlignment="1">
      <alignment horizontal="center" vertical="center"/>
    </xf>
    <xf numFmtId="0" fontId="322" fillId="0" borderId="18" xfId="436" applyFont="1" applyFill="1" applyBorder="1" applyAlignment="1">
      <alignment horizontal="center" vertical="center"/>
    </xf>
    <xf numFmtId="0" fontId="247" fillId="0" borderId="60" xfId="436" applyFont="1" applyFill="1" applyBorder="1" applyAlignment="1">
      <alignment horizontal="left" vertical="center"/>
    </xf>
    <xf numFmtId="1" fontId="247" fillId="0" borderId="15" xfId="436" applyNumberFormat="1" applyFont="1" applyFill="1" applyBorder="1" applyAlignment="1">
      <alignment horizontal="center" vertical="center"/>
    </xf>
    <xf numFmtId="0" fontId="220" fillId="0" borderId="15" xfId="436" applyFont="1" applyFill="1" applyBorder="1" applyAlignment="1">
      <alignment horizontal="center" vertical="center"/>
    </xf>
    <xf numFmtId="0" fontId="220" fillId="0" borderId="15" xfId="436" applyFont="1" applyFill="1" applyBorder="1" applyAlignment="1">
      <alignment horizontal="right" vertical="center"/>
    </xf>
    <xf numFmtId="0" fontId="220" fillId="0" borderId="0" xfId="436" applyFont="1" applyBorder="1" applyAlignment="1" applyProtection="1">
      <alignment vertical="center"/>
      <protection locked="0"/>
    </xf>
    <xf numFmtId="0" fontId="322" fillId="0" borderId="301" xfId="436" applyFont="1" applyBorder="1" applyAlignment="1" applyProtection="1">
      <alignment vertical="center"/>
      <protection locked="0"/>
    </xf>
    <xf numFmtId="0" fontId="220" fillId="0" borderId="17" xfId="436" applyFont="1" applyBorder="1" applyAlignment="1" applyProtection="1">
      <alignment vertical="center"/>
      <protection locked="0"/>
    </xf>
    <xf numFmtId="0" fontId="476" fillId="0" borderId="47" xfId="0" applyFont="1" applyBorder="1" applyAlignment="1">
      <alignment vertical="center"/>
    </xf>
    <xf numFmtId="0" fontId="476" fillId="0" borderId="47" xfId="436" applyFont="1" applyBorder="1" applyAlignment="1" applyProtection="1">
      <alignment vertical="center"/>
      <protection locked="0"/>
    </xf>
    <xf numFmtId="0" fontId="282" fillId="0" borderId="0" xfId="0" applyFont="1" applyBorder="1" applyAlignment="1">
      <alignment vertical="center"/>
    </xf>
    <xf numFmtId="0" fontId="476" fillId="0" borderId="0" xfId="436" applyFont="1" applyBorder="1" applyAlignment="1" applyProtection="1">
      <alignment vertical="center"/>
      <protection locked="0"/>
    </xf>
    <xf numFmtId="0" fontId="123" fillId="0" borderId="301" xfId="0" applyFont="1" applyBorder="1" applyAlignment="1">
      <alignment vertical="center"/>
    </xf>
    <xf numFmtId="0" fontId="455" fillId="0" borderId="0" xfId="0" applyFont="1" applyFill="1" applyBorder="1" applyAlignment="1"/>
    <xf numFmtId="0" fontId="281" fillId="0" borderId="301" xfId="0" applyFont="1" applyBorder="1" applyAlignment="1">
      <alignment vertical="center" wrapText="1"/>
    </xf>
    <xf numFmtId="0" fontId="476" fillId="0" borderId="47" xfId="436" applyFont="1" applyFill="1" applyBorder="1" applyAlignment="1" applyProtection="1">
      <alignment vertical="center"/>
      <protection locked="0"/>
    </xf>
    <xf numFmtId="0" fontId="282" fillId="0" borderId="0" xfId="436" applyFont="1" applyBorder="1" applyAlignment="1" applyProtection="1">
      <alignment vertical="center"/>
      <protection locked="0"/>
    </xf>
    <xf numFmtId="0" fontId="455" fillId="0" borderId="0" xfId="0" applyFont="1" applyBorder="1"/>
    <xf numFmtId="0" fontId="281" fillId="0" borderId="301" xfId="0" applyFont="1" applyBorder="1" applyAlignment="1">
      <alignment vertical="center"/>
    </xf>
    <xf numFmtId="0" fontId="483" fillId="0" borderId="301" xfId="0" applyFont="1" applyBorder="1" applyAlignment="1">
      <alignment vertical="center"/>
    </xf>
    <xf numFmtId="0" fontId="484" fillId="0" borderId="301" xfId="0" applyFont="1" applyBorder="1" applyAlignment="1">
      <alignment horizontal="left" vertical="center"/>
    </xf>
    <xf numFmtId="0" fontId="476" fillId="0" borderId="0" xfId="436" applyFont="1" applyFill="1" applyBorder="1" applyAlignment="1" applyProtection="1">
      <alignment vertical="center"/>
      <protection locked="0"/>
    </xf>
    <xf numFmtId="0" fontId="476" fillId="0" borderId="301" xfId="0" applyFont="1" applyFill="1" applyBorder="1" applyAlignment="1">
      <alignment vertical="center"/>
    </xf>
    <xf numFmtId="0" fontId="476" fillId="0" borderId="301" xfId="436" applyFont="1" applyFill="1" applyBorder="1" applyAlignment="1" applyProtection="1">
      <alignment vertical="center"/>
      <protection locked="0"/>
    </xf>
    <xf numFmtId="0" fontId="476" fillId="0" borderId="17" xfId="436" applyFont="1" applyFill="1" applyBorder="1" applyAlignment="1" applyProtection="1">
      <alignment vertical="center"/>
      <protection locked="0"/>
    </xf>
    <xf numFmtId="0" fontId="282" fillId="0" borderId="17" xfId="436" applyFont="1" applyBorder="1" applyAlignment="1" applyProtection="1">
      <alignment vertical="center"/>
      <protection locked="0"/>
    </xf>
    <xf numFmtId="0" fontId="476" fillId="0" borderId="18" xfId="0" applyFont="1" applyFill="1" applyBorder="1" applyAlignment="1">
      <alignment vertical="center"/>
    </xf>
    <xf numFmtId="0" fontId="123" fillId="0" borderId="17" xfId="0" applyFont="1" applyBorder="1"/>
    <xf numFmtId="0" fontId="123" fillId="0" borderId="17" xfId="0" applyFont="1" applyBorder="1" applyAlignment="1"/>
    <xf numFmtId="0" fontId="322" fillId="0" borderId="18" xfId="436" applyFont="1" applyBorder="1" applyAlignment="1" applyProtection="1">
      <alignment vertical="center"/>
      <protection locked="0"/>
    </xf>
    <xf numFmtId="15" fontId="220" fillId="0" borderId="0" xfId="436" applyNumberFormat="1" applyFont="1" applyFill="1" applyBorder="1" applyAlignment="1">
      <alignment horizontal="center" vertical="center"/>
    </xf>
    <xf numFmtId="14" fontId="322" fillId="0" borderId="301" xfId="436" applyNumberFormat="1" applyFont="1" applyFill="1" applyBorder="1" applyAlignment="1">
      <alignment horizontal="left" vertical="center"/>
    </xf>
    <xf numFmtId="164" fontId="40" fillId="0" borderId="15" xfId="436" applyNumberFormat="1" applyFont="1" applyFill="1" applyBorder="1" applyAlignment="1">
      <alignment horizontal="center" vertical="center"/>
    </xf>
    <xf numFmtId="0" fontId="485" fillId="0" borderId="42" xfId="0" applyFont="1" applyBorder="1"/>
    <xf numFmtId="0" fontId="485" fillId="0" borderId="0" xfId="0" applyFont="1" applyBorder="1"/>
    <xf numFmtId="0" fontId="485" fillId="0" borderId="0" xfId="0" applyFont="1" applyBorder="1" applyAlignment="1">
      <alignment vertical="center"/>
    </xf>
    <xf numFmtId="0" fontId="485" fillId="0" borderId="0" xfId="0" applyFont="1"/>
    <xf numFmtId="1" fontId="108" fillId="0" borderId="0" xfId="0" applyNumberFormat="1" applyFont="1"/>
    <xf numFmtId="0" fontId="486" fillId="34" borderId="10" xfId="0" applyFont="1" applyFill="1" applyBorder="1" applyAlignment="1">
      <alignment horizontal="center" vertical="center"/>
    </xf>
    <xf numFmtId="1" fontId="268" fillId="0" borderId="37" xfId="0" applyNumberFormat="1" applyFont="1" applyFill="1" applyBorder="1" applyAlignment="1">
      <alignment horizontal="center" vertical="center"/>
    </xf>
    <xf numFmtId="1" fontId="268" fillId="71" borderId="28" xfId="0" applyNumberFormat="1" applyFont="1" applyFill="1" applyBorder="1" applyAlignment="1">
      <alignment horizontal="center" vertical="center"/>
    </xf>
    <xf numFmtId="1" fontId="268" fillId="71" borderId="356" xfId="0" applyNumberFormat="1" applyFont="1" applyFill="1" applyBorder="1" applyAlignment="1">
      <alignment horizontal="center" vertical="center"/>
    </xf>
    <xf numFmtId="166" fontId="268" fillId="77" borderId="356" xfId="271" applyNumberFormat="1" applyFont="1" applyFill="1" applyBorder="1" applyAlignment="1">
      <alignment horizontal="center" vertical="center"/>
    </xf>
    <xf numFmtId="1" fontId="268" fillId="71" borderId="356" xfId="0" applyNumberFormat="1" applyFont="1" applyFill="1" applyBorder="1" applyAlignment="1" applyProtection="1">
      <alignment horizontal="center" vertical="center"/>
      <protection locked="0"/>
    </xf>
    <xf numFmtId="1" fontId="268" fillId="71" borderId="318" xfId="0" applyNumberFormat="1" applyFont="1" applyFill="1" applyBorder="1" applyAlignment="1">
      <alignment horizontal="center" vertical="center"/>
    </xf>
    <xf numFmtId="1" fontId="268" fillId="97" borderId="62" xfId="0" applyNumberFormat="1" applyFont="1" applyFill="1" applyBorder="1" applyAlignment="1">
      <alignment horizontal="center" vertical="center"/>
    </xf>
    <xf numFmtId="166" fontId="268" fillId="33" borderId="62" xfId="271" applyNumberFormat="1" applyFont="1" applyFill="1" applyBorder="1" applyAlignment="1">
      <alignment horizontal="center" vertical="center"/>
    </xf>
    <xf numFmtId="1" fontId="268" fillId="97" borderId="62" xfId="0" applyNumberFormat="1" applyFont="1" applyFill="1" applyBorder="1" applyAlignment="1" applyProtection="1">
      <alignment vertical="center"/>
      <protection locked="0"/>
    </xf>
    <xf numFmtId="173" fontId="7" fillId="82" borderId="12" xfId="414" applyNumberFormat="1" applyFont="1" applyFill="1" applyBorder="1" applyAlignment="1">
      <alignment vertical="center"/>
    </xf>
    <xf numFmtId="0" fontId="7" fillId="82" borderId="113" xfId="0" applyFont="1" applyFill="1" applyBorder="1" applyAlignment="1">
      <alignment vertical="center"/>
    </xf>
    <xf numFmtId="0" fontId="7" fillId="82" borderId="112" xfId="0" applyFont="1" applyFill="1" applyBorder="1" applyAlignment="1">
      <alignment horizontal="center" vertical="center"/>
    </xf>
    <xf numFmtId="0" fontId="284" fillId="0" borderId="13" xfId="0" applyFont="1" applyFill="1" applyBorder="1" applyAlignment="1">
      <alignment vertical="center"/>
    </xf>
    <xf numFmtId="0" fontId="400" fillId="108" borderId="578" xfId="556" applyFont="1" applyFill="1" applyBorder="1" applyAlignment="1" applyProtection="1">
      <alignment horizontal="center" vertical="center" wrapText="1"/>
    </xf>
    <xf numFmtId="173" fontId="92" fillId="113" borderId="0" xfId="414" applyNumberFormat="1" applyFont="1" applyFill="1"/>
    <xf numFmtId="0" fontId="92" fillId="113" borderId="0" xfId="414" applyNumberFormat="1" applyFont="1" applyFill="1" applyBorder="1" applyAlignment="1">
      <alignment horizontal="center"/>
    </xf>
    <xf numFmtId="1" fontId="215" fillId="113" borderId="0" xfId="428" applyNumberFormat="1" applyFont="1" applyFill="1" applyBorder="1" applyAlignment="1">
      <alignment horizontal="center" vertical="center"/>
    </xf>
    <xf numFmtId="173" fontId="92" fillId="113" borderId="0" xfId="414" applyNumberFormat="1" applyFont="1" applyFill="1" applyBorder="1"/>
    <xf numFmtId="0" fontId="123" fillId="0" borderId="13" xfId="0" applyFont="1" applyBorder="1" applyAlignment="1" applyProtection="1"/>
    <xf numFmtId="1" fontId="372" fillId="0" borderId="567" xfId="0" applyNumberFormat="1" applyFont="1" applyFill="1" applyBorder="1" applyAlignment="1" applyProtection="1">
      <alignment horizontal="center"/>
      <protection locked="0"/>
    </xf>
    <xf numFmtId="0" fontId="400" fillId="102" borderId="569" xfId="0" applyFont="1" applyFill="1" applyBorder="1" applyAlignment="1">
      <alignment vertical="center" wrapText="1"/>
    </xf>
    <xf numFmtId="0" fontId="400" fillId="115" borderId="569" xfId="0" applyFont="1" applyFill="1" applyBorder="1" applyAlignment="1">
      <alignment vertical="center" wrapText="1"/>
    </xf>
    <xf numFmtId="0" fontId="372" fillId="102" borderId="569" xfId="0" applyFont="1" applyFill="1" applyBorder="1" applyAlignment="1">
      <alignment vertical="center" wrapText="1"/>
    </xf>
    <xf numFmtId="0" fontId="372" fillId="115" borderId="569" xfId="0" applyFont="1" applyFill="1" applyBorder="1" applyAlignment="1">
      <alignment vertical="center" wrapText="1"/>
    </xf>
    <xf numFmtId="0" fontId="488" fillId="31" borderId="0" xfId="0" applyNumberFormat="1" applyFont="1" applyFill="1" applyAlignment="1">
      <alignment horizontal="left" vertical="center"/>
    </xf>
    <xf numFmtId="0" fontId="482" fillId="0" borderId="301" xfId="0" applyFont="1" applyBorder="1" applyAlignment="1">
      <alignment vertical="center"/>
    </xf>
    <xf numFmtId="0" fontId="282" fillId="0" borderId="0" xfId="436" applyFont="1" applyFill="1" applyBorder="1" applyAlignment="1" applyProtection="1">
      <alignment vertical="center"/>
      <protection locked="0"/>
    </xf>
    <xf numFmtId="1" fontId="78" fillId="0" borderId="62" xfId="430" quotePrefix="1" applyNumberFormat="1" applyFont="1" applyFill="1" applyBorder="1" applyAlignment="1">
      <alignment horizontal="center" vertical="center"/>
    </xf>
    <xf numFmtId="1" fontId="78" fillId="0" borderId="62" xfId="430" applyNumberFormat="1" applyFont="1" applyFill="1" applyBorder="1" applyAlignment="1">
      <alignment horizontal="center" vertical="center"/>
    </xf>
    <xf numFmtId="1" fontId="49" fillId="0" borderId="62" xfId="430" applyNumberFormat="1" applyFont="1" applyFill="1" applyBorder="1" applyAlignment="1">
      <alignment horizontal="center" vertical="center"/>
    </xf>
    <xf numFmtId="165" fontId="78" fillId="0" borderId="62" xfId="430" applyNumberFormat="1" applyFont="1" applyFill="1" applyBorder="1" applyAlignment="1">
      <alignment horizontal="center" vertical="center"/>
    </xf>
    <xf numFmtId="1" fontId="101" fillId="0" borderId="0" xfId="0" applyNumberFormat="1" applyFont="1" applyFill="1"/>
    <xf numFmtId="173" fontId="7" fillId="0" borderId="566" xfId="414" applyNumberFormat="1" applyFont="1" applyFill="1" applyBorder="1" applyAlignment="1">
      <alignment vertical="center"/>
    </xf>
    <xf numFmtId="0" fontId="414" fillId="0" borderId="566" xfId="0" applyFont="1" applyFill="1" applyBorder="1" applyAlignment="1"/>
    <xf numFmtId="0" fontId="7" fillId="0" borderId="566" xfId="0" applyFont="1" applyFill="1" applyBorder="1" applyAlignment="1">
      <alignment horizontal="center" vertical="center"/>
    </xf>
    <xf numFmtId="0" fontId="7" fillId="0" borderId="566" xfId="428" applyNumberFormat="1" applyFont="1" applyFill="1" applyBorder="1" applyAlignment="1">
      <alignment horizontal="center" vertical="center"/>
    </xf>
    <xf numFmtId="1" fontId="7" fillId="0" borderId="566" xfId="428" applyNumberFormat="1" applyFont="1" applyFill="1" applyBorder="1" applyAlignment="1" applyProtection="1">
      <alignment horizontal="center" vertical="center"/>
      <protection locked="0"/>
    </xf>
    <xf numFmtId="14" fontId="142" fillId="0" borderId="566" xfId="428" applyNumberFormat="1" applyFont="1" applyFill="1" applyBorder="1" applyAlignment="1">
      <alignment horizontal="left" vertical="center"/>
    </xf>
    <xf numFmtId="0" fontId="23" fillId="0" borderId="37" xfId="0" applyNumberFormat="1" applyFont="1" applyFill="1" applyBorder="1" applyAlignment="1" applyProtection="1">
      <alignment horizontal="center" vertical="center"/>
    </xf>
    <xf numFmtId="0" fontId="424" fillId="0" borderId="24" xfId="436" applyFont="1" applyBorder="1" applyAlignment="1" applyProtection="1">
      <alignment vertical="center"/>
      <protection locked="0"/>
    </xf>
    <xf numFmtId="0" fontId="141" fillId="0" borderId="13" xfId="436" quotePrefix="1" applyFont="1" applyBorder="1" applyAlignment="1">
      <alignment horizontal="left" vertical="center"/>
    </xf>
    <xf numFmtId="0" fontId="141" fillId="0" borderId="13" xfId="436" applyFont="1" applyBorder="1" applyAlignment="1">
      <alignment vertical="center"/>
    </xf>
    <xf numFmtId="0" fontId="125" fillId="0" borderId="301" xfId="436" applyFont="1" applyBorder="1" applyAlignment="1">
      <alignment vertical="center"/>
    </xf>
    <xf numFmtId="0" fontId="94" fillId="0" borderId="22" xfId="0" applyFont="1" applyBorder="1"/>
    <xf numFmtId="0" fontId="94" fillId="0" borderId="17" xfId="0" applyFont="1" applyBorder="1"/>
    <xf numFmtId="0" fontId="284" fillId="0" borderId="17" xfId="436" applyFont="1" applyBorder="1" applyAlignment="1" applyProtection="1">
      <alignment vertical="center"/>
      <protection locked="0"/>
    </xf>
    <xf numFmtId="0" fontId="422" fillId="0" borderId="18" xfId="436" applyFont="1" applyBorder="1" applyAlignment="1" applyProtection="1">
      <alignment vertical="center"/>
      <protection locked="0"/>
    </xf>
    <xf numFmtId="1" fontId="7" fillId="0" borderId="281" xfId="432" applyNumberFormat="1" applyFont="1" applyFill="1" applyBorder="1" applyAlignment="1" applyProtection="1">
      <alignment horizontal="center" vertical="center"/>
      <protection locked="0"/>
    </xf>
    <xf numFmtId="1" fontId="222" fillId="0" borderId="0" xfId="0" applyNumberFormat="1" applyFont="1" applyFill="1"/>
    <xf numFmtId="1" fontId="298" fillId="97" borderId="62" xfId="0" applyNumberFormat="1" applyFont="1" applyFill="1" applyBorder="1" applyAlignment="1" applyProtection="1">
      <alignment vertical="center"/>
      <protection locked="0"/>
    </xf>
    <xf numFmtId="166" fontId="205" fillId="33" borderId="62" xfId="271" applyNumberFormat="1" applyFont="1" applyFill="1" applyBorder="1" applyAlignment="1">
      <alignment vertical="center"/>
    </xf>
    <xf numFmtId="0" fontId="283" fillId="0" borderId="0" xfId="0" applyFont="1"/>
    <xf numFmtId="0" fontId="283" fillId="0" borderId="0" xfId="0" applyFont="1" applyAlignment="1">
      <alignment horizontal="center" vertical="center"/>
    </xf>
    <xf numFmtId="1" fontId="327" fillId="0" borderId="565" xfId="429" applyNumberFormat="1" applyFont="1" applyFill="1" applyBorder="1" applyAlignment="1" applyProtection="1">
      <alignment horizontal="center" vertical="center"/>
    </xf>
    <xf numFmtId="20" fontId="489" fillId="0" borderId="0" xfId="0" applyNumberFormat="1" applyFont="1"/>
    <xf numFmtId="0" fontId="489" fillId="0" borderId="0" xfId="0" applyFont="1"/>
    <xf numFmtId="1" fontId="489" fillId="0" borderId="0" xfId="0" applyNumberFormat="1" applyFont="1"/>
    <xf numFmtId="0" fontId="490" fillId="0" borderId="0" xfId="0" applyFont="1"/>
    <xf numFmtId="165" fontId="489" fillId="0" borderId="0" xfId="0" applyNumberFormat="1" applyFont="1"/>
    <xf numFmtId="1" fontId="490" fillId="0" borderId="0" xfId="0" applyNumberFormat="1" applyFont="1"/>
    <xf numFmtId="1" fontId="92" fillId="0" borderId="0" xfId="0" applyNumberFormat="1" applyFont="1" applyAlignment="1"/>
    <xf numFmtId="0" fontId="92" fillId="47" borderId="0" xfId="0" applyFont="1" applyFill="1" applyBorder="1"/>
    <xf numFmtId="0" fontId="7" fillId="47" borderId="111" xfId="428" applyFont="1" applyFill="1" applyBorder="1" applyAlignment="1">
      <alignment horizontal="center" vertical="center"/>
    </xf>
    <xf numFmtId="0" fontId="7" fillId="47" borderId="12" xfId="437" applyNumberFormat="1" applyFont="1" applyFill="1" applyBorder="1" applyAlignment="1">
      <alignment vertical="center"/>
    </xf>
    <xf numFmtId="0" fontId="7" fillId="47" borderId="113" xfId="436" applyFont="1" applyFill="1" applyBorder="1" applyAlignment="1">
      <alignment vertical="center"/>
    </xf>
    <xf numFmtId="0" fontId="7" fillId="47" borderId="112" xfId="428" applyFont="1" applyFill="1" applyBorder="1" applyAlignment="1">
      <alignment horizontal="center" vertical="center"/>
    </xf>
    <xf numFmtId="0" fontId="7" fillId="47" borderId="85" xfId="436" applyFont="1" applyFill="1" applyBorder="1" applyAlignment="1">
      <alignment horizontal="center" vertical="center"/>
    </xf>
    <xf numFmtId="0" fontId="7" fillId="47" borderId="111" xfId="436" applyFont="1" applyFill="1" applyBorder="1" applyAlignment="1">
      <alignment horizontal="center" vertical="center"/>
    </xf>
    <xf numFmtId="0" fontId="7" fillId="47" borderId="113" xfId="436" applyFont="1" applyFill="1" applyBorder="1" applyAlignment="1">
      <alignment horizontal="center" vertical="center"/>
    </xf>
    <xf numFmtId="1" fontId="7" fillId="47" borderId="85" xfId="428" applyNumberFormat="1" applyFont="1" applyFill="1" applyBorder="1" applyAlignment="1">
      <alignment horizontal="center" vertical="center"/>
    </xf>
    <xf numFmtId="1" fontId="7" fillId="47" borderId="111" xfId="428" applyNumberFormat="1" applyFont="1" applyFill="1" applyBorder="1" applyAlignment="1">
      <alignment horizontal="center" vertical="center"/>
    </xf>
    <xf numFmtId="1" fontId="7" fillId="47" borderId="85" xfId="436" applyNumberFormat="1" applyFont="1" applyFill="1" applyBorder="1" applyAlignment="1">
      <alignment horizontal="center" vertical="center"/>
    </xf>
    <xf numFmtId="1" fontId="7" fillId="47" borderId="111" xfId="436" applyNumberFormat="1" applyFont="1" applyFill="1" applyBorder="1" applyAlignment="1">
      <alignment horizontal="center" vertical="center"/>
    </xf>
    <xf numFmtId="1" fontId="7" fillId="47" borderId="109" xfId="432" applyNumberFormat="1" applyFont="1" applyFill="1" applyBorder="1" applyAlignment="1" applyProtection="1">
      <alignment horizontal="center"/>
      <protection locked="0"/>
    </xf>
    <xf numFmtId="20" fontId="209" fillId="47" borderId="358" xfId="428" applyNumberFormat="1" applyFont="1" applyFill="1" applyBorder="1" applyAlignment="1">
      <alignment vertical="top"/>
    </xf>
    <xf numFmtId="14" fontId="143" fillId="47" borderId="353" xfId="428" applyNumberFormat="1" applyFont="1" applyFill="1" applyBorder="1" applyAlignment="1">
      <alignment vertical="center"/>
    </xf>
    <xf numFmtId="1" fontId="56" fillId="47" borderId="0" xfId="436" applyNumberFormat="1" applyFont="1" applyFill="1" applyBorder="1" applyAlignment="1">
      <alignment horizontal="left" vertical="center"/>
    </xf>
    <xf numFmtId="0" fontId="56" fillId="47" borderId="0" xfId="0" applyFont="1" applyFill="1" applyAlignment="1">
      <alignment vertical="center"/>
    </xf>
    <xf numFmtId="173" fontId="2" fillId="82" borderId="0" xfId="414" applyNumberFormat="1" applyFont="1" applyFill="1" applyAlignment="1">
      <alignment vertical="center"/>
    </xf>
    <xf numFmtId="0" fontId="7" fillId="82" borderId="70" xfId="437" applyNumberFormat="1" applyFont="1" applyFill="1" applyBorder="1" applyAlignment="1">
      <alignment vertical="center"/>
    </xf>
    <xf numFmtId="0" fontId="93" fillId="82" borderId="70" xfId="414" applyNumberFormat="1" applyFont="1" applyFill="1" applyBorder="1" applyAlignment="1">
      <alignment horizontal="center"/>
    </xf>
    <xf numFmtId="1" fontId="7" fillId="82" borderId="75" xfId="437" applyNumberFormat="1" applyFont="1" applyFill="1" applyBorder="1" applyAlignment="1">
      <alignment horizontal="center" vertical="center"/>
    </xf>
    <xf numFmtId="1" fontId="7" fillId="82" borderId="65" xfId="271" applyNumberFormat="1" applyFont="1" applyFill="1" applyBorder="1" applyAlignment="1">
      <alignment horizontal="center" vertical="center"/>
    </xf>
    <xf numFmtId="1" fontId="7" fillId="82" borderId="70" xfId="437" applyNumberFormat="1" applyFont="1" applyFill="1" applyBorder="1" applyAlignment="1" applyProtection="1">
      <alignment horizontal="center" vertical="center"/>
    </xf>
    <xf numFmtId="173" fontId="92" fillId="82" borderId="0" xfId="414" applyNumberFormat="1" applyFont="1" applyFill="1"/>
    <xf numFmtId="165" fontId="10" fillId="0" borderId="62" xfId="430" applyNumberFormat="1" applyFont="1" applyFill="1" applyBorder="1" applyAlignment="1">
      <alignment horizontal="center" vertical="center"/>
    </xf>
    <xf numFmtId="0" fontId="492" fillId="0" borderId="0" xfId="0" applyFont="1" applyFill="1" applyBorder="1" applyAlignment="1">
      <alignment vertical="center"/>
    </xf>
    <xf numFmtId="0" fontId="492" fillId="0" borderId="0" xfId="0" applyFont="1" applyBorder="1" applyAlignment="1">
      <alignment vertical="center"/>
    </xf>
    <xf numFmtId="0" fontId="494" fillId="0" borderId="301" xfId="0" applyFont="1" applyBorder="1"/>
    <xf numFmtId="0" fontId="492" fillId="0" borderId="13" xfId="0" applyFont="1" applyBorder="1" applyAlignment="1">
      <alignment vertical="center"/>
    </xf>
    <xf numFmtId="0" fontId="495" fillId="0" borderId="301" xfId="0" applyFont="1" applyBorder="1"/>
    <xf numFmtId="0" fontId="493" fillId="0" borderId="0" xfId="0" applyFont="1" applyBorder="1" applyAlignment="1">
      <alignment vertical="top"/>
    </xf>
    <xf numFmtId="0" fontId="493" fillId="0" borderId="0" xfId="0" applyFont="1" applyBorder="1" applyAlignment="1">
      <alignment vertical="center"/>
    </xf>
    <xf numFmtId="0" fontId="495" fillId="0" borderId="301" xfId="0" applyFont="1" applyBorder="1" applyAlignment="1">
      <alignment vertical="center"/>
    </xf>
    <xf numFmtId="0" fontId="492" fillId="0" borderId="13" xfId="0" applyFont="1" applyBorder="1"/>
    <xf numFmtId="0" fontId="493" fillId="0" borderId="0" xfId="0" applyFont="1" applyBorder="1" applyAlignment="1"/>
    <xf numFmtId="0" fontId="495" fillId="0" borderId="301" xfId="0" applyFont="1" applyBorder="1" applyAlignment="1"/>
    <xf numFmtId="0" fontId="495" fillId="0" borderId="301" xfId="0" applyFont="1" applyBorder="1" applyAlignment="1">
      <alignment vertical="top"/>
    </xf>
    <xf numFmtId="1" fontId="496" fillId="35" borderId="188" xfId="0" applyNumberFormat="1" applyFont="1" applyFill="1" applyBorder="1" applyAlignment="1">
      <alignment horizontal="center" vertical="center"/>
    </xf>
    <xf numFmtId="0" fontId="491" fillId="0" borderId="351" xfId="0" applyFont="1" applyBorder="1" applyAlignment="1"/>
    <xf numFmtId="165" fontId="109" fillId="0" borderId="0" xfId="0" applyNumberFormat="1" applyFont="1" applyAlignment="1">
      <alignment vertical="center"/>
    </xf>
    <xf numFmtId="0" fontId="49" fillId="0" borderId="584" xfId="423" applyNumberFormat="1" applyFont="1" applyBorder="1"/>
    <xf numFmtId="1" fontId="49" fillId="0" borderId="584" xfId="428" applyNumberFormat="1" applyFont="1" applyFill="1" applyBorder="1" applyAlignment="1" applyProtection="1">
      <alignment horizontal="center" vertical="center"/>
      <protection locked="0"/>
    </xf>
    <xf numFmtId="1" fontId="49" fillId="0" borderId="584" xfId="428" applyNumberFormat="1" applyFont="1" applyFill="1" applyBorder="1" applyAlignment="1">
      <alignment horizontal="center" vertical="center"/>
    </xf>
    <xf numFmtId="0" fontId="49" fillId="0" borderId="584" xfId="428" applyFont="1" applyFill="1" applyBorder="1" applyAlignment="1">
      <alignment horizontal="center" vertical="center"/>
    </xf>
    <xf numFmtId="0" fontId="49" fillId="0" borderId="584" xfId="428" applyFont="1" applyFill="1" applyBorder="1" applyAlignment="1">
      <alignment vertical="center"/>
    </xf>
    <xf numFmtId="0" fontId="49" fillId="0" borderId="584" xfId="429" applyNumberFormat="1" applyFont="1" applyFill="1" applyBorder="1" applyAlignment="1">
      <alignment vertical="center"/>
    </xf>
    <xf numFmtId="0" fontId="49" fillId="0" borderId="586" xfId="423" applyNumberFormat="1" applyFont="1" applyBorder="1"/>
    <xf numFmtId="1" fontId="49" fillId="0" borderId="586" xfId="428" applyNumberFormat="1" applyFont="1" applyFill="1" applyBorder="1" applyAlignment="1" applyProtection="1">
      <alignment horizontal="center" vertical="center"/>
      <protection locked="0"/>
    </xf>
    <xf numFmtId="1" fontId="49" fillId="0" borderId="586" xfId="428" applyNumberFormat="1" applyFont="1" applyFill="1" applyBorder="1" applyAlignment="1">
      <alignment horizontal="center" vertical="center"/>
    </xf>
    <xf numFmtId="0" fontId="49" fillId="0" borderId="586" xfId="428" applyFont="1" applyFill="1" applyBorder="1" applyAlignment="1">
      <alignment horizontal="center" vertical="center"/>
    </xf>
    <xf numFmtId="0" fontId="49" fillId="0" borderId="586" xfId="428" applyFont="1" applyFill="1" applyBorder="1" applyAlignment="1">
      <alignment vertical="center"/>
    </xf>
    <xf numFmtId="0" fontId="49" fillId="0" borderId="586" xfId="429" applyNumberFormat="1" applyFont="1" applyFill="1" applyBorder="1" applyAlignment="1">
      <alignment vertical="center"/>
    </xf>
    <xf numFmtId="0" fontId="49" fillId="0" borderId="566" xfId="423" applyNumberFormat="1" applyFont="1" applyBorder="1"/>
    <xf numFmtId="1" fontId="49" fillId="0" borderId="581" xfId="428" applyNumberFormat="1" applyFont="1" applyFill="1" applyBorder="1" applyAlignment="1" applyProtection="1">
      <alignment horizontal="center" vertical="center"/>
      <protection locked="0"/>
    </xf>
    <xf numFmtId="1" fontId="49" fillId="0" borderId="583" xfId="428" applyNumberFormat="1" applyFont="1" applyFill="1" applyBorder="1" applyAlignment="1">
      <alignment horizontal="center" vertical="center"/>
    </xf>
    <xf numFmtId="0" fontId="49" fillId="0" borderId="583" xfId="428" applyFont="1" applyFill="1" applyBorder="1" applyAlignment="1">
      <alignment horizontal="center" vertical="center"/>
    </xf>
    <xf numFmtId="0" fontId="49" fillId="0" borderId="587" xfId="428" applyFont="1" applyFill="1" applyBorder="1" applyAlignment="1">
      <alignment vertical="center"/>
    </xf>
    <xf numFmtId="0" fontId="49" fillId="0" borderId="582" xfId="429" applyNumberFormat="1" applyFont="1" applyFill="1" applyBorder="1" applyAlignment="1">
      <alignment vertical="center"/>
    </xf>
    <xf numFmtId="0" fontId="49" fillId="0" borderId="588" xfId="428" applyFont="1" applyFill="1" applyBorder="1" applyAlignment="1">
      <alignment horizontal="center" vertical="center"/>
    </xf>
    <xf numFmtId="1" fontId="49" fillId="0" borderId="582" xfId="428" applyNumberFormat="1" applyFont="1" applyFill="1" applyBorder="1" applyAlignment="1" applyProtection="1">
      <alignment horizontal="center" vertical="center"/>
      <protection locked="0"/>
    </xf>
    <xf numFmtId="1" fontId="49" fillId="0" borderId="585" xfId="428" applyNumberFormat="1" applyFont="1" applyFill="1" applyBorder="1" applyAlignment="1">
      <alignment horizontal="center" vertical="center"/>
    </xf>
    <xf numFmtId="0" fontId="49" fillId="0" borderId="585" xfId="428" applyFont="1" applyFill="1" applyBorder="1" applyAlignment="1">
      <alignment horizontal="center" vertical="center"/>
    </xf>
    <xf numFmtId="0" fontId="49" fillId="0" borderId="519" xfId="428" applyFont="1" applyFill="1" applyBorder="1" applyAlignment="1">
      <alignment horizontal="center" vertical="center"/>
    </xf>
    <xf numFmtId="0" fontId="49" fillId="0" borderId="582" xfId="428" applyFont="1" applyFill="1" applyBorder="1" applyAlignment="1">
      <alignment horizontal="center" vertical="center"/>
    </xf>
    <xf numFmtId="0" fontId="49" fillId="0" borderId="582" xfId="414" applyNumberFormat="1" applyFont="1" applyFill="1" applyBorder="1" applyAlignment="1">
      <alignment vertical="center"/>
    </xf>
    <xf numFmtId="0" fontId="0" fillId="0" borderId="587" xfId="0" applyBorder="1"/>
    <xf numFmtId="0" fontId="49" fillId="0" borderId="586" xfId="0" applyFont="1" applyFill="1" applyBorder="1" applyAlignment="1">
      <alignment horizontal="center" vertical="center"/>
    </xf>
    <xf numFmtId="0" fontId="49" fillId="0" borderId="585" xfId="0" applyFont="1" applyFill="1" applyBorder="1" applyAlignment="1">
      <alignment horizontal="center" vertical="center"/>
    </xf>
    <xf numFmtId="0" fontId="49" fillId="0" borderId="566" xfId="0" applyFont="1" applyFill="1" applyBorder="1" applyAlignment="1">
      <alignment horizontal="center" vertical="center"/>
    </xf>
    <xf numFmtId="0" fontId="49" fillId="0" borderId="583" xfId="0" applyFont="1" applyFill="1" applyBorder="1" applyAlignment="1">
      <alignment horizontal="center" vertical="center"/>
    </xf>
    <xf numFmtId="0" fontId="49" fillId="0" borderId="586" xfId="414" applyNumberFormat="1" applyFont="1" applyFill="1" applyBorder="1" applyAlignment="1">
      <alignment vertical="center"/>
    </xf>
    <xf numFmtId="0" fontId="0" fillId="0" borderId="586" xfId="0" applyBorder="1"/>
    <xf numFmtId="0" fontId="49" fillId="0" borderId="584" xfId="414" applyNumberFormat="1" applyFont="1" applyFill="1" applyBorder="1" applyAlignment="1">
      <alignment vertical="center"/>
    </xf>
    <xf numFmtId="0" fontId="0" fillId="0" borderId="584" xfId="0" applyBorder="1"/>
    <xf numFmtId="0" fontId="49" fillId="0" borderId="584" xfId="0" applyFont="1" applyFill="1" applyBorder="1" applyAlignment="1">
      <alignment horizontal="center" vertical="center"/>
    </xf>
    <xf numFmtId="0" fontId="49" fillId="0" borderId="586" xfId="436" applyFont="1" applyFill="1" applyBorder="1" applyAlignment="1">
      <alignment horizontal="center" vertical="center"/>
    </xf>
    <xf numFmtId="0" fontId="49" fillId="0" borderId="566" xfId="436" applyFont="1" applyFill="1" applyBorder="1" applyAlignment="1">
      <alignment horizontal="center" vertical="center"/>
    </xf>
    <xf numFmtId="0" fontId="49" fillId="0" borderId="584" xfId="436" applyFont="1" applyFill="1" applyBorder="1" applyAlignment="1">
      <alignment horizontal="center" vertical="center"/>
    </xf>
    <xf numFmtId="0" fontId="497" fillId="0" borderId="586" xfId="429" applyNumberFormat="1" applyFont="1" applyFill="1" applyBorder="1" applyAlignment="1">
      <alignment vertical="center"/>
    </xf>
    <xf numFmtId="0" fontId="497" fillId="0" borderId="584" xfId="429" applyNumberFormat="1" applyFont="1" applyFill="1" applyBorder="1" applyAlignment="1">
      <alignment vertical="center"/>
    </xf>
    <xf numFmtId="1" fontId="10" fillId="0" borderId="62" xfId="430" applyNumberFormat="1" applyFont="1" applyFill="1" applyBorder="1" applyAlignment="1">
      <alignment horizontal="center" vertical="center"/>
    </xf>
    <xf numFmtId="0" fontId="498" fillId="0" borderId="0" xfId="0" applyFont="1" applyFill="1" applyBorder="1" applyAlignment="1">
      <alignment horizontal="center" wrapText="1"/>
    </xf>
    <xf numFmtId="0" fontId="499" fillId="0" borderId="0" xfId="0" applyFont="1" applyFill="1" applyBorder="1"/>
    <xf numFmtId="0" fontId="500" fillId="0" borderId="0" xfId="0" applyFont="1" applyFill="1" applyBorder="1" applyAlignment="1">
      <alignment wrapText="1"/>
    </xf>
    <xf numFmtId="0" fontId="501" fillId="0" borderId="0" xfId="0" applyFont="1" applyFill="1" applyBorder="1" applyAlignment="1">
      <alignment horizontal="center" wrapText="1"/>
    </xf>
    <xf numFmtId="0" fontId="500" fillId="0" borderId="0" xfId="0" applyFont="1" applyFill="1" applyBorder="1" applyAlignment="1">
      <alignment horizontal="right" wrapText="1"/>
    </xf>
    <xf numFmtId="0" fontId="499" fillId="0" borderId="0" xfId="0" applyFont="1" applyFill="1" applyBorder="1" applyAlignment="1">
      <alignment horizontal="center" wrapText="1"/>
    </xf>
    <xf numFmtId="0" fontId="502" fillId="0" borderId="0" xfId="0" applyFont="1" applyFill="1" applyBorder="1" applyAlignment="1">
      <alignment horizontal="center" wrapText="1"/>
    </xf>
    <xf numFmtId="0" fontId="503" fillId="0" borderId="0" xfId="0" applyFont="1" applyFill="1" applyBorder="1" applyAlignment="1">
      <alignment horizontal="center" wrapText="1"/>
    </xf>
    <xf numFmtId="0" fontId="504" fillId="0" borderId="0" xfId="0" applyFont="1" applyFill="1" applyBorder="1" applyAlignment="1">
      <alignment horizontal="center" wrapText="1"/>
    </xf>
    <xf numFmtId="0" fontId="505" fillId="0" borderId="0" xfId="0" applyFont="1" applyFill="1" applyBorder="1" applyAlignment="1">
      <alignment horizontal="center" vertical="center" wrapText="1"/>
    </xf>
    <xf numFmtId="20" fontId="505" fillId="0" borderId="0" xfId="0" applyNumberFormat="1" applyFont="1" applyFill="1" applyBorder="1" applyAlignment="1">
      <alignment horizontal="center" vertical="center" wrapText="1"/>
    </xf>
    <xf numFmtId="46" fontId="505" fillId="0" borderId="0" xfId="0" applyNumberFormat="1" applyFont="1" applyFill="1" applyBorder="1" applyAlignment="1">
      <alignment horizontal="center" vertical="center" wrapText="1"/>
    </xf>
    <xf numFmtId="0" fontId="210" fillId="0" borderId="0" xfId="0" applyFont="1" applyFill="1" applyBorder="1" applyAlignment="1">
      <alignment vertical="center"/>
    </xf>
    <xf numFmtId="20" fontId="155" fillId="0" borderId="0" xfId="0" applyNumberFormat="1" applyFont="1" applyFill="1" applyBorder="1" applyAlignment="1">
      <alignment horizontal="center" vertical="center"/>
    </xf>
    <xf numFmtId="0" fontId="492" fillId="0" borderId="351" xfId="0" applyFont="1" applyBorder="1"/>
    <xf numFmtId="0" fontId="492" fillId="0" borderId="351" xfId="0" applyFont="1" applyBorder="1" applyAlignment="1"/>
    <xf numFmtId="14" fontId="142" fillId="0" borderId="505" xfId="429" applyNumberFormat="1" applyFont="1" applyFill="1" applyBorder="1" applyAlignment="1">
      <alignment horizontal="left" vertical="center"/>
    </xf>
    <xf numFmtId="2" fontId="35" fillId="0" borderId="17" xfId="0" applyNumberFormat="1" applyFont="1" applyFill="1" applyBorder="1" applyAlignment="1">
      <alignment horizontal="left" vertical="center"/>
    </xf>
    <xf numFmtId="2" fontId="35" fillId="63" borderId="17" xfId="0" applyNumberFormat="1" applyFont="1" applyFill="1" applyBorder="1" applyAlignment="1">
      <alignment horizontal="left" vertical="center"/>
    </xf>
    <xf numFmtId="165" fontId="506" fillId="0" borderId="0" xfId="0" applyNumberFormat="1" applyFont="1" applyBorder="1" applyAlignment="1">
      <alignment horizontal="center"/>
    </xf>
    <xf numFmtId="14" fontId="506" fillId="0" borderId="0" xfId="0" applyNumberFormat="1" applyFont="1" applyAlignment="1">
      <alignment horizontal="center"/>
    </xf>
    <xf numFmtId="167" fontId="506" fillId="0" borderId="0" xfId="0" applyNumberFormat="1" applyFont="1" applyAlignment="1">
      <alignment horizontal="center"/>
    </xf>
    <xf numFmtId="0" fontId="506" fillId="0" borderId="0" xfId="0" applyFont="1" applyBorder="1" applyAlignment="1">
      <alignment horizontal="center" vertical="center"/>
    </xf>
    <xf numFmtId="20" fontId="506" fillId="0" borderId="0" xfId="0" applyNumberFormat="1" applyFont="1" applyAlignment="1">
      <alignment horizontal="center"/>
    </xf>
    <xf numFmtId="20" fontId="92" fillId="0" borderId="10" xfId="0" applyNumberFormat="1" applyFont="1" applyFill="1" applyBorder="1" applyAlignment="1">
      <alignment horizontal="center" vertical="center"/>
    </xf>
    <xf numFmtId="2" fontId="92" fillId="0" borderId="0" xfId="414" applyNumberFormat="1" applyFont="1" applyFill="1"/>
    <xf numFmtId="173" fontId="92" fillId="0" borderId="0" xfId="414" applyNumberFormat="1" applyFont="1" applyFill="1"/>
    <xf numFmtId="20" fontId="145" fillId="82" borderId="70" xfId="429" applyNumberFormat="1" applyFont="1" applyFill="1" applyBorder="1" applyAlignment="1">
      <alignment vertical="center"/>
    </xf>
    <xf numFmtId="20" fontId="145" fillId="82" borderId="70" xfId="414" applyNumberFormat="1" applyFont="1" applyFill="1" applyBorder="1" applyAlignment="1">
      <alignment vertical="center"/>
    </xf>
    <xf numFmtId="14" fontId="145" fillId="47" borderId="296" xfId="0" applyNumberFormat="1" applyFont="1" applyFill="1" applyBorder="1" applyAlignment="1">
      <alignment horizontal="left"/>
    </xf>
    <xf numFmtId="20" fontId="507" fillId="34" borderId="10" xfId="0" applyNumberFormat="1" applyFont="1" applyFill="1" applyBorder="1" applyAlignment="1">
      <alignment horizontal="center"/>
    </xf>
    <xf numFmtId="0" fontId="508" fillId="0" borderId="0" xfId="0" applyFont="1"/>
    <xf numFmtId="14" fontId="142" fillId="0" borderId="580" xfId="0" applyNumberFormat="1" applyFont="1" applyFill="1" applyBorder="1" applyAlignment="1">
      <alignment horizontal="left"/>
    </xf>
    <xf numFmtId="164" fontId="232" fillId="0" borderId="17" xfId="436" applyNumberFormat="1" applyFont="1" applyFill="1" applyBorder="1" applyAlignment="1">
      <alignment horizontal="left" vertical="center"/>
    </xf>
    <xf numFmtId="0" fontId="225" fillId="0" borderId="0" xfId="0" applyFont="1" applyFill="1"/>
    <xf numFmtId="20" fontId="509" fillId="34" borderId="10" xfId="0" applyNumberFormat="1" applyFont="1" applyFill="1" applyBorder="1" applyAlignment="1">
      <alignment horizontal="center"/>
    </xf>
    <xf numFmtId="168" fontId="209" fillId="0" borderId="31" xfId="0" applyNumberFormat="1" applyFont="1" applyBorder="1" applyAlignment="1">
      <alignment horizontal="center" vertical="center" wrapText="1"/>
    </xf>
    <xf numFmtId="0" fontId="161" fillId="0" borderId="0" xfId="0" applyFont="1" applyBorder="1" applyAlignment="1">
      <alignment horizontal="left"/>
    </xf>
    <xf numFmtId="0" fontId="7" fillId="0" borderId="0" xfId="436" applyFont="1" applyBorder="1" applyProtection="1">
      <alignment vertical="center"/>
      <protection locked="0"/>
    </xf>
    <xf numFmtId="0" fontId="7" fillId="0" borderId="0" xfId="436" applyFont="1" applyBorder="1">
      <alignment vertical="center"/>
    </xf>
    <xf numFmtId="0" fontId="20" fillId="0" borderId="0" xfId="436" applyFont="1" applyBorder="1">
      <alignment vertical="center"/>
    </xf>
    <xf numFmtId="0" fontId="174" fillId="108" borderId="569" xfId="0" applyFont="1" applyFill="1" applyBorder="1" applyAlignment="1">
      <alignment horizontal="center" vertical="center"/>
    </xf>
    <xf numFmtId="0" fontId="312" fillId="0" borderId="0" xfId="0" applyFont="1" applyBorder="1" applyAlignment="1">
      <alignment vertical="center"/>
    </xf>
    <xf numFmtId="0" fontId="0" fillId="0" borderId="0" xfId="0" applyBorder="1" applyAlignment="1"/>
    <xf numFmtId="0" fontId="119" fillId="0" borderId="0" xfId="0" applyFont="1" applyBorder="1" applyAlignment="1">
      <alignment horizontal="center" vertical="top"/>
    </xf>
    <xf numFmtId="0" fontId="130" fillId="0" borderId="0" xfId="0" applyFont="1" applyBorder="1" applyAlignment="1">
      <alignment horizontal="center" vertical="center" wrapText="1"/>
    </xf>
    <xf numFmtId="0" fontId="119" fillId="0" borderId="10" xfId="0" applyFont="1" applyBorder="1" applyAlignment="1" applyProtection="1">
      <alignment horizontal="center" vertical="center"/>
    </xf>
    <xf numFmtId="0" fontId="119" fillId="0" borderId="10" xfId="0" applyFont="1" applyBorder="1" applyAlignment="1" applyProtection="1">
      <alignment horizontal="center" vertical="center" wrapText="1"/>
    </xf>
    <xf numFmtId="1" fontId="242" fillId="0" borderId="10" xfId="0" applyNumberFormat="1" applyFont="1" applyFill="1" applyBorder="1" applyAlignment="1" applyProtection="1">
      <alignment horizontal="center" vertical="center"/>
      <protection locked="0"/>
    </xf>
    <xf numFmtId="0" fontId="109" fillId="0" borderId="10" xfId="0" applyFont="1" applyFill="1" applyBorder="1" applyAlignment="1" applyProtection="1">
      <alignment horizontal="center" vertical="center"/>
    </xf>
    <xf numFmtId="191" fontId="109" fillId="34" borderId="10" xfId="0" applyNumberFormat="1" applyFont="1" applyFill="1" applyBorder="1" applyAlignment="1" applyProtection="1">
      <alignment horizontal="center" vertical="center"/>
    </xf>
    <xf numFmtId="1" fontId="109" fillId="34" borderId="10" xfId="0" applyNumberFormat="1" applyFont="1" applyFill="1" applyBorder="1" applyAlignment="1" applyProtection="1">
      <alignment horizontal="center" vertical="center"/>
    </xf>
    <xf numFmtId="10" fontId="109" fillId="34" borderId="10" xfId="0" applyNumberFormat="1" applyFont="1" applyFill="1" applyBorder="1" applyAlignment="1" applyProtection="1">
      <alignment horizontal="center" vertical="center"/>
    </xf>
    <xf numFmtId="0" fontId="224" fillId="0" borderId="15" xfId="0" applyFont="1" applyBorder="1" applyAlignment="1"/>
    <xf numFmtId="0" fontId="224" fillId="0" borderId="30" xfId="0" applyFont="1" applyBorder="1" applyAlignment="1"/>
    <xf numFmtId="0" fontId="224" fillId="0" borderId="14" xfId="0" applyFont="1" applyBorder="1" applyAlignment="1" applyProtection="1">
      <alignment horizontal="center"/>
    </xf>
    <xf numFmtId="0" fontId="224" fillId="0" borderId="15" xfId="0" applyFont="1" applyBorder="1" applyAlignment="1">
      <alignment vertical="center"/>
    </xf>
    <xf numFmtId="191" fontId="109" fillId="0" borderId="10" xfId="0" applyNumberFormat="1" applyFont="1" applyFill="1" applyBorder="1" applyAlignment="1" applyProtection="1">
      <alignment horizontal="center" vertical="center"/>
    </xf>
    <xf numFmtId="10" fontId="109" fillId="0" borderId="10" xfId="0" applyNumberFormat="1" applyFont="1" applyFill="1" applyBorder="1" applyAlignment="1" applyProtection="1">
      <alignment horizontal="center" vertical="center"/>
    </xf>
    <xf numFmtId="1" fontId="109" fillId="0" borderId="10" xfId="0" applyNumberFormat="1" applyFont="1" applyFill="1" applyBorder="1" applyAlignment="1" applyProtection="1">
      <alignment horizontal="center" vertical="center"/>
    </xf>
    <xf numFmtId="0" fontId="416" fillId="34" borderId="451" xfId="0" applyFont="1" applyFill="1" applyBorder="1" applyAlignment="1">
      <alignment horizontal="center" vertical="center" wrapText="1"/>
    </xf>
    <xf numFmtId="0" fontId="92" fillId="102" borderId="499" xfId="0" applyFont="1" applyFill="1" applyBorder="1" applyAlignment="1">
      <alignment horizontal="center" wrapText="1"/>
    </xf>
    <xf numFmtId="0" fontId="174" fillId="104" borderId="578" xfId="556" applyFont="1" applyFill="1" applyBorder="1" applyAlignment="1">
      <alignment horizontal="center" vertical="center"/>
    </xf>
    <xf numFmtId="0" fontId="0" fillId="34" borderId="0" xfId="0" applyFill="1"/>
    <xf numFmtId="0" fontId="0" fillId="34" borderId="0" xfId="0" applyFill="1" applyAlignment="1">
      <alignment vertical="center"/>
    </xf>
    <xf numFmtId="0" fontId="0" fillId="34" borderId="0" xfId="0" applyFill="1" applyBorder="1" applyAlignment="1">
      <alignment vertical="center"/>
    </xf>
    <xf numFmtId="0" fontId="0" fillId="99" borderId="0" xfId="0" applyFill="1" applyAlignment="1">
      <alignment horizontal="center"/>
    </xf>
    <xf numFmtId="14" fontId="0" fillId="39" borderId="0" xfId="0" applyNumberFormat="1" applyFill="1" applyAlignment="1">
      <alignment horizontal="center" vertical="center"/>
    </xf>
    <xf numFmtId="0" fontId="92" fillId="82" borderId="0" xfId="414" applyNumberFormat="1" applyFont="1" applyFill="1" applyBorder="1" applyAlignment="1">
      <alignment horizontal="center"/>
    </xf>
    <xf numFmtId="1" fontId="215" fillId="82" borderId="0" xfId="428" applyNumberFormat="1" applyFont="1" applyFill="1" applyBorder="1" applyAlignment="1">
      <alignment horizontal="center" vertical="center"/>
    </xf>
    <xf numFmtId="173" fontId="92" fillId="82" borderId="0" xfId="414" applyNumberFormat="1" applyFont="1" applyFill="1" applyBorder="1"/>
    <xf numFmtId="20" fontId="511" fillId="82" borderId="70" xfId="429" applyNumberFormat="1" applyFont="1" applyFill="1" applyBorder="1" applyAlignment="1">
      <alignment vertical="center"/>
    </xf>
    <xf numFmtId="0" fontId="510" fillId="0" borderId="451" xfId="0" applyFont="1" applyBorder="1" applyAlignment="1">
      <alignment horizontal="center" vertical="center" wrapText="1"/>
    </xf>
    <xf numFmtId="0" fontId="416" fillId="0" borderId="499" xfId="0" applyFont="1" applyBorder="1" applyAlignment="1">
      <alignment horizontal="center" wrapText="1"/>
    </xf>
    <xf numFmtId="0" fontId="191" fillId="102" borderId="499" xfId="0" applyFont="1" applyFill="1" applyBorder="1" applyAlignment="1">
      <alignment horizontal="center" wrapText="1"/>
    </xf>
    <xf numFmtId="0" fontId="416" fillId="102" borderId="451" xfId="0" applyFont="1" applyFill="1" applyBorder="1" applyAlignment="1">
      <alignment horizontal="center" wrapText="1"/>
    </xf>
    <xf numFmtId="0" fontId="512" fillId="0" borderId="499" xfId="0" applyFont="1" applyBorder="1" applyAlignment="1">
      <alignment horizontal="center" vertical="center" wrapText="1"/>
    </xf>
    <xf numFmtId="0" fontId="155" fillId="102" borderId="591" xfId="0" applyFont="1" applyFill="1" applyBorder="1" applyAlignment="1">
      <alignment horizontal="center" wrapText="1"/>
    </xf>
    <xf numFmtId="0" fontId="133" fillId="51" borderId="565" xfId="0" applyNumberFormat="1" applyFont="1" applyFill="1" applyBorder="1" applyAlignment="1">
      <alignment horizontal="center" vertical="center" wrapText="1"/>
    </xf>
    <xf numFmtId="1" fontId="290" fillId="79" borderId="592" xfId="0" applyNumberFormat="1" applyFont="1" applyFill="1" applyBorder="1" applyAlignment="1" applyProtection="1">
      <alignment horizontal="center" vertical="center"/>
      <protection locked="0"/>
    </xf>
    <xf numFmtId="166" fontId="290" fillId="79" borderId="592" xfId="271" applyNumberFormat="1" applyFont="1" applyFill="1" applyBorder="1" applyAlignment="1">
      <alignment horizontal="center" vertical="center"/>
    </xf>
    <xf numFmtId="1" fontId="290" fillId="78" borderId="592" xfId="0" applyNumberFormat="1" applyFont="1" applyFill="1" applyBorder="1" applyAlignment="1" applyProtection="1">
      <alignment horizontal="center" vertical="center"/>
      <protection locked="0"/>
    </xf>
    <xf numFmtId="1" fontId="290" fillId="79" borderId="593" xfId="0" applyNumberFormat="1" applyFont="1" applyFill="1" applyBorder="1" applyAlignment="1" applyProtection="1">
      <alignment horizontal="center" vertical="center"/>
      <protection locked="0"/>
    </xf>
    <xf numFmtId="0" fontId="49" fillId="0" borderId="360" xfId="428" applyFont="1" applyFill="1" applyBorder="1" applyAlignment="1">
      <alignment horizontal="center" vertical="center"/>
    </xf>
    <xf numFmtId="0" fontId="49" fillId="0" borderId="316" xfId="429" applyNumberFormat="1" applyFont="1" applyFill="1" applyBorder="1" applyAlignment="1">
      <alignment vertical="center"/>
    </xf>
    <xf numFmtId="0" fontId="49" fillId="0" borderId="316" xfId="428" applyFont="1" applyFill="1" applyBorder="1" applyAlignment="1">
      <alignment vertical="center"/>
    </xf>
    <xf numFmtId="0" fontId="49" fillId="0" borderId="316" xfId="0" applyFont="1" applyFill="1" applyBorder="1" applyAlignment="1">
      <alignment horizontal="center" vertical="center"/>
    </xf>
    <xf numFmtId="1" fontId="49" fillId="0" borderId="277" xfId="428" applyNumberFormat="1" applyFont="1" applyFill="1" applyBorder="1" applyAlignment="1">
      <alignment horizontal="center" vertical="center"/>
    </xf>
    <xf numFmtId="1" fontId="49" fillId="0" borderId="277" xfId="428" applyNumberFormat="1" applyFont="1" applyFill="1" applyBorder="1" applyAlignment="1" applyProtection="1">
      <alignment horizontal="center" vertical="center"/>
      <protection locked="0"/>
    </xf>
    <xf numFmtId="173" fontId="7" fillId="0" borderId="594" xfId="429" applyNumberFormat="1" applyFont="1" applyFill="1" applyBorder="1" applyAlignment="1">
      <alignment vertical="center"/>
    </xf>
    <xf numFmtId="0" fontId="7" fillId="0" borderId="596" xfId="428" applyFont="1" applyFill="1" applyBorder="1" applyAlignment="1">
      <alignment vertical="center"/>
    </xf>
    <xf numFmtId="0" fontId="7" fillId="0" borderId="597" xfId="428" applyFont="1" applyFill="1" applyBorder="1" applyAlignment="1">
      <alignment horizontal="center" vertical="center"/>
    </xf>
    <xf numFmtId="0" fontId="7" fillId="0" borderId="595" xfId="428" applyFont="1" applyFill="1" applyBorder="1" applyAlignment="1">
      <alignment horizontal="center" vertical="center"/>
    </xf>
    <xf numFmtId="0" fontId="7" fillId="0" borderId="598" xfId="428" applyFont="1" applyFill="1" applyBorder="1" applyAlignment="1">
      <alignment horizontal="center" vertical="center"/>
    </xf>
    <xf numFmtId="0" fontId="7" fillId="0" borderId="596" xfId="428" applyFont="1" applyFill="1" applyBorder="1" applyAlignment="1">
      <alignment horizontal="center" vertical="center"/>
    </xf>
    <xf numFmtId="1" fontId="7" fillId="0" borderId="599" xfId="428" applyNumberFormat="1" applyFont="1" applyFill="1" applyBorder="1" applyAlignment="1">
      <alignment horizontal="center" vertical="center"/>
    </xf>
    <xf numFmtId="1" fontId="7" fillId="0" borderId="597" xfId="428" applyNumberFormat="1" applyFont="1" applyFill="1" applyBorder="1" applyAlignment="1">
      <alignment horizontal="center" vertical="center"/>
    </xf>
    <xf numFmtId="1" fontId="93" fillId="0" borderId="595" xfId="428" applyNumberFormat="1" applyFont="1" applyFill="1" applyBorder="1" applyAlignment="1" applyProtection="1">
      <alignment horizontal="center" vertical="center"/>
      <protection locked="0"/>
    </xf>
    <xf numFmtId="2" fontId="252" fillId="0" borderId="600" xfId="428" applyNumberFormat="1" applyFont="1" applyFill="1" applyBorder="1" applyAlignment="1">
      <alignment vertical="center"/>
    </xf>
    <xf numFmtId="14" fontId="143" fillId="0" borderId="596" xfId="428" applyNumberFormat="1" applyFont="1" applyFill="1" applyBorder="1" applyAlignment="1">
      <alignment horizontal="left" vertical="center"/>
    </xf>
    <xf numFmtId="173" fontId="7" fillId="0" borderId="601" xfId="429" applyNumberFormat="1" applyFont="1" applyFill="1" applyBorder="1" applyAlignment="1">
      <alignment vertical="center"/>
    </xf>
    <xf numFmtId="0" fontId="7" fillId="0" borderId="601" xfId="428" applyFont="1" applyFill="1" applyBorder="1" applyAlignment="1">
      <alignment vertical="center"/>
    </xf>
    <xf numFmtId="0" fontId="7" fillId="0" borderId="601" xfId="428" applyFont="1" applyFill="1" applyBorder="1" applyAlignment="1">
      <alignment horizontal="center" vertical="center"/>
    </xf>
    <xf numFmtId="1" fontId="7" fillId="0" borderId="601" xfId="428" applyNumberFormat="1" applyFont="1" applyFill="1" applyBorder="1" applyAlignment="1">
      <alignment horizontal="center" vertical="center"/>
    </xf>
    <xf numFmtId="1" fontId="93" fillId="0" borderId="601" xfId="428" applyNumberFormat="1" applyFont="1" applyFill="1" applyBorder="1" applyAlignment="1" applyProtection="1">
      <alignment horizontal="center" vertical="center"/>
      <protection locked="0"/>
    </xf>
    <xf numFmtId="1" fontId="7" fillId="0" borderId="601" xfId="428" applyNumberFormat="1" applyFont="1" applyFill="1" applyBorder="1" applyAlignment="1" applyProtection="1">
      <alignment horizontal="center" vertical="center"/>
      <protection locked="0"/>
    </xf>
    <xf numFmtId="1" fontId="7" fillId="0" borderId="601" xfId="432" applyNumberFormat="1" applyFont="1" applyFill="1" applyBorder="1" applyAlignment="1" applyProtection="1">
      <alignment horizontal="center"/>
      <protection locked="0"/>
    </xf>
    <xf numFmtId="0" fontId="222" fillId="31" borderId="590" xfId="0" applyFont="1" applyFill="1" applyBorder="1"/>
    <xf numFmtId="20" fontId="252" fillId="0" borderId="602" xfId="428" applyNumberFormat="1" applyFont="1" applyFill="1" applyBorder="1" applyAlignment="1">
      <alignment vertical="center"/>
    </xf>
    <xf numFmtId="14" fontId="143" fillId="0" borderId="603" xfId="428" applyNumberFormat="1" applyFont="1" applyFill="1" applyBorder="1" applyAlignment="1">
      <alignment horizontal="left" vertical="center"/>
    </xf>
    <xf numFmtId="0" fontId="7" fillId="0" borderId="597" xfId="428" applyFont="1" applyFill="1" applyBorder="1" applyAlignment="1">
      <alignment horizontal="center"/>
    </xf>
    <xf numFmtId="0" fontId="7" fillId="0" borderId="519" xfId="428" applyFont="1" applyFill="1" applyBorder="1" applyAlignment="1">
      <alignment horizontal="center"/>
    </xf>
    <xf numFmtId="0" fontId="175" fillId="0" borderId="568" xfId="436" applyFont="1" applyBorder="1" applyAlignment="1">
      <alignment vertical="center"/>
    </xf>
    <xf numFmtId="0" fontId="175" fillId="0" borderId="568" xfId="436" applyFont="1" applyBorder="1" applyAlignment="1">
      <alignment horizontal="center" vertical="center"/>
    </xf>
    <xf numFmtId="189" fontId="410" fillId="0" borderId="568" xfId="436" applyNumberFormat="1" applyFont="1" applyBorder="1" applyAlignment="1">
      <alignment horizontal="center" vertical="center"/>
    </xf>
    <xf numFmtId="0" fontId="175" fillId="0" borderId="568" xfId="436" applyFont="1" applyFill="1" applyBorder="1" applyAlignment="1">
      <alignment horizontal="center" vertical="center"/>
    </xf>
    <xf numFmtId="20" fontId="410" fillId="0" borderId="568" xfId="436" applyNumberFormat="1" applyFont="1" applyBorder="1" applyAlignment="1">
      <alignment horizontal="center" vertical="center"/>
    </xf>
    <xf numFmtId="20" fontId="175" fillId="0" borderId="568" xfId="436" applyNumberFormat="1" applyFont="1" applyBorder="1" applyAlignment="1">
      <alignment horizontal="center" vertical="center"/>
    </xf>
    <xf numFmtId="189" fontId="175" fillId="0" borderId="568" xfId="436" applyNumberFormat="1" applyFont="1" applyBorder="1" applyAlignment="1">
      <alignment horizontal="center" vertical="center"/>
    </xf>
    <xf numFmtId="0" fontId="174" fillId="0" borderId="569" xfId="0" applyFont="1" applyBorder="1" applyAlignment="1">
      <alignment horizontal="center" vertical="center"/>
    </xf>
    <xf numFmtId="20" fontId="375" fillId="108" borderId="569" xfId="0" applyNumberFormat="1" applyFont="1" applyFill="1" applyBorder="1" applyAlignment="1">
      <alignment horizontal="center" vertical="center"/>
    </xf>
    <xf numFmtId="166" fontId="141" fillId="99" borderId="565" xfId="271" applyNumberFormat="1" applyFont="1" applyFill="1" applyBorder="1" applyAlignment="1">
      <alignment vertical="center"/>
    </xf>
    <xf numFmtId="0" fontId="210" fillId="0" borderId="0" xfId="0" applyNumberFormat="1" applyFont="1" applyAlignment="1">
      <alignment vertical="center"/>
    </xf>
    <xf numFmtId="0" fontId="210" fillId="0" borderId="0" xfId="0" applyFont="1" applyAlignment="1">
      <alignment horizontal="center" vertical="center"/>
    </xf>
    <xf numFmtId="0" fontId="174" fillId="0" borderId="604" xfId="0" applyNumberFormat="1" applyFont="1" applyBorder="1" applyAlignment="1">
      <alignment horizontal="center" vertical="center"/>
    </xf>
    <xf numFmtId="20" fontId="375" fillId="0" borderId="604" xfId="556" applyNumberFormat="1" applyFont="1" applyFill="1" applyBorder="1" applyAlignment="1" applyProtection="1">
      <alignment horizontal="center" vertical="center"/>
      <protection locked="0"/>
    </xf>
    <xf numFmtId="0" fontId="174" fillId="108" borderId="604" xfId="0" applyFont="1" applyFill="1" applyBorder="1" applyAlignment="1">
      <alignment horizontal="center" vertical="center"/>
    </xf>
    <xf numFmtId="20" fontId="375" fillId="107" borderId="604" xfId="556" applyNumberFormat="1" applyFont="1" applyFill="1" applyBorder="1" applyAlignment="1">
      <alignment horizontal="center" vertical="center"/>
    </xf>
    <xf numFmtId="1" fontId="89" fillId="0" borderId="0" xfId="401" applyNumberFormat="1" applyFont="1"/>
    <xf numFmtId="1" fontId="82" fillId="0" borderId="62" xfId="430" applyNumberFormat="1" applyFont="1" applyFill="1" applyBorder="1" applyAlignment="1">
      <alignment horizontal="center" vertical="center"/>
    </xf>
    <xf numFmtId="0" fontId="447" fillId="0" borderId="504" xfId="0" applyFont="1" applyBorder="1" applyAlignment="1">
      <alignment horizontal="right" wrapText="1"/>
    </xf>
    <xf numFmtId="0" fontId="369" fillId="0" borderId="504" xfId="0" applyFont="1" applyBorder="1" applyAlignment="1">
      <alignment horizontal="center" wrapText="1"/>
    </xf>
    <xf numFmtId="0" fontId="502" fillId="0" borderId="605" xfId="0" applyFont="1" applyBorder="1" applyAlignment="1">
      <alignment horizontal="center" wrapText="1"/>
    </xf>
    <xf numFmtId="1" fontId="7" fillId="0" borderId="603" xfId="432" applyNumberFormat="1" applyFont="1" applyFill="1" applyBorder="1" applyAlignment="1" applyProtection="1">
      <alignment horizontal="center"/>
      <protection locked="0"/>
    </xf>
    <xf numFmtId="0" fontId="7" fillId="82" borderId="606" xfId="428" applyFont="1" applyFill="1" applyBorder="1" applyAlignment="1">
      <alignment horizontal="center" vertical="center"/>
    </xf>
    <xf numFmtId="0" fontId="7" fillId="82" borderId="607" xfId="428" applyFont="1" applyFill="1" applyBorder="1" applyAlignment="1">
      <alignment horizontal="center" vertical="center"/>
    </xf>
    <xf numFmtId="0" fontId="7" fillId="82" borderId="111" xfId="436" applyFont="1" applyFill="1" applyBorder="1" applyAlignment="1">
      <alignment horizontal="center" vertical="center"/>
    </xf>
    <xf numFmtId="0" fontId="7" fillId="82" borderId="113" xfId="436" applyFont="1" applyFill="1" applyBorder="1" applyAlignment="1">
      <alignment horizontal="center" vertical="center"/>
    </xf>
    <xf numFmtId="1" fontId="7" fillId="82" borderId="607" xfId="428" applyNumberFormat="1" applyFont="1" applyFill="1" applyBorder="1" applyAlignment="1">
      <alignment horizontal="center" vertical="center"/>
    </xf>
    <xf numFmtId="20" fontId="143" fillId="82" borderId="600" xfId="428" applyNumberFormat="1" applyFont="1" applyFill="1" applyBorder="1" applyAlignment="1">
      <alignment vertical="center"/>
    </xf>
    <xf numFmtId="173" fontId="2" fillId="47" borderId="0" xfId="414" applyNumberFormat="1" applyFont="1" applyFill="1" applyAlignment="1">
      <alignment vertical="center"/>
    </xf>
    <xf numFmtId="1" fontId="7" fillId="47" borderId="15" xfId="437" applyNumberFormat="1" applyFont="1" applyFill="1" applyBorder="1" applyAlignment="1">
      <alignment horizontal="center" vertical="center"/>
    </xf>
    <xf numFmtId="14" fontId="20" fillId="47" borderId="70" xfId="429" applyNumberFormat="1" applyFont="1" applyFill="1" applyBorder="1" applyAlignment="1">
      <alignment horizontal="left" vertical="center"/>
    </xf>
    <xf numFmtId="173" fontId="92" fillId="47" borderId="0" xfId="414" applyNumberFormat="1" applyFont="1" applyFill="1"/>
    <xf numFmtId="0" fontId="416" fillId="47" borderId="499" xfId="0" applyFont="1" applyFill="1" applyBorder="1" applyAlignment="1">
      <alignment horizontal="center" vertical="center" wrapText="1"/>
    </xf>
    <xf numFmtId="1" fontId="215" fillId="47" borderId="0" xfId="428" applyNumberFormat="1" applyFont="1" applyFill="1" applyBorder="1" applyAlignment="1">
      <alignment horizontal="center" vertical="center"/>
    </xf>
    <xf numFmtId="173" fontId="92" fillId="47" borderId="0" xfId="414" applyNumberFormat="1" applyFont="1" applyFill="1" applyBorder="1"/>
    <xf numFmtId="0" fontId="209" fillId="0" borderId="0" xfId="428" applyNumberFormat="1" applyFont="1" applyFill="1" applyBorder="1" applyAlignment="1">
      <alignment vertical="center"/>
    </xf>
    <xf numFmtId="173" fontId="7" fillId="114" borderId="12" xfId="429" applyNumberFormat="1" applyFont="1" applyFill="1" applyBorder="1" applyAlignment="1">
      <alignment vertical="center"/>
    </xf>
    <xf numFmtId="0" fontId="21" fillId="114" borderId="113" xfId="428" applyFont="1" applyFill="1" applyBorder="1" applyAlignment="1">
      <alignment vertical="center"/>
    </xf>
    <xf numFmtId="1" fontId="7" fillId="114" borderId="230" xfId="428" applyNumberFormat="1" applyFont="1" applyFill="1" applyBorder="1" applyAlignment="1">
      <alignment horizontal="center" vertical="center"/>
    </xf>
    <xf numFmtId="1" fontId="7" fillId="114" borderId="85" xfId="428" applyNumberFormat="1" applyFont="1" applyFill="1" applyBorder="1" applyAlignment="1" applyProtection="1">
      <alignment horizontal="center" vertical="center"/>
      <protection locked="0"/>
    </xf>
    <xf numFmtId="1" fontId="7" fillId="114" borderId="109" xfId="432" applyNumberFormat="1" applyFont="1" applyFill="1" applyBorder="1" applyAlignment="1" applyProtection="1">
      <alignment horizontal="center"/>
      <protection locked="0"/>
    </xf>
    <xf numFmtId="20" fontId="143" fillId="114" borderId="113" xfId="428" applyNumberFormat="1" applyFont="1" applyFill="1" applyBorder="1" applyAlignment="1">
      <alignment vertical="center"/>
    </xf>
    <xf numFmtId="1" fontId="56" fillId="114" borderId="0" xfId="436" applyNumberFormat="1" applyFont="1" applyFill="1" applyBorder="1" applyAlignment="1">
      <alignment horizontal="left" vertical="center"/>
    </xf>
    <xf numFmtId="0" fontId="56" fillId="114" borderId="0" xfId="0" applyFont="1" applyFill="1" applyAlignment="1">
      <alignment vertical="center"/>
    </xf>
    <xf numFmtId="0" fontId="92" fillId="114" borderId="0" xfId="0" applyFont="1" applyFill="1" applyBorder="1"/>
    <xf numFmtId="14" fontId="209" fillId="114" borderId="0" xfId="0" applyNumberFormat="1" applyFont="1" applyFill="1" applyBorder="1" applyAlignment="1">
      <alignment vertical="center"/>
    </xf>
    <xf numFmtId="173" fontId="7" fillId="81" borderId="70" xfId="429" applyNumberFormat="1" applyFont="1" applyFill="1" applyBorder="1" applyAlignment="1">
      <alignment vertical="center"/>
    </xf>
    <xf numFmtId="173" fontId="7" fillId="81" borderId="70" xfId="429" applyNumberFormat="1" applyFont="1" applyFill="1" applyBorder="1" applyAlignment="1">
      <alignment horizontal="center" vertical="center"/>
    </xf>
    <xf numFmtId="173" fontId="7" fillId="81" borderId="60" xfId="429" applyNumberFormat="1" applyFont="1" applyFill="1" applyBorder="1" applyAlignment="1">
      <alignment horizontal="center" vertical="center"/>
    </xf>
    <xf numFmtId="1" fontId="7" fillId="81" borderId="70" xfId="429" applyNumberFormat="1" applyFont="1" applyFill="1" applyBorder="1" applyAlignment="1">
      <alignment horizontal="center" vertical="center"/>
    </xf>
    <xf numFmtId="1" fontId="7" fillId="81" borderId="15" xfId="437" applyNumberFormat="1" applyFont="1" applyFill="1" applyBorder="1" applyAlignment="1">
      <alignment horizontal="center" vertical="center"/>
    </xf>
    <xf numFmtId="1" fontId="7" fillId="81" borderId="65" xfId="428" applyNumberFormat="1" applyFont="1" applyFill="1" applyBorder="1" applyAlignment="1" applyProtection="1">
      <alignment horizontal="center" vertical="center"/>
      <protection locked="0"/>
    </xf>
    <xf numFmtId="1" fontId="7" fillId="81" borderId="75" xfId="429" applyNumberFormat="1" applyFont="1" applyFill="1" applyBorder="1" applyAlignment="1" applyProtection="1">
      <alignment horizontal="center" vertical="center"/>
    </xf>
    <xf numFmtId="1" fontId="327" fillId="81" borderId="65" xfId="429" applyNumberFormat="1" applyFont="1" applyFill="1" applyBorder="1" applyAlignment="1" applyProtection="1">
      <alignment horizontal="center" vertical="center"/>
    </xf>
    <xf numFmtId="14" fontId="20" fillId="81" borderId="70" xfId="429" applyNumberFormat="1" applyFont="1" applyFill="1" applyBorder="1" applyAlignment="1">
      <alignment horizontal="left" vertical="center"/>
    </xf>
    <xf numFmtId="173" fontId="2" fillId="31" borderId="0" xfId="414" applyNumberFormat="1" applyFont="1" applyFill="1" applyAlignment="1">
      <alignment vertical="center"/>
    </xf>
    <xf numFmtId="173" fontId="7" fillId="81" borderId="70" xfId="414" applyNumberFormat="1" applyFont="1" applyFill="1" applyBorder="1" applyAlignment="1">
      <alignment vertical="center"/>
    </xf>
    <xf numFmtId="1" fontId="7" fillId="81" borderId="15" xfId="429" applyNumberFormat="1" applyFont="1" applyFill="1" applyBorder="1" applyAlignment="1">
      <alignment horizontal="center" vertical="center"/>
    </xf>
    <xf numFmtId="20" fontId="145" fillId="81" borderId="70" xfId="414" applyNumberFormat="1" applyFont="1" applyFill="1" applyBorder="1" applyAlignment="1">
      <alignment vertical="center"/>
    </xf>
    <xf numFmtId="173" fontId="7" fillId="82" borderId="608" xfId="0" applyNumberFormat="1" applyFont="1" applyFill="1" applyBorder="1" applyAlignment="1">
      <alignment vertical="center"/>
    </xf>
    <xf numFmtId="0" fontId="7" fillId="82" borderId="610" xfId="0" applyFont="1" applyFill="1" applyBorder="1" applyAlignment="1">
      <alignment horizontal="center" vertical="center"/>
    </xf>
    <xf numFmtId="1" fontId="7" fillId="82" borderId="609" xfId="0" applyNumberFormat="1" applyFont="1" applyFill="1" applyBorder="1" applyAlignment="1" applyProtection="1">
      <alignment horizontal="center" vertical="center"/>
      <protection locked="0"/>
    </xf>
    <xf numFmtId="1" fontId="7" fillId="82" borderId="611" xfId="0" applyNumberFormat="1" applyFont="1" applyFill="1" applyBorder="1" applyAlignment="1" applyProtection="1">
      <alignment horizontal="center" vertical="center"/>
      <protection locked="0"/>
    </xf>
    <xf numFmtId="1" fontId="7" fillId="82" borderId="109" xfId="432" applyNumberFormat="1" applyFont="1" applyFill="1" applyBorder="1" applyAlignment="1" applyProtection="1">
      <alignment horizontal="center" vertical="top"/>
      <protection locked="0"/>
    </xf>
    <xf numFmtId="0" fontId="0" fillId="82" borderId="0" xfId="0" applyFill="1"/>
    <xf numFmtId="0" fontId="0" fillId="0" borderId="0" xfId="0" applyAlignment="1">
      <alignment horizontal="center"/>
    </xf>
    <xf numFmtId="0" fontId="500" fillId="0" borderId="0" xfId="0" applyFont="1" applyFill="1" applyBorder="1" applyAlignment="1">
      <alignment horizontal="center" wrapText="1"/>
    </xf>
    <xf numFmtId="0" fontId="209" fillId="31" borderId="300" xfId="0" applyNumberFormat="1" applyFont="1" applyFill="1" applyBorder="1" applyAlignment="1">
      <alignment vertical="center"/>
    </xf>
    <xf numFmtId="0" fontId="23" fillId="0" borderId="104" xfId="0" applyNumberFormat="1" applyFont="1" applyFill="1" applyBorder="1" applyAlignment="1" applyProtection="1">
      <alignment horizontal="center" vertical="center"/>
    </xf>
    <xf numFmtId="0" fontId="220" fillId="0" borderId="317" xfId="436" applyFont="1" applyBorder="1" applyAlignment="1" applyProtection="1">
      <alignment vertical="center"/>
      <protection locked="0"/>
    </xf>
    <xf numFmtId="0" fontId="220" fillId="0" borderId="145" xfId="436" applyFont="1" applyBorder="1" applyAlignment="1" applyProtection="1">
      <alignment vertical="center"/>
      <protection locked="0"/>
    </xf>
    <xf numFmtId="0" fontId="247" fillId="0" borderId="145" xfId="436" applyFont="1" applyBorder="1" applyAlignment="1" applyProtection="1">
      <alignment vertical="center"/>
      <protection locked="0"/>
    </xf>
    <xf numFmtId="0" fontId="322" fillId="0" borderId="180" xfId="436" applyFont="1" applyBorder="1" applyAlignment="1" applyProtection="1">
      <alignment vertical="center"/>
      <protection locked="0"/>
    </xf>
    <xf numFmtId="1" fontId="372" fillId="34" borderId="446" xfId="436" applyNumberFormat="1" applyFont="1" applyFill="1" applyBorder="1" applyAlignment="1" applyProtection="1">
      <alignment horizontal="center" vertical="center"/>
      <protection locked="0"/>
    </xf>
    <xf numFmtId="20" fontId="516" fillId="88" borderId="10" xfId="0" applyNumberFormat="1" applyFont="1" applyFill="1" applyBorder="1" applyAlignment="1">
      <alignment horizontal="center"/>
    </xf>
    <xf numFmtId="14" fontId="20" fillId="0" borderId="70" xfId="0" applyNumberFormat="1" applyFont="1" applyFill="1" applyBorder="1" applyAlignment="1">
      <alignment horizontal="left" vertical="center"/>
    </xf>
    <xf numFmtId="20" fontId="209" fillId="31" borderId="612" xfId="0" applyNumberFormat="1" applyFont="1" applyFill="1" applyBorder="1" applyAlignment="1">
      <alignment vertical="top"/>
    </xf>
    <xf numFmtId="1" fontId="174" fillId="0" borderId="450" xfId="436" applyNumberFormat="1" applyFont="1" applyFill="1" applyBorder="1" applyAlignment="1" applyProtection="1">
      <alignment horizontal="center" vertical="center"/>
      <protection locked="0"/>
    </xf>
    <xf numFmtId="0" fontId="449" fillId="58" borderId="451" xfId="0" applyFont="1" applyFill="1" applyBorder="1" applyAlignment="1">
      <alignment horizontal="center" vertical="center" wrapText="1"/>
    </xf>
    <xf numFmtId="0" fontId="449" fillId="58" borderId="452" xfId="0" applyFont="1" applyFill="1" applyBorder="1" applyAlignment="1">
      <alignment horizontal="center" vertical="center" wrapText="1"/>
    </xf>
    <xf numFmtId="20" fontId="449" fillId="58" borderId="453" xfId="0" applyNumberFormat="1" applyFont="1" applyFill="1" applyBorder="1" applyAlignment="1">
      <alignment horizontal="center" vertical="center" wrapText="1"/>
    </xf>
    <xf numFmtId="20" fontId="449" fillId="58" borderId="454" xfId="0" applyNumberFormat="1" applyFont="1" applyFill="1" applyBorder="1" applyAlignment="1">
      <alignment horizontal="center" vertical="center" wrapText="1"/>
    </xf>
    <xf numFmtId="0" fontId="449" fillId="0" borderId="453" xfId="0" applyFont="1" applyBorder="1" applyAlignment="1">
      <alignment horizontal="center" vertical="center" wrapText="1"/>
    </xf>
    <xf numFmtId="0" fontId="449" fillId="0" borderId="454" xfId="0" applyFont="1" applyBorder="1" applyAlignment="1">
      <alignment horizontal="center" vertical="center" wrapText="1"/>
    </xf>
    <xf numFmtId="20" fontId="449" fillId="0" borderId="455" xfId="0" applyNumberFormat="1" applyFont="1" applyBorder="1" applyAlignment="1">
      <alignment horizontal="center" vertical="center" wrapText="1"/>
    </xf>
    <xf numFmtId="20" fontId="449" fillId="0" borderId="456" xfId="0" applyNumberFormat="1" applyFont="1" applyBorder="1" applyAlignment="1">
      <alignment horizontal="center" vertical="center" wrapText="1"/>
    </xf>
    <xf numFmtId="46" fontId="449" fillId="0" borderId="456" xfId="0" applyNumberFormat="1" applyFont="1" applyBorder="1" applyAlignment="1">
      <alignment horizontal="center" vertical="center" wrapText="1"/>
    </xf>
    <xf numFmtId="0" fontId="292" fillId="0" borderId="0" xfId="0" applyFont="1" applyFill="1" applyBorder="1"/>
    <xf numFmtId="0" fontId="222" fillId="0" borderId="107" xfId="0" applyFont="1" applyBorder="1" applyAlignment="1">
      <alignment horizontal="center"/>
    </xf>
    <xf numFmtId="0" fontId="7" fillId="47" borderId="12" xfId="414" applyNumberFormat="1" applyFont="1" applyFill="1" applyBorder="1" applyAlignment="1">
      <alignment vertical="center"/>
    </xf>
    <xf numFmtId="0" fontId="7" fillId="47" borderId="113" xfId="0" applyFont="1" applyFill="1" applyBorder="1" applyAlignment="1">
      <alignment vertical="center"/>
    </xf>
    <xf numFmtId="0" fontId="7" fillId="47" borderId="85" xfId="0" applyFont="1" applyFill="1" applyBorder="1" applyAlignment="1">
      <alignment horizontal="center" vertical="center"/>
    </xf>
    <xf numFmtId="0" fontId="7" fillId="47" borderId="111" xfId="0" applyFont="1" applyFill="1" applyBorder="1" applyAlignment="1">
      <alignment horizontal="center" vertical="center"/>
    </xf>
    <xf numFmtId="0" fontId="7" fillId="47" borderId="113" xfId="0" applyFont="1" applyFill="1" applyBorder="1" applyAlignment="1">
      <alignment horizontal="center" vertical="center"/>
    </xf>
    <xf numFmtId="1" fontId="7" fillId="47" borderId="85" xfId="0" applyNumberFormat="1" applyFont="1" applyFill="1" applyBorder="1" applyAlignment="1">
      <alignment horizontal="center" vertical="center"/>
    </xf>
    <xf numFmtId="1" fontId="7" fillId="47" borderId="111" xfId="0" applyNumberFormat="1" applyFont="1" applyFill="1" applyBorder="1" applyAlignment="1">
      <alignment horizontal="center" vertical="center"/>
    </xf>
    <xf numFmtId="20" fontId="143" fillId="47" borderId="113" xfId="428" applyNumberFormat="1" applyFont="1" applyFill="1" applyBorder="1" applyAlignment="1">
      <alignment vertical="center"/>
    </xf>
    <xf numFmtId="1" fontId="7" fillId="0" borderId="596" xfId="432" applyNumberFormat="1" applyFont="1" applyFill="1" applyBorder="1" applyAlignment="1" applyProtection="1">
      <alignment horizontal="center"/>
      <protection locked="0"/>
    </xf>
    <xf numFmtId="20" fontId="518" fillId="26" borderId="608" xfId="0" applyNumberFormat="1" applyFont="1" applyFill="1" applyBorder="1" applyAlignment="1">
      <alignment horizontal="center" vertical="center"/>
    </xf>
    <xf numFmtId="20" fontId="519" fillId="26" borderId="608" xfId="0" applyNumberFormat="1" applyFont="1" applyFill="1" applyBorder="1" applyAlignment="1">
      <alignment horizontal="center" vertical="center"/>
    </xf>
    <xf numFmtId="20" fontId="518" fillId="49" borderId="608" xfId="0" applyNumberFormat="1" applyFont="1" applyFill="1" applyBorder="1" applyAlignment="1">
      <alignment horizontal="center" vertical="center"/>
    </xf>
    <xf numFmtId="166" fontId="520" fillId="73" borderId="82" xfId="271" applyNumberFormat="1" applyFont="1" applyFill="1" applyBorder="1" applyAlignment="1">
      <alignment horizontal="center" vertical="center"/>
    </xf>
    <xf numFmtId="20" fontId="521" fillId="88" borderId="10" xfId="0" applyNumberFormat="1" applyFont="1" applyFill="1" applyBorder="1" applyAlignment="1">
      <alignment horizontal="center"/>
    </xf>
    <xf numFmtId="20" fontId="522" fillId="34" borderId="10" xfId="0" applyNumberFormat="1" applyFont="1" applyFill="1" applyBorder="1" applyAlignment="1">
      <alignment horizontal="center"/>
    </xf>
    <xf numFmtId="0" fontId="21" fillId="0" borderId="0" xfId="458" applyNumberFormat="1" applyFont="1" applyFill="1" applyBorder="1" applyAlignment="1">
      <alignment horizontal="center" vertical="center"/>
    </xf>
    <xf numFmtId="20" fontId="120" fillId="88" borderId="23" xfId="0" applyNumberFormat="1" applyFont="1" applyFill="1" applyBorder="1" applyAlignment="1">
      <alignment horizontal="center"/>
    </xf>
    <xf numFmtId="0" fontId="56" fillId="99" borderId="0" xfId="436" applyFont="1" applyFill="1" applyBorder="1" applyAlignment="1">
      <alignment horizontal="left" vertical="center"/>
    </xf>
    <xf numFmtId="0" fontId="174" fillId="0" borderId="569" xfId="0" applyFont="1" applyFill="1" applyBorder="1" applyAlignment="1">
      <alignment horizontal="center" vertical="center"/>
    </xf>
    <xf numFmtId="20" fontId="523" fillId="34" borderId="10" xfId="0" applyNumberFormat="1" applyFont="1" applyFill="1" applyBorder="1" applyAlignment="1">
      <alignment horizontal="center"/>
    </xf>
    <xf numFmtId="0" fontId="517" fillId="0" borderId="569" xfId="556" applyFont="1" applyFill="1" applyBorder="1" applyAlignment="1">
      <alignment horizontal="center" vertical="center"/>
    </xf>
    <xf numFmtId="0" fontId="524" fillId="0" borderId="0" xfId="436" applyFont="1" applyBorder="1" applyAlignment="1" applyProtection="1">
      <alignment horizontal="left" vertical="top"/>
      <protection locked="0"/>
    </xf>
    <xf numFmtId="0" fontId="52" fillId="0" borderId="0" xfId="436" applyFont="1" applyBorder="1" applyAlignment="1">
      <alignment horizontal="left" vertical="top"/>
    </xf>
    <xf numFmtId="0" fontId="524" fillId="0" borderId="0" xfId="436" applyFont="1" applyAlignment="1">
      <alignment horizontal="left"/>
    </xf>
    <xf numFmtId="0" fontId="2" fillId="0" borderId="0" xfId="436" applyFont="1" applyAlignment="1" applyProtection="1">
      <alignment horizontal="left"/>
      <protection locked="0"/>
    </xf>
    <xf numFmtId="0" fontId="2" fillId="0" borderId="0" xfId="436" applyFont="1" applyAlignment="1">
      <alignment horizontal="left"/>
    </xf>
    <xf numFmtId="0" fontId="52" fillId="0" borderId="0" xfId="436" applyFont="1" applyAlignment="1">
      <alignment horizontal="left"/>
    </xf>
    <xf numFmtId="0" fontId="88" fillId="0" borderId="0" xfId="436" applyFont="1" applyAlignment="1">
      <alignment horizontal="left"/>
    </xf>
    <xf numFmtId="20" fontId="209" fillId="31" borderId="612" xfId="429" applyNumberFormat="1" applyFont="1" applyFill="1" applyBorder="1" applyAlignment="1">
      <alignment vertical="top"/>
    </xf>
    <xf numFmtId="0" fontId="92" fillId="0" borderId="48" xfId="0" applyFont="1" applyBorder="1" applyAlignment="1">
      <alignment vertical="center"/>
    </xf>
    <xf numFmtId="14" fontId="143" fillId="0" borderId="335" xfId="428" applyNumberFormat="1" applyFont="1" applyFill="1" applyBorder="1" applyAlignment="1">
      <alignment horizontal="left" vertical="center"/>
    </xf>
    <xf numFmtId="14" fontId="143" fillId="0" borderId="347" xfId="428" applyNumberFormat="1" applyFont="1" applyFill="1" applyBorder="1" applyAlignment="1">
      <alignment horizontal="left" vertical="center"/>
    </xf>
    <xf numFmtId="14" fontId="143" fillId="0" borderId="48" xfId="428" applyNumberFormat="1" applyFont="1" applyFill="1" applyBorder="1" applyAlignment="1">
      <alignment horizontal="left" vertical="center"/>
    </xf>
    <xf numFmtId="14" fontId="93" fillId="0" borderId="0" xfId="0" applyNumberFormat="1" applyFont="1" applyBorder="1" applyAlignment="1">
      <alignment horizontal="left" vertical="center"/>
    </xf>
    <xf numFmtId="14" fontId="143" fillId="47" borderId="113" xfId="428" applyNumberFormat="1" applyFont="1" applyFill="1" applyBorder="1" applyAlignment="1">
      <alignment horizontal="left" vertical="center"/>
    </xf>
    <xf numFmtId="14" fontId="143" fillId="0" borderId="321" xfId="428" applyNumberFormat="1" applyFont="1" applyFill="1" applyBorder="1" applyAlignment="1">
      <alignment horizontal="left" vertical="center"/>
    </xf>
    <xf numFmtId="14" fontId="143" fillId="0" borderId="38" xfId="428" applyNumberFormat="1" applyFont="1" applyFill="1" applyBorder="1" applyAlignment="1">
      <alignment horizontal="left" vertical="center"/>
    </xf>
    <xf numFmtId="14" fontId="143" fillId="0" borderId="48" xfId="0" applyNumberFormat="1" applyFont="1" applyFill="1" applyBorder="1" applyAlignment="1">
      <alignment horizontal="left" vertical="center"/>
    </xf>
    <xf numFmtId="14" fontId="7" fillId="0" borderId="111" xfId="428" applyNumberFormat="1" applyFont="1" applyFill="1" applyBorder="1" applyAlignment="1" applyProtection="1">
      <alignment horizontal="left" vertical="center"/>
      <protection locked="0"/>
    </xf>
    <xf numFmtId="14" fontId="9" fillId="0" borderId="109" xfId="428" applyNumberFormat="1" applyFont="1" applyFill="1" applyBorder="1" applyAlignment="1">
      <alignment horizontal="left" vertical="center"/>
    </xf>
    <xf numFmtId="14" fontId="142" fillId="0" borderId="217" xfId="0" applyNumberFormat="1" applyFont="1" applyFill="1" applyBorder="1" applyAlignment="1">
      <alignment horizontal="left" vertical="center"/>
    </xf>
    <xf numFmtId="14" fontId="143" fillId="0" borderId="113" xfId="0" applyNumberFormat="1" applyFont="1" applyFill="1" applyBorder="1" applyAlignment="1">
      <alignment horizontal="left" vertical="center"/>
    </xf>
    <xf numFmtId="164" fontId="142" fillId="0" borderId="113" xfId="428" applyNumberFormat="1" applyFont="1" applyFill="1" applyBorder="1" applyAlignment="1">
      <alignment horizontal="left" vertical="center"/>
    </xf>
    <xf numFmtId="164" fontId="143" fillId="0" borderId="113" xfId="428" applyNumberFormat="1" applyFont="1" applyFill="1" applyBorder="1" applyAlignment="1">
      <alignment horizontal="left" vertical="center"/>
    </xf>
    <xf numFmtId="164" fontId="142" fillId="0" borderId="492" xfId="428" applyNumberFormat="1" applyFont="1" applyFill="1" applyBorder="1" applyAlignment="1">
      <alignment horizontal="left" vertical="center"/>
    </xf>
    <xf numFmtId="164" fontId="142" fillId="0" borderId="276" xfId="428" applyNumberFormat="1" applyFont="1" applyFill="1" applyBorder="1" applyAlignment="1">
      <alignment horizontal="left" vertical="center"/>
    </xf>
    <xf numFmtId="164" fontId="142" fillId="0" borderId="282" xfId="428" applyNumberFormat="1" applyFont="1" applyFill="1" applyBorder="1" applyAlignment="1">
      <alignment horizontal="left" vertical="center"/>
    </xf>
    <xf numFmtId="164" fontId="143" fillId="0" borderId="282" xfId="428" applyNumberFormat="1" applyFont="1" applyFill="1" applyBorder="1" applyAlignment="1">
      <alignment horizontal="left" vertical="center"/>
    </xf>
    <xf numFmtId="164" fontId="143" fillId="0" borderId="613" xfId="428" applyNumberFormat="1" applyFont="1" applyFill="1" applyBorder="1" applyAlignment="1">
      <alignment horizontal="left" vertical="center"/>
    </xf>
    <xf numFmtId="164" fontId="143" fillId="0" borderId="285" xfId="428" applyNumberFormat="1" applyFont="1" applyFill="1" applyBorder="1" applyAlignment="1">
      <alignment horizontal="left" vertical="center"/>
    </xf>
    <xf numFmtId="164" fontId="143" fillId="0" borderId="109" xfId="428" applyNumberFormat="1" applyFont="1" applyFill="1" applyBorder="1" applyAlignment="1">
      <alignment horizontal="left" vertical="center"/>
    </xf>
    <xf numFmtId="164" fontId="143" fillId="0" borderId="119" xfId="428" applyNumberFormat="1" applyFont="1" applyFill="1" applyBorder="1" applyAlignment="1">
      <alignment horizontal="left" vertical="center"/>
    </xf>
    <xf numFmtId="164" fontId="142" fillId="0" borderId="119" xfId="428" applyNumberFormat="1" applyFont="1" applyFill="1" applyBorder="1" applyAlignment="1">
      <alignment horizontal="left" vertical="center"/>
    </xf>
    <xf numFmtId="164" fontId="142" fillId="0" borderId="507" xfId="428" applyNumberFormat="1" applyFont="1" applyFill="1" applyBorder="1" applyAlignment="1">
      <alignment horizontal="left" vertical="center"/>
    </xf>
    <xf numFmtId="164" fontId="142" fillId="0" borderId="559" xfId="428" applyNumberFormat="1" applyFont="1" applyFill="1" applyBorder="1" applyAlignment="1">
      <alignment horizontal="left" vertical="center"/>
    </xf>
    <xf numFmtId="164" fontId="142" fillId="82" borderId="113" xfId="428" applyNumberFormat="1" applyFont="1" applyFill="1" applyBorder="1" applyAlignment="1">
      <alignment horizontal="left" vertical="center"/>
    </xf>
    <xf numFmtId="164" fontId="209" fillId="31" borderId="556" xfId="428" applyNumberFormat="1" applyFont="1" applyFill="1" applyBorder="1" applyAlignment="1">
      <alignment horizontal="left" vertical="center"/>
    </xf>
    <xf numFmtId="164" fontId="142" fillId="0" borderId="295" xfId="428" applyNumberFormat="1" applyFont="1" applyFill="1" applyBorder="1" applyAlignment="1">
      <alignment horizontal="left" vertical="center"/>
    </xf>
    <xf numFmtId="164" fontId="142" fillId="0" borderId="491" xfId="428" applyNumberFormat="1" applyFont="1" applyFill="1" applyBorder="1" applyAlignment="1">
      <alignment horizontal="left" vertical="center"/>
    </xf>
    <xf numFmtId="0" fontId="284" fillId="0" borderId="0" xfId="0" applyFont="1" applyBorder="1" applyProtection="1"/>
    <xf numFmtId="0" fontId="209" fillId="31" borderId="618" xfId="0" applyNumberFormat="1" applyFont="1" applyFill="1" applyBorder="1" applyAlignment="1">
      <alignment horizontal="left" vertical="center"/>
    </xf>
    <xf numFmtId="0" fontId="174" fillId="0" borderId="518" xfId="556" applyFont="1" applyFill="1" applyBorder="1" applyAlignment="1">
      <alignment horizontal="center" vertical="top"/>
    </xf>
    <xf numFmtId="2" fontId="526" fillId="34" borderId="565" xfId="0" applyNumberFormat="1" applyFont="1" applyFill="1" applyBorder="1" applyAlignment="1">
      <alignment horizontal="center" vertical="center"/>
    </xf>
    <xf numFmtId="0" fontId="372" fillId="31" borderId="569" xfId="0" applyFont="1" applyFill="1" applyBorder="1" applyAlignment="1">
      <alignment vertical="center" wrapText="1"/>
    </xf>
    <xf numFmtId="20" fontId="209" fillId="31" borderId="618" xfId="0" applyNumberFormat="1" applyFont="1" applyFill="1" applyBorder="1" applyAlignment="1">
      <alignment vertical="top"/>
    </xf>
    <xf numFmtId="0" fontId="449" fillId="58" borderId="619" xfId="0" applyFont="1" applyFill="1" applyBorder="1" applyAlignment="1">
      <alignment horizontal="center" vertical="center" wrapText="1"/>
    </xf>
    <xf numFmtId="0" fontId="113" fillId="0" borderId="13" xfId="0" applyFont="1" applyBorder="1" applyAlignment="1"/>
    <xf numFmtId="0" fontId="527" fillId="0" borderId="620" xfId="0" applyFont="1" applyBorder="1" applyAlignment="1">
      <alignment horizontal="center"/>
    </xf>
    <xf numFmtId="0" fontId="528" fillId="116" borderId="621" xfId="0" applyFont="1" applyFill="1" applyBorder="1"/>
    <xf numFmtId="0" fontId="528" fillId="116" borderId="622" xfId="0" applyFont="1" applyFill="1" applyBorder="1" applyAlignment="1"/>
    <xf numFmtId="0" fontId="528" fillId="116" borderId="623" xfId="0" applyFont="1" applyFill="1" applyBorder="1" applyAlignment="1"/>
    <xf numFmtId="0" fontId="529" fillId="116" borderId="620" xfId="0" applyFont="1" applyFill="1" applyBorder="1" applyAlignment="1">
      <alignment horizontal="center"/>
    </xf>
    <xf numFmtId="0" fontId="527" fillId="0" borderId="624" xfId="0" applyFont="1" applyBorder="1" applyAlignment="1"/>
    <xf numFmtId="0" fontId="530" fillId="0" borderId="0" xfId="0" applyFont="1" applyBorder="1" applyAlignment="1"/>
    <xf numFmtId="0" fontId="529" fillId="0" borderId="625" xfId="0" applyFont="1" applyBorder="1" applyAlignment="1">
      <alignment horizontal="center"/>
    </xf>
    <xf numFmtId="0" fontId="531" fillId="0" borderId="624" xfId="0" applyFont="1" applyBorder="1" applyAlignment="1">
      <alignment horizontal="center"/>
    </xf>
    <xf numFmtId="0" fontId="532" fillId="0" borderId="0" xfId="0" applyFont="1" applyBorder="1" applyAlignment="1"/>
    <xf numFmtId="0" fontId="528" fillId="0" borderId="0" xfId="0" applyFont="1" applyBorder="1" applyAlignment="1">
      <alignment horizontal="center"/>
    </xf>
    <xf numFmtId="0" fontId="533" fillId="0" borderId="0" xfId="0" applyFont="1" applyBorder="1" applyAlignment="1"/>
    <xf numFmtId="0" fontId="529" fillId="0" borderId="0" xfId="0" applyFont="1" applyBorder="1" applyAlignment="1">
      <alignment horizontal="center"/>
    </xf>
    <xf numFmtId="0" fontId="534" fillId="0" borderId="458" xfId="0" applyFont="1" applyBorder="1" applyAlignment="1">
      <alignment horizontal="center"/>
    </xf>
    <xf numFmtId="2" fontId="535" fillId="0" borderId="0" xfId="0" applyNumberFormat="1" applyFont="1" applyBorder="1" applyAlignment="1"/>
    <xf numFmtId="0" fontId="536" fillId="0" borderId="0" xfId="0" applyFont="1" applyBorder="1" applyAlignment="1"/>
    <xf numFmtId="0" fontId="537" fillId="0" borderId="0" xfId="0" applyFont="1" applyBorder="1" applyAlignment="1"/>
    <xf numFmtId="0" fontId="531" fillId="0" borderId="0" xfId="0" applyFont="1" applyBorder="1" applyAlignment="1">
      <alignment horizontal="center"/>
    </xf>
    <xf numFmtId="0" fontId="530" fillId="0" borderId="459" xfId="0" applyFont="1" applyBorder="1" applyAlignment="1"/>
    <xf numFmtId="0" fontId="536" fillId="0" borderId="623" xfId="0" applyFont="1" applyBorder="1" applyAlignment="1"/>
    <xf numFmtId="0" fontId="527" fillId="0" borderId="458" xfId="0" applyFont="1" applyBorder="1" applyAlignment="1">
      <alignment horizontal="center"/>
    </xf>
    <xf numFmtId="0" fontId="527" fillId="0" borderId="626" xfId="0" applyFont="1" applyBorder="1" applyAlignment="1">
      <alignment horizontal="center"/>
    </xf>
    <xf numFmtId="0" fontId="538" fillId="0" borderId="620" xfId="0" applyFont="1" applyBorder="1" applyAlignment="1">
      <alignment horizontal="center"/>
    </xf>
    <xf numFmtId="0" fontId="530" fillId="0" borderId="623" xfId="0" applyFont="1" applyBorder="1" applyAlignment="1"/>
    <xf numFmtId="0" fontId="536" fillId="0" borderId="627" xfId="0" applyFont="1" applyBorder="1" applyAlignment="1">
      <alignment horizontal="center"/>
    </xf>
    <xf numFmtId="0" fontId="535" fillId="0" borderId="628" xfId="0" applyFont="1" applyBorder="1" applyAlignment="1"/>
    <xf numFmtId="0" fontId="535" fillId="0" borderId="459" xfId="0" applyFont="1" applyBorder="1" applyAlignment="1"/>
    <xf numFmtId="0" fontId="535" fillId="0" borderId="623" xfId="0" applyFont="1" applyBorder="1" applyAlignment="1"/>
    <xf numFmtId="173" fontId="42" fillId="51" borderId="301" xfId="0" applyNumberFormat="1" applyFont="1" applyFill="1" applyBorder="1" applyAlignment="1">
      <alignment vertical="center" wrapText="1"/>
    </xf>
    <xf numFmtId="173" fontId="42" fillId="51" borderId="502" xfId="0" applyNumberFormat="1" applyFont="1" applyFill="1" applyBorder="1" applyAlignment="1">
      <alignment vertical="center" wrapText="1"/>
    </xf>
    <xf numFmtId="173" fontId="42" fillId="51" borderId="33" xfId="0" applyNumberFormat="1" applyFont="1" applyFill="1" applyBorder="1" applyAlignment="1">
      <alignment vertical="center" wrapText="1"/>
    </xf>
    <xf numFmtId="165" fontId="539" fillId="26" borderId="543" xfId="0" applyNumberFormat="1" applyFont="1" applyFill="1" applyBorder="1" applyAlignment="1">
      <alignment horizontal="center" vertical="center"/>
    </xf>
    <xf numFmtId="0" fontId="213" fillId="0" borderId="0" xfId="0" applyFont="1" applyFill="1" applyAlignment="1">
      <alignment horizontal="center"/>
    </xf>
    <xf numFmtId="2" fontId="213" fillId="0" borderId="0" xfId="0" applyNumberFormat="1" applyFont="1" applyFill="1" applyAlignment="1">
      <alignment horizontal="center"/>
    </xf>
    <xf numFmtId="0" fontId="92" fillId="0" borderId="0" xfId="0" applyFont="1" applyAlignment="1">
      <alignment wrapText="1"/>
    </xf>
    <xf numFmtId="1" fontId="7" fillId="32" borderId="10" xfId="428" quotePrefix="1" applyNumberFormat="1" applyFont="1" applyFill="1" applyBorder="1" applyAlignment="1">
      <alignment horizontal="right"/>
    </xf>
    <xf numFmtId="0" fontId="113" fillId="0" borderId="13" xfId="0" applyFont="1" applyBorder="1"/>
    <xf numFmtId="0" fontId="113" fillId="0" borderId="13" xfId="0" applyFont="1" applyBorder="1" applyAlignment="1">
      <alignment vertical="top"/>
    </xf>
    <xf numFmtId="0" fontId="113" fillId="0" borderId="13" xfId="0" applyFont="1" applyBorder="1" applyAlignment="1">
      <alignment vertical="center"/>
    </xf>
    <xf numFmtId="0" fontId="113" fillId="0" borderId="0" xfId="0" applyFont="1" applyBorder="1" applyAlignment="1"/>
    <xf numFmtId="0" fontId="113" fillId="0" borderId="0" xfId="0" applyFont="1" applyBorder="1" applyAlignment="1">
      <alignment vertical="top"/>
    </xf>
    <xf numFmtId="0" fontId="113" fillId="0" borderId="13" xfId="0" applyFont="1" applyFill="1" applyBorder="1"/>
    <xf numFmtId="0" fontId="113" fillId="0" borderId="301" xfId="0" applyFont="1" applyBorder="1"/>
    <xf numFmtId="0" fontId="475" fillId="0" borderId="0" xfId="436" applyFont="1" applyFill="1" applyBorder="1" applyAlignment="1">
      <alignment horizontal="center"/>
    </xf>
    <xf numFmtId="0" fontId="475" fillId="0" borderId="0" xfId="436" applyFont="1" applyBorder="1" applyAlignment="1" applyProtection="1">
      <alignment horizontal="center"/>
      <protection locked="0"/>
    </xf>
    <xf numFmtId="0" fontId="113" fillId="0" borderId="32" xfId="0" applyFont="1" applyBorder="1"/>
    <xf numFmtId="0" fontId="113" fillId="0" borderId="316" xfId="0" applyFont="1" applyFill="1" applyBorder="1" applyAlignment="1">
      <alignment vertical="top"/>
    </xf>
    <xf numFmtId="0" fontId="113" fillId="0" borderId="316" xfId="0" applyFont="1" applyBorder="1"/>
    <xf numFmtId="0" fontId="430" fillId="0" borderId="10" xfId="0" applyNumberFormat="1" applyFont="1" applyBorder="1" applyAlignment="1">
      <alignment horizontal="center" vertical="center" wrapText="1"/>
    </xf>
    <xf numFmtId="0" fontId="113" fillId="0" borderId="42" xfId="0" applyFont="1" applyBorder="1" applyAlignment="1">
      <alignment vertical="center"/>
    </xf>
    <xf numFmtId="0" fontId="113" fillId="0" borderId="41" xfId="0" applyFont="1" applyBorder="1" applyAlignment="1">
      <alignment vertical="center"/>
    </xf>
    <xf numFmtId="0" fontId="113" fillId="0" borderId="301" xfId="0" applyFont="1" applyBorder="1" applyAlignment="1">
      <alignment vertical="center"/>
    </xf>
    <xf numFmtId="0" fontId="113" fillId="0" borderId="301" xfId="0" applyFont="1" applyBorder="1" applyAlignment="1"/>
    <xf numFmtId="0" fontId="113" fillId="0" borderId="301" xfId="0" applyFont="1" applyBorder="1" applyAlignment="1">
      <alignment vertical="top"/>
    </xf>
    <xf numFmtId="20" fontId="220" fillId="117" borderId="115" xfId="0" quotePrefix="1" applyNumberFormat="1" applyFont="1" applyFill="1" applyBorder="1" applyAlignment="1">
      <alignment horizontal="center" vertical="center"/>
    </xf>
    <xf numFmtId="1" fontId="427" fillId="117" borderId="106" xfId="430" quotePrefix="1" applyNumberFormat="1" applyFont="1" applyFill="1" applyBorder="1" applyAlignment="1">
      <alignment horizontal="center" vertical="center"/>
    </xf>
    <xf numFmtId="1" fontId="428" fillId="117" borderId="10" xfId="430" applyNumberFormat="1" applyFont="1" applyFill="1" applyBorder="1" applyAlignment="1">
      <alignment horizontal="center" vertical="center"/>
    </xf>
    <xf numFmtId="1" fontId="428" fillId="117" borderId="31" xfId="430" applyNumberFormat="1" applyFont="1" applyFill="1" applyBorder="1" applyAlignment="1">
      <alignment horizontal="center" vertical="center"/>
    </xf>
    <xf numFmtId="1" fontId="427" fillId="117" borderId="31" xfId="430" applyNumberFormat="1" applyFont="1" applyFill="1" applyBorder="1" applyAlignment="1">
      <alignment horizontal="center" vertical="center"/>
    </xf>
    <xf numFmtId="1" fontId="427" fillId="117" borderId="22" xfId="430" applyNumberFormat="1" applyFont="1" applyFill="1" applyBorder="1" applyAlignment="1">
      <alignment horizontal="center" vertical="center"/>
    </xf>
    <xf numFmtId="165" fontId="427" fillId="117" borderId="59" xfId="430" applyNumberFormat="1" applyFont="1" applyFill="1" applyBorder="1" applyAlignment="1">
      <alignment horizontal="center" vertical="center"/>
    </xf>
    <xf numFmtId="20" fontId="220" fillId="117" borderId="68" xfId="0" quotePrefix="1" applyNumberFormat="1" applyFont="1" applyFill="1" applyBorder="1" applyAlignment="1">
      <alignment horizontal="center" vertical="center"/>
    </xf>
    <xf numFmtId="1" fontId="525" fillId="117" borderId="22" xfId="0" applyNumberFormat="1" applyFont="1" applyFill="1" applyBorder="1" applyAlignment="1">
      <alignment horizontal="center" vertical="center"/>
    </xf>
    <xf numFmtId="20" fontId="220" fillId="117" borderId="68" xfId="0" applyNumberFormat="1" applyFont="1" applyFill="1" applyBorder="1" applyAlignment="1">
      <alignment horizontal="center" vertical="center"/>
    </xf>
    <xf numFmtId="20" fontId="220" fillId="118" borderId="68" xfId="0" applyNumberFormat="1" applyFont="1" applyFill="1" applyBorder="1" applyAlignment="1">
      <alignment horizontal="center" vertical="center"/>
    </xf>
    <xf numFmtId="1" fontId="455" fillId="118" borderId="106" xfId="430" quotePrefix="1" applyNumberFormat="1" applyFont="1" applyFill="1" applyBorder="1" applyAlignment="1">
      <alignment horizontal="center" vertical="center"/>
    </xf>
    <xf numFmtId="1" fontId="429" fillId="118" borderId="10" xfId="430" applyNumberFormat="1" applyFont="1" applyFill="1" applyBorder="1" applyAlignment="1">
      <alignment horizontal="center" vertical="center"/>
    </xf>
    <xf numFmtId="1" fontId="429" fillId="118" borderId="31" xfId="430" applyNumberFormat="1" applyFont="1" applyFill="1" applyBorder="1" applyAlignment="1">
      <alignment horizontal="center" vertical="center"/>
    </xf>
    <xf numFmtId="1" fontId="427" fillId="118" borderId="31" xfId="430" applyNumberFormat="1" applyFont="1" applyFill="1" applyBorder="1" applyAlignment="1">
      <alignment horizontal="center" vertical="center"/>
    </xf>
    <xf numFmtId="1" fontId="429" fillId="118" borderId="22" xfId="430" applyNumberFormat="1" applyFont="1" applyFill="1" applyBorder="1" applyAlignment="1">
      <alignment horizontal="center" vertical="center"/>
    </xf>
    <xf numFmtId="165" fontId="429" fillId="118" borderId="59" xfId="430" applyNumberFormat="1" applyFont="1" applyFill="1" applyBorder="1" applyAlignment="1">
      <alignment horizontal="center" vertical="center"/>
    </xf>
    <xf numFmtId="1" fontId="247" fillId="118" borderId="10" xfId="430" applyNumberFormat="1" applyFont="1" applyFill="1" applyBorder="1" applyAlignment="1">
      <alignment horizontal="center" vertical="center"/>
    </xf>
    <xf numFmtId="1" fontId="247" fillId="118" borderId="31" xfId="430" applyNumberFormat="1" applyFont="1" applyFill="1" applyBorder="1" applyAlignment="1">
      <alignment horizontal="center" vertical="center"/>
    </xf>
    <xf numFmtId="1" fontId="247" fillId="118" borderId="22" xfId="430" applyNumberFormat="1" applyFont="1" applyFill="1" applyBorder="1" applyAlignment="1">
      <alignment horizontal="center" vertical="center"/>
    </xf>
    <xf numFmtId="165" fontId="247" fillId="118" borderId="59" xfId="430" applyNumberFormat="1" applyFont="1" applyFill="1" applyBorder="1" applyAlignment="1">
      <alignment horizontal="center" vertical="center"/>
    </xf>
    <xf numFmtId="20" fontId="220" fillId="119" borderId="68" xfId="0" applyNumberFormat="1" applyFont="1" applyFill="1" applyBorder="1" applyAlignment="1">
      <alignment horizontal="center" vertical="center"/>
    </xf>
    <xf numFmtId="1" fontId="247" fillId="119" borderId="106" xfId="430" quotePrefix="1" applyNumberFormat="1" applyFont="1" applyFill="1" applyBorder="1" applyAlignment="1">
      <alignment horizontal="center" vertical="center"/>
    </xf>
    <xf numFmtId="1" fontId="220" fillId="119" borderId="10" xfId="430" applyNumberFormat="1" applyFont="1" applyFill="1" applyBorder="1" applyAlignment="1">
      <alignment horizontal="center" vertical="center"/>
    </xf>
    <xf numFmtId="1" fontId="220" fillId="119" borderId="31" xfId="430" applyNumberFormat="1" applyFont="1" applyFill="1" applyBorder="1" applyAlignment="1">
      <alignment horizontal="center" vertical="center"/>
    </xf>
    <xf numFmtId="1" fontId="247" fillId="119" borderId="31" xfId="430" applyNumberFormat="1" applyFont="1" applyFill="1" applyBorder="1" applyAlignment="1">
      <alignment horizontal="center" vertical="center"/>
    </xf>
    <xf numFmtId="1" fontId="247" fillId="119" borderId="22" xfId="430" applyNumberFormat="1" applyFont="1" applyFill="1" applyBorder="1" applyAlignment="1">
      <alignment horizontal="center" vertical="center"/>
    </xf>
    <xf numFmtId="165" fontId="247" fillId="119" borderId="59" xfId="430" applyNumberFormat="1" applyFont="1" applyFill="1" applyBorder="1" applyAlignment="1">
      <alignment horizontal="center" vertical="center"/>
    </xf>
    <xf numFmtId="20" fontId="220" fillId="120" borderId="68" xfId="0" applyNumberFormat="1" applyFont="1" applyFill="1" applyBorder="1" applyAlignment="1">
      <alignment horizontal="center" vertical="center"/>
    </xf>
    <xf numFmtId="1" fontId="220" fillId="120" borderId="10" xfId="430" applyNumberFormat="1" applyFont="1" applyFill="1" applyBorder="1" applyAlignment="1">
      <alignment horizontal="center" vertical="center"/>
    </xf>
    <xf numFmtId="1" fontId="220" fillId="120" borderId="31" xfId="430" applyNumberFormat="1" applyFont="1" applyFill="1" applyBorder="1" applyAlignment="1">
      <alignment horizontal="center" vertical="center"/>
    </xf>
    <xf numFmtId="1" fontId="247" fillId="120" borderId="31" xfId="430" applyNumberFormat="1" applyFont="1" applyFill="1" applyBorder="1" applyAlignment="1">
      <alignment horizontal="center" vertical="center"/>
    </xf>
    <xf numFmtId="1" fontId="247" fillId="120" borderId="22" xfId="430" applyNumberFormat="1" applyFont="1" applyFill="1" applyBorder="1" applyAlignment="1">
      <alignment horizontal="center" vertical="center"/>
    </xf>
    <xf numFmtId="165" fontId="247" fillId="120" borderId="59" xfId="430" applyNumberFormat="1" applyFont="1" applyFill="1" applyBorder="1" applyAlignment="1">
      <alignment horizontal="center" vertical="center"/>
    </xf>
    <xf numFmtId="1" fontId="247" fillId="120" borderId="106" xfId="430" quotePrefix="1" applyNumberFormat="1" applyFont="1" applyFill="1" applyBorder="1" applyAlignment="1">
      <alignment horizontal="center" vertical="center"/>
    </xf>
    <xf numFmtId="20" fontId="220" fillId="120" borderId="314" xfId="0" quotePrefix="1" applyNumberFormat="1" applyFont="1" applyFill="1" applyBorder="1" applyAlignment="1">
      <alignment horizontal="center" vertical="center"/>
    </xf>
    <xf numFmtId="1" fontId="220" fillId="120" borderId="23" xfId="430" applyNumberFormat="1" applyFont="1" applyFill="1" applyBorder="1" applyAlignment="1">
      <alignment horizontal="center" vertical="center"/>
    </xf>
    <xf numFmtId="1" fontId="247" fillId="120" borderId="43" xfId="430" applyNumberFormat="1" applyFont="1" applyFill="1" applyBorder="1" applyAlignment="1">
      <alignment horizontal="center" vertical="center"/>
    </xf>
    <xf numFmtId="1" fontId="247" fillId="120" borderId="13" xfId="430" applyNumberFormat="1" applyFont="1" applyFill="1" applyBorder="1" applyAlignment="1">
      <alignment horizontal="center" vertical="center"/>
    </xf>
    <xf numFmtId="49" fontId="540" fillId="121" borderId="459" xfId="0" applyNumberFormat="1" applyFont="1" applyFill="1" applyBorder="1" applyAlignment="1">
      <alignment horizontal="center" vertical="center" wrapText="1"/>
    </xf>
    <xf numFmtId="0" fontId="7" fillId="47" borderId="12" xfId="429" applyNumberFormat="1" applyFont="1" applyFill="1" applyBorder="1" applyAlignment="1">
      <alignment vertical="center"/>
    </xf>
    <xf numFmtId="0" fontId="7" fillId="47" borderId="113" xfId="428" applyFont="1" applyFill="1" applyBorder="1" applyAlignment="1">
      <alignment vertical="center"/>
    </xf>
    <xf numFmtId="0" fontId="7" fillId="47" borderId="85" xfId="428" applyFont="1" applyFill="1" applyBorder="1" applyAlignment="1">
      <alignment horizontal="center" vertical="center"/>
    </xf>
    <xf numFmtId="0" fontId="7" fillId="47" borderId="113" xfId="428" applyFont="1" applyFill="1" applyBorder="1" applyAlignment="1">
      <alignment horizontal="center" vertical="center"/>
    </xf>
    <xf numFmtId="1" fontId="7" fillId="47" borderId="85" xfId="428" applyNumberFormat="1" applyFont="1" applyFill="1" applyBorder="1" applyAlignment="1" applyProtection="1">
      <alignment horizontal="center" vertical="center"/>
      <protection locked="0"/>
    </xf>
    <xf numFmtId="1" fontId="7" fillId="47" borderId="111" xfId="428" applyNumberFormat="1" applyFont="1" applyFill="1" applyBorder="1" applyAlignment="1" applyProtection="1">
      <alignment horizontal="center" vertical="center"/>
      <protection locked="0"/>
    </xf>
    <xf numFmtId="0" fontId="209" fillId="47" borderId="0" xfId="0" applyFont="1" applyFill="1" applyBorder="1" applyAlignment="1">
      <alignment vertical="center"/>
    </xf>
    <xf numFmtId="14" fontId="143" fillId="47" borderId="109" xfId="428" applyNumberFormat="1" applyFont="1" applyFill="1" applyBorder="1" applyAlignment="1">
      <alignment horizontal="left" vertical="center"/>
    </xf>
    <xf numFmtId="1" fontId="7" fillId="47" borderId="70" xfId="414" applyNumberFormat="1" applyFont="1" applyFill="1" applyBorder="1" applyAlignment="1" applyProtection="1">
      <alignment horizontal="center" vertical="center"/>
    </xf>
    <xf numFmtId="20" fontId="20" fillId="47" borderId="70" xfId="429" applyNumberFormat="1" applyFont="1" applyFill="1" applyBorder="1" applyAlignment="1">
      <alignment vertical="center"/>
    </xf>
    <xf numFmtId="0" fontId="209" fillId="31" borderId="594" xfId="0" applyFont="1" applyFill="1" applyBorder="1" applyAlignment="1"/>
    <xf numFmtId="20" fontId="209" fillId="31" borderId="618" xfId="428" applyNumberFormat="1" applyFont="1" applyFill="1" applyBorder="1" applyAlignment="1">
      <alignment vertical="top"/>
    </xf>
    <xf numFmtId="0" fontId="209" fillId="0" borderId="308" xfId="0" applyNumberFormat="1" applyFont="1" applyFill="1" applyBorder="1" applyAlignment="1">
      <alignment vertical="center"/>
    </xf>
    <xf numFmtId="2" fontId="544" fillId="0" borderId="46" xfId="428" applyNumberFormat="1" applyFont="1" applyFill="1" applyBorder="1" applyAlignment="1">
      <alignment horizontal="center" vertical="center"/>
    </xf>
    <xf numFmtId="1" fontId="372" fillId="31" borderId="446" xfId="498" applyNumberFormat="1" applyFont="1" applyFill="1" applyBorder="1" applyAlignment="1" applyProtection="1">
      <alignment horizontal="center" vertical="center"/>
      <protection locked="0"/>
    </xf>
    <xf numFmtId="0" fontId="109" fillId="0" borderId="0" xfId="0" applyNumberFormat="1" applyFont="1" applyFill="1" applyBorder="1" applyAlignment="1"/>
    <xf numFmtId="0" fontId="174" fillId="31" borderId="569" xfId="556" applyFont="1" applyFill="1" applyBorder="1" applyAlignment="1" applyProtection="1">
      <alignment horizontal="center" vertical="center"/>
    </xf>
    <xf numFmtId="20" fontId="209" fillId="31" borderId="618" xfId="429" applyNumberFormat="1" applyFont="1" applyFill="1" applyBorder="1" applyAlignment="1">
      <alignment vertical="top"/>
    </xf>
    <xf numFmtId="0" fontId="372" fillId="0" borderId="0" xfId="0" applyNumberFormat="1" applyFont="1"/>
    <xf numFmtId="1" fontId="545" fillId="46" borderId="616" xfId="0" applyNumberFormat="1" applyFont="1" applyFill="1" applyBorder="1" applyAlignment="1" applyProtection="1">
      <alignment horizontal="center" vertical="center"/>
      <protection locked="0"/>
    </xf>
    <xf numFmtId="20" fontId="546" fillId="88" borderId="10" xfId="0" applyNumberFormat="1" applyFont="1" applyFill="1" applyBorder="1" applyAlignment="1">
      <alignment horizontal="center"/>
    </xf>
    <xf numFmtId="0" fontId="547" fillId="0" borderId="0" xfId="0" applyFont="1"/>
    <xf numFmtId="1" fontId="547" fillId="0" borderId="0" xfId="0" applyNumberFormat="1" applyFont="1"/>
    <xf numFmtId="165" fontId="547" fillId="0" borderId="0" xfId="0" applyNumberFormat="1" applyFont="1"/>
    <xf numFmtId="1" fontId="548" fillId="89" borderId="615" xfId="0" applyNumberFormat="1" applyFont="1" applyFill="1" applyBorder="1" applyAlignment="1" applyProtection="1">
      <alignment horizontal="center" vertical="center"/>
      <protection locked="0"/>
    </xf>
    <xf numFmtId="1" fontId="548" fillId="89" borderId="614" xfId="0" applyNumberFormat="1" applyFont="1" applyFill="1" applyBorder="1" applyAlignment="1" applyProtection="1">
      <alignment horizontal="center" vertical="center"/>
      <protection locked="0"/>
    </xf>
    <xf numFmtId="1" fontId="548" fillId="89" borderId="614" xfId="0" applyNumberFormat="1" applyFont="1" applyFill="1" applyBorder="1" applyAlignment="1">
      <alignment horizontal="center" vertical="center"/>
    </xf>
    <xf numFmtId="165" fontId="548" fillId="89" borderId="614" xfId="0" applyNumberFormat="1" applyFont="1" applyFill="1" applyBorder="1" applyAlignment="1">
      <alignment horizontal="center" vertical="center"/>
    </xf>
    <xf numFmtId="1" fontId="548" fillId="42" borderId="614" xfId="0" applyNumberFormat="1" applyFont="1" applyFill="1" applyBorder="1" applyAlignment="1" applyProtection="1">
      <alignment horizontal="center" vertical="center"/>
      <protection locked="0"/>
    </xf>
    <xf numFmtId="0" fontId="548" fillId="89" borderId="614" xfId="0" applyFont="1" applyFill="1" applyBorder="1" applyAlignment="1">
      <alignment horizontal="center" vertical="center"/>
    </xf>
    <xf numFmtId="165" fontId="548" fillId="68" borderId="614" xfId="0" applyNumberFormat="1" applyFont="1" applyFill="1" applyBorder="1" applyAlignment="1">
      <alignment horizontal="center" vertical="center"/>
    </xf>
    <xf numFmtId="1" fontId="548" fillId="68" borderId="614" xfId="0" applyNumberFormat="1" applyFont="1" applyFill="1" applyBorder="1" applyAlignment="1" applyProtection="1">
      <alignment horizontal="center" vertical="center"/>
      <protection locked="0"/>
    </xf>
    <xf numFmtId="1" fontId="548" fillId="68" borderId="614" xfId="0" applyNumberFormat="1" applyFont="1" applyFill="1" applyBorder="1" applyAlignment="1" applyProtection="1">
      <alignment horizontal="center" vertical="center" wrapText="1"/>
      <protection locked="0"/>
    </xf>
    <xf numFmtId="1" fontId="549" fillId="68" borderId="614" xfId="0" applyNumberFormat="1" applyFont="1" applyFill="1" applyBorder="1" applyAlignment="1" applyProtection="1">
      <alignment horizontal="center" vertical="center"/>
      <protection locked="0"/>
    </xf>
    <xf numFmtId="1" fontId="548" fillId="68" borderId="616" xfId="0" applyNumberFormat="1" applyFont="1" applyFill="1" applyBorder="1" applyAlignment="1" applyProtection="1">
      <alignment horizontal="center" vertical="center"/>
      <protection locked="0"/>
    </xf>
    <xf numFmtId="1" fontId="548" fillId="34" borderId="614" xfId="0" applyNumberFormat="1" applyFont="1" applyFill="1" applyBorder="1" applyAlignment="1" applyProtection="1">
      <alignment horizontal="center" vertical="center"/>
      <protection locked="0"/>
    </xf>
    <xf numFmtId="165" fontId="548" fillId="68" borderId="614" xfId="0" applyNumberFormat="1" applyFont="1" applyFill="1" applyBorder="1" applyAlignment="1" applyProtection="1">
      <alignment horizontal="center" vertical="center"/>
      <protection locked="0"/>
    </xf>
    <xf numFmtId="0" fontId="123" fillId="0" borderId="629" xfId="436" applyFont="1" applyFill="1" applyBorder="1" applyAlignment="1" applyProtection="1">
      <alignment horizontal="left" vertical="center"/>
      <protection locked="0"/>
    </xf>
    <xf numFmtId="0" fontId="125" fillId="0" borderId="42" xfId="436" applyFont="1" applyBorder="1" applyAlignment="1" applyProtection="1">
      <alignment vertical="center"/>
      <protection locked="0"/>
    </xf>
    <xf numFmtId="0" fontId="94" fillId="0" borderId="589" xfId="0" applyFont="1" applyBorder="1"/>
    <xf numFmtId="0" fontId="220" fillId="0" borderId="180" xfId="436" applyFont="1" applyBorder="1" applyAlignment="1" applyProtection="1">
      <alignment vertical="center"/>
      <protection locked="0"/>
    </xf>
    <xf numFmtId="0" fontId="123" fillId="0" borderId="301" xfId="0" applyFont="1" applyBorder="1"/>
    <xf numFmtId="0" fontId="123" fillId="0" borderId="301" xfId="0" applyFont="1" applyBorder="1" applyAlignment="1" applyProtection="1">
      <alignment horizontal="left" vertical="center"/>
      <protection locked="0"/>
    </xf>
    <xf numFmtId="0" fontId="123" fillId="0" borderId="18" xfId="0" applyFont="1" applyFill="1" applyBorder="1" applyAlignment="1">
      <alignment vertical="center"/>
    </xf>
    <xf numFmtId="0" fontId="125" fillId="0" borderId="41" xfId="0" applyFont="1" applyBorder="1" applyAlignment="1">
      <alignment vertical="center"/>
    </xf>
    <xf numFmtId="0" fontId="125" fillId="0" borderId="301" xfId="0" applyFont="1" applyBorder="1"/>
    <xf numFmtId="0" fontId="284" fillId="0" borderId="18" xfId="436" applyFont="1" applyBorder="1" applyAlignment="1" applyProtection="1">
      <alignment vertical="center"/>
      <protection locked="0"/>
    </xf>
    <xf numFmtId="0" fontId="113" fillId="0" borderId="301" xfId="0" applyFont="1" applyFill="1" applyBorder="1" applyAlignment="1">
      <alignment vertical="center"/>
    </xf>
    <xf numFmtId="0" fontId="524" fillId="0" borderId="0" xfId="0" applyFont="1" applyAlignment="1">
      <alignment horizontal="left" vertical="top"/>
    </xf>
    <xf numFmtId="0" fontId="430" fillId="0" borderId="0" xfId="0" applyNumberFormat="1" applyFont="1" applyBorder="1" applyAlignment="1">
      <alignment horizontal="center" vertical="center" wrapText="1"/>
    </xf>
    <xf numFmtId="0" fontId="113" fillId="0" borderId="76" xfId="0" applyFont="1" applyBorder="1" applyAlignment="1">
      <alignment vertical="center"/>
    </xf>
    <xf numFmtId="0" fontId="113" fillId="0" borderId="48" xfId="0" applyFont="1" applyBorder="1"/>
    <xf numFmtId="0" fontId="113" fillId="0" borderId="48" xfId="0" applyFont="1" applyBorder="1" applyAlignment="1">
      <alignment vertical="center"/>
    </xf>
    <xf numFmtId="0" fontId="113" fillId="0" borderId="48" xfId="0" applyFont="1" applyBorder="1" applyAlignment="1"/>
    <xf numFmtId="0" fontId="284" fillId="0" borderId="48" xfId="0" applyFont="1" applyBorder="1" applyAlignment="1">
      <alignment vertical="center"/>
    </xf>
    <xf numFmtId="0" fontId="370" fillId="0" borderId="48" xfId="0" applyFont="1" applyBorder="1" applyAlignment="1">
      <alignment vertical="center"/>
    </xf>
    <xf numFmtId="0" fontId="487" fillId="0" borderId="48" xfId="0" applyFont="1" applyBorder="1" applyAlignment="1">
      <alignment vertical="center"/>
    </xf>
    <xf numFmtId="0" fontId="487" fillId="0" borderId="48" xfId="0" applyFont="1" applyBorder="1"/>
    <xf numFmtId="0" fontId="475" fillId="0" borderId="13" xfId="0" applyFont="1" applyBorder="1" applyAlignment="1">
      <alignment horizontal="center"/>
    </xf>
    <xf numFmtId="0" fontId="84" fillId="0" borderId="13" xfId="0" applyFont="1" applyBorder="1" applyAlignment="1">
      <alignment vertical="top"/>
    </xf>
    <xf numFmtId="0" fontId="84" fillId="0" borderId="32" xfId="0" applyFont="1" applyBorder="1" applyAlignment="1"/>
    <xf numFmtId="165" fontId="50" fillId="82" borderId="617" xfId="0" applyNumberFormat="1" applyFont="1" applyFill="1" applyBorder="1" applyAlignment="1" applyProtection="1">
      <alignment horizontal="center" vertical="center"/>
      <protection locked="0"/>
    </xf>
    <xf numFmtId="0" fontId="113" fillId="0" borderId="351" xfId="0" applyFont="1" applyBorder="1"/>
    <xf numFmtId="1" fontId="372" fillId="31" borderId="567" xfId="0" applyNumberFormat="1" applyFont="1" applyFill="1" applyBorder="1" applyAlignment="1" applyProtection="1">
      <alignment horizontal="center"/>
      <protection locked="0"/>
    </xf>
    <xf numFmtId="0" fontId="550" fillId="34" borderId="630" xfId="0" applyFont="1" applyFill="1" applyBorder="1" applyAlignment="1">
      <alignment wrapText="1"/>
    </xf>
    <xf numFmtId="0" fontId="182" fillId="102" borderId="569" xfId="0" applyFont="1" applyFill="1" applyBorder="1" applyAlignment="1">
      <alignment wrapText="1"/>
    </xf>
    <xf numFmtId="0" fontId="182" fillId="122" borderId="569" xfId="0" applyFont="1" applyFill="1" applyBorder="1" applyAlignment="1">
      <alignment wrapText="1"/>
    </xf>
    <xf numFmtId="0" fontId="551" fillId="34" borderId="569" xfId="0" applyFont="1" applyFill="1" applyBorder="1" applyAlignment="1">
      <alignment wrapText="1"/>
    </xf>
    <xf numFmtId="0" fontId="420" fillId="34" borderId="569" xfId="0" applyFont="1" applyFill="1" applyBorder="1" applyAlignment="1">
      <alignment wrapText="1"/>
    </xf>
    <xf numFmtId="0" fontId="513" fillId="102" borderId="569" xfId="0" applyFont="1" applyFill="1" applyBorder="1" applyAlignment="1">
      <alignment wrapText="1"/>
    </xf>
    <xf numFmtId="0" fontId="182" fillId="102" borderId="631" xfId="0" applyFont="1" applyFill="1" applyBorder="1" applyAlignment="1">
      <alignment wrapText="1"/>
    </xf>
    <xf numFmtId="0" fontId="182" fillId="115" borderId="632" xfId="0" applyFont="1" applyFill="1" applyBorder="1" applyAlignment="1">
      <alignment wrapText="1"/>
    </xf>
    <xf numFmtId="0" fontId="550" fillId="34" borderId="633" xfId="0" applyFont="1" applyFill="1" applyBorder="1" applyAlignment="1">
      <alignment wrapText="1"/>
    </xf>
    <xf numFmtId="0" fontId="182" fillId="122" borderId="633" xfId="0" applyFont="1" applyFill="1" applyBorder="1" applyAlignment="1">
      <alignment wrapText="1"/>
    </xf>
    <xf numFmtId="0" fontId="182" fillId="102" borderId="633" xfId="0" applyFont="1" applyFill="1" applyBorder="1" applyAlignment="1">
      <alignment wrapText="1"/>
    </xf>
    <xf numFmtId="0" fontId="130" fillId="102" borderId="633" xfId="0" applyFont="1" applyFill="1" applyBorder="1" applyAlignment="1">
      <alignment wrapText="1"/>
    </xf>
    <xf numFmtId="0" fontId="420" fillId="34" borderId="633" xfId="0" applyFont="1" applyFill="1" applyBorder="1" applyAlignment="1">
      <alignment wrapText="1"/>
    </xf>
    <xf numFmtId="0" fontId="181" fillId="34" borderId="633" xfId="0" applyFont="1" applyFill="1" applyBorder="1" applyAlignment="1">
      <alignment wrapText="1"/>
    </xf>
    <xf numFmtId="0" fontId="181" fillId="34" borderId="634" xfId="0" applyFont="1" applyFill="1" applyBorder="1" applyAlignment="1">
      <alignment wrapText="1"/>
    </xf>
    <xf numFmtId="0" fontId="182" fillId="122" borderId="634" xfId="0" applyFont="1" applyFill="1" applyBorder="1" applyAlignment="1">
      <alignment wrapText="1"/>
    </xf>
    <xf numFmtId="0" fontId="182" fillId="102" borderId="634" xfId="0" applyFont="1" applyFill="1" applyBorder="1" applyAlignment="1">
      <alignment wrapText="1"/>
    </xf>
    <xf numFmtId="0" fontId="174" fillId="104" borderId="635" xfId="556" applyFont="1" applyFill="1" applyBorder="1" applyAlignment="1">
      <alignment horizontal="center" vertical="center"/>
    </xf>
    <xf numFmtId="190" fontId="375" fillId="108" borderId="635" xfId="556" applyNumberFormat="1" applyFont="1" applyFill="1" applyBorder="1" applyAlignment="1">
      <alignment horizontal="center" vertical="center"/>
    </xf>
    <xf numFmtId="190" fontId="375" fillId="104" borderId="635" xfId="556" applyNumberFormat="1" applyFont="1" applyFill="1" applyBorder="1" applyAlignment="1">
      <alignment horizontal="center" vertical="center"/>
    </xf>
    <xf numFmtId="0" fontId="552" fillId="0" borderId="13" xfId="0" applyFont="1" applyBorder="1" applyAlignment="1">
      <alignment vertical="center"/>
    </xf>
    <xf numFmtId="0" fontId="553" fillId="0" borderId="0" xfId="0" applyFont="1" applyBorder="1" applyAlignment="1"/>
    <xf numFmtId="0" fontId="553" fillId="0" borderId="0" xfId="0" applyFont="1" applyBorder="1" applyAlignment="1">
      <alignment vertical="center"/>
    </xf>
    <xf numFmtId="0" fontId="113" fillId="0" borderId="13" xfId="0" applyFont="1" applyFill="1" applyBorder="1" applyAlignment="1">
      <alignment vertical="center"/>
    </xf>
    <xf numFmtId="0" fontId="552" fillId="0" borderId="13" xfId="0" applyFont="1" applyBorder="1"/>
    <xf numFmtId="2" fontId="35" fillId="34" borderId="589" xfId="0" applyNumberFormat="1" applyFont="1" applyFill="1" applyBorder="1" applyAlignment="1">
      <alignment horizontal="center" vertical="center"/>
    </xf>
    <xf numFmtId="1" fontId="290" fillId="71" borderId="636" xfId="0" applyNumberFormat="1" applyFont="1" applyFill="1" applyBorder="1" applyAlignment="1">
      <alignment horizontal="center" vertical="center"/>
    </xf>
    <xf numFmtId="2" fontId="35" fillId="0" borderId="589" xfId="0" applyNumberFormat="1" applyFont="1" applyFill="1" applyBorder="1" applyAlignment="1">
      <alignment horizontal="left" vertical="center"/>
    </xf>
    <xf numFmtId="1" fontId="548" fillId="89" borderId="500" xfId="0" applyNumberFormat="1" applyFont="1" applyFill="1" applyBorder="1" applyAlignment="1">
      <alignment horizontal="center" vertical="center"/>
    </xf>
    <xf numFmtId="1" fontId="204" fillId="71" borderId="500" xfId="0" applyNumberFormat="1" applyFont="1" applyFill="1" applyBorder="1" applyAlignment="1">
      <alignment horizontal="center" vertical="center"/>
    </xf>
    <xf numFmtId="0" fontId="49" fillId="0" borderId="316" xfId="428" applyFont="1" applyFill="1" applyBorder="1" applyAlignment="1">
      <alignment horizontal="center" vertical="center"/>
    </xf>
    <xf numFmtId="0" fontId="49" fillId="0" borderId="340" xfId="428" applyFont="1" applyFill="1" applyBorder="1" applyAlignment="1">
      <alignment horizontal="center" vertical="center"/>
    </xf>
    <xf numFmtId="1" fontId="7" fillId="0" borderId="637" xfId="428" applyNumberFormat="1" applyFont="1" applyFill="1" applyBorder="1" applyAlignment="1">
      <alignment horizontal="center" vertical="center"/>
    </xf>
    <xf numFmtId="1" fontId="7" fillId="0" borderId="74" xfId="428" applyNumberFormat="1" applyFont="1" applyFill="1" applyBorder="1" applyAlignment="1">
      <alignment horizontal="center" vertical="center"/>
    </xf>
    <xf numFmtId="173" fontId="7" fillId="0" borderId="74" xfId="429" applyNumberFormat="1" applyFont="1" applyFill="1" applyBorder="1" applyAlignment="1">
      <alignment horizontal="left" vertical="center"/>
    </xf>
    <xf numFmtId="1" fontId="7" fillId="0" borderId="74" xfId="429" applyNumberFormat="1" applyFont="1" applyFill="1" applyBorder="1" applyAlignment="1" applyProtection="1">
      <alignment horizontal="center" vertical="center"/>
    </xf>
    <xf numFmtId="14" fontId="20" fillId="0" borderId="74" xfId="429" applyNumberFormat="1" applyFont="1" applyFill="1" applyBorder="1" applyAlignment="1">
      <alignment horizontal="left" vertical="center"/>
    </xf>
    <xf numFmtId="173" fontId="7" fillId="0" borderId="637" xfId="429" applyNumberFormat="1" applyFont="1" applyFill="1" applyBorder="1" applyAlignment="1">
      <alignment vertical="center"/>
    </xf>
    <xf numFmtId="0" fontId="7" fillId="0" borderId="637" xfId="428" applyFont="1" applyFill="1" applyBorder="1" applyAlignment="1">
      <alignment vertical="center"/>
    </xf>
    <xf numFmtId="0" fontId="7" fillId="0" borderId="637" xfId="428" applyFont="1" applyFill="1" applyBorder="1" applyAlignment="1">
      <alignment horizontal="center" vertical="center"/>
    </xf>
    <xf numFmtId="0" fontId="7" fillId="0" borderId="637" xfId="0" applyFont="1" applyFill="1" applyBorder="1" applyAlignment="1">
      <alignment horizontal="center" vertical="center"/>
    </xf>
    <xf numFmtId="1" fontId="7" fillId="0" borderId="637" xfId="428" applyNumberFormat="1" applyFont="1" applyFill="1" applyBorder="1" applyAlignment="1" applyProtection="1">
      <alignment horizontal="center" vertical="center"/>
      <protection locked="0"/>
    </xf>
    <xf numFmtId="1" fontId="7" fillId="0" borderId="637" xfId="432" applyNumberFormat="1" applyFont="1" applyFill="1" applyBorder="1" applyAlignment="1" applyProtection="1">
      <alignment horizontal="center"/>
      <protection locked="0"/>
    </xf>
    <xf numFmtId="0" fontId="209" fillId="31" borderId="594" xfId="0" applyFont="1" applyFill="1" applyBorder="1"/>
    <xf numFmtId="20" fontId="143" fillId="0" borderId="638" xfId="428" applyNumberFormat="1" applyFont="1" applyFill="1" applyBorder="1" applyAlignment="1">
      <alignment vertical="center"/>
    </xf>
    <xf numFmtId="14" fontId="142" fillId="0" borderId="637" xfId="428" applyNumberFormat="1" applyFont="1" applyFill="1" applyBorder="1" applyAlignment="1">
      <alignment horizontal="left" vertical="center"/>
    </xf>
    <xf numFmtId="0" fontId="7" fillId="0" borderId="74" xfId="428" applyFont="1" applyFill="1" applyBorder="1" applyAlignment="1">
      <alignment vertical="center"/>
    </xf>
    <xf numFmtId="0" fontId="7" fillId="0" borderId="74" xfId="428" applyFont="1" applyFill="1" applyBorder="1" applyAlignment="1">
      <alignment horizontal="center" vertical="center"/>
    </xf>
    <xf numFmtId="0" fontId="7" fillId="0" borderId="74" xfId="0" applyFont="1" applyFill="1" applyBorder="1" applyAlignment="1">
      <alignment horizontal="center" vertical="center"/>
    </xf>
    <xf numFmtId="14" fontId="142" fillId="0" borderId="74" xfId="428" applyNumberFormat="1" applyFont="1" applyFill="1" applyBorder="1" applyAlignment="1">
      <alignment horizontal="left" vertical="center"/>
    </xf>
    <xf numFmtId="20" fontId="143" fillId="0" borderId="579" xfId="428" applyNumberFormat="1" applyFont="1" applyFill="1" applyBorder="1" applyAlignment="1">
      <alignment vertical="center"/>
    </xf>
    <xf numFmtId="0" fontId="209" fillId="31" borderId="89" xfId="0" applyFont="1" applyFill="1" applyBorder="1"/>
    <xf numFmtId="0" fontId="529" fillId="0" borderId="625" xfId="0" applyNumberFormat="1" applyFont="1" applyBorder="1" applyAlignment="1">
      <alignment horizontal="center"/>
    </xf>
    <xf numFmtId="0" fontId="556" fillId="0" borderId="625" xfId="0" applyFont="1" applyBorder="1" applyAlignment="1">
      <alignment horizontal="center"/>
    </xf>
    <xf numFmtId="0" fontId="109" fillId="0" borderId="0" xfId="0" applyFont="1" applyBorder="1" applyAlignment="1"/>
    <xf numFmtId="0" fontId="555" fillId="122" borderId="569" xfId="0" applyFont="1" applyFill="1" applyBorder="1" applyAlignment="1">
      <alignment horizontal="center" wrapText="1"/>
    </xf>
    <xf numFmtId="20" fontId="555" fillId="122" borderId="639" xfId="0" applyNumberFormat="1" applyFont="1" applyFill="1" applyBorder="1" applyAlignment="1">
      <alignment horizontal="center" wrapText="1"/>
    </xf>
    <xf numFmtId="0" fontId="555" fillId="122" borderId="639" xfId="0" applyFont="1" applyFill="1" applyBorder="1" applyAlignment="1">
      <alignment horizontal="center" wrapText="1"/>
    </xf>
    <xf numFmtId="0" fontId="78" fillId="0" borderId="0" xfId="430" applyFont="1"/>
    <xf numFmtId="1" fontId="554" fillId="68" borderId="500" xfId="0" applyNumberFormat="1" applyFont="1" applyFill="1" applyBorder="1" applyAlignment="1" applyProtection="1">
      <alignment horizontal="center" vertical="center"/>
      <protection locked="0"/>
    </xf>
    <xf numFmtId="1" fontId="557" fillId="35" borderId="62" xfId="0" applyNumberFormat="1" applyFont="1" applyFill="1" applyBorder="1" applyAlignment="1">
      <alignment horizontal="center" vertical="center"/>
    </xf>
    <xf numFmtId="0" fontId="7" fillId="0" borderId="640" xfId="428" applyFont="1" applyFill="1" applyBorder="1" applyAlignment="1">
      <alignment horizontal="center" vertical="center"/>
    </xf>
    <xf numFmtId="0" fontId="384" fillId="0" borderId="0" xfId="436" applyFont="1" applyBorder="1" applyAlignment="1">
      <alignment vertical="center"/>
    </xf>
    <xf numFmtId="0" fontId="384" fillId="0" borderId="0" xfId="0" applyFont="1" applyBorder="1" applyAlignment="1">
      <alignment vertical="center"/>
    </xf>
    <xf numFmtId="0" fontId="452" fillId="0" borderId="0" xfId="0" applyFont="1" applyBorder="1" applyAlignment="1" applyProtection="1">
      <alignment horizontal="center" vertical="top"/>
      <protection locked="0"/>
    </xf>
    <xf numFmtId="0" fontId="452" fillId="0" borderId="0" xfId="0" applyFont="1" applyBorder="1" applyAlignment="1">
      <alignment horizontal="center" vertical="top"/>
    </xf>
    <xf numFmtId="0" fontId="370" fillId="0" borderId="0" xfId="0" applyFont="1" applyBorder="1" applyAlignment="1">
      <alignment vertical="center"/>
    </xf>
    <xf numFmtId="0" fontId="370" fillId="0" borderId="0" xfId="0" applyFont="1"/>
    <xf numFmtId="0" fontId="560" fillId="0" borderId="0" xfId="0" applyFont="1" applyBorder="1" applyAlignment="1">
      <alignment horizontal="left" vertical="top"/>
    </xf>
    <xf numFmtId="0" fontId="560" fillId="0" borderId="0" xfId="0" applyFont="1" applyBorder="1" applyAlignment="1"/>
    <xf numFmtId="0" fontId="370" fillId="0" borderId="0" xfId="0" applyFont="1" applyAlignment="1">
      <alignment vertical="center"/>
    </xf>
    <xf numFmtId="0" fontId="561" fillId="0" borderId="0" xfId="0" applyFont="1" applyBorder="1" applyAlignment="1">
      <alignment vertical="center"/>
    </xf>
    <xf numFmtId="0" fontId="370" fillId="0" borderId="273" xfId="0" applyFont="1" applyBorder="1" applyAlignment="1">
      <alignment vertical="center"/>
    </xf>
    <xf numFmtId="0" fontId="561" fillId="0" borderId="0" xfId="0" applyFont="1" applyBorder="1" applyAlignment="1">
      <alignment horizontal="left" vertical="center"/>
    </xf>
    <xf numFmtId="0" fontId="370" fillId="0" borderId="0" xfId="0" applyFont="1" applyBorder="1" applyAlignment="1">
      <alignment horizontal="left" vertical="center"/>
    </xf>
    <xf numFmtId="0" fontId="452" fillId="0" borderId="0" xfId="0" applyFont="1" applyBorder="1" applyAlignment="1">
      <alignment horizontal="center"/>
    </xf>
    <xf numFmtId="0" fontId="452" fillId="0" borderId="0" xfId="0" applyFont="1" applyAlignment="1">
      <alignment horizontal="center"/>
    </xf>
    <xf numFmtId="0" fontId="452" fillId="0" borderId="0" xfId="0" applyFont="1" applyBorder="1" applyAlignment="1" applyProtection="1">
      <alignment horizontal="center"/>
      <protection locked="0"/>
    </xf>
    <xf numFmtId="0" fontId="452" fillId="0" borderId="0" xfId="0" applyFont="1" applyAlignment="1" applyProtection="1">
      <alignment horizontal="center"/>
      <protection locked="0"/>
    </xf>
    <xf numFmtId="0" fontId="561" fillId="0" borderId="0" xfId="0" applyFont="1" applyBorder="1" applyAlignment="1"/>
    <xf numFmtId="0" fontId="370" fillId="0" borderId="0" xfId="0" applyFont="1" applyBorder="1" applyAlignment="1"/>
    <xf numFmtId="0" fontId="562" fillId="0" borderId="0" xfId="0" applyFont="1" applyBorder="1" applyAlignment="1"/>
    <xf numFmtId="0" fontId="457" fillId="0" borderId="0" xfId="0" applyFont="1" applyBorder="1" applyAlignment="1">
      <alignment horizontal="center" vertical="top"/>
    </xf>
    <xf numFmtId="0" fontId="563" fillId="0" borderId="0" xfId="0" applyFont="1" applyBorder="1" applyAlignment="1">
      <alignment vertical="center"/>
    </xf>
    <xf numFmtId="173" fontId="7" fillId="0" borderId="644" xfId="414" applyNumberFormat="1" applyFont="1" applyFill="1" applyBorder="1" applyAlignment="1">
      <alignment vertical="center"/>
    </xf>
    <xf numFmtId="0" fontId="414" fillId="0" borderId="644" xfId="0" applyFont="1" applyFill="1" applyBorder="1" applyAlignment="1"/>
    <xf numFmtId="0" fontId="7" fillId="0" borderId="594" xfId="0" applyFont="1" applyFill="1" applyBorder="1" applyAlignment="1">
      <alignment horizontal="center" vertical="center"/>
    </xf>
    <xf numFmtId="0" fontId="7" fillId="0" borderId="637" xfId="428" applyNumberFormat="1" applyFont="1" applyFill="1" applyBorder="1" applyAlignment="1">
      <alignment horizontal="center" vertical="center"/>
    </xf>
    <xf numFmtId="0" fontId="7" fillId="0" borderId="644" xfId="428" applyFont="1" applyFill="1" applyBorder="1" applyAlignment="1">
      <alignment horizontal="center" vertical="center"/>
    </xf>
    <xf numFmtId="1" fontId="7" fillId="0" borderId="644" xfId="428" applyNumberFormat="1" applyFont="1" applyFill="1" applyBorder="1" applyAlignment="1" applyProtection="1">
      <alignment horizontal="center" vertical="center"/>
      <protection locked="0"/>
    </xf>
    <xf numFmtId="1" fontId="7" fillId="0" borderId="638" xfId="432" applyNumberFormat="1" applyFont="1" applyFill="1" applyBorder="1" applyAlignment="1" applyProtection="1">
      <alignment horizontal="center"/>
      <protection locked="0"/>
    </xf>
    <xf numFmtId="20" fontId="209" fillId="31" borderId="644" xfId="428" applyNumberFormat="1" applyFont="1" applyFill="1" applyBorder="1" applyAlignment="1">
      <alignment vertical="top"/>
    </xf>
    <xf numFmtId="14" fontId="142" fillId="0" borderId="638" xfId="428" applyNumberFormat="1" applyFont="1" applyFill="1" applyBorder="1" applyAlignment="1">
      <alignment horizontal="left" vertical="center"/>
    </xf>
    <xf numFmtId="173" fontId="7" fillId="0" borderId="637" xfId="414" applyNumberFormat="1" applyFont="1" applyFill="1" applyBorder="1" applyAlignment="1">
      <alignment vertical="center"/>
    </xf>
    <xf numFmtId="0" fontId="414" fillId="0" borderId="637" xfId="0" applyFont="1" applyFill="1" applyBorder="1" applyAlignment="1"/>
    <xf numFmtId="20" fontId="143" fillId="0" borderId="645" xfId="428" applyNumberFormat="1" applyFont="1" applyFill="1" applyBorder="1" applyAlignment="1">
      <alignment vertical="center"/>
    </xf>
    <xf numFmtId="165" fontId="50" fillId="82" borderId="647" xfId="0" applyNumberFormat="1" applyFont="1" applyFill="1" applyBorder="1" applyAlignment="1" applyProtection="1">
      <alignment horizontal="center" vertical="center"/>
      <protection locked="0"/>
    </xf>
    <xf numFmtId="20" fontId="213" fillId="26" borderId="608" xfId="0" applyNumberFormat="1" applyFont="1" applyFill="1" applyBorder="1" applyAlignment="1">
      <alignment horizontal="center" vertical="center"/>
    </xf>
    <xf numFmtId="165" fontId="554" fillId="72" borderId="614" xfId="0" applyNumberFormat="1" applyFont="1" applyFill="1" applyBorder="1" applyAlignment="1">
      <alignment horizontal="center" vertical="center"/>
    </xf>
    <xf numFmtId="0" fontId="299" fillId="0" borderId="648" xfId="0" applyFont="1" applyFill="1" applyBorder="1" applyAlignment="1">
      <alignment horizontal="center" vertical="top"/>
    </xf>
    <xf numFmtId="0" fontId="555" fillId="102" borderId="569" xfId="0" applyFont="1" applyFill="1" applyBorder="1" applyAlignment="1">
      <alignment vertical="top" wrapText="1"/>
    </xf>
    <xf numFmtId="0" fontId="564" fillId="104" borderId="569" xfId="0" applyFont="1" applyFill="1" applyBorder="1" applyAlignment="1">
      <alignment horizontal="center"/>
    </xf>
    <xf numFmtId="20" fontId="565" fillId="31" borderId="569" xfId="0" applyNumberFormat="1" applyFont="1" applyFill="1" applyBorder="1" applyAlignment="1" applyProtection="1">
      <alignment horizontal="center"/>
      <protection locked="0"/>
    </xf>
    <xf numFmtId="0" fontId="564" fillId="0" borderId="569" xfId="0" applyFont="1" applyBorder="1" applyAlignment="1">
      <alignment horizontal="center"/>
    </xf>
    <xf numFmtId="20" fontId="565" fillId="104" borderId="569" xfId="0" applyNumberFormat="1" applyFont="1" applyFill="1" applyBorder="1" applyAlignment="1">
      <alignment horizontal="center"/>
    </xf>
    <xf numFmtId="0" fontId="555" fillId="102" borderId="631" xfId="0" applyFont="1" applyFill="1" applyBorder="1" applyAlignment="1">
      <alignment vertical="top" wrapText="1"/>
    </xf>
    <xf numFmtId="0" fontId="564" fillId="0" borderId="604" xfId="0" applyFont="1" applyBorder="1" applyAlignment="1">
      <alignment horizontal="center" vertical="center"/>
    </xf>
    <xf numFmtId="0" fontId="566" fillId="0" borderId="0" xfId="0" applyFont="1" applyFill="1" applyBorder="1" applyAlignment="1">
      <alignment horizontal="center" vertical="center" wrapText="1"/>
    </xf>
    <xf numFmtId="20" fontId="566" fillId="0" borderId="0" xfId="0" applyNumberFormat="1" applyFont="1" applyFill="1" applyBorder="1" applyAlignment="1">
      <alignment horizontal="center" vertical="center" wrapText="1"/>
    </xf>
    <xf numFmtId="0" fontId="571" fillId="0" borderId="0" xfId="0" applyFont="1" applyFill="1" applyBorder="1" applyAlignment="1">
      <alignment horizontal="center" wrapText="1"/>
    </xf>
    <xf numFmtId="0" fontId="559" fillId="0" borderId="0" xfId="0" applyFont="1" applyFill="1" applyBorder="1" applyAlignment="1">
      <alignment horizontal="center" wrapText="1"/>
    </xf>
    <xf numFmtId="0" fontId="567" fillId="0" borderId="0" xfId="0" applyFont="1" applyFill="1" applyBorder="1"/>
    <xf numFmtId="0" fontId="568" fillId="0" borderId="0" xfId="0" applyFont="1" applyFill="1" applyBorder="1" applyAlignment="1">
      <alignment wrapText="1"/>
    </xf>
    <xf numFmtId="0" fontId="569" fillId="0" borderId="0" xfId="0" applyFont="1" applyFill="1" applyBorder="1" applyAlignment="1">
      <alignment horizontal="center" wrapText="1"/>
    </xf>
    <xf numFmtId="0" fontId="570" fillId="0" borderId="0" xfId="0" applyFont="1" applyFill="1" applyBorder="1" applyAlignment="1">
      <alignment horizontal="center" wrapText="1"/>
    </xf>
    <xf numFmtId="0" fontId="568" fillId="0" borderId="0" xfId="0" applyFont="1" applyFill="1" applyBorder="1" applyAlignment="1">
      <alignment horizontal="right" wrapText="1"/>
    </xf>
    <xf numFmtId="0" fontId="567" fillId="0" borderId="0" xfId="0" applyFont="1" applyFill="1" applyBorder="1" applyAlignment="1">
      <alignment horizontal="center" wrapText="1"/>
    </xf>
    <xf numFmtId="185" fontId="109" fillId="0" borderId="0" xfId="0" applyNumberFormat="1" applyFont="1" applyAlignment="1">
      <alignment vertical="center"/>
    </xf>
    <xf numFmtId="0" fontId="572" fillId="0" borderId="13" xfId="0" applyFont="1" applyBorder="1"/>
    <xf numFmtId="0" fontId="572" fillId="0" borderId="13" xfId="0" applyFont="1" applyBorder="1" applyAlignment="1"/>
    <xf numFmtId="0" fontId="455" fillId="0" borderId="0" xfId="0" applyFont="1" applyBorder="1" applyAlignment="1">
      <alignment vertical="center"/>
    </xf>
    <xf numFmtId="0" fontId="573" fillId="0" borderId="0" xfId="0" applyFont="1" applyBorder="1" applyAlignment="1"/>
    <xf numFmtId="0" fontId="174" fillId="104" borderId="649" xfId="556" applyFont="1" applyFill="1" applyBorder="1" applyAlignment="1">
      <alignment horizontal="center" vertical="center"/>
    </xf>
    <xf numFmtId="20" fontId="565" fillId="107" borderId="650" xfId="0" applyNumberFormat="1" applyFont="1" applyFill="1" applyBorder="1" applyAlignment="1">
      <alignment horizontal="center" vertical="center"/>
    </xf>
    <xf numFmtId="0" fontId="564" fillId="108" borderId="650" xfId="0" applyFont="1" applyFill="1" applyBorder="1" applyAlignment="1">
      <alignment horizontal="center" vertical="center"/>
    </xf>
    <xf numFmtId="20" fontId="565" fillId="0" borderId="650" xfId="0" applyNumberFormat="1" applyFont="1" applyBorder="1" applyAlignment="1">
      <alignment horizontal="center"/>
    </xf>
    <xf numFmtId="0" fontId="109" fillId="0" borderId="651" xfId="0" applyFont="1" applyFill="1" applyBorder="1" applyAlignment="1">
      <alignment horizontal="center" vertical="center"/>
    </xf>
    <xf numFmtId="0" fontId="94" fillId="0" borderId="273" xfId="0" applyFont="1" applyBorder="1"/>
    <xf numFmtId="0" fontId="94" fillId="0" borderId="652" xfId="0" applyFont="1" applyBorder="1"/>
    <xf numFmtId="0" fontId="0" fillId="0" borderId="0" xfId="0" applyFont="1" applyBorder="1"/>
    <xf numFmtId="1" fontId="290" fillId="79" borderId="653" xfId="0" applyNumberFormat="1" applyFont="1" applyFill="1" applyBorder="1" applyAlignment="1" applyProtection="1">
      <alignment horizontal="center" vertical="center"/>
      <protection locked="0"/>
    </xf>
    <xf numFmtId="166" fontId="290" fillId="79" borderId="653" xfId="271" applyNumberFormat="1" applyFont="1" applyFill="1" applyBorder="1" applyAlignment="1">
      <alignment horizontal="center" vertical="center"/>
    </xf>
    <xf numFmtId="1" fontId="290" fillId="78" borderId="653" xfId="0" applyNumberFormat="1" applyFont="1" applyFill="1" applyBorder="1" applyAlignment="1" applyProtection="1">
      <alignment horizontal="center" vertical="center"/>
      <protection locked="0"/>
    </xf>
    <xf numFmtId="1" fontId="204" fillId="39" borderId="653" xfId="0" applyNumberFormat="1" applyFont="1" applyFill="1" applyBorder="1" applyAlignment="1" applyProtection="1">
      <alignment horizontal="center" vertical="center"/>
      <protection locked="0"/>
    </xf>
    <xf numFmtId="1" fontId="204" fillId="39" borderId="654" xfId="0" applyNumberFormat="1" applyFont="1" applyFill="1" applyBorder="1" applyAlignment="1" applyProtection="1">
      <alignment horizontal="center" vertical="center"/>
      <protection locked="0"/>
    </xf>
    <xf numFmtId="14" fontId="142" fillId="0" borderId="48" xfId="428" applyNumberFormat="1" applyFont="1" applyFill="1" applyBorder="1" applyAlignment="1">
      <alignment horizontal="left" vertical="center"/>
    </xf>
    <xf numFmtId="20" fontId="20" fillId="0" borderId="70" xfId="0" applyNumberFormat="1" applyFont="1" applyBorder="1" applyAlignment="1">
      <alignment vertical="center"/>
    </xf>
    <xf numFmtId="173" fontId="92" fillId="0" borderId="0" xfId="414" applyNumberFormat="1" applyFont="1" applyAlignment="1">
      <alignment vertical="center"/>
    </xf>
    <xf numFmtId="0" fontId="92" fillId="0" borderId="0" xfId="414" applyNumberFormat="1" applyFont="1" applyBorder="1" applyAlignment="1">
      <alignment horizontal="center" vertical="center"/>
    </xf>
    <xf numFmtId="173" fontId="92" fillId="0" borderId="0" xfId="414" applyNumberFormat="1" applyFont="1" applyFill="1" applyBorder="1" applyAlignment="1">
      <alignment vertical="center"/>
    </xf>
    <xf numFmtId="1" fontId="7" fillId="0" borderId="640" xfId="428" applyNumberFormat="1" applyFont="1" applyFill="1" applyBorder="1" applyAlignment="1">
      <alignment horizontal="center" vertical="center"/>
    </xf>
    <xf numFmtId="1" fontId="7" fillId="0" borderId="76" xfId="428" applyNumberFormat="1" applyFont="1" applyFill="1" applyBorder="1" applyAlignment="1" applyProtection="1">
      <alignment horizontal="center" vertical="center"/>
      <protection locked="0"/>
    </xf>
    <xf numFmtId="0" fontId="7" fillId="0" borderId="594" xfId="428" applyFont="1" applyFill="1" applyBorder="1" applyAlignment="1">
      <alignment horizontal="center" vertical="center"/>
    </xf>
    <xf numFmtId="0" fontId="209" fillId="31" borderId="644" xfId="0" applyNumberFormat="1" applyFont="1" applyFill="1" applyBorder="1" applyAlignment="1">
      <alignment horizontal="left"/>
    </xf>
    <xf numFmtId="0" fontId="49" fillId="0" borderId="655" xfId="428" applyFont="1" applyFill="1" applyBorder="1" applyAlignment="1">
      <alignment horizontal="center" vertical="center"/>
    </xf>
    <xf numFmtId="0" fontId="49" fillId="0" borderId="640" xfId="436" applyFont="1" applyFill="1" applyBorder="1" applyAlignment="1">
      <alignment horizontal="center" vertical="center"/>
    </xf>
    <xf numFmtId="1" fontId="49" fillId="0" borderId="640" xfId="428" applyNumberFormat="1" applyFont="1" applyFill="1" applyBorder="1" applyAlignment="1">
      <alignment horizontal="center" vertical="center"/>
    </xf>
    <xf numFmtId="1" fontId="49" fillId="0" borderId="640" xfId="428" applyNumberFormat="1" applyFont="1" applyFill="1" applyBorder="1" applyAlignment="1" applyProtection="1">
      <alignment horizontal="center" vertical="center"/>
      <protection locked="0"/>
    </xf>
    <xf numFmtId="0" fontId="49" fillId="0" borderId="640" xfId="423" applyNumberFormat="1" applyFont="1" applyBorder="1"/>
    <xf numFmtId="0" fontId="49" fillId="0" borderId="640" xfId="428" applyFont="1" applyFill="1" applyBorder="1" applyAlignment="1">
      <alignment horizontal="center" vertical="center"/>
    </xf>
    <xf numFmtId="0" fontId="49" fillId="0" borderId="640" xfId="429" applyNumberFormat="1" applyFont="1" applyFill="1" applyBorder="1" applyAlignment="1">
      <alignment vertical="center"/>
    </xf>
    <xf numFmtId="0" fontId="49" fillId="0" borderId="640" xfId="428" applyFont="1" applyFill="1" applyBorder="1" applyAlignment="1">
      <alignment vertical="center"/>
    </xf>
    <xf numFmtId="0" fontId="123" fillId="0" borderId="0" xfId="0" applyFont="1" applyBorder="1" applyAlignment="1" applyProtection="1"/>
    <xf numFmtId="0" fontId="123" fillId="0" borderId="0" xfId="0" applyFont="1" applyBorder="1" applyAlignment="1" applyProtection="1">
      <alignment vertical="center"/>
    </xf>
    <xf numFmtId="0" fontId="84" fillId="0" borderId="13" xfId="0" applyFont="1" applyBorder="1" applyAlignment="1">
      <alignment vertical="center"/>
    </xf>
    <xf numFmtId="0" fontId="113" fillId="0" borderId="0" xfId="0" applyFont="1" applyAlignment="1">
      <alignment vertical="center"/>
    </xf>
    <xf numFmtId="0" fontId="316" fillId="0" borderId="0" xfId="0" applyFont="1" applyBorder="1"/>
    <xf numFmtId="0" fontId="553" fillId="0" borderId="0" xfId="0" applyFont="1" applyBorder="1" applyAlignment="1">
      <alignment vertical="top"/>
    </xf>
    <xf numFmtId="0" fontId="310" fillId="0" borderId="351" xfId="0" applyFont="1" applyBorder="1" applyAlignment="1">
      <alignment vertical="top"/>
    </xf>
    <xf numFmtId="0" fontId="113" fillId="0" borderId="351" xfId="0" applyFont="1" applyBorder="1" applyAlignment="1">
      <alignment vertical="top"/>
    </xf>
    <xf numFmtId="0" fontId="113" fillId="0" borderId="0" xfId="0" applyFont="1" applyAlignment="1">
      <alignment vertical="top"/>
    </xf>
    <xf numFmtId="0" fontId="174" fillId="34" borderId="569" xfId="556" applyFont="1" applyFill="1" applyBorder="1" applyAlignment="1">
      <alignment horizontal="center" vertical="center"/>
    </xf>
    <xf numFmtId="1" fontId="247" fillId="0" borderId="0" xfId="430" quotePrefix="1" applyNumberFormat="1" applyFont="1" applyFill="1" applyBorder="1" applyAlignment="1">
      <alignment horizontal="center" vertical="center"/>
    </xf>
    <xf numFmtId="1" fontId="82" fillId="0" borderId="0" xfId="430" applyNumberFormat="1" applyFont="1" applyFill="1" applyBorder="1" applyAlignment="1">
      <alignment horizontal="center" vertical="center"/>
    </xf>
    <xf numFmtId="165" fontId="10" fillId="0" borderId="0" xfId="430" applyNumberFormat="1" applyFont="1" applyFill="1" applyBorder="1" applyAlignment="1">
      <alignment horizontal="center" vertical="center"/>
    </xf>
    <xf numFmtId="1" fontId="78" fillId="0" borderId="0" xfId="430" applyNumberFormat="1" applyFont="1" applyFill="1" applyBorder="1" applyAlignment="1">
      <alignment horizontal="center" vertical="center"/>
    </xf>
    <xf numFmtId="1" fontId="220" fillId="0" borderId="0" xfId="430" applyNumberFormat="1" applyFont="1" applyFill="1" applyBorder="1" applyAlignment="1">
      <alignment horizontal="center" vertical="center"/>
    </xf>
    <xf numFmtId="165" fontId="247" fillId="0" borderId="0" xfId="430" applyNumberFormat="1" applyFont="1" applyFill="1" applyBorder="1" applyAlignment="1">
      <alignment horizontal="center" vertical="center"/>
    </xf>
    <xf numFmtId="165" fontId="295" fillId="0" borderId="0" xfId="430" applyNumberFormat="1" applyFont="1" applyFill="1" applyBorder="1" applyAlignment="1" applyProtection="1">
      <alignment horizontal="center" vertical="center"/>
    </xf>
    <xf numFmtId="1" fontId="40" fillId="0" borderId="0" xfId="430" applyNumberFormat="1" applyFont="1" applyFill="1" applyBorder="1" applyAlignment="1">
      <alignment horizontal="center" vertical="center"/>
    </xf>
    <xf numFmtId="0" fontId="575" fillId="0" borderId="0" xfId="0" applyFont="1"/>
    <xf numFmtId="185" fontId="109" fillId="0" borderId="0" xfId="0" applyNumberFormat="1" applyFont="1"/>
    <xf numFmtId="2" fontId="576" fillId="26" borderId="70" xfId="0" applyNumberFormat="1" applyFont="1" applyFill="1" applyBorder="1" applyAlignment="1">
      <alignment horizontal="center" vertical="center"/>
    </xf>
    <xf numFmtId="1" fontId="109" fillId="0" borderId="0" xfId="0" applyNumberFormat="1" applyFont="1" applyBorder="1"/>
    <xf numFmtId="192" fontId="574" fillId="0" borderId="14" xfId="0" applyNumberFormat="1" applyFont="1" applyBorder="1" applyAlignment="1">
      <alignment vertical="center"/>
    </xf>
    <xf numFmtId="1" fontId="574" fillId="0" borderId="30" xfId="0" applyNumberFormat="1" applyFont="1" applyBorder="1" applyAlignment="1">
      <alignment vertical="center"/>
    </xf>
    <xf numFmtId="14" fontId="142" fillId="0" borderId="656" xfId="414" applyNumberFormat="1" applyFont="1" applyFill="1" applyBorder="1" applyAlignment="1">
      <alignment horizontal="left" vertical="top"/>
    </xf>
    <xf numFmtId="173" fontId="82" fillId="0" borderId="0" xfId="430" applyNumberFormat="1" applyFont="1" applyFill="1" applyBorder="1" applyAlignment="1">
      <alignment horizontal="center"/>
    </xf>
    <xf numFmtId="169" fontId="10" fillId="0" borderId="0" xfId="430" applyNumberFormat="1" applyFont="1" applyFill="1" applyBorder="1" applyAlignment="1">
      <alignment horizontal="center"/>
    </xf>
    <xf numFmtId="173" fontId="237" fillId="0" borderId="0" xfId="430" applyNumberFormat="1" applyFont="1" applyFill="1" applyBorder="1" applyAlignment="1">
      <alignment horizontal="center"/>
    </xf>
    <xf numFmtId="0" fontId="226" fillId="0" borderId="0" xfId="0" applyFont="1" applyAlignment="1"/>
    <xf numFmtId="0" fontId="214" fillId="35" borderId="565" xfId="0" applyNumberFormat="1" applyFont="1" applyFill="1" applyBorder="1" applyAlignment="1">
      <alignment horizontal="center" wrapText="1"/>
    </xf>
    <xf numFmtId="1" fontId="0" fillId="0" borderId="0" xfId="0" applyNumberFormat="1" applyAlignment="1"/>
    <xf numFmtId="0" fontId="462" fillId="35" borderId="565" xfId="0" applyFont="1" applyFill="1" applyBorder="1" applyAlignment="1">
      <alignment horizontal="center" vertical="center"/>
    </xf>
    <xf numFmtId="20" fontId="118" fillId="112" borderId="565" xfId="0" quotePrefix="1" applyNumberFormat="1" applyFont="1" applyFill="1" applyBorder="1" applyAlignment="1">
      <alignment horizontal="center"/>
    </xf>
    <xf numFmtId="20" fontId="118" fillId="112" borderId="565" xfId="0" applyNumberFormat="1" applyFont="1" applyFill="1" applyBorder="1" applyAlignment="1">
      <alignment horizontal="center"/>
    </xf>
    <xf numFmtId="1" fontId="224" fillId="112" borderId="565" xfId="0" applyNumberFormat="1" applyFont="1" applyFill="1" applyBorder="1" applyAlignment="1">
      <alignment horizontal="center" vertical="center"/>
    </xf>
    <xf numFmtId="1" fontId="224" fillId="95" borderId="565" xfId="0" applyNumberFormat="1" applyFont="1" applyFill="1" applyBorder="1" applyAlignment="1">
      <alignment horizontal="center" vertical="center"/>
    </xf>
    <xf numFmtId="20" fontId="118" fillId="77" borderId="565" xfId="0" applyNumberFormat="1" applyFont="1" applyFill="1" applyBorder="1" applyAlignment="1">
      <alignment horizontal="center"/>
    </xf>
    <xf numFmtId="1" fontId="224" fillId="77" borderId="565" xfId="0" applyNumberFormat="1" applyFont="1" applyFill="1" applyBorder="1" applyAlignment="1">
      <alignment horizontal="center" vertical="center"/>
    </xf>
    <xf numFmtId="20" fontId="118" fillId="0" borderId="565" xfId="0" applyNumberFormat="1" applyFont="1" applyFill="1" applyBorder="1" applyAlignment="1">
      <alignment horizontal="center"/>
    </xf>
    <xf numFmtId="1" fontId="224" fillId="0" borderId="565" xfId="0" applyNumberFormat="1" applyFont="1" applyFill="1" applyBorder="1" applyAlignment="1">
      <alignment horizontal="center" vertical="center"/>
    </xf>
    <xf numFmtId="20" fontId="118" fillId="0" borderId="565" xfId="0" quotePrefix="1" applyNumberFormat="1" applyFont="1" applyFill="1" applyBorder="1" applyAlignment="1">
      <alignment horizontal="center"/>
    </xf>
    <xf numFmtId="14" fontId="209" fillId="0" borderId="657" xfId="0" applyNumberFormat="1" applyFont="1" applyFill="1" applyBorder="1" applyAlignment="1">
      <alignment vertical="center"/>
    </xf>
    <xf numFmtId="0" fontId="435" fillId="31" borderId="10" xfId="0" applyFont="1" applyFill="1" applyBorder="1" applyAlignment="1">
      <alignment horizontal="left"/>
    </xf>
    <xf numFmtId="0" fontId="435" fillId="31" borderId="10" xfId="0" applyFont="1" applyFill="1" applyBorder="1" applyAlignment="1">
      <alignment horizontal="center"/>
    </xf>
    <xf numFmtId="20" fontId="225" fillId="31" borderId="10" xfId="0" applyNumberFormat="1" applyFont="1" applyFill="1" applyBorder="1" applyAlignment="1">
      <alignment horizontal="center"/>
    </xf>
    <xf numFmtId="0" fontId="541" fillId="0" borderId="10" xfId="0" applyFont="1" applyFill="1" applyBorder="1"/>
    <xf numFmtId="0" fontId="541" fillId="0" borderId="10" xfId="0" applyFont="1" applyFill="1" applyBorder="1" applyAlignment="1">
      <alignment horizontal="center"/>
    </xf>
    <xf numFmtId="20" fontId="542" fillId="0" borderId="10" xfId="0" applyNumberFormat="1" applyFont="1" applyFill="1" applyBorder="1" applyAlignment="1">
      <alignment horizontal="center"/>
    </xf>
    <xf numFmtId="0" fontId="541" fillId="0" borderId="10" xfId="0" applyFont="1" applyFill="1" applyBorder="1" applyAlignment="1">
      <alignment horizontal="center" vertical="top"/>
    </xf>
    <xf numFmtId="20" fontId="542" fillId="0" borderId="10" xfId="0" applyNumberFormat="1" applyFont="1" applyFill="1" applyBorder="1" applyAlignment="1">
      <alignment horizontal="center" vertical="top"/>
    </xf>
    <xf numFmtId="0" fontId="543" fillId="0" borderId="10" xfId="0" applyFont="1" applyFill="1" applyBorder="1"/>
    <xf numFmtId="0" fontId="543" fillId="0" borderId="10" xfId="0" applyFont="1" applyFill="1" applyBorder="1" applyAlignment="1">
      <alignment horizontal="center"/>
    </xf>
    <xf numFmtId="20" fontId="543" fillId="0" borderId="10" xfId="0" applyNumberFormat="1" applyFont="1" applyFill="1" applyBorder="1" applyAlignment="1">
      <alignment horizontal="center"/>
    </xf>
    <xf numFmtId="0" fontId="312" fillId="0" borderId="10" xfId="0" applyFont="1" applyBorder="1" applyAlignment="1">
      <alignment horizontal="center"/>
    </xf>
    <xf numFmtId="0" fontId="543" fillId="34" borderId="10" xfId="0" applyFont="1" applyFill="1" applyBorder="1"/>
    <xf numFmtId="0" fontId="312" fillId="34" borderId="10" xfId="0" applyFont="1" applyFill="1" applyBorder="1" applyAlignment="1">
      <alignment horizontal="center"/>
    </xf>
    <xf numFmtId="20" fontId="543" fillId="34" borderId="10" xfId="0" applyNumberFormat="1" applyFont="1" applyFill="1" applyBorder="1" applyAlignment="1">
      <alignment horizontal="center"/>
    </xf>
    <xf numFmtId="14" fontId="577" fillId="31" borderId="10" xfId="0" applyNumberFormat="1" applyFont="1" applyFill="1" applyBorder="1" applyAlignment="1">
      <alignment horizontal="center"/>
    </xf>
    <xf numFmtId="14" fontId="578" fillId="0" borderId="10" xfId="0" applyNumberFormat="1" applyFont="1" applyFill="1" applyBorder="1" applyAlignment="1">
      <alignment horizontal="center"/>
    </xf>
    <xf numFmtId="0" fontId="579" fillId="0" borderId="10" xfId="0" applyFont="1" applyFill="1" applyBorder="1" applyAlignment="1">
      <alignment horizontal="center"/>
    </xf>
    <xf numFmtId="0" fontId="577" fillId="0" borderId="10" xfId="0" applyFont="1" applyBorder="1" applyAlignment="1">
      <alignment horizontal="center"/>
    </xf>
    <xf numFmtId="0" fontId="577" fillId="34" borderId="10" xfId="0" applyFont="1" applyFill="1" applyBorder="1" applyAlignment="1">
      <alignment horizontal="center"/>
    </xf>
    <xf numFmtId="1" fontId="580" fillId="118" borderId="10" xfId="430" applyNumberFormat="1" applyFont="1" applyFill="1" applyBorder="1" applyAlignment="1">
      <alignment horizontal="center" vertical="center"/>
    </xf>
    <xf numFmtId="1" fontId="220" fillId="118" borderId="10" xfId="430" applyNumberFormat="1" applyFont="1" applyFill="1" applyBorder="1" applyAlignment="1">
      <alignment horizontal="center" vertical="center"/>
    </xf>
    <xf numFmtId="1" fontId="290" fillId="79" borderId="658" xfId="0" applyNumberFormat="1" applyFont="1" applyFill="1" applyBorder="1" applyAlignment="1" applyProtection="1">
      <alignment horizontal="center" vertical="center"/>
      <protection locked="0"/>
    </xf>
    <xf numFmtId="166" fontId="290" fillId="79" borderId="658" xfId="271" applyNumberFormat="1" applyFont="1" applyFill="1" applyBorder="1" applyAlignment="1">
      <alignment horizontal="center" vertical="center"/>
    </xf>
    <xf numFmtId="1" fontId="290" fillId="78" borderId="658" xfId="0" applyNumberFormat="1" applyFont="1" applyFill="1" applyBorder="1" applyAlignment="1" applyProtection="1">
      <alignment horizontal="center" vertical="center"/>
      <protection locked="0"/>
    </xf>
    <xf numFmtId="1" fontId="290" fillId="79" borderId="659" xfId="0" applyNumberFormat="1" applyFont="1" applyFill="1" applyBorder="1" applyAlignment="1" applyProtection="1">
      <alignment horizontal="center" vertical="center"/>
      <protection locked="0"/>
    </xf>
    <xf numFmtId="1" fontId="204" fillId="39" borderId="658" xfId="0" applyNumberFormat="1" applyFont="1" applyFill="1" applyBorder="1" applyAlignment="1" applyProtection="1">
      <alignment horizontal="center" vertical="center"/>
      <protection locked="0"/>
    </xf>
    <xf numFmtId="1" fontId="204" fillId="39" borderId="660" xfId="0" applyNumberFormat="1" applyFont="1" applyFill="1" applyBorder="1" applyAlignment="1" applyProtection="1">
      <alignment horizontal="center" vertical="center"/>
      <protection locked="0"/>
    </xf>
    <xf numFmtId="173" fontId="7" fillId="0" borderId="0" xfId="429" applyNumberFormat="1" applyFont="1" applyFill="1" applyBorder="1" applyAlignment="1">
      <alignment vertical="center"/>
    </xf>
    <xf numFmtId="1" fontId="7" fillId="0" borderId="47" xfId="428" applyNumberFormat="1" applyFont="1" applyFill="1" applyBorder="1" applyAlignment="1">
      <alignment horizontal="center" vertical="center"/>
    </xf>
    <xf numFmtId="1" fontId="93" fillId="0" borderId="0" xfId="428" applyNumberFormat="1" applyFont="1" applyFill="1" applyBorder="1" applyAlignment="1" applyProtection="1">
      <alignment horizontal="center" vertical="center"/>
      <protection locked="0"/>
    </xf>
    <xf numFmtId="0" fontId="222" fillId="31" borderId="652" xfId="0" applyFont="1" applyFill="1" applyBorder="1"/>
    <xf numFmtId="20" fontId="252" fillId="0" borderId="661" xfId="428" applyNumberFormat="1" applyFont="1" applyFill="1" applyBorder="1" applyAlignment="1">
      <alignment vertical="center"/>
    </xf>
    <xf numFmtId="14" fontId="20" fillId="0" borderId="44" xfId="429" applyNumberFormat="1" applyFont="1" applyFill="1" applyBorder="1" applyAlignment="1">
      <alignment horizontal="left" vertical="center"/>
    </xf>
    <xf numFmtId="173" fontId="49" fillId="0" borderId="0" xfId="429" applyNumberFormat="1" applyFont="1" applyFill="1" applyBorder="1" applyAlignment="1">
      <alignment vertical="center"/>
    </xf>
    <xf numFmtId="0" fontId="49" fillId="0" borderId="0" xfId="428" applyFont="1" applyFill="1" applyBorder="1" applyAlignment="1">
      <alignment vertical="center"/>
    </xf>
    <xf numFmtId="0" fontId="49" fillId="0" borderId="0" xfId="428" applyFont="1" applyFill="1" applyBorder="1" applyAlignment="1">
      <alignment horizontal="center" vertical="center"/>
    </xf>
    <xf numFmtId="0" fontId="222" fillId="81" borderId="44" xfId="0" applyFont="1" applyFill="1" applyBorder="1" applyAlignment="1">
      <alignment horizontal="center"/>
    </xf>
    <xf numFmtId="1" fontId="7" fillId="81" borderId="65" xfId="428" applyNumberFormat="1" applyFont="1" applyFill="1" applyBorder="1" applyAlignment="1">
      <alignment horizontal="center" vertical="center"/>
    </xf>
    <xf numFmtId="14" fontId="145" fillId="81" borderId="70" xfId="429" applyNumberFormat="1" applyFont="1" applyFill="1" applyBorder="1" applyAlignment="1">
      <alignment horizontal="left" vertical="center"/>
    </xf>
    <xf numFmtId="0" fontId="7" fillId="0" borderId="69" xfId="428" applyFont="1" applyFill="1" applyBorder="1" applyAlignment="1">
      <alignment horizontal="center" vertical="center"/>
    </xf>
    <xf numFmtId="0" fontId="7" fillId="0" borderId="663" xfId="428" applyFont="1" applyFill="1" applyBorder="1" applyAlignment="1">
      <alignment horizontal="center" vertical="center"/>
    </xf>
    <xf numFmtId="0" fontId="222" fillId="0" borderId="663" xfId="0" applyFont="1" applyBorder="1" applyAlignment="1">
      <alignment horizontal="center" vertical="center"/>
    </xf>
    <xf numFmtId="0" fontId="7" fillId="0" borderId="664" xfId="428" applyFont="1" applyFill="1" applyBorder="1" applyAlignment="1">
      <alignment horizontal="center" vertical="center"/>
    </xf>
    <xf numFmtId="0" fontId="7" fillId="0" borderId="665" xfId="428" applyFont="1" applyFill="1" applyBorder="1" applyAlignment="1">
      <alignment horizontal="center" vertical="center"/>
    </xf>
    <xf numFmtId="0" fontId="7" fillId="82" borderId="663" xfId="428" applyFont="1" applyFill="1" applyBorder="1" applyAlignment="1">
      <alignment horizontal="center" vertical="center"/>
    </xf>
    <xf numFmtId="0" fontId="7" fillId="0" borderId="666" xfId="428" applyFont="1" applyFill="1" applyBorder="1" applyAlignment="1">
      <alignment horizontal="center" vertical="center"/>
    </xf>
    <xf numFmtId="1" fontId="45" fillId="68" borderId="654" xfId="0" applyNumberFormat="1" applyFont="1" applyFill="1" applyBorder="1" applyAlignment="1" applyProtection="1">
      <alignment horizontal="center" vertical="center"/>
      <protection locked="0"/>
    </xf>
    <xf numFmtId="1" fontId="45" fillId="46" borderId="654" xfId="0" applyNumberFormat="1" applyFont="1" applyFill="1" applyBorder="1" applyAlignment="1" applyProtection="1">
      <alignment horizontal="center" vertical="center"/>
      <protection locked="0"/>
    </xf>
    <xf numFmtId="1" fontId="45" fillId="42" borderId="654" xfId="0" applyNumberFormat="1" applyFont="1" applyFill="1" applyBorder="1" applyAlignment="1" applyProtection="1">
      <alignment horizontal="center" vertical="center"/>
      <protection locked="0"/>
    </xf>
    <xf numFmtId="0" fontId="45" fillId="87" borderId="654" xfId="0" applyFont="1" applyFill="1" applyBorder="1" applyAlignment="1">
      <alignment horizontal="center" vertical="center"/>
    </xf>
    <xf numFmtId="1" fontId="45" fillId="88" borderId="654" xfId="0" applyNumberFormat="1" applyFont="1" applyFill="1" applyBorder="1" applyAlignment="1" applyProtection="1">
      <alignment horizontal="center" vertical="center"/>
      <protection locked="0"/>
    </xf>
    <xf numFmtId="192" fontId="581" fillId="0" borderId="10" xfId="0" applyNumberFormat="1" applyFont="1" applyBorder="1" applyAlignment="1">
      <alignment vertical="center"/>
    </xf>
    <xf numFmtId="1" fontId="581" fillId="0" borderId="18" xfId="0" applyNumberFormat="1" applyFont="1" applyBorder="1" applyAlignment="1">
      <alignment vertical="center"/>
    </xf>
    <xf numFmtId="1" fontId="7" fillId="0" borderId="668" xfId="432" applyNumberFormat="1" applyFont="1" applyFill="1" applyBorder="1" applyAlignment="1" applyProtection="1">
      <alignment horizontal="center" vertical="center"/>
      <protection locked="0"/>
    </xf>
    <xf numFmtId="1" fontId="582" fillId="46" borderId="654" xfId="0" applyNumberFormat="1" applyFont="1" applyFill="1" applyBorder="1" applyAlignment="1" applyProtection="1">
      <alignment horizontal="center" vertical="center"/>
      <protection locked="0"/>
    </xf>
    <xf numFmtId="165" fontId="583" fillId="82" borderId="647" xfId="0" applyNumberFormat="1" applyFont="1" applyFill="1" applyBorder="1" applyAlignment="1" applyProtection="1">
      <alignment horizontal="center" vertical="center"/>
      <protection locked="0"/>
    </xf>
    <xf numFmtId="1" fontId="582" fillId="42" borderId="654" xfId="0" applyNumberFormat="1" applyFont="1" applyFill="1" applyBorder="1" applyAlignment="1" applyProtection="1">
      <alignment horizontal="center" vertical="center"/>
      <protection locked="0"/>
    </xf>
    <xf numFmtId="0" fontId="582" fillId="87" borderId="654" xfId="0" applyFont="1" applyFill="1" applyBorder="1" applyAlignment="1">
      <alignment horizontal="center" vertical="center"/>
    </xf>
    <xf numFmtId="1" fontId="582" fillId="88" borderId="662" xfId="0" applyNumberFormat="1" applyFont="1" applyFill="1" applyBorder="1" applyAlignment="1" applyProtection="1">
      <alignment horizontal="center" vertical="center"/>
      <protection locked="0"/>
    </xf>
    <xf numFmtId="1" fontId="582" fillId="88" borderId="654" xfId="0" applyNumberFormat="1" applyFont="1" applyFill="1" applyBorder="1" applyAlignment="1" applyProtection="1">
      <alignment horizontal="center" vertical="center"/>
      <protection locked="0"/>
    </xf>
    <xf numFmtId="1" fontId="375" fillId="0" borderId="446" xfId="436" applyNumberFormat="1" applyFont="1" applyFill="1" applyBorder="1" applyAlignment="1" applyProtection="1">
      <alignment horizontal="center" vertical="center"/>
      <protection locked="0"/>
    </xf>
    <xf numFmtId="1" fontId="174" fillId="34" borderId="447" xfId="436" applyNumberFormat="1" applyFont="1" applyFill="1" applyBorder="1" applyAlignment="1">
      <alignment horizontal="center" vertical="center"/>
    </xf>
    <xf numFmtId="0" fontId="113" fillId="0" borderId="13" xfId="0" applyFont="1" applyFill="1" applyBorder="1" applyAlignment="1">
      <alignment vertical="top"/>
    </xf>
    <xf numFmtId="0" fontId="195" fillId="34" borderId="451" xfId="0" applyFont="1" applyFill="1" applyBorder="1" applyAlignment="1">
      <alignment horizontal="center" vertical="center" wrapText="1"/>
    </xf>
    <xf numFmtId="0" fontId="195" fillId="102" borderId="499" xfId="0" applyFont="1" applyFill="1" applyBorder="1" applyAlignment="1">
      <alignment horizontal="center" vertical="center" wrapText="1"/>
    </xf>
    <xf numFmtId="20" fontId="209" fillId="0" borderId="358" xfId="428" applyNumberFormat="1" applyFont="1" applyFill="1" applyBorder="1" applyAlignment="1">
      <alignment vertical="top"/>
    </xf>
    <xf numFmtId="0" fontId="310" fillId="0" borderId="351" xfId="0" applyFont="1" applyFill="1" applyBorder="1" applyAlignment="1">
      <alignment vertical="top"/>
    </xf>
    <xf numFmtId="0" fontId="113" fillId="0" borderId="0" xfId="0" applyNumberFormat="1" applyFont="1" applyBorder="1" applyAlignment="1">
      <alignment vertical="center"/>
    </xf>
    <xf numFmtId="0" fontId="316" fillId="0" borderId="0" xfId="0" applyFont="1" applyBorder="1" applyAlignment="1">
      <alignment vertical="top"/>
    </xf>
    <xf numFmtId="20" fontId="109" fillId="0" borderId="669" xfId="0" applyNumberFormat="1" applyFont="1" applyBorder="1" applyAlignment="1">
      <alignment horizontal="center" vertical="center"/>
    </xf>
    <xf numFmtId="0" fontId="109" fillId="109" borderId="669" xfId="0" applyFont="1" applyFill="1" applyBorder="1" applyAlignment="1">
      <alignment horizontal="center" vertical="center"/>
    </xf>
    <xf numFmtId="20" fontId="109" fillId="109" borderId="669" xfId="0" applyNumberFormat="1" applyFont="1" applyFill="1" applyBorder="1" applyAlignment="1">
      <alignment horizontal="center" vertical="center"/>
    </xf>
    <xf numFmtId="1" fontId="582" fillId="87" borderId="670" xfId="0" applyNumberFormat="1" applyFont="1" applyFill="1" applyBorder="1" applyAlignment="1" applyProtection="1">
      <alignment horizontal="center" vertical="center"/>
      <protection locked="0"/>
    </xf>
    <xf numFmtId="1" fontId="582" fillId="87" borderId="670" xfId="0" applyNumberFormat="1" applyFont="1" applyFill="1" applyBorder="1" applyAlignment="1">
      <alignment horizontal="center" vertical="center"/>
    </xf>
    <xf numFmtId="165" fontId="582" fillId="87" borderId="670" xfId="0" applyNumberFormat="1" applyFont="1" applyFill="1" applyBorder="1" applyAlignment="1">
      <alignment horizontal="center" vertical="center"/>
    </xf>
    <xf numFmtId="0" fontId="582" fillId="87" borderId="670" xfId="0" applyFont="1" applyFill="1" applyBorder="1" applyAlignment="1">
      <alignment horizontal="center" vertical="center"/>
    </xf>
    <xf numFmtId="165" fontId="582" fillId="72" borderId="670" xfId="0" applyNumberFormat="1" applyFont="1" applyFill="1" applyBorder="1" applyAlignment="1">
      <alignment horizontal="center" vertical="center"/>
    </xf>
    <xf numFmtId="165" fontId="582" fillId="88" borderId="670" xfId="0" applyNumberFormat="1" applyFont="1" applyFill="1" applyBorder="1" applyAlignment="1">
      <alignment horizontal="center" vertical="center"/>
    </xf>
    <xf numFmtId="1" fontId="582" fillId="88" borderId="670" xfId="0" applyNumberFormat="1" applyFont="1" applyFill="1" applyBorder="1" applyAlignment="1" applyProtection="1">
      <alignment horizontal="center" vertical="center"/>
      <protection locked="0"/>
    </xf>
    <xf numFmtId="1" fontId="582" fillId="34" borderId="670" xfId="0" applyNumberFormat="1" applyFont="1" applyFill="1" applyBorder="1" applyAlignment="1" applyProtection="1">
      <alignment horizontal="center" vertical="center"/>
      <protection locked="0"/>
    </xf>
    <xf numFmtId="165" fontId="582" fillId="88" borderId="670" xfId="0" applyNumberFormat="1" applyFont="1" applyFill="1" applyBorder="1" applyAlignment="1" applyProtection="1">
      <alignment horizontal="center" vertical="center"/>
      <protection locked="0"/>
    </xf>
    <xf numFmtId="1" fontId="582" fillId="87" borderId="671" xfId="0" applyNumberFormat="1" applyFont="1" applyFill="1" applyBorder="1" applyAlignment="1" applyProtection="1">
      <alignment horizontal="center" vertical="center"/>
      <protection locked="0"/>
    </xf>
    <xf numFmtId="1" fontId="583" fillId="88" borderId="670" xfId="0" applyNumberFormat="1" applyFont="1" applyFill="1" applyBorder="1" applyAlignment="1" applyProtection="1">
      <alignment horizontal="center" vertical="center"/>
      <protection locked="0"/>
    </xf>
    <xf numFmtId="1" fontId="45" fillId="87" borderId="671" xfId="0" applyNumberFormat="1" applyFont="1" applyFill="1" applyBorder="1" applyAlignment="1" applyProtection="1">
      <alignment horizontal="center" vertical="center"/>
      <protection locked="0"/>
    </xf>
    <xf numFmtId="1" fontId="45" fillId="87" borderId="670" xfId="0" applyNumberFormat="1" applyFont="1" applyFill="1" applyBorder="1" applyAlignment="1" applyProtection="1">
      <alignment horizontal="center" vertical="center"/>
      <protection locked="0"/>
    </xf>
    <xf numFmtId="1" fontId="45" fillId="87" borderId="670" xfId="0" applyNumberFormat="1" applyFont="1" applyFill="1" applyBorder="1" applyAlignment="1">
      <alignment horizontal="center" vertical="center"/>
    </xf>
    <xf numFmtId="165" fontId="45" fillId="87" borderId="670" xfId="0" applyNumberFormat="1" applyFont="1" applyFill="1" applyBorder="1" applyAlignment="1">
      <alignment horizontal="center" vertical="center"/>
    </xf>
    <xf numFmtId="0" fontId="45" fillId="87" borderId="670" xfId="0" applyFont="1" applyFill="1" applyBorder="1" applyAlignment="1">
      <alignment horizontal="center" vertical="center"/>
    </xf>
    <xf numFmtId="165" fontId="45" fillId="72" borderId="670" xfId="0" applyNumberFormat="1" applyFont="1" applyFill="1" applyBorder="1" applyAlignment="1">
      <alignment horizontal="center" vertical="center"/>
    </xf>
    <xf numFmtId="165" fontId="45" fillId="88" borderId="670" xfId="0" applyNumberFormat="1" applyFont="1" applyFill="1" applyBorder="1" applyAlignment="1">
      <alignment horizontal="center" vertical="center"/>
    </xf>
    <xf numFmtId="1" fontId="45" fillId="88" borderId="670" xfId="0" applyNumberFormat="1" applyFont="1" applyFill="1" applyBorder="1" applyAlignment="1" applyProtection="1">
      <alignment horizontal="center" vertical="center"/>
      <protection locked="0"/>
    </xf>
    <xf numFmtId="1" fontId="50" fillId="88" borderId="670" xfId="0" applyNumberFormat="1" applyFont="1" applyFill="1" applyBorder="1" applyAlignment="1" applyProtection="1">
      <alignment horizontal="center" vertical="center"/>
      <protection locked="0"/>
    </xf>
    <xf numFmtId="1" fontId="45" fillId="34" borderId="670" xfId="0" applyNumberFormat="1" applyFont="1" applyFill="1" applyBorder="1" applyAlignment="1" applyProtection="1">
      <alignment horizontal="center" vertical="center"/>
      <protection locked="0"/>
    </xf>
    <xf numFmtId="165" fontId="45" fillId="88" borderId="670" xfId="0" applyNumberFormat="1" applyFont="1" applyFill="1" applyBorder="1" applyAlignment="1" applyProtection="1">
      <alignment horizontal="center" vertical="center"/>
      <protection locked="0"/>
    </xf>
    <xf numFmtId="1" fontId="45" fillId="89" borderId="671" xfId="0" applyNumberFormat="1" applyFont="1" applyFill="1" applyBorder="1" applyAlignment="1" applyProtection="1">
      <alignment horizontal="center" vertical="center"/>
      <protection locked="0"/>
    </xf>
    <xf numFmtId="1" fontId="45" fillId="89" borderId="670" xfId="0" applyNumberFormat="1" applyFont="1" applyFill="1" applyBorder="1" applyAlignment="1" applyProtection="1">
      <alignment horizontal="center" vertical="center"/>
      <protection locked="0"/>
    </xf>
    <xf numFmtId="1" fontId="45" fillId="89" borderId="670" xfId="0" applyNumberFormat="1" applyFont="1" applyFill="1" applyBorder="1" applyAlignment="1">
      <alignment horizontal="center" vertical="center"/>
    </xf>
    <xf numFmtId="165" fontId="45" fillId="89" borderId="670" xfId="0" applyNumberFormat="1" applyFont="1" applyFill="1" applyBorder="1" applyAlignment="1">
      <alignment horizontal="center" vertical="center"/>
    </xf>
    <xf numFmtId="1" fontId="45" fillId="42" borderId="670" xfId="0" applyNumberFormat="1" applyFont="1" applyFill="1" applyBorder="1" applyAlignment="1" applyProtection="1">
      <alignment horizontal="center" vertical="center"/>
      <protection locked="0"/>
    </xf>
    <xf numFmtId="0" fontId="45" fillId="89" borderId="670" xfId="0" applyFont="1" applyFill="1" applyBorder="1" applyAlignment="1">
      <alignment horizontal="center" vertical="center"/>
    </xf>
    <xf numFmtId="165" fontId="354" fillId="68" borderId="670" xfId="0" applyNumberFormat="1" applyFont="1" applyFill="1" applyBorder="1" applyAlignment="1">
      <alignment horizontal="center" vertical="center"/>
    </xf>
    <xf numFmtId="165" fontId="45" fillId="68" borderId="670" xfId="0" applyNumberFormat="1" applyFont="1" applyFill="1" applyBorder="1" applyAlignment="1">
      <alignment horizontal="center" vertical="center"/>
    </xf>
    <xf numFmtId="1" fontId="45" fillId="68" borderId="670" xfId="0" applyNumberFormat="1" applyFont="1" applyFill="1" applyBorder="1" applyAlignment="1" applyProtection="1">
      <alignment horizontal="center" vertical="center"/>
      <protection locked="0"/>
    </xf>
    <xf numFmtId="0" fontId="45" fillId="89" borderId="654" xfId="0" applyFont="1" applyFill="1" applyBorder="1" applyAlignment="1">
      <alignment horizontal="center" vertical="center"/>
    </xf>
    <xf numFmtId="165" fontId="45" fillId="68" borderId="670" xfId="0" applyNumberFormat="1" applyFont="1" applyFill="1" applyBorder="1" applyAlignment="1" applyProtection="1">
      <alignment horizontal="center" vertical="center"/>
      <protection locked="0"/>
    </xf>
    <xf numFmtId="1" fontId="50" fillId="68" borderId="670" xfId="0" applyNumberFormat="1" applyFont="1" applyFill="1" applyBorder="1" applyAlignment="1" applyProtection="1">
      <alignment horizontal="center" vertical="center"/>
      <protection locked="0"/>
    </xf>
    <xf numFmtId="1" fontId="45" fillId="68" borderId="670" xfId="0" applyNumberFormat="1" applyFont="1" applyFill="1" applyBorder="1" applyAlignment="1" applyProtection="1">
      <alignment horizontal="center" vertical="center" wrapText="1"/>
      <protection locked="0"/>
    </xf>
    <xf numFmtId="1" fontId="372" fillId="0" borderId="445" xfId="436" applyNumberFormat="1" applyFont="1" applyFill="1" applyBorder="1" applyAlignment="1" applyProtection="1">
      <alignment horizontal="center" vertical="center"/>
      <protection locked="0"/>
    </xf>
    <xf numFmtId="20" fontId="584" fillId="117" borderId="68" xfId="0" applyNumberFormat="1" applyFont="1" applyFill="1" applyBorder="1" applyAlignment="1">
      <alignment horizontal="center" vertical="center"/>
    </xf>
    <xf numFmtId="1" fontId="582" fillId="89" borderId="671" xfId="0" applyNumberFormat="1" applyFont="1" applyFill="1" applyBorder="1" applyAlignment="1" applyProtection="1">
      <alignment horizontal="center" vertical="center"/>
      <protection locked="0"/>
    </xf>
    <xf numFmtId="1" fontId="582" fillId="89" borderId="670" xfId="0" applyNumberFormat="1" applyFont="1" applyFill="1" applyBorder="1" applyAlignment="1" applyProtection="1">
      <alignment horizontal="center" vertical="center"/>
      <protection locked="0"/>
    </xf>
    <xf numFmtId="1" fontId="582" fillId="89" borderId="670" xfId="0" applyNumberFormat="1" applyFont="1" applyFill="1" applyBorder="1" applyAlignment="1">
      <alignment horizontal="center" vertical="center"/>
    </xf>
    <xf numFmtId="165" fontId="582" fillId="89" borderId="670" xfId="0" applyNumberFormat="1" applyFont="1" applyFill="1" applyBorder="1" applyAlignment="1">
      <alignment horizontal="center" vertical="center"/>
    </xf>
    <xf numFmtId="1" fontId="582" fillId="42" borderId="670" xfId="0" applyNumberFormat="1" applyFont="1" applyFill="1" applyBorder="1" applyAlignment="1" applyProtection="1">
      <alignment horizontal="center" vertical="center"/>
      <protection locked="0"/>
    </xf>
    <xf numFmtId="0" fontId="582" fillId="89" borderId="670" xfId="0" applyFont="1" applyFill="1" applyBorder="1" applyAlignment="1">
      <alignment horizontal="center" vertical="center"/>
    </xf>
    <xf numFmtId="165" fontId="585" fillId="68" borderId="670" xfId="0" applyNumberFormat="1" applyFont="1" applyFill="1" applyBorder="1" applyAlignment="1">
      <alignment horizontal="center" vertical="center"/>
    </xf>
    <xf numFmtId="165" fontId="582" fillId="68" borderId="670" xfId="0" applyNumberFormat="1" applyFont="1" applyFill="1" applyBorder="1" applyAlignment="1">
      <alignment horizontal="center" vertical="center"/>
    </xf>
    <xf numFmtId="1" fontId="582" fillId="68" borderId="670" xfId="0" applyNumberFormat="1" applyFont="1" applyFill="1" applyBorder="1" applyAlignment="1" applyProtection="1">
      <alignment horizontal="center" vertical="center"/>
      <protection locked="0"/>
    </xf>
    <xf numFmtId="1" fontId="583" fillId="68" borderId="670" xfId="0" applyNumberFormat="1" applyFont="1" applyFill="1" applyBorder="1" applyAlignment="1" applyProtection="1">
      <alignment horizontal="center" vertical="center"/>
      <protection locked="0"/>
    </xf>
    <xf numFmtId="0" fontId="582" fillId="89" borderId="654" xfId="0" applyFont="1" applyFill="1" applyBorder="1" applyAlignment="1">
      <alignment horizontal="center" vertical="center"/>
    </xf>
    <xf numFmtId="0" fontId="586" fillId="0" borderId="0" xfId="0" applyFont="1" applyAlignment="1">
      <alignment vertical="center"/>
    </xf>
    <xf numFmtId="0" fontId="155" fillId="102" borderId="499" xfId="0" applyFont="1" applyFill="1" applyBorder="1" applyAlignment="1">
      <alignment horizontal="center" wrapText="1"/>
    </xf>
    <xf numFmtId="0" fontId="84" fillId="0" borderId="13" xfId="0" applyFont="1" applyBorder="1" applyAlignment="1"/>
    <xf numFmtId="0" fontId="84" fillId="0" borderId="13" xfId="0" applyFont="1" applyFill="1" applyBorder="1" applyAlignment="1">
      <alignment vertical="top"/>
    </xf>
    <xf numFmtId="0" fontId="587" fillId="0" borderId="13" xfId="0" applyFont="1" applyBorder="1" applyAlignment="1">
      <alignment vertical="center"/>
    </xf>
    <xf numFmtId="0" fontId="587" fillId="0" borderId="13" xfId="0" applyFont="1" applyFill="1" applyBorder="1" applyAlignment="1">
      <alignment vertical="top"/>
    </xf>
    <xf numFmtId="0" fontId="587" fillId="0" borderId="13" xfId="0" applyFont="1" applyBorder="1" applyAlignment="1">
      <alignment vertical="top"/>
    </xf>
    <xf numFmtId="0" fontId="588" fillId="0" borderId="0" xfId="0" applyFont="1" applyBorder="1" applyAlignment="1">
      <alignment vertical="center"/>
    </xf>
    <xf numFmtId="0" fontId="589" fillId="0" borderId="0" xfId="0" applyFont="1" applyAlignment="1">
      <alignment vertical="center"/>
    </xf>
    <xf numFmtId="0" fontId="589" fillId="0" borderId="0" xfId="0" applyFont="1" applyBorder="1" applyAlignment="1">
      <alignment vertical="center"/>
    </xf>
    <xf numFmtId="0" fontId="589" fillId="0" borderId="301" xfId="0" applyFont="1" applyBorder="1"/>
    <xf numFmtId="0" fontId="587" fillId="0" borderId="13" xfId="0" applyFont="1" applyFill="1" applyBorder="1" applyAlignment="1">
      <alignment vertical="center"/>
    </xf>
    <xf numFmtId="0" fontId="84" fillId="0" borderId="13" xfId="0" applyFont="1" applyFill="1" applyBorder="1" applyAlignment="1"/>
    <xf numFmtId="0" fontId="123" fillId="0" borderId="13" xfId="0" applyFont="1" applyBorder="1"/>
    <xf numFmtId="0" fontId="590" fillId="0" borderId="0" xfId="0" applyFont="1" applyBorder="1" applyAlignment="1"/>
    <xf numFmtId="0" fontId="174" fillId="0" borderId="569" xfId="556" applyFont="1" applyFill="1" applyBorder="1" applyAlignment="1">
      <alignment horizontal="center" vertical="top"/>
    </xf>
    <xf numFmtId="0" fontId="589" fillId="0" borderId="13" xfId="0" applyFont="1" applyBorder="1" applyAlignment="1"/>
    <xf numFmtId="0" fontId="589" fillId="0" borderId="13" xfId="0" applyFont="1" applyBorder="1" applyAlignment="1">
      <alignment vertical="top"/>
    </xf>
    <xf numFmtId="1" fontId="591" fillId="89" borderId="671" xfId="0" applyNumberFormat="1" applyFont="1" applyFill="1" applyBorder="1" applyAlignment="1" applyProtection="1">
      <alignment horizontal="center" vertical="center"/>
      <protection locked="0"/>
    </xf>
    <xf numFmtId="1" fontId="591" fillId="89" borderId="670" xfId="0" applyNumberFormat="1" applyFont="1" applyFill="1" applyBorder="1" applyAlignment="1" applyProtection="1">
      <alignment horizontal="center" vertical="center"/>
      <protection locked="0"/>
    </xf>
    <xf numFmtId="1" fontId="591" fillId="89" borderId="670" xfId="0" applyNumberFormat="1" applyFont="1" applyFill="1" applyBorder="1" applyAlignment="1">
      <alignment horizontal="center" vertical="center"/>
    </xf>
    <xf numFmtId="165" fontId="591" fillId="89" borderId="670" xfId="0" applyNumberFormat="1" applyFont="1" applyFill="1" applyBorder="1" applyAlignment="1">
      <alignment horizontal="center" vertical="center"/>
    </xf>
    <xf numFmtId="1" fontId="591" fillId="42" borderId="670" xfId="0" applyNumberFormat="1" applyFont="1" applyFill="1" applyBorder="1" applyAlignment="1" applyProtection="1">
      <alignment horizontal="center" vertical="center"/>
      <protection locked="0"/>
    </xf>
    <xf numFmtId="0" fontId="591" fillId="89" borderId="670" xfId="0" applyFont="1" applyFill="1" applyBorder="1" applyAlignment="1">
      <alignment horizontal="center" vertical="center"/>
    </xf>
    <xf numFmtId="165" fontId="591" fillId="72" borderId="670" xfId="0" applyNumberFormat="1" applyFont="1" applyFill="1" applyBorder="1" applyAlignment="1">
      <alignment horizontal="center" vertical="center"/>
    </xf>
    <xf numFmtId="165" fontId="591" fillId="68" borderId="670" xfId="0" applyNumberFormat="1" applyFont="1" applyFill="1" applyBorder="1" applyAlignment="1">
      <alignment horizontal="center" vertical="center"/>
    </xf>
    <xf numFmtId="1" fontId="591" fillId="68" borderId="670" xfId="0" applyNumberFormat="1" applyFont="1" applyFill="1" applyBorder="1" applyAlignment="1" applyProtection="1">
      <alignment horizontal="center" vertical="center"/>
      <protection locked="0"/>
    </xf>
    <xf numFmtId="1" fontId="591" fillId="68" borderId="670" xfId="0" applyNumberFormat="1" applyFont="1" applyFill="1" applyBorder="1" applyAlignment="1" applyProtection="1">
      <alignment horizontal="center" vertical="center" wrapText="1"/>
      <protection locked="0"/>
    </xf>
    <xf numFmtId="1" fontId="591" fillId="68" borderId="654" xfId="0" applyNumberFormat="1" applyFont="1" applyFill="1" applyBorder="1" applyAlignment="1" applyProtection="1">
      <alignment horizontal="center" vertical="center"/>
      <protection locked="0"/>
    </xf>
    <xf numFmtId="1" fontId="591" fillId="34" borderId="670" xfId="0" applyNumberFormat="1" applyFont="1" applyFill="1" applyBorder="1" applyAlignment="1" applyProtection="1">
      <alignment horizontal="center" vertical="center"/>
      <protection locked="0"/>
    </xf>
    <xf numFmtId="165" fontId="591" fillId="68" borderId="670" xfId="0" applyNumberFormat="1" applyFont="1" applyFill="1" applyBorder="1" applyAlignment="1" applyProtection="1">
      <alignment horizontal="center" vertical="center"/>
      <protection locked="0"/>
    </xf>
    <xf numFmtId="1" fontId="591" fillId="46" borderId="654" xfId="0" applyNumberFormat="1" applyFont="1" applyFill="1" applyBorder="1" applyAlignment="1" applyProtection="1">
      <alignment horizontal="center" vertical="center"/>
      <protection locked="0"/>
    </xf>
    <xf numFmtId="165" fontId="592" fillId="82" borderId="647" xfId="0" applyNumberFormat="1" applyFont="1" applyFill="1" applyBorder="1" applyAlignment="1" applyProtection="1">
      <alignment horizontal="center" vertical="center"/>
      <protection locked="0"/>
    </xf>
    <xf numFmtId="2" fontId="592" fillId="26" borderId="667" xfId="0" applyNumberFormat="1" applyFont="1" applyFill="1" applyBorder="1" applyAlignment="1">
      <alignment horizontal="center" vertical="center"/>
    </xf>
    <xf numFmtId="0" fontId="558" fillId="125" borderId="672" xfId="0" applyFont="1" applyFill="1" applyBorder="1" applyAlignment="1">
      <alignment horizontal="center" vertical="center"/>
    </xf>
    <xf numFmtId="0" fontId="558" fillId="124" borderId="672" xfId="0" applyFont="1" applyFill="1" applyBorder="1" applyAlignment="1">
      <alignment horizontal="center" vertical="center"/>
    </xf>
    <xf numFmtId="0" fontId="558" fillId="125" borderId="672" xfId="0" applyFont="1" applyFill="1" applyBorder="1" applyAlignment="1">
      <alignment horizontal="left" vertical="center"/>
    </xf>
    <xf numFmtId="0" fontId="514" fillId="123" borderId="641" xfId="0" applyFont="1" applyFill="1" applyBorder="1" applyAlignment="1">
      <alignment horizontal="center" vertical="center"/>
    </xf>
    <xf numFmtId="20" fontId="515" fillId="123" borderId="641" xfId="0" applyNumberFormat="1" applyFont="1" applyFill="1" applyBorder="1" applyAlignment="1">
      <alignment horizontal="center" vertical="center"/>
    </xf>
    <xf numFmtId="0" fontId="514" fillId="123" borderId="642" xfId="0" applyFont="1" applyFill="1" applyBorder="1" applyAlignment="1">
      <alignment horizontal="center" vertical="center"/>
    </xf>
    <xf numFmtId="20" fontId="515" fillId="123" borderId="642" xfId="0" applyNumberFormat="1" applyFont="1" applyFill="1" applyBorder="1" applyAlignment="1">
      <alignment horizontal="center" vertical="center"/>
    </xf>
    <xf numFmtId="0" fontId="593" fillId="123" borderId="643" xfId="0" applyFont="1" applyFill="1" applyBorder="1" applyAlignment="1">
      <alignment horizontal="center" vertical="center"/>
    </xf>
    <xf numFmtId="0" fontId="514" fillId="124" borderId="642" xfId="0" applyFont="1" applyFill="1" applyBorder="1" applyAlignment="1">
      <alignment horizontal="center" vertical="center"/>
    </xf>
    <xf numFmtId="20" fontId="515" fillId="124" borderId="642" xfId="0" applyNumberFormat="1" applyFont="1" applyFill="1" applyBorder="1" applyAlignment="1">
      <alignment horizontal="center" vertical="center"/>
    </xf>
    <xf numFmtId="49" fontId="594" fillId="123" borderId="642" xfId="0" applyNumberFormat="1" applyFont="1" applyFill="1" applyBorder="1" applyAlignment="1">
      <alignment horizontal="center" vertical="center"/>
    </xf>
    <xf numFmtId="0" fontId="595" fillId="123" borderId="643" xfId="0" applyFont="1" applyFill="1" applyBorder="1" applyAlignment="1">
      <alignment horizontal="center" vertical="center"/>
    </xf>
    <xf numFmtId="20" fontId="514" fillId="123" borderId="642" xfId="0" applyNumberFormat="1" applyFont="1" applyFill="1" applyBorder="1" applyAlignment="1">
      <alignment horizontal="center" vertical="center"/>
    </xf>
    <xf numFmtId="0" fontId="595" fillId="124" borderId="642" xfId="0" applyFont="1" applyFill="1" applyBorder="1" applyAlignment="1">
      <alignment horizontal="center" vertical="center"/>
    </xf>
    <xf numFmtId="20" fontId="514" fillId="124" borderId="642" xfId="0" applyNumberFormat="1" applyFont="1" applyFill="1" applyBorder="1" applyAlignment="1">
      <alignment horizontal="center" vertical="center"/>
    </xf>
    <xf numFmtId="0" fontId="595" fillId="123" borderId="642" xfId="0" applyFont="1" applyFill="1" applyBorder="1" applyAlignment="1">
      <alignment horizontal="center" vertical="center"/>
    </xf>
    <xf numFmtId="0" fontId="596" fillId="123" borderId="643" xfId="0" applyFont="1" applyFill="1" applyBorder="1" applyAlignment="1">
      <alignment horizontal="center" vertical="center"/>
    </xf>
    <xf numFmtId="165" fontId="591" fillId="89" borderId="670" xfId="0" applyNumberFormat="1" applyFont="1" applyFill="1" applyBorder="1" applyAlignment="1">
      <alignment horizontal="center"/>
    </xf>
    <xf numFmtId="1" fontId="591" fillId="86" borderId="671" xfId="0" applyNumberFormat="1" applyFont="1" applyFill="1" applyBorder="1" applyAlignment="1" applyProtection="1">
      <alignment horizontal="center" vertical="center" wrapText="1"/>
      <protection locked="0"/>
    </xf>
    <xf numFmtId="1" fontId="591" fillId="86" borderId="670" xfId="0" applyNumberFormat="1" applyFont="1" applyFill="1" applyBorder="1" applyAlignment="1" applyProtection="1">
      <alignment horizontal="center" vertical="center"/>
      <protection locked="0"/>
    </xf>
    <xf numFmtId="1" fontId="591" fillId="86" borderId="670" xfId="0" applyNumberFormat="1" applyFont="1" applyFill="1" applyBorder="1" applyAlignment="1">
      <alignment horizontal="center" vertical="center"/>
    </xf>
    <xf numFmtId="165" fontId="591" fillId="86" borderId="670" xfId="0" applyNumberFormat="1" applyFont="1" applyFill="1" applyBorder="1" applyAlignment="1">
      <alignment horizontal="center" vertical="center"/>
    </xf>
    <xf numFmtId="0" fontId="591" fillId="86" borderId="670" xfId="0" applyFont="1" applyFill="1" applyBorder="1" applyAlignment="1">
      <alignment horizontal="center" vertical="center"/>
    </xf>
    <xf numFmtId="165" fontId="591" fillId="58" borderId="670" xfId="0" applyNumberFormat="1" applyFont="1" applyFill="1" applyBorder="1" applyAlignment="1">
      <alignment horizontal="center" vertical="center"/>
    </xf>
    <xf numFmtId="1" fontId="591" fillId="58" borderId="670" xfId="0" applyNumberFormat="1" applyFont="1" applyFill="1" applyBorder="1" applyAlignment="1" applyProtection="1">
      <alignment horizontal="center" vertical="center"/>
      <protection locked="0"/>
    </xf>
    <xf numFmtId="1" fontId="591" fillId="58" borderId="670" xfId="0" applyNumberFormat="1" applyFont="1" applyFill="1" applyBorder="1" applyAlignment="1" applyProtection="1">
      <alignment horizontal="center" vertical="center" wrapText="1"/>
      <protection locked="0"/>
    </xf>
    <xf numFmtId="1" fontId="592" fillId="58" borderId="670" xfId="0" applyNumberFormat="1" applyFont="1" applyFill="1" applyBorder="1" applyAlignment="1" applyProtection="1">
      <alignment horizontal="center" vertical="center"/>
      <protection locked="0"/>
    </xf>
    <xf numFmtId="1" fontId="591" fillId="58" borderId="654" xfId="0" applyNumberFormat="1" applyFont="1" applyFill="1" applyBorder="1" applyAlignment="1" applyProtection="1">
      <alignment horizontal="center" vertical="center"/>
      <protection locked="0"/>
    </xf>
    <xf numFmtId="165" fontId="591" fillId="58" borderId="670" xfId="0" applyNumberFormat="1" applyFont="1" applyFill="1" applyBorder="1" applyAlignment="1" applyProtection="1">
      <alignment horizontal="center" vertical="center"/>
      <protection locked="0"/>
    </xf>
    <xf numFmtId="0" fontId="597" fillId="58" borderId="0" xfId="0" applyFont="1" applyFill="1" applyAlignment="1">
      <alignment horizontal="center"/>
    </xf>
    <xf numFmtId="1" fontId="591" fillId="86" borderId="654" xfId="0" applyNumberFormat="1" applyFont="1" applyFill="1" applyBorder="1" applyAlignment="1" applyProtection="1">
      <alignment horizontal="center" vertical="center"/>
      <protection locked="0"/>
    </xf>
    <xf numFmtId="1" fontId="591" fillId="86" borderId="654" xfId="0" applyNumberFormat="1" applyFont="1" applyFill="1" applyBorder="1" applyAlignment="1">
      <alignment horizontal="center" vertical="center"/>
    </xf>
    <xf numFmtId="165" fontId="591" fillId="86" borderId="654" xfId="0" applyNumberFormat="1" applyFont="1" applyFill="1" applyBorder="1" applyAlignment="1">
      <alignment horizontal="center" vertical="center"/>
    </xf>
    <xf numFmtId="1" fontId="591" fillId="42" borderId="654" xfId="0" applyNumberFormat="1" applyFont="1" applyFill="1" applyBorder="1" applyAlignment="1" applyProtection="1">
      <alignment horizontal="center" vertical="center"/>
      <protection locked="0"/>
    </xf>
    <xf numFmtId="1" fontId="591" fillId="86" borderId="654" xfId="0" applyNumberFormat="1" applyFont="1" applyFill="1" applyBorder="1" applyAlignment="1">
      <alignment horizontal="center"/>
    </xf>
    <xf numFmtId="0" fontId="591" fillId="86" borderId="654" xfId="0" applyFont="1" applyFill="1" applyBorder="1" applyAlignment="1">
      <alignment horizontal="center" vertical="center"/>
    </xf>
    <xf numFmtId="165" fontId="591" fillId="58" borderId="654" xfId="0" applyNumberFormat="1" applyFont="1" applyFill="1" applyBorder="1" applyAlignment="1">
      <alignment horizontal="center" vertical="center"/>
    </xf>
    <xf numFmtId="1" fontId="591" fillId="58" borderId="654" xfId="0" applyNumberFormat="1" applyFont="1" applyFill="1" applyBorder="1" applyAlignment="1" applyProtection="1">
      <alignment horizontal="center" vertical="center" wrapText="1"/>
      <protection locked="0"/>
    </xf>
    <xf numFmtId="1" fontId="591" fillId="34" borderId="654" xfId="0" applyNumberFormat="1" applyFont="1" applyFill="1" applyBorder="1" applyAlignment="1" applyProtection="1">
      <alignment horizontal="center" vertical="center"/>
      <protection locked="0"/>
    </xf>
    <xf numFmtId="165" fontId="591" fillId="58" borderId="654" xfId="0" applyNumberFormat="1" applyFont="1" applyFill="1" applyBorder="1" applyAlignment="1" applyProtection="1">
      <alignment horizontal="center" vertical="center"/>
      <protection locked="0"/>
    </xf>
    <xf numFmtId="1" fontId="592" fillId="58" borderId="654" xfId="0" applyNumberFormat="1" applyFont="1" applyFill="1" applyBorder="1" applyAlignment="1" applyProtection="1">
      <alignment horizontal="center" vertical="center"/>
      <protection locked="0"/>
    </xf>
    <xf numFmtId="1" fontId="598" fillId="74" borderId="10" xfId="0" applyNumberFormat="1" applyFont="1" applyFill="1" applyBorder="1" applyAlignment="1" applyProtection="1">
      <alignment horizontal="center" vertical="center"/>
      <protection locked="0"/>
    </xf>
    <xf numFmtId="1" fontId="599" fillId="74" borderId="10" xfId="0" applyNumberFormat="1" applyFont="1" applyFill="1" applyBorder="1" applyAlignment="1" applyProtection="1">
      <alignment horizontal="center" vertical="center"/>
      <protection locked="0"/>
    </xf>
    <xf numFmtId="1" fontId="598" fillId="74" borderId="0" xfId="0" applyNumberFormat="1" applyFont="1" applyFill="1" applyAlignment="1" applyProtection="1">
      <alignment horizontal="center" vertical="center"/>
      <protection locked="0"/>
    </xf>
    <xf numFmtId="165" fontId="600" fillId="73" borderId="10" xfId="0" applyNumberFormat="1" applyFont="1" applyFill="1" applyBorder="1" applyAlignment="1">
      <alignment horizontal="center" vertical="center"/>
    </xf>
    <xf numFmtId="1" fontId="600" fillId="73" borderId="10" xfId="0" applyNumberFormat="1" applyFont="1" applyFill="1" applyBorder="1" applyAlignment="1" applyProtection="1">
      <alignment horizontal="center" vertical="center"/>
      <protection locked="0"/>
    </xf>
    <xf numFmtId="1" fontId="591" fillId="34" borderId="10" xfId="0" applyNumberFormat="1" applyFont="1" applyFill="1" applyBorder="1" applyAlignment="1" applyProtection="1">
      <alignment horizontal="center" vertical="center"/>
      <protection locked="0"/>
    </xf>
    <xf numFmtId="1" fontId="591" fillId="58" borderId="10" xfId="0" applyNumberFormat="1" applyFont="1" applyFill="1" applyBorder="1" applyAlignment="1" applyProtection="1">
      <alignment horizontal="center" vertical="center"/>
      <protection locked="0"/>
    </xf>
    <xf numFmtId="165" fontId="600" fillId="73" borderId="10" xfId="0" applyNumberFormat="1" applyFont="1" applyFill="1" applyBorder="1" applyAlignment="1" applyProtection="1">
      <alignment horizontal="center" vertical="center"/>
      <protection locked="0"/>
    </xf>
    <xf numFmtId="1" fontId="601" fillId="73" borderId="10" xfId="0" applyNumberFormat="1" applyFont="1" applyFill="1" applyBorder="1" applyAlignment="1" applyProtection="1">
      <alignment horizontal="center" vertical="center"/>
      <protection locked="0"/>
    </xf>
    <xf numFmtId="1" fontId="592" fillId="46" borderId="10" xfId="0" applyNumberFormat="1" applyFont="1" applyFill="1" applyBorder="1" applyAlignment="1" applyProtection="1">
      <alignment horizontal="center" vertical="center"/>
      <protection locked="0"/>
    </xf>
    <xf numFmtId="2" fontId="592" fillId="26" borderId="667" xfId="0" applyNumberFormat="1" applyFont="1" applyFill="1" applyBorder="1" applyAlignment="1">
      <alignment horizontal="center" vertical="center" wrapText="1"/>
    </xf>
    <xf numFmtId="1" fontId="591" fillId="86" borderId="47" xfId="0" applyNumberFormat="1" applyFont="1" applyFill="1" applyBorder="1" applyAlignment="1" applyProtection="1">
      <alignment horizontal="center" vertical="center"/>
      <protection locked="0"/>
    </xf>
    <xf numFmtId="1" fontId="591" fillId="86" borderId="100" xfId="0" applyNumberFormat="1" applyFont="1" applyFill="1" applyBorder="1" applyAlignment="1">
      <alignment horizontal="center" vertical="center"/>
    </xf>
    <xf numFmtId="165" fontId="591" fillId="86" borderId="100" xfId="0" applyNumberFormat="1" applyFont="1" applyFill="1" applyBorder="1" applyAlignment="1">
      <alignment horizontal="center" vertical="center"/>
    </xf>
    <xf numFmtId="0" fontId="591" fillId="86" borderId="100" xfId="0" applyFont="1" applyFill="1" applyBorder="1" applyAlignment="1">
      <alignment horizontal="center" vertical="center"/>
    </xf>
    <xf numFmtId="1" fontId="591" fillId="58" borderId="100" xfId="0" applyNumberFormat="1" applyFont="1" applyFill="1" applyBorder="1" applyAlignment="1" applyProtection="1">
      <alignment horizontal="center" vertical="center"/>
      <protection locked="0"/>
    </xf>
    <xf numFmtId="1" fontId="591" fillId="86" borderId="646" xfId="0" applyNumberFormat="1" applyFont="1" applyFill="1" applyBorder="1" applyAlignment="1" applyProtection="1">
      <alignment horizontal="center" vertical="center"/>
      <protection locked="0"/>
    </xf>
    <xf numFmtId="1" fontId="463" fillId="0" borderId="446" xfId="436" applyNumberFormat="1" applyFont="1" applyFill="1" applyBorder="1" applyAlignment="1" applyProtection="1">
      <alignment horizontal="center" vertical="center"/>
      <protection locked="0"/>
    </xf>
    <xf numFmtId="0" fontId="174" fillId="34" borderId="569" xfId="556" applyFont="1" applyFill="1" applyBorder="1" applyAlignment="1" applyProtection="1">
      <alignment horizontal="center" vertical="center"/>
    </xf>
    <xf numFmtId="1" fontId="591" fillId="87" borderId="670" xfId="0" applyNumberFormat="1" applyFont="1" applyFill="1" applyBorder="1" applyAlignment="1" applyProtection="1">
      <alignment horizontal="center" vertical="center"/>
      <protection locked="0"/>
    </xf>
    <xf numFmtId="1" fontId="591" fillId="87" borderId="670" xfId="0" applyNumberFormat="1" applyFont="1" applyFill="1" applyBorder="1" applyAlignment="1">
      <alignment horizontal="center" vertical="center"/>
    </xf>
    <xf numFmtId="165" fontId="591" fillId="87" borderId="670" xfId="0" applyNumberFormat="1" applyFont="1" applyFill="1" applyBorder="1" applyAlignment="1">
      <alignment horizontal="center" vertical="center"/>
    </xf>
    <xf numFmtId="0" fontId="591" fillId="87" borderId="670" xfId="0" applyFont="1" applyFill="1" applyBorder="1" applyAlignment="1">
      <alignment horizontal="center" vertical="center"/>
    </xf>
    <xf numFmtId="0" fontId="591" fillId="87" borderId="654" xfId="0" applyFont="1" applyFill="1" applyBorder="1" applyAlignment="1">
      <alignment horizontal="center" vertical="center"/>
    </xf>
    <xf numFmtId="165" fontId="591" fillId="88" borderId="670" xfId="0" applyNumberFormat="1" applyFont="1" applyFill="1" applyBorder="1" applyAlignment="1">
      <alignment horizontal="center" vertical="center"/>
    </xf>
    <xf numFmtId="1" fontId="591" fillId="88" borderId="670" xfId="0" applyNumberFormat="1" applyFont="1" applyFill="1" applyBorder="1" applyAlignment="1" applyProtection="1">
      <alignment horizontal="center" vertical="center"/>
      <protection locked="0"/>
    </xf>
    <xf numFmtId="1" fontId="591" fillId="88" borderId="654" xfId="0" applyNumberFormat="1" applyFont="1" applyFill="1" applyBorder="1" applyAlignment="1" applyProtection="1">
      <alignment horizontal="center" vertical="center"/>
      <protection locked="0"/>
    </xf>
    <xf numFmtId="165" fontId="591" fillId="88" borderId="670" xfId="0" applyNumberFormat="1" applyFont="1" applyFill="1" applyBorder="1" applyAlignment="1" applyProtection="1">
      <alignment horizontal="center" vertical="center"/>
      <protection locked="0"/>
    </xf>
    <xf numFmtId="1" fontId="591" fillId="87" borderId="671" xfId="0" applyNumberFormat="1" applyFont="1" applyFill="1" applyBorder="1" applyAlignment="1" applyProtection="1">
      <alignment horizontal="center" vertical="center"/>
      <protection locked="0"/>
    </xf>
    <xf numFmtId="1" fontId="592" fillId="88" borderId="670" xfId="0" applyNumberFormat="1" applyFont="1" applyFill="1" applyBorder="1" applyAlignment="1" applyProtection="1">
      <alignment horizontal="center" vertical="center"/>
      <protection locked="0"/>
    </xf>
    <xf numFmtId="165" fontId="591" fillId="46" borderId="654" xfId="0" applyNumberFormat="1" applyFont="1" applyFill="1" applyBorder="1" applyAlignment="1" applyProtection="1">
      <alignment horizontal="center" vertical="center"/>
      <protection locked="0"/>
    </xf>
    <xf numFmtId="0" fontId="316" fillId="0" borderId="0" xfId="0" applyFont="1"/>
    <xf numFmtId="1" fontId="45" fillId="88" borderId="670" xfId="0" applyNumberFormat="1" applyFont="1" applyFill="1" applyBorder="1" applyAlignment="1" applyProtection="1">
      <alignment horizontal="center" vertical="center" wrapText="1"/>
      <protection locked="0"/>
    </xf>
    <xf numFmtId="2" fontId="50" fillId="26" borderId="667" xfId="0" applyNumberFormat="1" applyFont="1" applyFill="1" applyBorder="1" applyAlignment="1">
      <alignment horizontal="center" vertical="center"/>
    </xf>
    <xf numFmtId="0" fontId="602" fillId="0" borderId="0" xfId="0" applyFont="1"/>
    <xf numFmtId="0" fontId="113" fillId="0" borderId="0" xfId="0" applyFont="1" applyFill="1" applyBorder="1" applyAlignment="1">
      <alignment vertical="center"/>
    </xf>
    <xf numFmtId="0" fontId="113" fillId="0" borderId="24" xfId="0" applyFont="1" applyBorder="1" applyAlignment="1">
      <alignment vertical="center"/>
    </xf>
    <xf numFmtId="0" fontId="563" fillId="0" borderId="301" xfId="0" applyFont="1" applyBorder="1" applyAlignment="1">
      <alignment vertical="center"/>
    </xf>
    <xf numFmtId="0" fontId="590" fillId="0" borderId="301" xfId="0" applyFont="1" applyBorder="1" applyAlignment="1"/>
    <xf numFmtId="0" fontId="370" fillId="0" borderId="13" xfId="0" applyFont="1" applyBorder="1" applyAlignment="1">
      <alignment vertical="center"/>
    </xf>
    <xf numFmtId="0" fontId="370" fillId="0" borderId="301" xfId="0" applyFont="1" applyBorder="1" applyAlignment="1">
      <alignment vertical="center"/>
    </xf>
    <xf numFmtId="0" fontId="487" fillId="0" borderId="301" xfId="0" applyFont="1" applyBorder="1" applyAlignment="1">
      <alignment vertical="center"/>
    </xf>
    <xf numFmtId="0" fontId="487" fillId="0" borderId="301" xfId="0" applyFont="1" applyBorder="1"/>
    <xf numFmtId="0" fontId="487" fillId="0" borderId="301" xfId="0" applyFont="1" applyBorder="1" applyAlignment="1"/>
    <xf numFmtId="0" fontId="487" fillId="0" borderId="502" xfId="0" applyFont="1" applyBorder="1"/>
    <xf numFmtId="0" fontId="94" fillId="0" borderId="13" xfId="0" applyFont="1" applyBorder="1"/>
    <xf numFmtId="0" fontId="213" fillId="61" borderId="14" xfId="0" applyFont="1" applyFill="1" applyBorder="1" applyAlignment="1">
      <alignment horizontal="left" vertical="center"/>
    </xf>
    <xf numFmtId="0" fontId="213" fillId="61" borderId="30" xfId="0" applyFont="1" applyFill="1" applyBorder="1" applyAlignment="1">
      <alignment horizontal="left" vertical="center"/>
    </xf>
    <xf numFmtId="0" fontId="108" fillId="0" borderId="10" xfId="0" applyFont="1" applyFill="1" applyBorder="1" applyAlignment="1">
      <alignment horizontal="left" vertical="center"/>
    </xf>
    <xf numFmtId="0" fontId="125" fillId="0" borderId="14" xfId="0" applyFont="1" applyFill="1" applyBorder="1" applyAlignment="1">
      <alignment horizontal="center" vertical="center"/>
    </xf>
    <xf numFmtId="0" fontId="125" fillId="0" borderId="30" xfId="0" applyFont="1" applyFill="1" applyBorder="1" applyAlignment="1">
      <alignment horizontal="center" vertical="center"/>
    </xf>
    <xf numFmtId="0" fontId="125" fillId="0" borderId="10" xfId="0" applyFont="1" applyFill="1" applyBorder="1" applyAlignment="1">
      <alignment horizontal="center" vertical="center"/>
    </xf>
    <xf numFmtId="0" fontId="268" fillId="99" borderId="14" xfId="0" applyFont="1" applyFill="1" applyBorder="1" applyAlignment="1">
      <alignment horizontal="center" vertical="center"/>
    </xf>
    <xf numFmtId="0" fontId="268" fillId="99" borderId="30" xfId="0" applyFont="1" applyFill="1" applyBorder="1" applyAlignment="1">
      <alignment horizontal="center" vertical="center"/>
    </xf>
    <xf numFmtId="0" fontId="108" fillId="0" borderId="10" xfId="0" applyFont="1" applyFill="1" applyBorder="1" applyAlignment="1">
      <alignment horizontal="center" vertical="center"/>
    </xf>
    <xf numFmtId="0" fontId="92" fillId="0" borderId="0" xfId="0" applyFont="1" applyBorder="1" applyAlignment="1">
      <alignment horizontal="center" vertical="center"/>
    </xf>
    <xf numFmtId="14" fontId="92" fillId="0" borderId="0" xfId="0" applyNumberFormat="1" applyFont="1" applyBorder="1" applyAlignment="1">
      <alignment horizontal="center" vertical="center"/>
    </xf>
    <xf numFmtId="14" fontId="125" fillId="0" borderId="14" xfId="0" applyNumberFormat="1" applyFont="1" applyFill="1" applyBorder="1" applyAlignment="1">
      <alignment horizontal="center" vertical="center"/>
    </xf>
    <xf numFmtId="14" fontId="125" fillId="0" borderId="30" xfId="0" applyNumberFormat="1" applyFont="1" applyFill="1" applyBorder="1" applyAlignment="1">
      <alignment horizontal="center" vertical="center"/>
    </xf>
    <xf numFmtId="14" fontId="125" fillId="0" borderId="10" xfId="0" applyNumberFormat="1" applyFont="1" applyFill="1" applyBorder="1" applyAlignment="1">
      <alignment horizontal="center" vertical="center"/>
    </xf>
    <xf numFmtId="0" fontId="213" fillId="61" borderId="24" xfId="0" applyFont="1" applyFill="1" applyBorder="1" applyAlignment="1">
      <alignment horizontal="left" vertical="center"/>
    </xf>
    <xf numFmtId="0" fontId="213" fillId="61" borderId="41" xfId="0" applyFont="1" applyFill="1" applyBorder="1" applyAlignment="1">
      <alignment horizontal="left" vertical="center"/>
    </xf>
    <xf numFmtId="0" fontId="213" fillId="61" borderId="22" xfId="0" applyFont="1" applyFill="1" applyBorder="1" applyAlignment="1">
      <alignment horizontal="left" vertical="center"/>
    </xf>
    <xf numFmtId="0" fontId="213" fillId="61" borderId="18" xfId="0" applyFont="1" applyFill="1" applyBorder="1" applyAlignment="1">
      <alignment horizontal="left" vertical="center"/>
    </xf>
    <xf numFmtId="1" fontId="214" fillId="0" borderId="0" xfId="0" applyNumberFormat="1" applyFont="1" applyFill="1" applyBorder="1" applyAlignment="1">
      <alignment horizontal="center" vertical="center"/>
    </xf>
    <xf numFmtId="0" fontId="118" fillId="61" borderId="14" xfId="0" applyFont="1" applyFill="1" applyBorder="1" applyAlignment="1">
      <alignment horizontal="left" vertical="center"/>
    </xf>
    <xf numFmtId="0" fontId="118" fillId="61" borderId="30" xfId="0" applyFont="1" applyFill="1" applyBorder="1" applyAlignment="1">
      <alignment horizontal="left" vertical="center"/>
    </xf>
    <xf numFmtId="0" fontId="213" fillId="0" borderId="42" xfId="0" applyFont="1" applyFill="1" applyBorder="1" applyAlignment="1">
      <alignment horizontal="left" vertical="center"/>
    </xf>
    <xf numFmtId="1" fontId="125" fillId="0" borderId="42" xfId="0" applyNumberFormat="1" applyFont="1" applyFill="1" applyBorder="1" applyAlignment="1">
      <alignment horizontal="center" vertical="center"/>
    </xf>
    <xf numFmtId="1" fontId="125" fillId="56" borderId="10" xfId="0" applyNumberFormat="1" applyFont="1" applyFill="1" applyBorder="1" applyAlignment="1">
      <alignment horizontal="center" vertical="center"/>
    </xf>
    <xf numFmtId="173" fontId="50" fillId="0" borderId="88" xfId="430" applyNumberFormat="1" applyFont="1" applyFill="1" applyBorder="1" applyAlignment="1">
      <alignment horizontal="center" vertical="center" wrapText="1"/>
    </xf>
    <xf numFmtId="173" fontId="50" fillId="0" borderId="157" xfId="430" applyNumberFormat="1" applyFont="1" applyFill="1" applyBorder="1" applyAlignment="1">
      <alignment horizontal="center" vertical="center" wrapText="1"/>
    </xf>
    <xf numFmtId="173" fontId="237" fillId="0" borderId="39" xfId="430" applyNumberFormat="1" applyFont="1" applyFill="1" applyBorder="1" applyAlignment="1">
      <alignment horizontal="center" vertical="center"/>
    </xf>
    <xf numFmtId="173" fontId="237" fillId="0" borderId="37" xfId="430" applyNumberFormat="1" applyFont="1" applyFill="1" applyBorder="1" applyAlignment="1">
      <alignment horizontal="center" vertical="center"/>
    </xf>
    <xf numFmtId="173" fontId="237" fillId="0" borderId="38" xfId="430" applyNumberFormat="1" applyFont="1" applyFill="1" applyBorder="1" applyAlignment="1">
      <alignment horizontal="center" vertical="center"/>
    </xf>
    <xf numFmtId="173" fontId="78" fillId="0" borderId="46" xfId="430" applyNumberFormat="1" applyFont="1" applyFill="1" applyBorder="1" applyAlignment="1">
      <alignment horizontal="center" vertical="center"/>
    </xf>
    <xf numFmtId="173" fontId="78" fillId="0" borderId="159" xfId="430" applyNumberFormat="1" applyFont="1" applyFill="1" applyBorder="1" applyAlignment="1">
      <alignment horizontal="center" vertical="center"/>
    </xf>
    <xf numFmtId="0" fontId="56" fillId="54" borderId="14" xfId="0" applyFont="1" applyFill="1" applyBorder="1" applyAlignment="1">
      <alignment horizontal="center" vertical="center"/>
    </xf>
    <xf numFmtId="0" fontId="56" fillId="54" borderId="30" xfId="0" applyFont="1" applyFill="1" applyBorder="1" applyAlignment="1">
      <alignment horizontal="center" vertical="center"/>
    </xf>
    <xf numFmtId="0" fontId="7" fillId="32" borderId="14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32" borderId="10" xfId="0" applyFont="1" applyFill="1" applyBorder="1" applyAlignment="1">
      <alignment horizontal="center" vertical="center"/>
    </xf>
    <xf numFmtId="2" fontId="9" fillId="0" borderId="0" xfId="436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9" fillId="46" borderId="23" xfId="0" applyFont="1" applyFill="1" applyBorder="1" applyAlignment="1">
      <alignment horizontal="center" vertical="center" wrapText="1"/>
    </xf>
    <xf numFmtId="0" fontId="9" fillId="46" borderId="31" xfId="0" applyFont="1" applyFill="1" applyBorder="1" applyAlignment="1">
      <alignment horizontal="center" vertical="center" wrapText="1"/>
    </xf>
    <xf numFmtId="0" fontId="9" fillId="46" borderId="10" xfId="0" applyFont="1" applyFill="1" applyBorder="1" applyAlignment="1">
      <alignment horizontal="center" vertical="center" wrapText="1"/>
    </xf>
    <xf numFmtId="0" fontId="9" fillId="46" borderId="23" xfId="436" applyFont="1" applyFill="1" applyBorder="1" applyAlignment="1">
      <alignment horizontal="center" vertical="center" wrapText="1"/>
    </xf>
    <xf numFmtId="0" fontId="9" fillId="46" borderId="31" xfId="436" applyFont="1" applyFill="1" applyBorder="1" applyAlignment="1">
      <alignment horizontal="center" vertical="center" wrapText="1"/>
    </xf>
    <xf numFmtId="0" fontId="9" fillId="46" borderId="10" xfId="0" applyFont="1" applyFill="1" applyBorder="1" applyAlignment="1">
      <alignment horizontal="center" vertical="center"/>
    </xf>
    <xf numFmtId="173" fontId="7" fillId="0" borderId="58" xfId="429" applyNumberFormat="1" applyFont="1" applyFill="1" applyBorder="1" applyAlignment="1" applyProtection="1">
      <alignment horizontal="center" vertical="center"/>
    </xf>
    <xf numFmtId="173" fontId="7" fillId="0" borderId="277" xfId="429" applyNumberFormat="1" applyFont="1" applyFill="1" applyBorder="1" applyAlignment="1" applyProtection="1">
      <alignment horizontal="center" vertical="center"/>
    </xf>
    <xf numFmtId="173" fontId="92" fillId="56" borderId="23" xfId="414" applyNumberFormat="1" applyFont="1" applyFill="1" applyBorder="1" applyAlignment="1">
      <alignment horizontal="center" vertical="center" wrapText="1"/>
    </xf>
    <xf numFmtId="173" fontId="92" fillId="56" borderId="31" xfId="414" applyNumberFormat="1" applyFont="1" applyFill="1" applyBorder="1" applyAlignment="1">
      <alignment horizontal="center" vertical="center" wrapText="1"/>
    </xf>
    <xf numFmtId="173" fontId="92" fillId="56" borderId="23" xfId="414" applyNumberFormat="1" applyFont="1" applyFill="1" applyBorder="1" applyAlignment="1">
      <alignment horizontal="center" vertical="center"/>
    </xf>
    <xf numFmtId="173" fontId="92" fillId="56" borderId="31" xfId="414" applyNumberFormat="1" applyFont="1" applyFill="1" applyBorder="1" applyAlignment="1">
      <alignment horizontal="center" vertical="center"/>
    </xf>
    <xf numFmtId="173" fontId="108" fillId="32" borderId="10" xfId="414" applyNumberFormat="1" applyFont="1" applyFill="1" applyBorder="1" applyAlignment="1">
      <alignment horizontal="center" vertical="center" wrapText="1"/>
    </xf>
    <xf numFmtId="10" fontId="118" fillId="32" borderId="23" xfId="458" applyNumberFormat="1" applyFont="1" applyFill="1" applyBorder="1" applyAlignment="1">
      <alignment horizontal="center" vertical="center"/>
    </xf>
    <xf numFmtId="10" fontId="118" fillId="32" borderId="43" xfId="458" applyNumberFormat="1" applyFont="1" applyFill="1" applyBorder="1" applyAlignment="1">
      <alignment horizontal="center" vertical="center"/>
    </xf>
    <xf numFmtId="10" fontId="118" fillId="32" borderId="31" xfId="458" applyNumberFormat="1" applyFont="1" applyFill="1" applyBorder="1" applyAlignment="1">
      <alignment horizontal="center" vertical="center"/>
    </xf>
    <xf numFmtId="173" fontId="13" fillId="0" borderId="94" xfId="435" applyNumberFormat="1" applyFont="1" applyBorder="1" applyAlignment="1">
      <alignment horizontal="center"/>
    </xf>
    <xf numFmtId="173" fontId="89" fillId="0" borderId="189" xfId="401" applyNumberFormat="1" applyFont="1" applyBorder="1" applyAlignment="1">
      <alignment horizontal="center"/>
    </xf>
    <xf numFmtId="173" fontId="13" fillId="0" borderId="476" xfId="435" applyNumberFormat="1" applyFont="1" applyBorder="1" applyAlignment="1">
      <alignment horizontal="center"/>
    </xf>
    <xf numFmtId="173" fontId="89" fillId="0" borderId="46" xfId="401" applyNumberFormat="1" applyFont="1" applyBorder="1" applyAlignment="1">
      <alignment horizontal="center"/>
    </xf>
    <xf numFmtId="0" fontId="167" fillId="0" borderId="57" xfId="0" applyFont="1" applyBorder="1" applyAlignment="1">
      <alignment horizontal="center" vertical="center"/>
    </xf>
    <xf numFmtId="0" fontId="167" fillId="0" borderId="105" xfId="0" applyFont="1" applyBorder="1" applyAlignment="1">
      <alignment horizontal="center" vertical="center"/>
    </xf>
    <xf numFmtId="0" fontId="29" fillId="0" borderId="309" xfId="0" applyFont="1" applyBorder="1" applyAlignment="1">
      <alignment horizontal="center" vertical="center"/>
    </xf>
    <xf numFmtId="0" fontId="29" fillId="0" borderId="106" xfId="0" applyFont="1" applyBorder="1" applyAlignment="1">
      <alignment horizontal="center" vertical="center"/>
    </xf>
    <xf numFmtId="0" fontId="29" fillId="0" borderId="14" xfId="428" applyFont="1" applyFill="1" applyBorder="1" applyAlignment="1">
      <alignment horizontal="left" vertical="center"/>
    </xf>
    <xf numFmtId="0" fontId="29" fillId="0" borderId="15" xfId="428" applyFont="1" applyFill="1" applyBorder="1" applyAlignment="1">
      <alignment horizontal="left" vertical="center"/>
    </xf>
    <xf numFmtId="0" fontId="29" fillId="0" borderId="14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30" xfId="0" applyFont="1" applyBorder="1" applyAlignment="1">
      <alignment horizontal="left" vertical="center"/>
    </xf>
    <xf numFmtId="0" fontId="168" fillId="0" borderId="14" xfId="0" applyFont="1" applyBorder="1" applyAlignment="1">
      <alignment vertical="center" wrapText="1"/>
    </xf>
    <xf numFmtId="0" fontId="168" fillId="0" borderId="15" xfId="0" applyFont="1" applyBorder="1" applyAlignment="1">
      <alignment vertical="center" wrapText="1"/>
    </xf>
    <xf numFmtId="0" fontId="168" fillId="0" borderId="30" xfId="0" applyFont="1" applyBorder="1" applyAlignment="1">
      <alignment vertical="center" wrapText="1"/>
    </xf>
    <xf numFmtId="0" fontId="29" fillId="0" borderId="24" xfId="428" applyFont="1" applyFill="1" applyBorder="1" applyAlignment="1">
      <alignment horizontal="left" vertical="center"/>
    </xf>
    <xf numFmtId="0" fontId="29" fillId="0" borderId="42" xfId="428" applyFont="1" applyFill="1" applyBorder="1" applyAlignment="1">
      <alignment horizontal="left" vertical="center"/>
    </xf>
    <xf numFmtId="0" fontId="29" fillId="0" borderId="41" xfId="428" applyFont="1" applyFill="1" applyBorder="1" applyAlignment="1">
      <alignment horizontal="left" vertical="center"/>
    </xf>
    <xf numFmtId="0" fontId="29" fillId="0" borderId="22" xfId="428" applyFont="1" applyFill="1" applyBorder="1" applyAlignment="1">
      <alignment horizontal="left" vertical="center"/>
    </xf>
    <xf numFmtId="0" fontId="29" fillId="0" borderId="17" xfId="428" applyFont="1" applyFill="1" applyBorder="1" applyAlignment="1">
      <alignment horizontal="left" vertical="center"/>
    </xf>
    <xf numFmtId="0" fontId="29" fillId="0" borderId="18" xfId="428" applyFont="1" applyFill="1" applyBorder="1" applyAlignment="1">
      <alignment horizontal="left" vertical="center"/>
    </xf>
    <xf numFmtId="1" fontId="94" fillId="48" borderId="14" xfId="0" applyNumberFormat="1" applyFont="1" applyFill="1" applyBorder="1" applyAlignment="1">
      <alignment horizontal="center" vertical="center"/>
    </xf>
    <xf numFmtId="1" fontId="94" fillId="48" borderId="15" xfId="0" applyNumberFormat="1" applyFont="1" applyFill="1" applyBorder="1" applyAlignment="1">
      <alignment horizontal="center" vertical="center"/>
    </xf>
    <xf numFmtId="1" fontId="94" fillId="48" borderId="30" xfId="0" applyNumberFormat="1" applyFont="1" applyFill="1" applyBorder="1" applyAlignment="1">
      <alignment horizontal="center" vertical="center"/>
    </xf>
    <xf numFmtId="0" fontId="27" fillId="48" borderId="39" xfId="0" applyFont="1" applyFill="1" applyBorder="1" applyAlignment="1">
      <alignment horizontal="center" vertical="center"/>
    </xf>
    <xf numFmtId="0" fontId="27" fillId="48" borderId="38" xfId="0" applyFont="1" applyFill="1" applyBorder="1" applyAlignment="1">
      <alignment horizontal="center" vertical="center"/>
    </xf>
    <xf numFmtId="0" fontId="181" fillId="48" borderId="39" xfId="0" applyFont="1" applyFill="1" applyBorder="1" applyAlignment="1">
      <alignment horizontal="center" vertical="center"/>
    </xf>
    <xf numFmtId="0" fontId="181" fillId="48" borderId="38" xfId="0" applyFont="1" applyFill="1" applyBorder="1" applyAlignment="1">
      <alignment horizontal="center" vertical="center"/>
    </xf>
    <xf numFmtId="0" fontId="9" fillId="26" borderId="14" xfId="0" applyFont="1" applyFill="1" applyBorder="1" applyAlignment="1">
      <alignment horizontal="center"/>
    </xf>
    <xf numFmtId="0" fontId="9" fillId="26" borderId="30" xfId="0" applyFont="1" applyFill="1" applyBorder="1" applyAlignment="1">
      <alignment horizontal="center"/>
    </xf>
    <xf numFmtId="0" fontId="141" fillId="0" borderId="24" xfId="0" applyFont="1" applyBorder="1" applyAlignment="1">
      <alignment horizontal="center"/>
    </xf>
    <xf numFmtId="0" fontId="141" fillId="0" borderId="42" xfId="0" applyFont="1" applyBorder="1" applyAlignment="1">
      <alignment horizontal="center"/>
    </xf>
    <xf numFmtId="0" fontId="141" fillId="0" borderId="41" xfId="0" applyFont="1" applyBorder="1" applyAlignment="1">
      <alignment horizontal="center"/>
    </xf>
    <xf numFmtId="0" fontId="141" fillId="0" borderId="22" xfId="0" applyFont="1" applyBorder="1" applyAlignment="1">
      <alignment horizontal="center"/>
    </xf>
    <xf numFmtId="0" fontId="141" fillId="0" borderId="17" xfId="0" applyFont="1" applyBorder="1" applyAlignment="1">
      <alignment horizontal="center"/>
    </xf>
    <xf numFmtId="0" fontId="141" fillId="0" borderId="18" xfId="0" applyFont="1" applyBorder="1" applyAlignment="1">
      <alignment horizontal="center"/>
    </xf>
    <xf numFmtId="0" fontId="27" fillId="48" borderId="14" xfId="0" applyFont="1" applyFill="1" applyBorder="1" applyAlignment="1">
      <alignment horizontal="center" vertical="center"/>
    </xf>
    <xf numFmtId="0" fontId="27" fillId="48" borderId="15" xfId="0" applyFont="1" applyFill="1" applyBorder="1" applyAlignment="1">
      <alignment horizontal="center" vertical="center"/>
    </xf>
    <xf numFmtId="0" fontId="27" fillId="48" borderId="30" xfId="0" applyFont="1" applyFill="1" applyBorder="1" applyAlignment="1">
      <alignment horizontal="center" vertical="center"/>
    </xf>
    <xf numFmtId="0" fontId="94" fillId="48" borderId="23" xfId="0" applyFont="1" applyFill="1" applyBorder="1" applyAlignment="1">
      <alignment horizontal="center" vertical="center"/>
    </xf>
    <xf numFmtId="0" fontId="94" fillId="48" borderId="31" xfId="0" applyFont="1" applyFill="1" applyBorder="1" applyAlignment="1">
      <alignment horizontal="center" vertical="center"/>
    </xf>
    <xf numFmtId="0" fontId="363" fillId="0" borderId="40" xfId="0" applyFont="1" applyBorder="1" applyAlignment="1">
      <alignment horizontal="center" vertical="center"/>
    </xf>
    <xf numFmtId="0" fontId="363" fillId="0" borderId="0" xfId="0" applyFont="1" applyBorder="1" applyAlignment="1">
      <alignment horizontal="center" vertical="center"/>
    </xf>
    <xf numFmtId="173" fontId="78" fillId="0" borderId="0" xfId="430" applyNumberFormat="1" applyFont="1" applyFill="1" applyBorder="1" applyAlignment="1">
      <alignment horizontal="center" vertical="center"/>
    </xf>
    <xf numFmtId="1" fontId="2" fillId="48" borderId="23" xfId="428" applyNumberFormat="1" applyFont="1" applyFill="1" applyBorder="1" applyAlignment="1">
      <alignment horizontal="center" vertical="center"/>
    </xf>
    <xf numFmtId="1" fontId="2" fillId="48" borderId="31" xfId="428" applyNumberFormat="1" applyFont="1" applyFill="1" applyBorder="1" applyAlignment="1">
      <alignment horizontal="center" vertical="center"/>
    </xf>
    <xf numFmtId="0" fontId="2" fillId="28" borderId="23" xfId="428" applyFont="1" applyFill="1" applyBorder="1" applyAlignment="1">
      <alignment horizontal="center" vertical="center"/>
    </xf>
    <xf numFmtId="0" fontId="2" fillId="28" borderId="31" xfId="428" applyFont="1" applyFill="1" applyBorder="1" applyAlignment="1">
      <alignment horizontal="center" vertical="center"/>
    </xf>
    <xf numFmtId="0" fontId="120" fillId="0" borderId="0" xfId="428" applyFont="1" applyAlignment="1">
      <alignment horizontal="center"/>
    </xf>
    <xf numFmtId="0" fontId="201" fillId="0" borderId="0" xfId="428" applyFont="1" applyFill="1" applyAlignment="1">
      <alignment horizontal="center"/>
    </xf>
    <xf numFmtId="0" fontId="201" fillId="0" borderId="0" xfId="428" quotePrefix="1" applyFont="1" applyFill="1" applyAlignment="1">
      <alignment horizontal="center"/>
    </xf>
    <xf numFmtId="0" fontId="2" fillId="57" borderId="23" xfId="428" applyFont="1" applyFill="1" applyBorder="1" applyAlignment="1">
      <alignment horizontal="center" vertical="center"/>
    </xf>
    <xf numFmtId="0" fontId="2" fillId="57" borderId="31" xfId="428" applyFont="1" applyFill="1" applyBorder="1" applyAlignment="1">
      <alignment horizontal="center" vertical="center"/>
    </xf>
    <xf numFmtId="0" fontId="8" fillId="0" borderId="0" xfId="428" applyFont="1" applyAlignment="1">
      <alignment horizontal="center"/>
    </xf>
    <xf numFmtId="0" fontId="92" fillId="0" borderId="0" xfId="0" applyFont="1" applyAlignment="1">
      <alignment horizontal="center" vertical="center" wrapText="1"/>
    </xf>
    <xf numFmtId="173" fontId="89" fillId="0" borderId="0" xfId="375" applyNumberFormat="1" applyFont="1" applyAlignment="1">
      <alignment horizontal="center"/>
    </xf>
    <xf numFmtId="20" fontId="9" fillId="47" borderId="24" xfId="431" applyNumberFormat="1" applyFont="1" applyFill="1" applyBorder="1" applyAlignment="1">
      <alignment horizontal="center" vertical="center"/>
    </xf>
    <xf numFmtId="20" fontId="9" fillId="47" borderId="41" xfId="431" applyNumberFormat="1" applyFont="1" applyFill="1" applyBorder="1" applyAlignment="1">
      <alignment horizontal="center" vertical="center"/>
    </xf>
    <xf numFmtId="173" fontId="131" fillId="0" borderId="58" xfId="375" applyNumberFormat="1" applyFont="1" applyBorder="1" applyAlignment="1">
      <alignment horizontal="center" vertical="center" textRotation="90"/>
    </xf>
    <xf numFmtId="173" fontId="131" fillId="0" borderId="44" xfId="375" applyNumberFormat="1" applyFont="1" applyBorder="1" applyAlignment="1">
      <alignment horizontal="center" vertical="center" textRotation="90"/>
    </xf>
    <xf numFmtId="173" fontId="131" fillId="0" borderId="64" xfId="375" applyNumberFormat="1" applyFont="1" applyBorder="1" applyAlignment="1">
      <alignment horizontal="center" vertical="center" textRotation="90"/>
    </xf>
    <xf numFmtId="0" fontId="168" fillId="43" borderId="10" xfId="0" applyFont="1" applyFill="1" applyBorder="1" applyAlignment="1">
      <alignment horizontal="center" vertical="center"/>
    </xf>
    <xf numFmtId="173" fontId="50" fillId="0" borderId="39" xfId="430" applyNumberFormat="1" applyFont="1" applyFill="1" applyBorder="1" applyAlignment="1">
      <alignment horizontal="center" vertical="center"/>
    </xf>
    <xf numFmtId="173" fontId="50" fillId="0" borderId="37" xfId="430" applyNumberFormat="1" applyFont="1" applyFill="1" applyBorder="1" applyAlignment="1">
      <alignment horizontal="center" vertical="center"/>
    </xf>
    <xf numFmtId="173" fontId="50" fillId="0" borderId="38" xfId="430" applyNumberFormat="1" applyFont="1" applyFill="1" applyBorder="1" applyAlignment="1">
      <alignment horizontal="center" vertical="center"/>
    </xf>
    <xf numFmtId="0" fontId="126" fillId="0" borderId="0" xfId="0" applyFont="1" applyAlignment="1">
      <alignment horizontal="left" wrapText="1"/>
    </xf>
    <xf numFmtId="173" fontId="78" fillId="44" borderId="88" xfId="430" applyNumberFormat="1" applyFont="1" applyFill="1" applyBorder="1" applyAlignment="1">
      <alignment horizontal="center" vertical="center" wrapText="1"/>
    </xf>
    <xf numFmtId="173" fontId="78" fillId="44" borderId="157" xfId="430" applyNumberFormat="1" applyFont="1" applyFill="1" applyBorder="1" applyAlignment="1">
      <alignment horizontal="center" vertical="center" wrapText="1"/>
    </xf>
    <xf numFmtId="173" fontId="78" fillId="44" borderId="46" xfId="430" applyNumberFormat="1" applyFont="1" applyFill="1" applyBorder="1" applyAlignment="1">
      <alignment horizontal="center" vertical="center"/>
    </xf>
    <xf numFmtId="173" fontId="78" fillId="44" borderId="159" xfId="430" applyNumberFormat="1" applyFont="1" applyFill="1" applyBorder="1" applyAlignment="1">
      <alignment horizontal="center" vertical="center"/>
    </xf>
    <xf numFmtId="0" fontId="92" fillId="43" borderId="10" xfId="0" applyFont="1" applyFill="1" applyBorder="1" applyAlignment="1">
      <alignment horizontal="left" vertical="center"/>
    </xf>
    <xf numFmtId="0" fontId="92" fillId="43" borderId="14" xfId="0" applyFont="1" applyFill="1" applyBorder="1" applyAlignment="1">
      <alignment horizontal="left" vertical="center"/>
    </xf>
    <xf numFmtId="0" fontId="92" fillId="43" borderId="30" xfId="0" applyFont="1" applyFill="1" applyBorder="1" applyAlignment="1">
      <alignment horizontal="left" vertical="center"/>
    </xf>
    <xf numFmtId="164" fontId="100" fillId="43" borderId="14" xfId="0" applyNumberFormat="1" applyFont="1" applyFill="1" applyBorder="1" applyAlignment="1">
      <alignment horizontal="left" vertical="center"/>
    </xf>
    <xf numFmtId="164" fontId="100" fillId="43" borderId="30" xfId="0" applyNumberFormat="1" applyFont="1" applyFill="1" applyBorder="1" applyAlignment="1">
      <alignment horizontal="left" vertical="center"/>
    </xf>
    <xf numFmtId="0" fontId="133" fillId="52" borderId="58" xfId="0" applyNumberFormat="1" applyFont="1" applyFill="1" applyBorder="1" applyAlignment="1">
      <alignment horizontal="center" vertical="center" wrapText="1"/>
    </xf>
    <xf numFmtId="0" fontId="133" fillId="52" borderId="64" xfId="0" applyNumberFormat="1" applyFont="1" applyFill="1" applyBorder="1" applyAlignment="1">
      <alignment horizontal="center" vertical="center" wrapText="1"/>
    </xf>
  </cellXfs>
  <cellStyles count="557">
    <cellStyle name="20% - Accent1 10" xfId="1"/>
    <cellStyle name="20% - Accent1 11" xfId="2"/>
    <cellStyle name="20% - Accent1 2" xfId="3"/>
    <cellStyle name="20% - Accent1 3" xfId="4"/>
    <cellStyle name="20% - Accent1 4" xfId="5"/>
    <cellStyle name="20% - Accent1 5" xfId="6"/>
    <cellStyle name="20% - Accent1 6" xfId="7"/>
    <cellStyle name="20% - Accent1 7" xfId="8"/>
    <cellStyle name="20% - Accent1 8" xfId="9"/>
    <cellStyle name="20% - Accent1 9" xfId="10"/>
    <cellStyle name="20% - Accent2 10" xfId="11"/>
    <cellStyle name="20% - Accent2 11" xfId="12"/>
    <cellStyle name="20% - Accent2 2" xfId="13"/>
    <cellStyle name="20% - Accent2 3" xfId="14"/>
    <cellStyle name="20% - Accent2 4" xfId="15"/>
    <cellStyle name="20% - Accent2 5" xfId="16"/>
    <cellStyle name="20% - Accent2 6" xfId="17"/>
    <cellStyle name="20% - Accent2 7" xfId="18"/>
    <cellStyle name="20% - Accent2 8" xfId="19"/>
    <cellStyle name="20% - Accent2 9" xfId="20"/>
    <cellStyle name="20% - Accent3 10" xfId="21"/>
    <cellStyle name="20% - Accent3 11" xfId="22"/>
    <cellStyle name="20% - Accent3 2" xfId="23"/>
    <cellStyle name="20% - Accent3 3" xfId="24"/>
    <cellStyle name="20% - Accent3 4" xfId="25"/>
    <cellStyle name="20% - Accent3 5" xfId="26"/>
    <cellStyle name="20% - Accent3 6" xfId="27"/>
    <cellStyle name="20% - Accent3 7" xfId="28"/>
    <cellStyle name="20% - Accent3 8" xfId="29"/>
    <cellStyle name="20% - Accent3 9" xfId="30"/>
    <cellStyle name="20% - Accent4 10" xfId="31"/>
    <cellStyle name="20% - Accent4 11" xfId="32"/>
    <cellStyle name="20% - Accent4 2" xfId="33"/>
    <cellStyle name="20% - Accent4 3" xfId="34"/>
    <cellStyle name="20% - Accent4 4" xfId="35"/>
    <cellStyle name="20% - Accent4 5" xfId="36"/>
    <cellStyle name="20% - Accent4 6" xfId="37"/>
    <cellStyle name="20% - Accent4 7" xfId="38"/>
    <cellStyle name="20% - Accent4 8" xfId="39"/>
    <cellStyle name="20% - Accent4 9" xfId="40"/>
    <cellStyle name="20% - Accent5 10" xfId="41"/>
    <cellStyle name="20% - Accent5 11" xfId="42"/>
    <cellStyle name="20% - Accent5 2" xfId="43"/>
    <cellStyle name="20% - Accent5 3" xfId="44"/>
    <cellStyle name="20% - Accent5 4" xfId="45"/>
    <cellStyle name="20% - Accent5 5" xfId="46"/>
    <cellStyle name="20% - Accent5 6" xfId="47"/>
    <cellStyle name="20% - Accent5 7" xfId="48"/>
    <cellStyle name="20% - Accent5 8" xfId="49"/>
    <cellStyle name="20% - Accent5 9" xfId="50"/>
    <cellStyle name="20% - Accent6 10" xfId="51"/>
    <cellStyle name="20% - Accent6 11" xfId="52"/>
    <cellStyle name="20% - Accent6 2" xfId="53"/>
    <cellStyle name="20% - Accent6 3" xfId="54"/>
    <cellStyle name="20% - Accent6 4" xfId="55"/>
    <cellStyle name="20% - Accent6 5" xfId="56"/>
    <cellStyle name="20% - Accent6 6" xfId="57"/>
    <cellStyle name="20% - Accent6 7" xfId="58"/>
    <cellStyle name="20% - Accent6 8" xfId="59"/>
    <cellStyle name="20% - Accent6 9" xfId="60"/>
    <cellStyle name="40% - Accent1 10" xfId="61"/>
    <cellStyle name="40% - Accent1 11" xfId="62"/>
    <cellStyle name="40% - Accent1 2" xfId="63"/>
    <cellStyle name="40% - Accent1 3" xfId="64"/>
    <cellStyle name="40% - Accent1 4" xfId="65"/>
    <cellStyle name="40% - Accent1 5" xfId="66"/>
    <cellStyle name="40% - Accent1 6" xfId="67"/>
    <cellStyle name="40% - Accent1 7" xfId="68"/>
    <cellStyle name="40% - Accent1 8" xfId="69"/>
    <cellStyle name="40% - Accent1 9" xfId="70"/>
    <cellStyle name="40% - Accent2 10" xfId="71"/>
    <cellStyle name="40% - Accent2 11" xfId="72"/>
    <cellStyle name="40% - Accent2 2" xfId="73"/>
    <cellStyle name="40% - Accent2 3" xfId="74"/>
    <cellStyle name="40% - Accent2 4" xfId="75"/>
    <cellStyle name="40% - Accent2 5" xfId="76"/>
    <cellStyle name="40% - Accent2 6" xfId="77"/>
    <cellStyle name="40% - Accent2 7" xfId="78"/>
    <cellStyle name="40% - Accent2 8" xfId="79"/>
    <cellStyle name="40% - Accent2 9" xfId="80"/>
    <cellStyle name="40% - Accent3 10" xfId="81"/>
    <cellStyle name="40% - Accent3 11" xfId="82"/>
    <cellStyle name="40% - Accent3 2" xfId="83"/>
    <cellStyle name="40% - Accent3 3" xfId="84"/>
    <cellStyle name="40% - Accent3 4" xfId="85"/>
    <cellStyle name="40% - Accent3 5" xfId="86"/>
    <cellStyle name="40% - Accent3 6" xfId="87"/>
    <cellStyle name="40% - Accent3 7" xfId="88"/>
    <cellStyle name="40% - Accent3 8" xfId="89"/>
    <cellStyle name="40% - Accent3 9" xfId="90"/>
    <cellStyle name="40% - Accent4 10" xfId="91"/>
    <cellStyle name="40% - Accent4 11" xfId="92"/>
    <cellStyle name="40% - Accent4 2" xfId="93"/>
    <cellStyle name="40% - Accent4 3" xfId="94"/>
    <cellStyle name="40% - Accent4 4" xfId="95"/>
    <cellStyle name="40% - Accent4 5" xfId="96"/>
    <cellStyle name="40% - Accent4 6" xfId="97"/>
    <cellStyle name="40% - Accent4 7" xfId="98"/>
    <cellStyle name="40% - Accent4 8" xfId="99"/>
    <cellStyle name="40% - Accent4 9" xfId="100"/>
    <cellStyle name="40% - Accent5 10" xfId="101"/>
    <cellStyle name="40% - Accent5 11" xfId="102"/>
    <cellStyle name="40% - Accent5 2" xfId="103"/>
    <cellStyle name="40% - Accent5 3" xfId="104"/>
    <cellStyle name="40% - Accent5 4" xfId="105"/>
    <cellStyle name="40% - Accent5 5" xfId="106"/>
    <cellStyle name="40% - Accent5 6" xfId="107"/>
    <cellStyle name="40% - Accent5 7" xfId="108"/>
    <cellStyle name="40% - Accent5 8" xfId="109"/>
    <cellStyle name="40% - Accent5 9" xfId="110"/>
    <cellStyle name="40% - Accent6 10" xfId="111"/>
    <cellStyle name="40% - Accent6 11" xfId="112"/>
    <cellStyle name="40% - Accent6 2" xfId="113"/>
    <cellStyle name="40% - Accent6 3" xfId="114"/>
    <cellStyle name="40% - Accent6 4" xfId="115"/>
    <cellStyle name="40% - Accent6 5" xfId="116"/>
    <cellStyle name="40% - Accent6 6" xfId="117"/>
    <cellStyle name="40% - Accent6 7" xfId="118"/>
    <cellStyle name="40% - Accent6 8" xfId="119"/>
    <cellStyle name="40% - Accent6 9" xfId="120"/>
    <cellStyle name="60% - Accent1 10" xfId="121"/>
    <cellStyle name="60% - Accent1 11" xfId="122"/>
    <cellStyle name="60% - Accent1 2" xfId="123"/>
    <cellStyle name="60% - Accent1 3" xfId="124"/>
    <cellStyle name="60% - Accent1 4" xfId="125"/>
    <cellStyle name="60% - Accent1 5" xfId="126"/>
    <cellStyle name="60% - Accent1 6" xfId="127"/>
    <cellStyle name="60% - Accent1 7" xfId="128"/>
    <cellStyle name="60% - Accent1 8" xfId="129"/>
    <cellStyle name="60% - Accent1 9" xfId="130"/>
    <cellStyle name="60% - Accent2 10" xfId="131"/>
    <cellStyle name="60% - Accent2 11" xfId="132"/>
    <cellStyle name="60% - Accent2 2" xfId="133"/>
    <cellStyle name="60% - Accent2 3" xfId="134"/>
    <cellStyle name="60% - Accent2 4" xfId="135"/>
    <cellStyle name="60% - Accent2 5" xfId="136"/>
    <cellStyle name="60% - Accent2 6" xfId="137"/>
    <cellStyle name="60% - Accent2 7" xfId="138"/>
    <cellStyle name="60% - Accent2 8" xfId="139"/>
    <cellStyle name="60% - Accent2 9" xfId="140"/>
    <cellStyle name="60% - Accent3 10" xfId="141"/>
    <cellStyle name="60% - Accent3 11" xfId="142"/>
    <cellStyle name="60% - Accent3 2" xfId="143"/>
    <cellStyle name="60% - Accent3 3" xfId="144"/>
    <cellStyle name="60% - Accent3 4" xfId="145"/>
    <cellStyle name="60% - Accent3 5" xfId="146"/>
    <cellStyle name="60% - Accent3 6" xfId="147"/>
    <cellStyle name="60% - Accent3 7" xfId="148"/>
    <cellStyle name="60% - Accent3 8" xfId="149"/>
    <cellStyle name="60% - Accent3 9" xfId="150"/>
    <cellStyle name="60% - Accent4 10" xfId="151"/>
    <cellStyle name="60% - Accent4 11" xfId="152"/>
    <cellStyle name="60% - Accent4 2" xfId="153"/>
    <cellStyle name="60% - Accent4 3" xfId="154"/>
    <cellStyle name="60% - Accent4 4" xfId="155"/>
    <cellStyle name="60% - Accent4 5" xfId="156"/>
    <cellStyle name="60% - Accent4 6" xfId="157"/>
    <cellStyle name="60% - Accent4 7" xfId="158"/>
    <cellStyle name="60% - Accent4 8" xfId="159"/>
    <cellStyle name="60% - Accent4 9" xfId="160"/>
    <cellStyle name="60% - Accent5 10" xfId="161"/>
    <cellStyle name="60% - Accent5 11" xfId="162"/>
    <cellStyle name="60% - Accent5 2" xfId="163"/>
    <cellStyle name="60% - Accent5 3" xfId="164"/>
    <cellStyle name="60% - Accent5 4" xfId="165"/>
    <cellStyle name="60% - Accent5 5" xfId="166"/>
    <cellStyle name="60% - Accent5 6" xfId="167"/>
    <cellStyle name="60% - Accent5 7" xfId="168"/>
    <cellStyle name="60% - Accent5 8" xfId="169"/>
    <cellStyle name="60% - Accent5 9" xfId="170"/>
    <cellStyle name="60% - Accent6 10" xfId="171"/>
    <cellStyle name="60% - Accent6 11" xfId="172"/>
    <cellStyle name="60% - Accent6 2" xfId="173"/>
    <cellStyle name="60% - Accent6 3" xfId="174"/>
    <cellStyle name="60% - Accent6 4" xfId="175"/>
    <cellStyle name="60% - Accent6 5" xfId="176"/>
    <cellStyle name="60% - Accent6 6" xfId="177"/>
    <cellStyle name="60% - Accent6 7" xfId="178"/>
    <cellStyle name="60% - Accent6 8" xfId="179"/>
    <cellStyle name="60% - Accent6 9" xfId="180"/>
    <cellStyle name="Accent1 10" xfId="181"/>
    <cellStyle name="Accent1 11" xfId="182"/>
    <cellStyle name="Accent1 2" xfId="183"/>
    <cellStyle name="Accent1 3" xfId="184"/>
    <cellStyle name="Accent1 4" xfId="185"/>
    <cellStyle name="Accent1 5" xfId="186"/>
    <cellStyle name="Accent1 6" xfId="187"/>
    <cellStyle name="Accent1 7" xfId="188"/>
    <cellStyle name="Accent1 8" xfId="189"/>
    <cellStyle name="Accent1 9" xfId="190"/>
    <cellStyle name="Accent2 10" xfId="191"/>
    <cellStyle name="Accent2 11" xfId="192"/>
    <cellStyle name="Accent2 2" xfId="193"/>
    <cellStyle name="Accent2 3" xfId="194"/>
    <cellStyle name="Accent2 4" xfId="195"/>
    <cellStyle name="Accent2 5" xfId="196"/>
    <cellStyle name="Accent2 6" xfId="197"/>
    <cellStyle name="Accent2 7" xfId="198"/>
    <cellStyle name="Accent2 8" xfId="199"/>
    <cellStyle name="Accent2 9" xfId="200"/>
    <cellStyle name="Accent3 10" xfId="201"/>
    <cellStyle name="Accent3 11" xfId="202"/>
    <cellStyle name="Accent3 2" xfId="203"/>
    <cellStyle name="Accent3 3" xfId="204"/>
    <cellStyle name="Accent3 4" xfId="205"/>
    <cellStyle name="Accent3 5" xfId="206"/>
    <cellStyle name="Accent3 6" xfId="207"/>
    <cellStyle name="Accent3 7" xfId="208"/>
    <cellStyle name="Accent3 8" xfId="209"/>
    <cellStyle name="Accent3 9" xfId="210"/>
    <cellStyle name="Accent4 10" xfId="211"/>
    <cellStyle name="Accent4 11" xfId="212"/>
    <cellStyle name="Accent4 2" xfId="213"/>
    <cellStyle name="Accent4 3" xfId="214"/>
    <cellStyle name="Accent4 4" xfId="215"/>
    <cellStyle name="Accent4 5" xfId="216"/>
    <cellStyle name="Accent4 6" xfId="217"/>
    <cellStyle name="Accent4 7" xfId="218"/>
    <cellStyle name="Accent4 8" xfId="219"/>
    <cellStyle name="Accent4 9" xfId="220"/>
    <cellStyle name="Accent5 10" xfId="221"/>
    <cellStyle name="Accent5 11" xfId="222"/>
    <cellStyle name="Accent5 2" xfId="223"/>
    <cellStyle name="Accent5 3" xfId="224"/>
    <cellStyle name="Accent5 4" xfId="225"/>
    <cellStyle name="Accent5 5" xfId="226"/>
    <cellStyle name="Accent5 6" xfId="227"/>
    <cellStyle name="Accent5 7" xfId="228"/>
    <cellStyle name="Accent5 8" xfId="229"/>
    <cellStyle name="Accent5 9" xfId="230"/>
    <cellStyle name="Accent6 10" xfId="231"/>
    <cellStyle name="Accent6 11" xfId="232"/>
    <cellStyle name="Accent6 2" xfId="233"/>
    <cellStyle name="Accent6 3" xfId="234"/>
    <cellStyle name="Accent6 4" xfId="235"/>
    <cellStyle name="Accent6 5" xfId="236"/>
    <cellStyle name="Accent6 6" xfId="237"/>
    <cellStyle name="Accent6 7" xfId="238"/>
    <cellStyle name="Accent6 8" xfId="239"/>
    <cellStyle name="Accent6 9" xfId="240"/>
    <cellStyle name="Bad 10" xfId="241"/>
    <cellStyle name="Bad 11" xfId="242"/>
    <cellStyle name="Bad 2" xfId="243"/>
    <cellStyle name="Bad 3" xfId="244"/>
    <cellStyle name="Bad 4" xfId="245"/>
    <cellStyle name="Bad 5" xfId="246"/>
    <cellStyle name="Bad 6" xfId="247"/>
    <cellStyle name="Bad 7" xfId="248"/>
    <cellStyle name="Bad 8" xfId="249"/>
    <cellStyle name="Bad 9" xfId="250"/>
    <cellStyle name="Calculation 10" xfId="251"/>
    <cellStyle name="Calculation 11" xfId="252"/>
    <cellStyle name="Calculation 2" xfId="253"/>
    <cellStyle name="Calculation 3" xfId="254"/>
    <cellStyle name="Calculation 4" xfId="255"/>
    <cellStyle name="Calculation 5" xfId="256"/>
    <cellStyle name="Calculation 6" xfId="257"/>
    <cellStyle name="Calculation 7" xfId="258"/>
    <cellStyle name="Calculation 8" xfId="259"/>
    <cellStyle name="Calculation 9" xfId="260"/>
    <cellStyle name="Check Cell 10" xfId="261"/>
    <cellStyle name="Check Cell 11" xfId="262"/>
    <cellStyle name="Check Cell 2" xfId="263"/>
    <cellStyle name="Check Cell 3" xfId="264"/>
    <cellStyle name="Check Cell 4" xfId="265"/>
    <cellStyle name="Check Cell 5" xfId="266"/>
    <cellStyle name="Check Cell 6" xfId="267"/>
    <cellStyle name="Check Cell 7" xfId="268"/>
    <cellStyle name="Check Cell 8" xfId="269"/>
    <cellStyle name="Check Cell 9" xfId="270"/>
    <cellStyle name="Comma" xfId="271" builtinId="3"/>
    <cellStyle name="Comma [0]" xfId="498" builtinId="6"/>
    <cellStyle name="Currency_8am report" xfId="502"/>
    <cellStyle name="Explanatory Text 10" xfId="272"/>
    <cellStyle name="Explanatory Text 11" xfId="273"/>
    <cellStyle name="Explanatory Text 2" xfId="274"/>
    <cellStyle name="Explanatory Text 3" xfId="275"/>
    <cellStyle name="Explanatory Text 4" xfId="276"/>
    <cellStyle name="Explanatory Text 5" xfId="277"/>
    <cellStyle name="Explanatory Text 6" xfId="278"/>
    <cellStyle name="Explanatory Text 7" xfId="279"/>
    <cellStyle name="Explanatory Text 8" xfId="280"/>
    <cellStyle name="Explanatory Text 9" xfId="281"/>
    <cellStyle name="Good 10" xfId="282"/>
    <cellStyle name="Good 11" xfId="283"/>
    <cellStyle name="Good 2" xfId="284"/>
    <cellStyle name="Good 3" xfId="285"/>
    <cellStyle name="Good 4" xfId="286"/>
    <cellStyle name="Good 5" xfId="287"/>
    <cellStyle name="Good 6" xfId="288"/>
    <cellStyle name="Good 7" xfId="289"/>
    <cellStyle name="Good 8" xfId="290"/>
    <cellStyle name="Good 9" xfId="291"/>
    <cellStyle name="Heading 1 10" xfId="292"/>
    <cellStyle name="Heading 1 11" xfId="293"/>
    <cellStyle name="Heading 1 2" xfId="294"/>
    <cellStyle name="Heading 1 3" xfId="295"/>
    <cellStyle name="Heading 1 4" xfId="296"/>
    <cellStyle name="Heading 1 5" xfId="297"/>
    <cellStyle name="Heading 1 6" xfId="298"/>
    <cellStyle name="Heading 1 7" xfId="299"/>
    <cellStyle name="Heading 1 8" xfId="300"/>
    <cellStyle name="Heading 1 9" xfId="301"/>
    <cellStyle name="Heading 2 10" xfId="302"/>
    <cellStyle name="Heading 2 11" xfId="303"/>
    <cellStyle name="Heading 2 2" xfId="304"/>
    <cellStyle name="Heading 2 3" xfId="305"/>
    <cellStyle name="Heading 2 4" xfId="306"/>
    <cellStyle name="Heading 2 5" xfId="307"/>
    <cellStyle name="Heading 2 6" xfId="308"/>
    <cellStyle name="Heading 2 7" xfId="309"/>
    <cellStyle name="Heading 2 8" xfId="310"/>
    <cellStyle name="Heading 2 9" xfId="311"/>
    <cellStyle name="Heading 3 10" xfId="312"/>
    <cellStyle name="Heading 3 10 2" xfId="507"/>
    <cellStyle name="Heading 3 11" xfId="313"/>
    <cellStyle name="Heading 3 11 2" xfId="508"/>
    <cellStyle name="Heading 3 2" xfId="314"/>
    <cellStyle name="Heading 3 2 10" xfId="315"/>
    <cellStyle name="Heading 3 2 10 2" xfId="510"/>
    <cellStyle name="Heading 3 2 11" xfId="509"/>
    <cellStyle name="Heading 3 2 2" xfId="316"/>
    <cellStyle name="Heading 3 2 2 2" xfId="511"/>
    <cellStyle name="Heading 3 2 3" xfId="317"/>
    <cellStyle name="Heading 3 2 3 2" xfId="512"/>
    <cellStyle name="Heading 3 2 4" xfId="318"/>
    <cellStyle name="Heading 3 2 4 2" xfId="513"/>
    <cellStyle name="Heading 3 2 5" xfId="319"/>
    <cellStyle name="Heading 3 2 5 2" xfId="514"/>
    <cellStyle name="Heading 3 2 6" xfId="320"/>
    <cellStyle name="Heading 3 2 6 2" xfId="515"/>
    <cellStyle name="Heading 3 2 7" xfId="321"/>
    <cellStyle name="Heading 3 2 7 2" xfId="516"/>
    <cellStyle name="Heading 3 2 8" xfId="322"/>
    <cellStyle name="Heading 3 2 8 2" xfId="517"/>
    <cellStyle name="Heading 3 2 9" xfId="323"/>
    <cellStyle name="Heading 3 2 9 2" xfId="518"/>
    <cellStyle name="Heading 3 3" xfId="324"/>
    <cellStyle name="Heading 3 3 2" xfId="519"/>
    <cellStyle name="Heading 3 4" xfId="325"/>
    <cellStyle name="Heading 3 4 2" xfId="520"/>
    <cellStyle name="Heading 3 5" xfId="326"/>
    <cellStyle name="Heading 3 5 2" xfId="521"/>
    <cellStyle name="Heading 3 6" xfId="327"/>
    <cellStyle name="Heading 3 6 2" xfId="522"/>
    <cellStyle name="Heading 3 7" xfId="328"/>
    <cellStyle name="Heading 3 7 2" xfId="523"/>
    <cellStyle name="Heading 3 8" xfId="329"/>
    <cellStyle name="Heading 3 8 2" xfId="524"/>
    <cellStyle name="Heading 3 9" xfId="330"/>
    <cellStyle name="Heading 3 9 2" xfId="525"/>
    <cellStyle name="Heading 4 10" xfId="331"/>
    <cellStyle name="Heading 4 11" xfId="332"/>
    <cellStyle name="Heading 4 2" xfId="333"/>
    <cellStyle name="Heading 4 3" xfId="334"/>
    <cellStyle name="Heading 4 4" xfId="335"/>
    <cellStyle name="Heading 4 5" xfId="336"/>
    <cellStyle name="Heading 4 6" xfId="337"/>
    <cellStyle name="Heading 4 7" xfId="338"/>
    <cellStyle name="Heading 4 8" xfId="339"/>
    <cellStyle name="Heading 4 9" xfId="340"/>
    <cellStyle name="Hyperlink" xfId="341" builtinId="8"/>
    <cellStyle name="Input 10" xfId="342"/>
    <cellStyle name="Input 11" xfId="343"/>
    <cellStyle name="Input 2" xfId="344"/>
    <cellStyle name="Input 3" xfId="345"/>
    <cellStyle name="Input 4" xfId="346"/>
    <cellStyle name="Input 5" xfId="347"/>
    <cellStyle name="Input 6" xfId="348"/>
    <cellStyle name="Input 7" xfId="349"/>
    <cellStyle name="Input 8" xfId="350"/>
    <cellStyle name="Input 9" xfId="351"/>
    <cellStyle name="Linked Cell 10" xfId="352"/>
    <cellStyle name="Linked Cell 11" xfId="353"/>
    <cellStyle name="Linked Cell 2" xfId="354"/>
    <cellStyle name="Linked Cell 3" xfId="355"/>
    <cellStyle name="Linked Cell 4" xfId="356"/>
    <cellStyle name="Linked Cell 5" xfId="357"/>
    <cellStyle name="Linked Cell 6" xfId="358"/>
    <cellStyle name="Linked Cell 7" xfId="359"/>
    <cellStyle name="Linked Cell 8" xfId="360"/>
    <cellStyle name="Linked Cell 9" xfId="361"/>
    <cellStyle name="Neutral 10" xfId="362"/>
    <cellStyle name="Neutral 11" xfId="363"/>
    <cellStyle name="Neutral 2" xfId="364"/>
    <cellStyle name="Neutral 3" xfId="365"/>
    <cellStyle name="Neutral 4" xfId="366"/>
    <cellStyle name="Neutral 5" xfId="367"/>
    <cellStyle name="Neutral 6" xfId="368"/>
    <cellStyle name="Neutral 7" xfId="369"/>
    <cellStyle name="Neutral 8" xfId="370"/>
    <cellStyle name="Neutral 9" xfId="371"/>
    <cellStyle name="Normal" xfId="0" builtinId="0"/>
    <cellStyle name="Normal 10" xfId="372"/>
    <cellStyle name="Normal 10 2" xfId="526"/>
    <cellStyle name="Normal 11" xfId="373"/>
    <cellStyle name="Normal 11 2" xfId="503"/>
    <cellStyle name="Normal 11 3" xfId="527"/>
    <cellStyle name="Normal 14" xfId="374"/>
    <cellStyle name="Normal 14 2" xfId="528"/>
    <cellStyle name="Normal 2" xfId="375"/>
    <cellStyle name="Normal 2 10" xfId="376"/>
    <cellStyle name="Normal 2 11" xfId="377"/>
    <cellStyle name="Normal 2 12" xfId="378"/>
    <cellStyle name="Normal 2 13" xfId="379"/>
    <cellStyle name="Normal 2 2" xfId="380"/>
    <cellStyle name="Normal 2 3" xfId="381"/>
    <cellStyle name="Normal 2 4" xfId="382"/>
    <cellStyle name="Normal 2 5" xfId="383"/>
    <cellStyle name="Normal 2 6" xfId="384"/>
    <cellStyle name="Normal 2 7" xfId="385"/>
    <cellStyle name="Normal 2 8" xfId="386"/>
    <cellStyle name="Normal 2 9" xfId="387"/>
    <cellStyle name="Normal 3" xfId="388"/>
    <cellStyle name="Normal 3 10" xfId="389"/>
    <cellStyle name="Normal 3 11" xfId="390"/>
    <cellStyle name="Normal 3 12" xfId="391"/>
    <cellStyle name="Normal 3 13" xfId="392"/>
    <cellStyle name="Normal 3 2" xfId="393"/>
    <cellStyle name="Normal 3 3" xfId="394"/>
    <cellStyle name="Normal 3 4" xfId="395"/>
    <cellStyle name="Normal 3 5" xfId="396"/>
    <cellStyle name="Normal 3 6" xfId="397"/>
    <cellStyle name="Normal 3 7" xfId="398"/>
    <cellStyle name="Normal 3 8" xfId="399"/>
    <cellStyle name="Normal 3 9" xfId="400"/>
    <cellStyle name="Normal 4" xfId="401"/>
    <cellStyle name="Normal 4 10" xfId="402"/>
    <cellStyle name="Normal 4 11" xfId="403"/>
    <cellStyle name="Normal 4 12" xfId="404"/>
    <cellStyle name="Normal 4 13" xfId="405"/>
    <cellStyle name="Normal 4 2" xfId="406"/>
    <cellStyle name="Normal 4 3" xfId="407"/>
    <cellStyle name="Normal 4 4" xfId="408"/>
    <cellStyle name="Normal 4 5" xfId="409"/>
    <cellStyle name="Normal 4 6" xfId="410"/>
    <cellStyle name="Normal 4 7" xfId="411"/>
    <cellStyle name="Normal 4 8" xfId="412"/>
    <cellStyle name="Normal 4 9" xfId="413"/>
    <cellStyle name="Normal 5" xfId="414"/>
    <cellStyle name="Normal 5 10" xfId="415"/>
    <cellStyle name="Normal 5 10 2" xfId="505"/>
    <cellStyle name="Normal 5 11" xfId="416"/>
    <cellStyle name="Normal 5 12" xfId="417"/>
    <cellStyle name="Normal 5 13" xfId="418"/>
    <cellStyle name="Normal 5 2" xfId="419"/>
    <cellStyle name="Normal 5 3" xfId="420"/>
    <cellStyle name="Normal 5 4" xfId="421"/>
    <cellStyle name="Normal 5 5" xfId="422"/>
    <cellStyle name="Normal 5 6" xfId="423"/>
    <cellStyle name="Normal 5 7" xfId="424"/>
    <cellStyle name="Normal 5 8" xfId="425"/>
    <cellStyle name="Normal 5 9" xfId="426"/>
    <cellStyle name="Normal 6" xfId="427"/>
    <cellStyle name="Normal 7" xfId="504"/>
    <cellStyle name="Normal 8" xfId="555"/>
    <cellStyle name="Normal 9" xfId="556"/>
    <cellStyle name="Normal_8am report" xfId="428"/>
    <cellStyle name="Normal_8am report 2" xfId="499"/>
    <cellStyle name="Normal_8am report 3" xfId="429"/>
    <cellStyle name="Normal_8am report 3 2" xfId="500"/>
    <cellStyle name="Normal_Daily Generation Report" xfId="430"/>
    <cellStyle name="Normal_Daily Generation Report 2" xfId="431"/>
    <cellStyle name="Normal_EVENING REPORT" xfId="432"/>
    <cellStyle name="Normal_EVENING REPORT 2" xfId="433"/>
    <cellStyle name="Normal_EVENING REPORT 3" xfId="434"/>
    <cellStyle name="Normal_EVENING REPORT 3 2" xfId="501"/>
    <cellStyle name="Normal_Format . Prime Minister 2" xfId="435"/>
    <cellStyle name="Normal_REPORT" xfId="436"/>
    <cellStyle name="Normal_REPORT 2" xfId="437"/>
    <cellStyle name="Note 10" xfId="438"/>
    <cellStyle name="Note 10 2" xfId="529"/>
    <cellStyle name="Note 11" xfId="439"/>
    <cellStyle name="Note 11 2" xfId="530"/>
    <cellStyle name="Note 2" xfId="440"/>
    <cellStyle name="Note 3" xfId="441"/>
    <cellStyle name="Note 4" xfId="442"/>
    <cellStyle name="Note 4 2" xfId="531"/>
    <cellStyle name="Note 5" xfId="443"/>
    <cellStyle name="Note 5 2" xfId="532"/>
    <cellStyle name="Note 6" xfId="444"/>
    <cellStyle name="Note 6 2" xfId="533"/>
    <cellStyle name="Note 7" xfId="445"/>
    <cellStyle name="Note 7 2" xfId="534"/>
    <cellStyle name="Note 8" xfId="446"/>
    <cellStyle name="Note 8 2" xfId="535"/>
    <cellStyle name="Note 9" xfId="447"/>
    <cellStyle name="Note 9 2" xfId="536"/>
    <cellStyle name="Output 10" xfId="448"/>
    <cellStyle name="Output 11" xfId="449"/>
    <cellStyle name="Output 2" xfId="450"/>
    <cellStyle name="Output 3" xfId="451"/>
    <cellStyle name="Output 4" xfId="452"/>
    <cellStyle name="Output 5" xfId="453"/>
    <cellStyle name="Output 6" xfId="454"/>
    <cellStyle name="Output 7" xfId="455"/>
    <cellStyle name="Output 8" xfId="456"/>
    <cellStyle name="Output 9" xfId="457"/>
    <cellStyle name="Percent" xfId="458" builtinId="5"/>
    <cellStyle name="Percent 2" xfId="506"/>
    <cellStyle name="STYLEAL" xfId="459"/>
    <cellStyle name="STYLEAL 2" xfId="460"/>
    <cellStyle name="STYLEAL 2 2" xfId="537"/>
    <cellStyle name="STYLEAL 3" xfId="461"/>
    <cellStyle name="STYLEAL 3 2" xfId="538"/>
    <cellStyle name="STYLEAL 4" xfId="462"/>
    <cellStyle name="STYLEAL 4 2" xfId="539"/>
    <cellStyle name="STYLEAL 5" xfId="463"/>
    <cellStyle name="STYLEAL 5 2" xfId="540"/>
    <cellStyle name="STYLEAL 6" xfId="464"/>
    <cellStyle name="STYLEAL 6 2" xfId="541"/>
    <cellStyle name="STYLEAL 7" xfId="465"/>
    <cellStyle name="STYLEAL 7 2" xfId="542"/>
    <cellStyle name="STYLEAL 8" xfId="466"/>
    <cellStyle name="STYLEAL 8 2" xfId="543"/>
    <cellStyle name="STYLEAL 9" xfId="467"/>
    <cellStyle name="STYLEAL 9 2" xfId="544"/>
    <cellStyle name="Title 10" xfId="468"/>
    <cellStyle name="Title 11" xfId="469"/>
    <cellStyle name="Title 2" xfId="470"/>
    <cellStyle name="Title 3" xfId="471"/>
    <cellStyle name="Title 4" xfId="472"/>
    <cellStyle name="Title 5" xfId="473"/>
    <cellStyle name="Title 6" xfId="474"/>
    <cellStyle name="Title 7" xfId="475"/>
    <cellStyle name="Title 8" xfId="476"/>
    <cellStyle name="Title 9" xfId="477"/>
    <cellStyle name="Total 10" xfId="478"/>
    <cellStyle name="Total 10 2" xfId="545"/>
    <cellStyle name="Total 11" xfId="479"/>
    <cellStyle name="Total 11 2" xfId="546"/>
    <cellStyle name="Total 2" xfId="480"/>
    <cellStyle name="Total 2 2" xfId="547"/>
    <cellStyle name="Total 3" xfId="481"/>
    <cellStyle name="Total 3 2" xfId="548"/>
    <cellStyle name="Total 4" xfId="482"/>
    <cellStyle name="Total 4 2" xfId="549"/>
    <cellStyle name="Total 5" xfId="483"/>
    <cellStyle name="Total 5 2" xfId="550"/>
    <cellStyle name="Total 6" xfId="484"/>
    <cellStyle name="Total 6 2" xfId="551"/>
    <cellStyle name="Total 7" xfId="485"/>
    <cellStyle name="Total 7 2" xfId="552"/>
    <cellStyle name="Total 8" xfId="486"/>
    <cellStyle name="Total 8 2" xfId="553"/>
    <cellStyle name="Total 9" xfId="487"/>
    <cellStyle name="Total 9 2" xfId="554"/>
    <cellStyle name="Warning Text 10" xfId="488"/>
    <cellStyle name="Warning Text 11" xfId="489"/>
    <cellStyle name="Warning Text 2" xfId="490"/>
    <cellStyle name="Warning Text 3" xfId="491"/>
    <cellStyle name="Warning Text 4" xfId="492"/>
    <cellStyle name="Warning Text 5" xfId="493"/>
    <cellStyle name="Warning Text 6" xfId="494"/>
    <cellStyle name="Warning Text 7" xfId="495"/>
    <cellStyle name="Warning Text 8" xfId="496"/>
    <cellStyle name="Warning Text 9" xfId="497"/>
  </cellStyles>
  <dxfs count="2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60"/>
      </font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6">
    <tableStyle name="Max Load-style" pivot="0" count="3">
      <tableStyleElement type="headerRow" dxfId="19"/>
      <tableStyleElement type="firstRowStripe" dxfId="18"/>
      <tableStyleElement type="secondRowStripe" dxfId="17"/>
    </tableStyle>
    <tableStyle name="Max Load-style 2" pivot="0" count="2">
      <tableStyleElement type="firstRowStripe" dxfId="16"/>
      <tableStyleElement type="secondRowStripe" dxfId="15"/>
    </tableStyle>
    <tableStyle name="Max Load-style 3" pivot="0" count="3">
      <tableStyleElement type="headerRow" dxfId="14"/>
      <tableStyleElement type="firstRowStripe" dxfId="13"/>
      <tableStyleElement type="secondRowStripe" dxfId="12"/>
    </tableStyle>
    <tableStyle name="Max Load-style 4" pivot="0" count="2">
      <tableStyleElement type="firstRowStripe" dxfId="11"/>
      <tableStyleElement type="secondRowStripe" dxfId="10"/>
    </tableStyle>
    <tableStyle name="Max-Min Voltage-style" pivot="0" count="3">
      <tableStyleElement type="headerRow" dxfId="9"/>
      <tableStyleElement type="firstRowStripe" dxfId="8"/>
      <tableStyleElement type="secondRowStripe" dxfId="7"/>
    </tableStyle>
    <tableStyle name="Max-Min Voltage-style 2" pivot="0" count="2">
      <tableStyleElement type="firstRowStripe" dxfId="6"/>
      <tableStyleElement type="secondRowStripe" dxfId="5"/>
    </tableStyle>
  </tableStyles>
  <colors>
    <mruColors>
      <color rgb="FFFFFF00"/>
      <color rgb="FFFFFF99"/>
      <color rgb="FF0000FF"/>
      <color rgb="FF00FFFF"/>
      <color rgb="FFADF1EE"/>
      <color rgb="FFFFFFCC"/>
      <color rgb="FF99CC00"/>
      <color rgb="FFFFCCFF"/>
      <color rgb="FF99FFCC"/>
      <color rgb="FFCC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147483650"/>
  <ax:ocxPr ax:name="DisplayStyle" ax:value="4"/>
  <ax:ocxPr ax:name="Size" ax:value="6588;1191"/>
  <ax:ocxPr ax:name="Value" ax:value="0"/>
  <ax:ocxPr ax:name="Caption" ax:value="Insert and shift right"/>
  <ax:ocxPr ax:name="GroupName" ax:value="GEntry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147483650"/>
  <ax:ocxPr ax:name="DisplayStyle" ax:value="4"/>
  <ax:ocxPr ax:name="Size" ax:value="6588;1191"/>
  <ax:ocxPr ax:name="Value" ax:value="0"/>
  <ax:ocxPr ax:name="Caption" ax:value="LogSheet in Local"/>
  <ax:ocxPr ax:name="GroupName" ax:value="GEntry"/>
  <ax:ocxPr ax:name="FontName" ax:value="Arial"/>
  <ax:ocxPr ax:name="FontEffects" ax:value="1073741825"/>
  <ax:ocxPr ax:name="FontHeight" ax:value="360"/>
  <ax:ocxPr ax:name="FontCharSet" ax:value="0"/>
  <ax:ocxPr ax:name="FontPitchAndFamily" ax:value="2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Create Morning Report"/>
  <ax:ocxPr ax:name="Size" ax:value="6509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Create Daily Report"/>
  <ax:ocxPr ax:name="Size" ax:value="6509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Delete From Report"/>
  <ax:ocxPr ax:name="Size" ax:value="5292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Add To Report"/>
  <ax:ocxPr ax:name="Size" ax:value="5292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Delete Machine"/>
  <ax:ocxPr ax:name="Size" ax:value="5292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Add Machine"/>
  <ax:ocxPr ax:name="Size" ax:value="5292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Transfer Data"/>
  <ax:ocxPr ax:name="Size" ax:value="6509;1588"/>
  <ax:ocxPr ax:name="FontName" ax:value="Arial Narrow"/>
  <ax:ocxPr ax:name="FontEffects" ax:value="1073741825"/>
  <ax:ocxPr ax:name="FontHeight" ax:value="405"/>
  <ax:ocxPr ax:name="FontCharSet" ax:value="0"/>
  <ax:ocxPr ax:name="FontPitchAndFamily" ax:value="2"/>
  <ax:ocxPr ax:name="ParagraphAlign" ax:value="3"/>
  <ax:ocxPr ax:name="FontWeight" ax:value="700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Create Ev Report"/>
  <ax:ocxPr ax:name="Size" ax:value="3704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Update Peak"/>
  <ax:ocxPr ax:name="Size" ax:value="3678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Create Energy Report"/>
  <ax:ocxPr ax:name="Size" ax:value="6165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Update Energy"/>
  <ax:ocxPr ax:name="Size" ax:value="3678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>
        <c:manualLayout>
          <c:layoutTarget val="inner"/>
          <c:xMode val="edge"/>
          <c:yMode val="edge"/>
          <c:x val="0.12561750060363217"/>
          <c:y val="2.1879449544886041E-2"/>
          <c:w val="0.8613509397910275"/>
          <c:h val="0.83836169722332265"/>
        </c:manualLayout>
      </c:layout>
      <c:lineChart>
        <c:grouping val="standard"/>
        <c:ser>
          <c:idx val="0"/>
          <c:order val="0"/>
          <c:tx>
            <c:strRef>
              <c:f>'L-Curve'!$B$3</c:f>
              <c:strCache>
                <c:ptCount val="1"/>
                <c:pt idx="0">
                  <c:v>E-W INT.(Export)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'L-Curve'!$A$4:$A$52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'L-Curve'!$B$4:$B$52</c:f>
              <c:numCache>
                <c:formatCode>0</c:formatCode>
                <c:ptCount val="49"/>
                <c:pt idx="0" formatCode="General">
                  <c:v>16</c:v>
                </c:pt>
                <c:pt idx="1">
                  <c:v>90</c:v>
                </c:pt>
                <c:pt idx="2" formatCode="General">
                  <c:v>164</c:v>
                </c:pt>
                <c:pt idx="3">
                  <c:v>134</c:v>
                </c:pt>
                <c:pt idx="4" formatCode="General">
                  <c:v>104</c:v>
                </c:pt>
                <c:pt idx="5">
                  <c:v>83</c:v>
                </c:pt>
                <c:pt idx="6" formatCode="General">
                  <c:v>62</c:v>
                </c:pt>
                <c:pt idx="7">
                  <c:v>61</c:v>
                </c:pt>
                <c:pt idx="8" formatCode="General">
                  <c:v>60</c:v>
                </c:pt>
                <c:pt idx="9">
                  <c:v>55</c:v>
                </c:pt>
                <c:pt idx="10" formatCode="General">
                  <c:v>50</c:v>
                </c:pt>
                <c:pt idx="11">
                  <c:v>53</c:v>
                </c:pt>
                <c:pt idx="12" formatCode="General">
                  <c:v>56</c:v>
                </c:pt>
                <c:pt idx="13">
                  <c:v>58</c:v>
                </c:pt>
                <c:pt idx="14" formatCode="General">
                  <c:v>60</c:v>
                </c:pt>
                <c:pt idx="15">
                  <c:v>168</c:v>
                </c:pt>
                <c:pt idx="16" formatCode="General">
                  <c:v>276</c:v>
                </c:pt>
                <c:pt idx="17">
                  <c:v>248</c:v>
                </c:pt>
                <c:pt idx="18" formatCode="General">
                  <c:v>220</c:v>
                </c:pt>
                <c:pt idx="19">
                  <c:v>126</c:v>
                </c:pt>
                <c:pt idx="20" formatCode="General">
                  <c:v>32</c:v>
                </c:pt>
                <c:pt idx="21">
                  <c:v>63</c:v>
                </c:pt>
                <c:pt idx="22" formatCode="General">
                  <c:v>94</c:v>
                </c:pt>
                <c:pt idx="23">
                  <c:v>50</c:v>
                </c:pt>
                <c:pt idx="24" formatCode="General">
                  <c:v>6</c:v>
                </c:pt>
                <c:pt idx="25">
                  <c:v>80</c:v>
                </c:pt>
                <c:pt idx="26" formatCode="General">
                  <c:v>154</c:v>
                </c:pt>
                <c:pt idx="27">
                  <c:v>80</c:v>
                </c:pt>
                <c:pt idx="28" formatCode="General">
                  <c:v>6</c:v>
                </c:pt>
                <c:pt idx="29">
                  <c:v>65</c:v>
                </c:pt>
                <c:pt idx="30" formatCode="General">
                  <c:v>124</c:v>
                </c:pt>
                <c:pt idx="31">
                  <c:v>133</c:v>
                </c:pt>
                <c:pt idx="32" formatCode="General">
                  <c:v>142</c:v>
                </c:pt>
                <c:pt idx="33">
                  <c:v>77</c:v>
                </c:pt>
                <c:pt idx="34" formatCode="General">
                  <c:v>12</c:v>
                </c:pt>
                <c:pt idx="35">
                  <c:v>116</c:v>
                </c:pt>
                <c:pt idx="36" formatCode="General">
                  <c:v>220</c:v>
                </c:pt>
                <c:pt idx="37">
                  <c:v>180</c:v>
                </c:pt>
                <c:pt idx="38" formatCode="General">
                  <c:v>140</c:v>
                </c:pt>
                <c:pt idx="39">
                  <c:v>56</c:v>
                </c:pt>
                <c:pt idx="40" formatCode="General">
                  <c:v>42</c:v>
                </c:pt>
                <c:pt idx="41">
                  <c:v>47</c:v>
                </c:pt>
                <c:pt idx="42" formatCode="General">
                  <c:v>52</c:v>
                </c:pt>
                <c:pt idx="43">
                  <c:v>151</c:v>
                </c:pt>
                <c:pt idx="44" formatCode="General">
                  <c:v>250</c:v>
                </c:pt>
                <c:pt idx="45">
                  <c:v>191</c:v>
                </c:pt>
                <c:pt idx="46" formatCode="General">
                  <c:v>132</c:v>
                </c:pt>
                <c:pt idx="47">
                  <c:v>74</c:v>
                </c:pt>
                <c:pt idx="48" formatCode="General">
                  <c:v>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61-4BB5-B5DE-45FF4525F125}"/>
            </c:ext>
          </c:extLst>
        </c:ser>
        <c:ser>
          <c:idx val="1"/>
          <c:order val="1"/>
          <c:tx>
            <c:strRef>
              <c:f>'L-Curve'!$C$3</c:f>
              <c:strCache>
                <c:ptCount val="1"/>
                <c:pt idx="0">
                  <c:v>EAST GRID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2"/>
            <c:spPr>
              <a:solidFill>
                <a:srgbClr val="99CC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'L-Curve'!$A$4:$A$52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'L-Curve'!$C$4:$C$52</c:f>
              <c:numCache>
                <c:formatCode>General</c:formatCode>
                <c:ptCount val="49"/>
                <c:pt idx="0" formatCode="0">
                  <c:v>4577</c:v>
                </c:pt>
                <c:pt idx="1">
                  <c:v>4742</c:v>
                </c:pt>
                <c:pt idx="2" formatCode="0">
                  <c:v>4907</c:v>
                </c:pt>
                <c:pt idx="3">
                  <c:v>4721.5</c:v>
                </c:pt>
                <c:pt idx="4" formatCode="0">
                  <c:v>4536</c:v>
                </c:pt>
                <c:pt idx="5">
                  <c:v>4441.5</c:v>
                </c:pt>
                <c:pt idx="6" formatCode="0">
                  <c:v>4347</c:v>
                </c:pt>
                <c:pt idx="7">
                  <c:v>4301.5</c:v>
                </c:pt>
                <c:pt idx="8" formatCode="0">
                  <c:v>4256</c:v>
                </c:pt>
                <c:pt idx="9">
                  <c:v>4220</c:v>
                </c:pt>
                <c:pt idx="10" formatCode="0">
                  <c:v>4184</c:v>
                </c:pt>
                <c:pt idx="11">
                  <c:v>4210.5</c:v>
                </c:pt>
                <c:pt idx="12" formatCode="0">
                  <c:v>4237</c:v>
                </c:pt>
                <c:pt idx="13">
                  <c:v>4219</c:v>
                </c:pt>
                <c:pt idx="14" formatCode="0">
                  <c:v>4201</c:v>
                </c:pt>
                <c:pt idx="15">
                  <c:v>4347</c:v>
                </c:pt>
                <c:pt idx="16" formatCode="0">
                  <c:v>4493</c:v>
                </c:pt>
                <c:pt idx="17">
                  <c:v>4545</c:v>
                </c:pt>
                <c:pt idx="18" formatCode="0">
                  <c:v>4597</c:v>
                </c:pt>
                <c:pt idx="19">
                  <c:v>4533</c:v>
                </c:pt>
                <c:pt idx="20" formatCode="0">
                  <c:v>4469</c:v>
                </c:pt>
                <c:pt idx="21">
                  <c:v>4486.5</c:v>
                </c:pt>
                <c:pt idx="22" formatCode="0">
                  <c:v>4504</c:v>
                </c:pt>
                <c:pt idx="23">
                  <c:v>4642</c:v>
                </c:pt>
                <c:pt idx="24" formatCode="0">
                  <c:v>4780</c:v>
                </c:pt>
                <c:pt idx="25">
                  <c:v>4968</c:v>
                </c:pt>
                <c:pt idx="26" formatCode="0">
                  <c:v>5156</c:v>
                </c:pt>
                <c:pt idx="27">
                  <c:v>4847.5</c:v>
                </c:pt>
                <c:pt idx="28" formatCode="0">
                  <c:v>4539</c:v>
                </c:pt>
                <c:pt idx="29">
                  <c:v>4397.5</c:v>
                </c:pt>
                <c:pt idx="30" formatCode="0">
                  <c:v>4256</c:v>
                </c:pt>
                <c:pt idx="31">
                  <c:v>4234</c:v>
                </c:pt>
                <c:pt idx="32" formatCode="0">
                  <c:v>4212</c:v>
                </c:pt>
                <c:pt idx="33">
                  <c:v>4295.5</c:v>
                </c:pt>
                <c:pt idx="34" formatCode="0">
                  <c:v>4379</c:v>
                </c:pt>
                <c:pt idx="35">
                  <c:v>4749</c:v>
                </c:pt>
                <c:pt idx="36" formatCode="0">
                  <c:v>5119</c:v>
                </c:pt>
                <c:pt idx="37" formatCode="0">
                  <c:v>5308</c:v>
                </c:pt>
                <c:pt idx="38" formatCode="0">
                  <c:v>5497</c:v>
                </c:pt>
                <c:pt idx="39" formatCode="0">
                  <c:v>5443</c:v>
                </c:pt>
                <c:pt idx="40" formatCode="0">
                  <c:v>5428</c:v>
                </c:pt>
                <c:pt idx="41">
                  <c:v>5353</c:v>
                </c:pt>
                <c:pt idx="42" formatCode="0">
                  <c:v>5278</c:v>
                </c:pt>
                <c:pt idx="43">
                  <c:v>5141.5</c:v>
                </c:pt>
                <c:pt idx="44" formatCode="0">
                  <c:v>5005</c:v>
                </c:pt>
                <c:pt idx="45">
                  <c:v>4897</c:v>
                </c:pt>
                <c:pt idx="46" formatCode="0">
                  <c:v>4789</c:v>
                </c:pt>
                <c:pt idx="47">
                  <c:v>4683</c:v>
                </c:pt>
                <c:pt idx="48" formatCode="0">
                  <c:v>4577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61-4BB5-B5DE-45FF4525F125}"/>
            </c:ext>
          </c:extLst>
        </c:ser>
        <c:ser>
          <c:idx val="2"/>
          <c:order val="2"/>
          <c:tx>
            <c:strRef>
              <c:f>'L-Curve'!$D$3</c:f>
              <c:strCache>
                <c:ptCount val="1"/>
                <c:pt idx="0">
                  <c:v>WEST GRID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FF66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'L-Curve'!$A$4:$A$52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'L-Curve'!$D$4:$D$52</c:f>
              <c:numCache>
                <c:formatCode>General</c:formatCode>
                <c:ptCount val="49"/>
                <c:pt idx="0" formatCode="0">
                  <c:v>2100</c:v>
                </c:pt>
                <c:pt idx="1">
                  <c:v>1985</c:v>
                </c:pt>
                <c:pt idx="2" formatCode="0">
                  <c:v>1870</c:v>
                </c:pt>
                <c:pt idx="3">
                  <c:v>1826.5</c:v>
                </c:pt>
                <c:pt idx="4" formatCode="0">
                  <c:v>1783</c:v>
                </c:pt>
                <c:pt idx="5">
                  <c:v>1768.5</c:v>
                </c:pt>
                <c:pt idx="6" formatCode="0">
                  <c:v>1754</c:v>
                </c:pt>
                <c:pt idx="7">
                  <c:v>1717</c:v>
                </c:pt>
                <c:pt idx="8" formatCode="0">
                  <c:v>1680</c:v>
                </c:pt>
                <c:pt idx="9">
                  <c:v>1672</c:v>
                </c:pt>
                <c:pt idx="10" formatCode="0">
                  <c:v>1664</c:v>
                </c:pt>
                <c:pt idx="11">
                  <c:v>1702</c:v>
                </c:pt>
                <c:pt idx="12" formatCode="0">
                  <c:v>1740</c:v>
                </c:pt>
                <c:pt idx="13">
                  <c:v>1766.5</c:v>
                </c:pt>
                <c:pt idx="14" formatCode="0">
                  <c:v>1793</c:v>
                </c:pt>
                <c:pt idx="15">
                  <c:v>1845</c:v>
                </c:pt>
                <c:pt idx="16" formatCode="0">
                  <c:v>1897</c:v>
                </c:pt>
                <c:pt idx="17">
                  <c:v>1960</c:v>
                </c:pt>
                <c:pt idx="18" formatCode="0">
                  <c:v>2023</c:v>
                </c:pt>
                <c:pt idx="19">
                  <c:v>2019.5</c:v>
                </c:pt>
                <c:pt idx="20" formatCode="0">
                  <c:v>2016</c:v>
                </c:pt>
                <c:pt idx="21">
                  <c:v>2049.5</c:v>
                </c:pt>
                <c:pt idx="22" formatCode="0">
                  <c:v>2083</c:v>
                </c:pt>
                <c:pt idx="23">
                  <c:v>2117.5</c:v>
                </c:pt>
                <c:pt idx="24" formatCode="0">
                  <c:v>2152</c:v>
                </c:pt>
                <c:pt idx="25">
                  <c:v>2165.5</c:v>
                </c:pt>
                <c:pt idx="26" formatCode="0">
                  <c:v>2179</c:v>
                </c:pt>
                <c:pt idx="27">
                  <c:v>2008.5</c:v>
                </c:pt>
                <c:pt idx="28" formatCode="0">
                  <c:v>1838</c:v>
                </c:pt>
                <c:pt idx="29">
                  <c:v>1828</c:v>
                </c:pt>
                <c:pt idx="30" formatCode="0">
                  <c:v>1818</c:v>
                </c:pt>
                <c:pt idx="31">
                  <c:v>1823</c:v>
                </c:pt>
                <c:pt idx="32" formatCode="0">
                  <c:v>1828</c:v>
                </c:pt>
                <c:pt idx="33">
                  <c:v>1841.5</c:v>
                </c:pt>
                <c:pt idx="34" formatCode="0">
                  <c:v>1855</c:v>
                </c:pt>
                <c:pt idx="35">
                  <c:v>2154</c:v>
                </c:pt>
                <c:pt idx="36" formatCode="0">
                  <c:v>2453</c:v>
                </c:pt>
                <c:pt idx="37" formatCode="0">
                  <c:v>2527</c:v>
                </c:pt>
                <c:pt idx="38" formatCode="0">
                  <c:v>2601</c:v>
                </c:pt>
                <c:pt idx="39" formatCode="0">
                  <c:v>2775</c:v>
                </c:pt>
                <c:pt idx="40" formatCode="0">
                  <c:v>2735</c:v>
                </c:pt>
                <c:pt idx="41">
                  <c:v>2725</c:v>
                </c:pt>
                <c:pt idx="42" formatCode="0">
                  <c:v>2715</c:v>
                </c:pt>
                <c:pt idx="43">
                  <c:v>2734.5</c:v>
                </c:pt>
                <c:pt idx="44" formatCode="0">
                  <c:v>2754</c:v>
                </c:pt>
                <c:pt idx="45">
                  <c:v>2598.5</c:v>
                </c:pt>
                <c:pt idx="46" formatCode="0">
                  <c:v>2443</c:v>
                </c:pt>
                <c:pt idx="47">
                  <c:v>2271.5</c:v>
                </c:pt>
                <c:pt idx="48" formatCode="0">
                  <c:v>2100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261-4BB5-B5DE-45FF4525F125}"/>
            </c:ext>
          </c:extLst>
        </c:ser>
        <c:ser>
          <c:idx val="3"/>
          <c:order val="3"/>
          <c:tx>
            <c:strRef>
              <c:f>'L-Curve'!$E$3</c:f>
              <c:strCache>
                <c:ptCount val="1"/>
                <c:pt idx="0">
                  <c:v>TOTAL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2"/>
            <c:spPr>
              <a:solidFill>
                <a:srgbClr val="00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'L-Curve'!$A$4:$A$52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'L-Curve'!$E$4:$E$52</c:f>
              <c:numCache>
                <c:formatCode>General</c:formatCode>
                <c:ptCount val="49"/>
                <c:pt idx="0" formatCode="0">
                  <c:v>6677</c:v>
                </c:pt>
                <c:pt idx="1">
                  <c:v>6727</c:v>
                </c:pt>
                <c:pt idx="2">
                  <c:v>6777</c:v>
                </c:pt>
                <c:pt idx="3">
                  <c:v>6548</c:v>
                </c:pt>
                <c:pt idx="4">
                  <c:v>6319</c:v>
                </c:pt>
                <c:pt idx="5">
                  <c:v>6210</c:v>
                </c:pt>
                <c:pt idx="6">
                  <c:v>6101</c:v>
                </c:pt>
                <c:pt idx="7">
                  <c:v>6018.5</c:v>
                </c:pt>
                <c:pt idx="8">
                  <c:v>5936</c:v>
                </c:pt>
                <c:pt idx="9">
                  <c:v>5892</c:v>
                </c:pt>
                <c:pt idx="10">
                  <c:v>5848</c:v>
                </c:pt>
                <c:pt idx="11">
                  <c:v>5912.5</c:v>
                </c:pt>
                <c:pt idx="12">
                  <c:v>5977</c:v>
                </c:pt>
                <c:pt idx="13">
                  <c:v>5985.5</c:v>
                </c:pt>
                <c:pt idx="14">
                  <c:v>5994</c:v>
                </c:pt>
                <c:pt idx="15">
                  <c:v>6192</c:v>
                </c:pt>
                <c:pt idx="16">
                  <c:v>6390</c:v>
                </c:pt>
                <c:pt idx="17">
                  <c:v>6505</c:v>
                </c:pt>
                <c:pt idx="18">
                  <c:v>6620</c:v>
                </c:pt>
                <c:pt idx="19">
                  <c:v>6552.5</c:v>
                </c:pt>
                <c:pt idx="20">
                  <c:v>6485</c:v>
                </c:pt>
                <c:pt idx="21">
                  <c:v>6536</c:v>
                </c:pt>
                <c:pt idx="22">
                  <c:v>6587</c:v>
                </c:pt>
                <c:pt idx="23">
                  <c:v>6759.5</c:v>
                </c:pt>
                <c:pt idx="24">
                  <c:v>6932</c:v>
                </c:pt>
                <c:pt idx="25">
                  <c:v>7133.5</c:v>
                </c:pt>
                <c:pt idx="26">
                  <c:v>7335</c:v>
                </c:pt>
                <c:pt idx="27">
                  <c:v>6856</c:v>
                </c:pt>
                <c:pt idx="28">
                  <c:v>6377</c:v>
                </c:pt>
                <c:pt idx="29">
                  <c:v>6225.5</c:v>
                </c:pt>
                <c:pt idx="30">
                  <c:v>6074</c:v>
                </c:pt>
                <c:pt idx="31">
                  <c:v>6057</c:v>
                </c:pt>
                <c:pt idx="32">
                  <c:v>6040</c:v>
                </c:pt>
                <c:pt idx="33">
                  <c:v>6137</c:v>
                </c:pt>
                <c:pt idx="34">
                  <c:v>6234</c:v>
                </c:pt>
                <c:pt idx="35">
                  <c:v>6903</c:v>
                </c:pt>
                <c:pt idx="36">
                  <c:v>7572</c:v>
                </c:pt>
                <c:pt idx="37">
                  <c:v>7835</c:v>
                </c:pt>
                <c:pt idx="38">
                  <c:v>8098</c:v>
                </c:pt>
                <c:pt idx="39">
                  <c:v>8218</c:v>
                </c:pt>
                <c:pt idx="40">
                  <c:v>8163</c:v>
                </c:pt>
                <c:pt idx="41">
                  <c:v>8078</c:v>
                </c:pt>
                <c:pt idx="42">
                  <c:v>7993</c:v>
                </c:pt>
                <c:pt idx="43">
                  <c:v>7876</c:v>
                </c:pt>
                <c:pt idx="44">
                  <c:v>7759</c:v>
                </c:pt>
                <c:pt idx="45">
                  <c:v>7495.5</c:v>
                </c:pt>
                <c:pt idx="46">
                  <c:v>7232</c:v>
                </c:pt>
                <c:pt idx="47">
                  <c:v>6954.5</c:v>
                </c:pt>
                <c:pt idx="48">
                  <c:v>6677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261-4BB5-B5DE-45FF4525F125}"/>
            </c:ext>
          </c:extLst>
        </c:ser>
        <c:marker val="1"/>
        <c:axId val="93776896"/>
        <c:axId val="94207360"/>
      </c:lineChart>
      <c:catAx>
        <c:axId val="937768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Times New Roman" pitchFamily="18" charset="0"/>
                    <a:ea typeface="Arial"/>
                    <a:cs typeface="Times New Roman" pitchFamily="18" charset="0"/>
                  </a:defRPr>
                </a:pPr>
                <a:r>
                  <a:rPr lang="en-US">
                    <a:latin typeface="Times New Roman" pitchFamily="18" charset="0"/>
                    <a:cs typeface="Times New Roman" pitchFamily="18" charset="0"/>
                  </a:rPr>
                  <a:t>HOUR</a:t>
                </a:r>
              </a:p>
            </c:rich>
          </c:tx>
          <c:layout>
            <c:manualLayout>
              <c:xMode val="edge"/>
              <c:yMode val="edge"/>
              <c:x val="0.53654859656304565"/>
              <c:y val="0.9052391080810784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cross"/>
        <c:tickLblPos val="nextTo"/>
        <c:spPr>
          <a:ln w="3175">
            <a:solidFill>
              <a:srgbClr val="339966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 pitchFamily="18" charset="0"/>
                <a:ea typeface="Arial"/>
                <a:cs typeface="Times New Roman" pitchFamily="18" charset="0"/>
              </a:defRPr>
            </a:pPr>
            <a:endParaRPr lang="en-US"/>
          </a:p>
        </c:txPr>
        <c:crossAx val="94207360"/>
        <c:crossesAt val="0"/>
        <c:lblAlgn val="ctr"/>
        <c:lblOffset val="100"/>
        <c:tickLblSkip val="4"/>
        <c:tickMarkSkip val="4"/>
      </c:catAx>
      <c:valAx>
        <c:axId val="94207360"/>
        <c:scaling>
          <c:orientation val="minMax"/>
          <c:max val="14000"/>
          <c:min val="0"/>
        </c:scaling>
        <c:axPos val="l"/>
        <c:title>
          <c:tx>
            <c:rich>
              <a:bodyPr rot="0" vert="horz"/>
              <a:lstStyle/>
              <a:p>
                <a:pPr algn="ctr">
                  <a:defRPr sz="1075" b="1" i="0" u="none" strike="noStrike" baseline="0">
                    <a:solidFill>
                      <a:srgbClr val="000000"/>
                    </a:solidFill>
                    <a:latin typeface="Times New Roman" pitchFamily="18" charset="0"/>
                    <a:ea typeface="Arial"/>
                    <a:cs typeface="Times New Roman" pitchFamily="18" charset="0"/>
                  </a:defRPr>
                </a:pPr>
                <a:r>
                  <a:rPr lang="en-US">
                    <a:latin typeface="Times New Roman" pitchFamily="18" charset="0"/>
                    <a:cs typeface="Times New Roman" pitchFamily="18" charset="0"/>
                  </a:rPr>
                  <a:t>MW</a:t>
                </a:r>
              </a:p>
            </c:rich>
          </c:tx>
          <c:layout>
            <c:manualLayout>
              <c:xMode val="edge"/>
              <c:yMode val="edge"/>
              <c:x val="2.7056277056288092E-3"/>
              <c:y val="0.3419543850123323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8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 pitchFamily="18" charset="0"/>
                <a:ea typeface="Arial"/>
                <a:cs typeface="Times New Roman" pitchFamily="18" charset="0"/>
              </a:defRPr>
            </a:pPr>
            <a:endParaRPr lang="en-US"/>
          </a:p>
        </c:txPr>
        <c:crossAx val="93776896"/>
        <c:crosses val="autoZero"/>
        <c:crossBetween val="midCat"/>
        <c:majorUnit val="500"/>
      </c:valAx>
      <c:spPr>
        <a:noFill/>
        <a:ln w="12700">
          <a:solidFill>
            <a:srgbClr val="339966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361934856405591"/>
          <c:y val="0.94225112816617385"/>
          <c:w val="0.75811756484984827"/>
          <c:h val="4.3103448275861947E-2"/>
        </c:manualLayout>
      </c:layout>
      <c:spPr>
        <a:solidFill>
          <a:srgbClr val="FFFFFF"/>
        </a:solidFill>
        <a:ln w="12700">
          <a:solidFill>
            <a:srgbClr val="008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 pitchFamily="34" charset="0"/>
              <a:ea typeface="Arial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12700">
      <a:solidFill>
        <a:srgbClr val="8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>
        <c:manualLayout>
          <c:layoutTarget val="inner"/>
          <c:xMode val="edge"/>
          <c:yMode val="edge"/>
          <c:x val="9.5051129101241263E-2"/>
          <c:y val="1.6328657307541135E-2"/>
          <c:w val="0.87906315260391465"/>
          <c:h val="0.9160666751651414"/>
        </c:manualLayout>
      </c:layout>
      <c:areaChart>
        <c:grouping val="stacked"/>
        <c:ser>
          <c:idx val="3"/>
          <c:order val="0"/>
          <c:tx>
            <c:strRef>
              <c:f>'En-Curve'!$B$5</c:f>
              <c:strCache>
                <c:ptCount val="1"/>
                <c:pt idx="0">
                  <c:v>GAS</c:v>
                </c:pt>
              </c:strCache>
            </c:strRef>
          </c:tx>
          <c:spPr>
            <a:pattFill prst="dkDnDiag">
              <a:fgClr>
                <a:srgbClr val="FF00FF"/>
              </a:fgClr>
              <a:bgClr>
                <a:srgbClr val="FFFFFF"/>
              </a:bgClr>
            </a:pattFill>
            <a:ln w="3175">
              <a:solidFill>
                <a:srgbClr val="993300"/>
              </a:solidFill>
              <a:prstDash val="solid"/>
            </a:ln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'En-Curve'!$B$6:$B$54</c:f>
              <c:numCache>
                <c:formatCode>0</c:formatCode>
                <c:ptCount val="49"/>
                <c:pt idx="0">
                  <c:v>2347</c:v>
                </c:pt>
                <c:pt idx="1">
                  <c:v>2269.5</c:v>
                </c:pt>
                <c:pt idx="2">
                  <c:v>2192</c:v>
                </c:pt>
                <c:pt idx="3">
                  <c:v>2197.5</c:v>
                </c:pt>
                <c:pt idx="4">
                  <c:v>2203</c:v>
                </c:pt>
                <c:pt idx="5">
                  <c:v>2198.5</c:v>
                </c:pt>
                <c:pt idx="6">
                  <c:v>2194</c:v>
                </c:pt>
                <c:pt idx="7">
                  <c:v>2202</c:v>
                </c:pt>
                <c:pt idx="8">
                  <c:v>2210</c:v>
                </c:pt>
                <c:pt idx="9">
                  <c:v>2198.5</c:v>
                </c:pt>
                <c:pt idx="10">
                  <c:v>2187</c:v>
                </c:pt>
                <c:pt idx="11">
                  <c:v>2221</c:v>
                </c:pt>
                <c:pt idx="12">
                  <c:v>2255</c:v>
                </c:pt>
                <c:pt idx="13">
                  <c:v>2249.5</c:v>
                </c:pt>
                <c:pt idx="14">
                  <c:v>2244</c:v>
                </c:pt>
                <c:pt idx="15">
                  <c:v>2261.5</c:v>
                </c:pt>
                <c:pt idx="16">
                  <c:v>2279</c:v>
                </c:pt>
                <c:pt idx="17">
                  <c:v>2253.5</c:v>
                </c:pt>
                <c:pt idx="18">
                  <c:v>2228</c:v>
                </c:pt>
                <c:pt idx="19">
                  <c:v>2147</c:v>
                </c:pt>
                <c:pt idx="20">
                  <c:v>2066</c:v>
                </c:pt>
                <c:pt idx="21">
                  <c:v>2071</c:v>
                </c:pt>
                <c:pt idx="22">
                  <c:v>2076</c:v>
                </c:pt>
                <c:pt idx="23">
                  <c:v>2074.5</c:v>
                </c:pt>
                <c:pt idx="24">
                  <c:v>2073</c:v>
                </c:pt>
                <c:pt idx="25">
                  <c:v>2006.5</c:v>
                </c:pt>
                <c:pt idx="26">
                  <c:v>1940</c:v>
                </c:pt>
                <c:pt idx="27">
                  <c:v>1940</c:v>
                </c:pt>
                <c:pt idx="28">
                  <c:v>1940</c:v>
                </c:pt>
                <c:pt idx="29">
                  <c:v>1928</c:v>
                </c:pt>
                <c:pt idx="30">
                  <c:v>1916</c:v>
                </c:pt>
                <c:pt idx="31">
                  <c:v>1933.5</c:v>
                </c:pt>
                <c:pt idx="32">
                  <c:v>1951</c:v>
                </c:pt>
                <c:pt idx="33">
                  <c:v>1980</c:v>
                </c:pt>
                <c:pt idx="34">
                  <c:v>2009</c:v>
                </c:pt>
                <c:pt idx="35">
                  <c:v>2069</c:v>
                </c:pt>
                <c:pt idx="36">
                  <c:v>2129</c:v>
                </c:pt>
                <c:pt idx="37">
                  <c:v>2157.5</c:v>
                </c:pt>
                <c:pt idx="38">
                  <c:v>2186</c:v>
                </c:pt>
                <c:pt idx="39">
                  <c:v>2188</c:v>
                </c:pt>
                <c:pt idx="40">
                  <c:v>2255</c:v>
                </c:pt>
                <c:pt idx="41">
                  <c:v>2320</c:v>
                </c:pt>
                <c:pt idx="42">
                  <c:v>2385</c:v>
                </c:pt>
                <c:pt idx="43">
                  <c:v>2374</c:v>
                </c:pt>
                <c:pt idx="44">
                  <c:v>2363</c:v>
                </c:pt>
                <c:pt idx="45">
                  <c:v>2356</c:v>
                </c:pt>
                <c:pt idx="46">
                  <c:v>2349</c:v>
                </c:pt>
                <c:pt idx="47">
                  <c:v>2348</c:v>
                </c:pt>
                <c:pt idx="48">
                  <c:v>2347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C88-4145-A723-501E1236CBE2}"/>
            </c:ext>
          </c:extLst>
        </c:ser>
        <c:ser>
          <c:idx val="0"/>
          <c:order val="1"/>
          <c:tx>
            <c:strRef>
              <c:f>'En-Curve'!$D$5</c:f>
              <c:strCache>
                <c:ptCount val="1"/>
                <c:pt idx="0">
                  <c:v>P.GEN(GAS).</c:v>
                </c:pt>
              </c:strCache>
            </c:strRef>
          </c:tx>
          <c:spPr>
            <a:pattFill prst="lgConfetti">
              <a:fgClr>
                <a:srgbClr val="9999FF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'En-Curve'!$D$6:$D$54</c:f>
              <c:numCache>
                <c:formatCode>0</c:formatCode>
                <c:ptCount val="49"/>
                <c:pt idx="0">
                  <c:v>1695</c:v>
                </c:pt>
                <c:pt idx="1">
                  <c:v>1723.5</c:v>
                </c:pt>
                <c:pt idx="2">
                  <c:v>1752</c:v>
                </c:pt>
                <c:pt idx="3">
                  <c:v>1721</c:v>
                </c:pt>
                <c:pt idx="4">
                  <c:v>1690</c:v>
                </c:pt>
                <c:pt idx="5">
                  <c:v>1702</c:v>
                </c:pt>
                <c:pt idx="6">
                  <c:v>1714</c:v>
                </c:pt>
                <c:pt idx="7">
                  <c:v>1701</c:v>
                </c:pt>
                <c:pt idx="8">
                  <c:v>1688</c:v>
                </c:pt>
                <c:pt idx="9">
                  <c:v>1671.5</c:v>
                </c:pt>
                <c:pt idx="10">
                  <c:v>1655</c:v>
                </c:pt>
                <c:pt idx="11">
                  <c:v>1698</c:v>
                </c:pt>
                <c:pt idx="12">
                  <c:v>1741</c:v>
                </c:pt>
                <c:pt idx="13">
                  <c:v>1741</c:v>
                </c:pt>
                <c:pt idx="14">
                  <c:v>1741</c:v>
                </c:pt>
                <c:pt idx="15">
                  <c:v>1724</c:v>
                </c:pt>
                <c:pt idx="16">
                  <c:v>1707</c:v>
                </c:pt>
                <c:pt idx="17">
                  <c:v>1623</c:v>
                </c:pt>
                <c:pt idx="18">
                  <c:v>1539</c:v>
                </c:pt>
                <c:pt idx="19">
                  <c:v>1526</c:v>
                </c:pt>
                <c:pt idx="20">
                  <c:v>1513</c:v>
                </c:pt>
                <c:pt idx="21">
                  <c:v>1544</c:v>
                </c:pt>
                <c:pt idx="22">
                  <c:v>1575</c:v>
                </c:pt>
                <c:pt idx="23">
                  <c:v>1633.5</c:v>
                </c:pt>
                <c:pt idx="24">
                  <c:v>1692</c:v>
                </c:pt>
                <c:pt idx="25">
                  <c:v>1692.5</c:v>
                </c:pt>
                <c:pt idx="26">
                  <c:v>1693</c:v>
                </c:pt>
                <c:pt idx="27">
                  <c:v>1693</c:v>
                </c:pt>
                <c:pt idx="28">
                  <c:v>1693</c:v>
                </c:pt>
                <c:pt idx="29">
                  <c:v>1655</c:v>
                </c:pt>
                <c:pt idx="30">
                  <c:v>1617</c:v>
                </c:pt>
                <c:pt idx="31">
                  <c:v>1650</c:v>
                </c:pt>
                <c:pt idx="32">
                  <c:v>1683</c:v>
                </c:pt>
                <c:pt idx="33">
                  <c:v>1701</c:v>
                </c:pt>
                <c:pt idx="34">
                  <c:v>1719</c:v>
                </c:pt>
                <c:pt idx="35">
                  <c:v>1679.5</c:v>
                </c:pt>
                <c:pt idx="36">
                  <c:v>1640</c:v>
                </c:pt>
                <c:pt idx="37">
                  <c:v>1675</c:v>
                </c:pt>
                <c:pt idx="38">
                  <c:v>1710</c:v>
                </c:pt>
                <c:pt idx="39">
                  <c:v>1762</c:v>
                </c:pt>
                <c:pt idx="40">
                  <c:v>1747</c:v>
                </c:pt>
                <c:pt idx="41">
                  <c:v>1762</c:v>
                </c:pt>
                <c:pt idx="42">
                  <c:v>1777</c:v>
                </c:pt>
                <c:pt idx="43">
                  <c:v>1750.5</c:v>
                </c:pt>
                <c:pt idx="44">
                  <c:v>1724</c:v>
                </c:pt>
                <c:pt idx="45">
                  <c:v>1705</c:v>
                </c:pt>
                <c:pt idx="46">
                  <c:v>1686</c:v>
                </c:pt>
                <c:pt idx="47">
                  <c:v>1690.5</c:v>
                </c:pt>
                <c:pt idx="48">
                  <c:v>1695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C88-4145-A723-501E1236CBE2}"/>
            </c:ext>
          </c:extLst>
        </c:ser>
        <c:ser>
          <c:idx val="7"/>
          <c:order val="2"/>
          <c:tx>
            <c:strRef>
              <c:f>'En-Curve'!$C$5</c:f>
              <c:strCache>
                <c:ptCount val="1"/>
                <c:pt idx="0">
                  <c:v> HVDC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'En-Curve'!$C$6:$C$54</c:f>
              <c:numCache>
                <c:formatCode>0</c:formatCode>
                <c:ptCount val="49"/>
                <c:pt idx="0">
                  <c:v>469</c:v>
                </c:pt>
                <c:pt idx="1">
                  <c:v>472</c:v>
                </c:pt>
                <c:pt idx="2">
                  <c:v>475</c:v>
                </c:pt>
                <c:pt idx="3">
                  <c:v>448.5</c:v>
                </c:pt>
                <c:pt idx="4">
                  <c:v>422</c:v>
                </c:pt>
                <c:pt idx="5">
                  <c:v>422</c:v>
                </c:pt>
                <c:pt idx="6">
                  <c:v>422</c:v>
                </c:pt>
                <c:pt idx="7">
                  <c:v>422</c:v>
                </c:pt>
                <c:pt idx="8">
                  <c:v>422</c:v>
                </c:pt>
                <c:pt idx="9">
                  <c:v>421.5</c:v>
                </c:pt>
                <c:pt idx="10">
                  <c:v>421</c:v>
                </c:pt>
                <c:pt idx="11">
                  <c:v>421</c:v>
                </c:pt>
                <c:pt idx="12">
                  <c:v>421</c:v>
                </c:pt>
                <c:pt idx="13">
                  <c:v>421.5</c:v>
                </c:pt>
                <c:pt idx="14">
                  <c:v>422</c:v>
                </c:pt>
                <c:pt idx="15">
                  <c:v>421.5</c:v>
                </c:pt>
                <c:pt idx="16">
                  <c:v>421</c:v>
                </c:pt>
                <c:pt idx="17">
                  <c:v>508</c:v>
                </c:pt>
                <c:pt idx="18">
                  <c:v>595</c:v>
                </c:pt>
                <c:pt idx="19">
                  <c:v>602.5</c:v>
                </c:pt>
                <c:pt idx="20">
                  <c:v>610</c:v>
                </c:pt>
                <c:pt idx="21">
                  <c:v>610.5</c:v>
                </c:pt>
                <c:pt idx="22">
                  <c:v>611</c:v>
                </c:pt>
                <c:pt idx="23">
                  <c:v>610.5</c:v>
                </c:pt>
                <c:pt idx="24">
                  <c:v>610</c:v>
                </c:pt>
                <c:pt idx="25">
                  <c:v>610</c:v>
                </c:pt>
                <c:pt idx="26">
                  <c:v>610</c:v>
                </c:pt>
                <c:pt idx="27">
                  <c:v>610</c:v>
                </c:pt>
                <c:pt idx="28">
                  <c:v>610</c:v>
                </c:pt>
                <c:pt idx="29">
                  <c:v>539.5</c:v>
                </c:pt>
                <c:pt idx="30">
                  <c:v>469</c:v>
                </c:pt>
                <c:pt idx="31">
                  <c:v>469</c:v>
                </c:pt>
                <c:pt idx="32">
                  <c:v>469</c:v>
                </c:pt>
                <c:pt idx="33">
                  <c:v>469</c:v>
                </c:pt>
                <c:pt idx="34">
                  <c:v>469</c:v>
                </c:pt>
                <c:pt idx="35">
                  <c:v>534</c:v>
                </c:pt>
                <c:pt idx="36">
                  <c:v>599</c:v>
                </c:pt>
                <c:pt idx="37">
                  <c:v>627.5</c:v>
                </c:pt>
                <c:pt idx="38">
                  <c:v>656</c:v>
                </c:pt>
                <c:pt idx="39">
                  <c:v>658</c:v>
                </c:pt>
                <c:pt idx="40">
                  <c:v>657</c:v>
                </c:pt>
                <c:pt idx="41">
                  <c:v>657</c:v>
                </c:pt>
                <c:pt idx="42">
                  <c:v>657</c:v>
                </c:pt>
                <c:pt idx="43">
                  <c:v>657.5</c:v>
                </c:pt>
                <c:pt idx="44">
                  <c:v>658</c:v>
                </c:pt>
                <c:pt idx="45">
                  <c:v>634</c:v>
                </c:pt>
                <c:pt idx="46">
                  <c:v>610</c:v>
                </c:pt>
                <c:pt idx="47">
                  <c:v>539.5</c:v>
                </c:pt>
                <c:pt idx="48">
                  <c:v>469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C88-4145-A723-501E1236CBE2}"/>
            </c:ext>
          </c:extLst>
        </c:ser>
        <c:ser>
          <c:idx val="9"/>
          <c:order val="3"/>
          <c:tx>
            <c:strRef>
              <c:f>'En-Curve'!$K$5</c:f>
              <c:strCache>
                <c:ptCount val="1"/>
                <c:pt idx="0">
                  <c:v>TRIPURA</c:v>
                </c:pt>
              </c:strCache>
            </c:strRef>
          </c:tx>
          <c:dLbls>
            <c:dLbl>
              <c:idx val="0"/>
              <c:layout>
                <c:manualLayout>
                  <c:x val="0.33267926233788442"/>
                  <c:y val="-2.8004283901316214E-2"/>
                </c:manualLayout>
              </c:layout>
              <c:tx>
                <c:rich>
                  <a:bodyPr/>
                  <a:lstStyle/>
                  <a:p>
                    <a:r>
                      <a:rPr lang="en-US" b="1">
                        <a:solidFill>
                          <a:srgbClr val="0909F7"/>
                        </a:solidFill>
                      </a:rPr>
                      <a:t>Tripura</a:t>
                    </a:r>
                  </a:p>
                </c:rich>
              </c:tx>
              <c:showSerName val="1"/>
            </c:dLbl>
            <c:spPr>
              <a:noFill/>
              <a:ln>
                <a:noFill/>
              </a:ln>
              <a:effectLst/>
            </c:spPr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'En-Curve'!$K$6:$K$54</c:f>
              <c:numCache>
                <c:formatCode>0</c:formatCode>
                <c:ptCount val="49"/>
                <c:pt idx="0">
                  <c:v>71</c:v>
                </c:pt>
                <c:pt idx="1">
                  <c:v>69</c:v>
                </c:pt>
                <c:pt idx="2">
                  <c:v>67</c:v>
                </c:pt>
                <c:pt idx="3">
                  <c:v>66</c:v>
                </c:pt>
                <c:pt idx="4">
                  <c:v>65</c:v>
                </c:pt>
                <c:pt idx="5">
                  <c:v>64</c:v>
                </c:pt>
                <c:pt idx="6">
                  <c:v>63</c:v>
                </c:pt>
                <c:pt idx="7">
                  <c:v>62.5</c:v>
                </c:pt>
                <c:pt idx="8">
                  <c:v>62</c:v>
                </c:pt>
                <c:pt idx="9">
                  <c:v>61</c:v>
                </c:pt>
                <c:pt idx="10">
                  <c:v>60</c:v>
                </c:pt>
                <c:pt idx="11">
                  <c:v>59</c:v>
                </c:pt>
                <c:pt idx="12">
                  <c:v>58</c:v>
                </c:pt>
                <c:pt idx="13">
                  <c:v>56</c:v>
                </c:pt>
                <c:pt idx="14">
                  <c:v>54</c:v>
                </c:pt>
                <c:pt idx="15">
                  <c:v>57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62.5</c:v>
                </c:pt>
                <c:pt idx="20">
                  <c:v>63</c:v>
                </c:pt>
                <c:pt idx="21">
                  <c:v>67.5</c:v>
                </c:pt>
                <c:pt idx="22">
                  <c:v>72</c:v>
                </c:pt>
                <c:pt idx="23">
                  <c:v>76</c:v>
                </c:pt>
                <c:pt idx="24">
                  <c:v>80</c:v>
                </c:pt>
                <c:pt idx="25">
                  <c:v>81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74.5</c:v>
                </c:pt>
                <c:pt idx="30">
                  <c:v>67</c:v>
                </c:pt>
                <c:pt idx="31">
                  <c:v>64.5</c:v>
                </c:pt>
                <c:pt idx="32">
                  <c:v>62</c:v>
                </c:pt>
                <c:pt idx="33">
                  <c:v>67</c:v>
                </c:pt>
                <c:pt idx="34">
                  <c:v>72</c:v>
                </c:pt>
                <c:pt idx="35">
                  <c:v>80</c:v>
                </c:pt>
                <c:pt idx="36">
                  <c:v>88</c:v>
                </c:pt>
                <c:pt idx="37">
                  <c:v>87</c:v>
                </c:pt>
                <c:pt idx="38">
                  <c:v>86</c:v>
                </c:pt>
                <c:pt idx="39">
                  <c:v>88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85</c:v>
                </c:pt>
                <c:pt idx="44">
                  <c:v>84</c:v>
                </c:pt>
                <c:pt idx="45">
                  <c:v>80</c:v>
                </c:pt>
                <c:pt idx="46">
                  <c:v>76</c:v>
                </c:pt>
                <c:pt idx="47">
                  <c:v>73.5</c:v>
                </c:pt>
                <c:pt idx="48">
                  <c:v>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C88-4145-A723-501E1236CBE2}"/>
            </c:ext>
          </c:extLst>
        </c:ser>
        <c:ser>
          <c:idx val="1"/>
          <c:order val="4"/>
          <c:tx>
            <c:strRef>
              <c:f>'En-Curve'!$H$5</c:f>
              <c:strCache>
                <c:ptCount val="1"/>
                <c:pt idx="0">
                  <c:v>HYDRO</c:v>
                </c:pt>
              </c:strCache>
            </c:strRef>
          </c:tx>
          <c:spPr>
            <a:noFill/>
            <a:ln w="12700">
              <a:solidFill>
                <a:srgbClr val="000000"/>
              </a:solidFill>
              <a:prstDash val="solid"/>
            </a:ln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'En-Curve'!$H$6:$H$54</c:f>
              <c:numCache>
                <c:formatCode>0</c:formatCode>
                <c:ptCount val="49"/>
                <c:pt idx="0">
                  <c:v>75</c:v>
                </c:pt>
                <c:pt idx="1">
                  <c:v>78</c:v>
                </c:pt>
                <c:pt idx="2">
                  <c:v>81</c:v>
                </c:pt>
                <c:pt idx="3">
                  <c:v>83.5</c:v>
                </c:pt>
                <c:pt idx="4">
                  <c:v>86</c:v>
                </c:pt>
                <c:pt idx="5">
                  <c:v>84</c:v>
                </c:pt>
                <c:pt idx="6">
                  <c:v>82</c:v>
                </c:pt>
                <c:pt idx="7">
                  <c:v>77.5</c:v>
                </c:pt>
                <c:pt idx="8">
                  <c:v>73</c:v>
                </c:pt>
                <c:pt idx="9">
                  <c:v>77</c:v>
                </c:pt>
                <c:pt idx="10">
                  <c:v>81</c:v>
                </c:pt>
                <c:pt idx="11">
                  <c:v>83.5</c:v>
                </c:pt>
                <c:pt idx="12">
                  <c:v>86</c:v>
                </c:pt>
                <c:pt idx="13">
                  <c:v>63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57.5</c:v>
                </c:pt>
                <c:pt idx="20">
                  <c:v>75</c:v>
                </c:pt>
                <c:pt idx="21">
                  <c:v>80</c:v>
                </c:pt>
                <c:pt idx="22">
                  <c:v>85</c:v>
                </c:pt>
                <c:pt idx="23">
                  <c:v>84</c:v>
                </c:pt>
                <c:pt idx="24">
                  <c:v>83</c:v>
                </c:pt>
                <c:pt idx="25">
                  <c:v>78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79.5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82</c:v>
                </c:pt>
                <c:pt idx="34">
                  <c:v>78</c:v>
                </c:pt>
                <c:pt idx="35">
                  <c:v>78.5</c:v>
                </c:pt>
                <c:pt idx="36">
                  <c:v>79</c:v>
                </c:pt>
                <c:pt idx="37">
                  <c:v>78</c:v>
                </c:pt>
                <c:pt idx="38">
                  <c:v>77</c:v>
                </c:pt>
                <c:pt idx="39">
                  <c:v>78</c:v>
                </c:pt>
                <c:pt idx="40">
                  <c:v>79</c:v>
                </c:pt>
                <c:pt idx="41">
                  <c:v>82.5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81.5</c:v>
                </c:pt>
                <c:pt idx="46">
                  <c:v>77</c:v>
                </c:pt>
                <c:pt idx="47">
                  <c:v>76</c:v>
                </c:pt>
                <c:pt idx="48">
                  <c:v>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FC88-4145-A723-501E1236CBE2}"/>
            </c:ext>
          </c:extLst>
        </c:ser>
        <c:ser>
          <c:idx val="2"/>
          <c:order val="5"/>
          <c:tx>
            <c:strRef>
              <c:f>'En-Curve'!$G$5</c:f>
              <c:strCache>
                <c:ptCount val="1"/>
                <c:pt idx="0">
                  <c:v>COAL</c:v>
                </c:pt>
              </c:strCache>
            </c:strRef>
          </c:tx>
          <c:spPr>
            <a:pattFill prst="solidDmnd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delete val="1"/>
            </c:dLbl>
            <c:spPr>
              <a:noFill/>
              <a:ln w="25400">
                <a:noFill/>
              </a:ln>
            </c:spPr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'En-Curve'!$G$6:$G$54</c:f>
              <c:numCache>
                <c:formatCode>0</c:formatCode>
                <c:ptCount val="49"/>
                <c:pt idx="0">
                  <c:v>519</c:v>
                </c:pt>
                <c:pt idx="1">
                  <c:v>359</c:v>
                </c:pt>
                <c:pt idx="2">
                  <c:v>199</c:v>
                </c:pt>
                <c:pt idx="3">
                  <c:v>199</c:v>
                </c:pt>
                <c:pt idx="4">
                  <c:v>199</c:v>
                </c:pt>
                <c:pt idx="5">
                  <c:v>199.5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199.5</c:v>
                </c:pt>
                <c:pt idx="18">
                  <c:v>199</c:v>
                </c:pt>
                <c:pt idx="19">
                  <c:v>199</c:v>
                </c:pt>
                <c:pt idx="20">
                  <c:v>199</c:v>
                </c:pt>
                <c:pt idx="21">
                  <c:v>199</c:v>
                </c:pt>
                <c:pt idx="22">
                  <c:v>199</c:v>
                </c:pt>
                <c:pt idx="23">
                  <c:v>199</c:v>
                </c:pt>
                <c:pt idx="24">
                  <c:v>199</c:v>
                </c:pt>
                <c:pt idx="25">
                  <c:v>199</c:v>
                </c:pt>
                <c:pt idx="26">
                  <c:v>199</c:v>
                </c:pt>
                <c:pt idx="27">
                  <c:v>199</c:v>
                </c:pt>
                <c:pt idx="28">
                  <c:v>199</c:v>
                </c:pt>
                <c:pt idx="29">
                  <c:v>199</c:v>
                </c:pt>
                <c:pt idx="30">
                  <c:v>199</c:v>
                </c:pt>
                <c:pt idx="31">
                  <c:v>199</c:v>
                </c:pt>
                <c:pt idx="32">
                  <c:v>199</c:v>
                </c:pt>
                <c:pt idx="33">
                  <c:v>199</c:v>
                </c:pt>
                <c:pt idx="34">
                  <c:v>199</c:v>
                </c:pt>
                <c:pt idx="35">
                  <c:v>199.5</c:v>
                </c:pt>
                <c:pt idx="36">
                  <c:v>200</c:v>
                </c:pt>
                <c:pt idx="37">
                  <c:v>234.5</c:v>
                </c:pt>
                <c:pt idx="38">
                  <c:v>269</c:v>
                </c:pt>
                <c:pt idx="39">
                  <c:v>389</c:v>
                </c:pt>
                <c:pt idx="40">
                  <c:v>409</c:v>
                </c:pt>
                <c:pt idx="41">
                  <c:v>444.5</c:v>
                </c:pt>
                <c:pt idx="42">
                  <c:v>480</c:v>
                </c:pt>
                <c:pt idx="43">
                  <c:v>529.5</c:v>
                </c:pt>
                <c:pt idx="44">
                  <c:v>579</c:v>
                </c:pt>
                <c:pt idx="45">
                  <c:v>574</c:v>
                </c:pt>
                <c:pt idx="46">
                  <c:v>569</c:v>
                </c:pt>
                <c:pt idx="47">
                  <c:v>544</c:v>
                </c:pt>
                <c:pt idx="48">
                  <c:v>519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C88-4145-A723-501E1236CBE2}"/>
            </c:ext>
          </c:extLst>
        </c:ser>
        <c:ser>
          <c:idx val="6"/>
          <c:order val="6"/>
          <c:tx>
            <c:strRef>
              <c:f>'En-Curve'!$L$5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'En-Curve'!$L$6:$L$54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3</c:v>
                </c:pt>
                <c:pt idx="15">
                  <c:v>21</c:v>
                </c:pt>
                <c:pt idx="16">
                  <c:v>39</c:v>
                </c:pt>
                <c:pt idx="17">
                  <c:v>62</c:v>
                </c:pt>
                <c:pt idx="18">
                  <c:v>85</c:v>
                </c:pt>
                <c:pt idx="19">
                  <c:v>112</c:v>
                </c:pt>
                <c:pt idx="20">
                  <c:v>139</c:v>
                </c:pt>
                <c:pt idx="21">
                  <c:v>150.5</c:v>
                </c:pt>
                <c:pt idx="22">
                  <c:v>162</c:v>
                </c:pt>
                <c:pt idx="23">
                  <c:v>166</c:v>
                </c:pt>
                <c:pt idx="24">
                  <c:v>170</c:v>
                </c:pt>
                <c:pt idx="25">
                  <c:v>168.5</c:v>
                </c:pt>
                <c:pt idx="26">
                  <c:v>167</c:v>
                </c:pt>
                <c:pt idx="27">
                  <c:v>167</c:v>
                </c:pt>
                <c:pt idx="28">
                  <c:v>167</c:v>
                </c:pt>
                <c:pt idx="29">
                  <c:v>134</c:v>
                </c:pt>
                <c:pt idx="30">
                  <c:v>101</c:v>
                </c:pt>
                <c:pt idx="31">
                  <c:v>74.5</c:v>
                </c:pt>
                <c:pt idx="32">
                  <c:v>48</c:v>
                </c:pt>
                <c:pt idx="33">
                  <c:v>28</c:v>
                </c:pt>
                <c:pt idx="34">
                  <c:v>8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FC88-4145-A723-501E1236CBE2}"/>
            </c:ext>
          </c:extLst>
        </c:ser>
        <c:ser>
          <c:idx val="4"/>
          <c:order val="7"/>
          <c:tx>
            <c:strRef>
              <c:f>'En-Curve'!$J$5</c:f>
              <c:strCache>
                <c:ptCount val="1"/>
                <c:pt idx="0">
                  <c:v>G.GEN(HFO)</c:v>
                </c:pt>
              </c:strCache>
            </c:strRef>
          </c:tx>
          <c:spPr>
            <a:pattFill prst="diagBrick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delete val="1"/>
            </c:dLbl>
            <c:spPr>
              <a:noFill/>
              <a:ln>
                <a:noFill/>
              </a:ln>
              <a:effectLst/>
            </c:spPr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'En-Curve'!$J$6:$J$54</c:f>
              <c:numCache>
                <c:formatCode>0</c:formatCode>
                <c:ptCount val="49"/>
                <c:pt idx="0">
                  <c:v>8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6</c:v>
                </c:pt>
                <c:pt idx="25">
                  <c:v>19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16</c:v>
                </c:pt>
                <c:pt idx="30">
                  <c:v>0</c:v>
                </c:pt>
                <c:pt idx="31">
                  <c:v>3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166</c:v>
                </c:pt>
                <c:pt idx="36">
                  <c:v>326</c:v>
                </c:pt>
                <c:pt idx="37">
                  <c:v>340</c:v>
                </c:pt>
                <c:pt idx="38">
                  <c:v>354</c:v>
                </c:pt>
                <c:pt idx="39">
                  <c:v>281</c:v>
                </c:pt>
                <c:pt idx="40">
                  <c:v>226</c:v>
                </c:pt>
                <c:pt idx="41">
                  <c:v>168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59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FC88-4145-A723-501E1236CBE2}"/>
            </c:ext>
          </c:extLst>
        </c:ser>
        <c:ser>
          <c:idx val="5"/>
          <c:order val="8"/>
          <c:tx>
            <c:strRef>
              <c:f>'En-Curve'!$F$5</c:f>
              <c:strCache>
                <c:ptCount val="1"/>
                <c:pt idx="0">
                  <c:v>P.GEN(HFO).</c:v>
                </c:pt>
              </c:strCache>
            </c:strRef>
          </c:tx>
          <c:spPr>
            <a:pattFill prst="wdUpDiag">
              <a:fgClr>
                <a:srgbClr val="FFCC0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prstDash val="solid"/>
            </a:ln>
          </c:spPr>
          <c:dLbls>
            <c:dLbl>
              <c:idx val="0"/>
              <c:layout>
                <c:manualLayout>
                  <c:x val="0.31959763884605169"/>
                  <c:y val="-3.0341792418928981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Private(HFO</a:t>
                    </a:r>
                    <a:r>
                      <a:rPr lang="en-US"/>
                      <a:t>).</a:t>
                    </a:r>
                  </a:p>
                </c:rich>
              </c:tx>
              <c:showSerNam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showSerName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'En-Curve'!$F$6:$F$54</c:f>
              <c:numCache>
                <c:formatCode>0</c:formatCode>
                <c:ptCount val="49"/>
                <c:pt idx="0">
                  <c:v>1493</c:v>
                </c:pt>
                <c:pt idx="1">
                  <c:v>1752</c:v>
                </c:pt>
                <c:pt idx="2">
                  <c:v>2011</c:v>
                </c:pt>
                <c:pt idx="3">
                  <c:v>1832.5</c:v>
                </c:pt>
                <c:pt idx="4">
                  <c:v>1654</c:v>
                </c:pt>
                <c:pt idx="5">
                  <c:v>1540</c:v>
                </c:pt>
                <c:pt idx="6">
                  <c:v>1426</c:v>
                </c:pt>
                <c:pt idx="7">
                  <c:v>1353.5</c:v>
                </c:pt>
                <c:pt idx="8">
                  <c:v>1281</c:v>
                </c:pt>
                <c:pt idx="9">
                  <c:v>1262.5</c:v>
                </c:pt>
                <c:pt idx="10">
                  <c:v>1244</c:v>
                </c:pt>
                <c:pt idx="11">
                  <c:v>1230</c:v>
                </c:pt>
                <c:pt idx="12">
                  <c:v>1216</c:v>
                </c:pt>
                <c:pt idx="13">
                  <c:v>1253</c:v>
                </c:pt>
                <c:pt idx="14">
                  <c:v>1290</c:v>
                </c:pt>
                <c:pt idx="15">
                  <c:v>1467</c:v>
                </c:pt>
                <c:pt idx="16">
                  <c:v>1644</c:v>
                </c:pt>
                <c:pt idx="17">
                  <c:v>1758</c:v>
                </c:pt>
                <c:pt idx="18">
                  <c:v>1872</c:v>
                </c:pt>
                <c:pt idx="19">
                  <c:v>1846</c:v>
                </c:pt>
                <c:pt idx="20">
                  <c:v>1820</c:v>
                </c:pt>
                <c:pt idx="21">
                  <c:v>1813.5</c:v>
                </c:pt>
                <c:pt idx="22">
                  <c:v>1807</c:v>
                </c:pt>
                <c:pt idx="23">
                  <c:v>1913</c:v>
                </c:pt>
                <c:pt idx="24">
                  <c:v>2019</c:v>
                </c:pt>
                <c:pt idx="25">
                  <c:v>2279</c:v>
                </c:pt>
                <c:pt idx="26">
                  <c:v>2539</c:v>
                </c:pt>
                <c:pt idx="27">
                  <c:v>2539</c:v>
                </c:pt>
                <c:pt idx="28">
                  <c:v>2539</c:v>
                </c:pt>
                <c:pt idx="29">
                  <c:v>2079</c:v>
                </c:pt>
                <c:pt idx="30">
                  <c:v>1619</c:v>
                </c:pt>
                <c:pt idx="31">
                  <c:v>1577.5</c:v>
                </c:pt>
                <c:pt idx="32">
                  <c:v>1536</c:v>
                </c:pt>
                <c:pt idx="33">
                  <c:v>1605</c:v>
                </c:pt>
                <c:pt idx="34">
                  <c:v>1674</c:v>
                </c:pt>
                <c:pt idx="35">
                  <c:v>2032</c:v>
                </c:pt>
                <c:pt idx="36">
                  <c:v>2390</c:v>
                </c:pt>
                <c:pt idx="37">
                  <c:v>2550</c:v>
                </c:pt>
                <c:pt idx="38">
                  <c:v>2710</c:v>
                </c:pt>
                <c:pt idx="39">
                  <c:v>2774</c:v>
                </c:pt>
                <c:pt idx="40">
                  <c:v>2704</c:v>
                </c:pt>
                <c:pt idx="41">
                  <c:v>2558</c:v>
                </c:pt>
                <c:pt idx="42">
                  <c:v>2412</c:v>
                </c:pt>
                <c:pt idx="43">
                  <c:v>2283.5</c:v>
                </c:pt>
                <c:pt idx="44">
                  <c:v>2155</c:v>
                </c:pt>
                <c:pt idx="45">
                  <c:v>2006</c:v>
                </c:pt>
                <c:pt idx="46">
                  <c:v>1857</c:v>
                </c:pt>
                <c:pt idx="47">
                  <c:v>1675</c:v>
                </c:pt>
                <c:pt idx="48">
                  <c:v>1493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C88-4145-A723-501E1236CBE2}"/>
            </c:ext>
          </c:extLst>
        </c:ser>
        <c:ser>
          <c:idx val="11"/>
          <c:order val="9"/>
          <c:tx>
            <c:strRef>
              <c:f>'En-Curve'!$I$5</c:f>
              <c:strCache>
                <c:ptCount val="1"/>
                <c:pt idx="0">
                  <c:v>G.GEN(HSD)</c:v>
                </c:pt>
              </c:strCache>
            </c:strRef>
          </c:tx>
          <c:val>
            <c:numRef>
              <c:f>'En-Curve'!$I$6:$I$54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</c:ser>
        <c:ser>
          <c:idx val="8"/>
          <c:order val="10"/>
          <c:tx>
            <c:strRef>
              <c:f>'En-Curve'!$E$5</c:f>
              <c:strCache>
                <c:ptCount val="1"/>
                <c:pt idx="0">
                  <c:v>P.GEN(HSD)</c:v>
                </c:pt>
              </c:strCache>
            </c:strRef>
          </c:tx>
          <c:spPr>
            <a:solidFill>
              <a:srgbClr val="4F81BD"/>
            </a:solidFill>
          </c:spPr>
          <c:val>
            <c:numRef>
              <c:f>'En-Curve'!$E$6:$E$54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60.5</c:v>
                </c:pt>
                <c:pt idx="36">
                  <c:v>121</c:v>
                </c:pt>
                <c:pt idx="37">
                  <c:v>85.5</c:v>
                </c:pt>
                <c:pt idx="38">
                  <c:v>50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</c:ser>
        <c:ser>
          <c:idx val="10"/>
          <c:order val="11"/>
          <c:tx>
            <c:strRef>
              <c:f>'En-Curve'!$M$5</c:f>
              <c:strCache>
                <c:ptCount val="1"/>
                <c:pt idx="0">
                  <c:v>SHORTAGE</c:v>
                </c:pt>
              </c:strCache>
            </c:strRef>
          </c:tx>
          <c:spPr>
            <a:effectLst>
              <a:outerShdw blurRad="50800" dist="50800" dir="5400000" sx="101000" sy="101000" algn="ctr" rotWithShape="0">
                <a:srgbClr val="FF0000"/>
              </a:outerShdw>
            </a:effectLst>
          </c:spPr>
          <c:val>
            <c:numRef>
              <c:f>'En-Curve'!$M$6:$M$54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</c:ser>
        <c:axId val="121189120"/>
        <c:axId val="121191424"/>
      </c:areaChart>
      <c:catAx>
        <c:axId val="121189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>
            <c:manualLayout>
              <c:xMode val="edge"/>
              <c:yMode val="edge"/>
              <c:x val="0.51437463179576759"/>
              <c:y val="0.97559857928237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21191424"/>
        <c:crosses val="autoZero"/>
        <c:auto val="1"/>
        <c:lblAlgn val="ctr"/>
        <c:lblOffset val="100"/>
        <c:tickLblSkip val="4"/>
        <c:tickMarkSkip val="4"/>
      </c:catAx>
      <c:valAx>
        <c:axId val="121191424"/>
        <c:scaling>
          <c:orientation val="minMax"/>
          <c:max val="14000"/>
          <c:min val="0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5.010777646199914E-3"/>
              <c:y val="0.32287567416613538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33996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21189120"/>
        <c:crosses val="autoZero"/>
        <c:crossBetween val="midCat"/>
        <c:majorUnit val="500"/>
        <c:minorUnit val="50"/>
      </c:valAx>
      <c:spPr>
        <a:noFill/>
        <a:ln w="25400">
          <a:solidFill>
            <a:srgbClr val="006600"/>
          </a:solidFill>
        </a:ln>
      </c:spPr>
    </c:plotArea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FF0000"/>
          </a:solidFill>
          <a:latin typeface="Arial" pitchFamily="34" charset="0"/>
          <a:ea typeface="Arial"/>
          <a:cs typeface="Arial" pitchFamily="34" charset="0"/>
        </a:defRPr>
      </a:pPr>
      <a:endParaRPr lang="en-US"/>
    </a:p>
  </c:txPr>
  <c:printSettings>
    <c:headerFooter alignWithMargins="0"/>
    <c:pageMargins b="1" l="0.75000000000001665" r="0.75000000000001665" t="1" header="0.5" footer="0.5"/>
    <c:pageSetup paperSize="9"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694532</xdr:colOff>
      <xdr:row>0</xdr:row>
      <xdr:rowOff>0</xdr:rowOff>
    </xdr:from>
    <xdr:to>
      <xdr:col>3</xdr:col>
      <xdr:colOff>783829</xdr:colOff>
      <xdr:row>1</xdr:row>
      <xdr:rowOff>367508</xdr:rowOff>
    </xdr:to>
    <xdr:pic>
      <xdr:nvPicPr>
        <xdr:cNvPr id="2" name="Picture 1" descr="C:\Users\NLDC\Desktop\download.jpg"/>
        <xdr:cNvPicPr/>
      </xdr:nvPicPr>
      <xdr:blipFill>
        <a:blip xmlns:r="http://schemas.openxmlformats.org/officeDocument/2006/relationships" r:embed="rId1" cstate="print">
          <a:lum bright="10000"/>
        </a:blip>
        <a:srcRect r="1183" b="17045"/>
        <a:stretch>
          <a:fillRect/>
        </a:stretch>
      </xdr:blipFill>
      <xdr:spPr bwMode="auto">
        <a:xfrm>
          <a:off x="1218407" y="0"/>
          <a:ext cx="908447" cy="77708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5</xdr:row>
      <xdr:rowOff>110491</xdr:rowOff>
    </xdr:from>
    <xdr:to>
      <xdr:col>17</xdr:col>
      <xdr:colOff>0</xdr:colOff>
      <xdr:row>39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563880</xdr:colOff>
      <xdr:row>9</xdr:row>
      <xdr:rowOff>13335</xdr:rowOff>
    </xdr:from>
    <xdr:to>
      <xdr:col>16</xdr:col>
      <xdr:colOff>41909</xdr:colOff>
      <xdr:row>10</xdr:row>
      <xdr:rowOff>7621</xdr:rowOff>
    </xdr:to>
    <xdr:sp macro="" textlink="AA9">
      <xdr:nvSpPr>
        <xdr:cNvPr id="3" name="Text Box 29"/>
        <xdr:cNvSpPr txBox="1">
          <a:spLocks noChangeArrowheads="1"/>
        </xdr:cNvSpPr>
      </xdr:nvSpPr>
      <xdr:spPr bwMode="auto">
        <a:xfrm>
          <a:off x="10327005" y="2013585"/>
          <a:ext cx="1306829" cy="1847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fld id="{CF192C34-7A9C-4B70-92B8-AE098F1FDC7E}" type="TxLink">
            <a:rPr lang="en-US" sz="1050" b="1" i="0" strike="noStrike" baseline="0">
              <a:solidFill>
                <a:srgbClr val="000080"/>
              </a:solidFill>
              <a:latin typeface="Arial" pitchFamily="34" charset="0"/>
              <a:cs typeface="Arial" pitchFamily="34" charset="0"/>
            </a:rPr>
            <a:pPr algn="l" rtl="1">
              <a:defRPr sz="1000"/>
            </a:pPr>
            <a:t>8218 MW (19:30 )</a:t>
          </a:fld>
          <a:endParaRPr lang="en-US" sz="1000" b="1" i="0" strike="noStrike">
            <a:solidFill>
              <a:srgbClr val="00008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11</xdr:col>
      <xdr:colOff>577215</xdr:colOff>
      <xdr:row>9</xdr:row>
      <xdr:rowOff>49531</xdr:rowOff>
    </xdr:from>
    <xdr:to>
      <xdr:col>13</xdr:col>
      <xdr:colOff>262889</xdr:colOff>
      <xdr:row>10</xdr:row>
      <xdr:rowOff>112396</xdr:rowOff>
    </xdr:to>
    <xdr:sp macro="" textlink="AA11">
      <xdr:nvSpPr>
        <xdr:cNvPr id="4" name="Text Box 29"/>
        <xdr:cNvSpPr txBox="1">
          <a:spLocks noChangeArrowheads="1"/>
        </xdr:cNvSpPr>
      </xdr:nvSpPr>
      <xdr:spPr bwMode="auto">
        <a:xfrm>
          <a:off x="8749665" y="2049781"/>
          <a:ext cx="1276349" cy="2533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fld id="{C34C113F-2342-4354-9C2E-4B003882D26A}" type="TxLink">
            <a:rPr lang="en-US" sz="1050" b="1" i="0" strike="noStrike" baseline="0">
              <a:solidFill>
                <a:srgbClr val="000080"/>
              </a:solidFill>
              <a:latin typeface="Arial" pitchFamily="34" charset="0"/>
              <a:cs typeface="Arial" pitchFamily="34" charset="0"/>
            </a:rPr>
            <a:pPr algn="l" rtl="1">
              <a:defRPr sz="1000"/>
            </a:pPr>
            <a:t>6932 MW (12:00 )</a:t>
          </a:fld>
          <a:endParaRPr lang="en-US" sz="1050" b="1" i="0" strike="noStrike">
            <a:solidFill>
              <a:srgbClr val="00008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0.99165</cdr:x>
      <cdr:y>0.99089</cdr:y>
    </cdr:from>
    <cdr:to>
      <cdr:x>0.99165</cdr:x>
      <cdr:y>0.99089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1030" y="518477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1931.5 MW (09:00)</a:t>
          </a: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 MW (11:00)</a:t>
          </a: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0 MW(12:00)</a:t>
          </a:r>
        </a:p>
      </cdr:txBody>
    </cdr:sp>
  </cdr:relSizeAnchor>
  <cdr:relSizeAnchor xmlns:cdr="http://schemas.openxmlformats.org/drawingml/2006/chartDrawing">
    <cdr:from>
      <cdr:x>0.9919</cdr:x>
      <cdr:y>0.99089</cdr:y>
    </cdr:from>
    <cdr:to>
      <cdr:x>0.9919</cdr:x>
      <cdr:y>0.99089</cdr:y>
    </cdr:to>
    <cdr:sp macro="" textlink="">
      <cdr:nvSpPr>
        <cdr:cNvPr id="51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2475" y="518477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2484.4 MW (19:00)</a:t>
          </a: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0)</a:t>
          </a: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0)</a:t>
          </a: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00)</a:t>
          </a: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0.98377</cdr:x>
      <cdr:y>0.95631</cdr:y>
    </cdr:from>
    <cdr:to>
      <cdr:x>0.98084</cdr:x>
      <cdr:y>0.95632</cdr:y>
    </cdr:to>
    <cdr:sp macro="" textlink="">
      <cdr:nvSpPr>
        <cdr:cNvPr id="512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2475" y="5184775"/>
          <a:ext cx="95398" cy="2284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146539</xdr:colOff>
      <xdr:row>4</xdr:row>
      <xdr:rowOff>138166</xdr:rowOff>
    </xdr:from>
    <xdr:to>
      <xdr:col>25</xdr:col>
      <xdr:colOff>464736</xdr:colOff>
      <xdr:row>51</xdr:row>
      <xdr:rowOff>79550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25</xdr:col>
      <xdr:colOff>161925</xdr:colOff>
      <xdr:row>38</xdr:row>
      <xdr:rowOff>95250</xdr:rowOff>
    </xdr:from>
    <xdr:ext cx="781050" cy="264560"/>
    <xdr:sp macro="" textlink="">
      <xdr:nvSpPr>
        <xdr:cNvPr id="3" name="TextBox 2"/>
        <xdr:cNvSpPr txBox="1"/>
      </xdr:nvSpPr>
      <xdr:spPr>
        <a:xfrm>
          <a:off x="17945100" y="7496175"/>
          <a:ext cx="7810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 b="1"/>
        </a:p>
      </xdr:txBody>
    </xdr:sp>
    <xdr:clientData/>
  </xdr:oneCellAnchor>
  <xdr:oneCellAnchor>
    <xdr:from>
      <xdr:col>31</xdr:col>
      <xdr:colOff>485775</xdr:colOff>
      <xdr:row>5</xdr:row>
      <xdr:rowOff>123825</xdr:rowOff>
    </xdr:from>
    <xdr:ext cx="184731" cy="264560"/>
    <xdr:sp macro="" textlink="">
      <xdr:nvSpPr>
        <xdr:cNvPr id="4" name="TextBox 3"/>
        <xdr:cNvSpPr txBox="1"/>
      </xdr:nvSpPr>
      <xdr:spPr>
        <a:xfrm>
          <a:off x="21736050" y="1238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764192</xdr:colOff>
      <xdr:row>48</xdr:row>
      <xdr:rowOff>62663</xdr:rowOff>
    </xdr:from>
    <xdr:ext cx="593055" cy="254493"/>
    <xdr:sp macro="" textlink="">
      <xdr:nvSpPr>
        <xdr:cNvPr id="5" name="TextBox 4"/>
        <xdr:cNvSpPr txBox="1"/>
      </xdr:nvSpPr>
      <xdr:spPr>
        <a:xfrm rot="10800000" flipV="1">
          <a:off x="16556642" y="9378113"/>
          <a:ext cx="59305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 b="1">
            <a:solidFill>
              <a:srgbClr val="FF33CC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19</xdr:col>
      <xdr:colOff>381000</xdr:colOff>
      <xdr:row>22</xdr:row>
      <xdr:rowOff>76200</xdr:rowOff>
    </xdr:from>
    <xdr:ext cx="432381" cy="264560"/>
    <xdr:sp macro="" textlink="">
      <xdr:nvSpPr>
        <xdr:cNvPr id="6" name="TextBox 5"/>
        <xdr:cNvSpPr txBox="1"/>
      </xdr:nvSpPr>
      <xdr:spPr>
        <a:xfrm>
          <a:off x="13544550" y="4429125"/>
          <a:ext cx="4323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29</xdr:col>
      <xdr:colOff>504825</xdr:colOff>
      <xdr:row>3</xdr:row>
      <xdr:rowOff>47625</xdr:rowOff>
    </xdr:from>
    <xdr:ext cx="184731" cy="264560"/>
    <xdr:sp macro="" textlink="">
      <xdr:nvSpPr>
        <xdr:cNvPr id="7" name="TextBox 6"/>
        <xdr:cNvSpPr txBox="1"/>
      </xdr:nvSpPr>
      <xdr:spPr>
        <a:xfrm>
          <a:off x="20535900" y="76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30</xdr:col>
      <xdr:colOff>495300</xdr:colOff>
      <xdr:row>5</xdr:row>
      <xdr:rowOff>114300</xdr:rowOff>
    </xdr:from>
    <xdr:ext cx="184731" cy="264560"/>
    <xdr:sp macro="" textlink="">
      <xdr:nvSpPr>
        <xdr:cNvPr id="8" name="TextBox 7"/>
        <xdr:cNvSpPr txBox="1"/>
      </xdr:nvSpPr>
      <xdr:spPr>
        <a:xfrm>
          <a:off x="21135975" y="122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29</xdr:col>
      <xdr:colOff>285750</xdr:colOff>
      <xdr:row>5</xdr:row>
      <xdr:rowOff>76200</xdr:rowOff>
    </xdr:from>
    <xdr:ext cx="942975" cy="264560"/>
    <xdr:sp macro="" textlink="">
      <xdr:nvSpPr>
        <xdr:cNvPr id="9" name="TextBox 8"/>
        <xdr:cNvSpPr txBox="1"/>
      </xdr:nvSpPr>
      <xdr:spPr>
        <a:xfrm>
          <a:off x="20316825" y="1190625"/>
          <a:ext cx="9429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21</xdr:col>
      <xdr:colOff>89297</xdr:colOff>
      <xdr:row>27</xdr:row>
      <xdr:rowOff>148827</xdr:rowOff>
    </xdr:from>
    <xdr:ext cx="184731" cy="264560"/>
    <xdr:sp macro="" textlink="">
      <xdr:nvSpPr>
        <xdr:cNvPr id="10" name="TextBox 9"/>
        <xdr:cNvSpPr txBox="1"/>
      </xdr:nvSpPr>
      <xdr:spPr>
        <a:xfrm>
          <a:off x="14710172" y="5454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>
            <a:solidFill>
              <a:srgbClr val="FF33CC"/>
            </a:solidFill>
          </a:endParaRPr>
        </a:p>
      </xdr:txBody>
    </xdr:sp>
    <xdr:clientData/>
  </xdr:oneCellAnchor>
  <xdr:oneCellAnchor>
    <xdr:from>
      <xdr:col>20</xdr:col>
      <xdr:colOff>362003</xdr:colOff>
      <xdr:row>44</xdr:row>
      <xdr:rowOff>65797</xdr:rowOff>
    </xdr:from>
    <xdr:ext cx="1180644" cy="342786"/>
    <xdr:sp macro="" textlink="">
      <xdr:nvSpPr>
        <xdr:cNvPr id="11" name="TextBox 10"/>
        <xdr:cNvSpPr txBox="1"/>
      </xdr:nvSpPr>
      <xdr:spPr>
        <a:xfrm>
          <a:off x="14326481" y="8779101"/>
          <a:ext cx="118064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600" b="1"/>
            <a:t>Public(GAS)</a:t>
          </a:r>
        </a:p>
      </xdr:txBody>
    </xdr:sp>
    <xdr:clientData/>
  </xdr:oneCellAnchor>
  <xdr:oneCellAnchor>
    <xdr:from>
      <xdr:col>23</xdr:col>
      <xdr:colOff>611102</xdr:colOff>
      <xdr:row>21</xdr:row>
      <xdr:rowOff>142804</xdr:rowOff>
    </xdr:from>
    <xdr:ext cx="909171" cy="264560"/>
    <xdr:sp macro="" textlink="">
      <xdr:nvSpPr>
        <xdr:cNvPr id="12" name="TextBox 11"/>
        <xdr:cNvSpPr txBox="1"/>
      </xdr:nvSpPr>
      <xdr:spPr>
        <a:xfrm>
          <a:off x="17358537" y="4466326"/>
          <a:ext cx="9091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100" b="1"/>
            <a:t>Public(HSD)</a:t>
          </a:r>
        </a:p>
      </xdr:txBody>
    </xdr:sp>
    <xdr:clientData/>
  </xdr:oneCellAnchor>
  <xdr:oneCellAnchor>
    <xdr:from>
      <xdr:col>24</xdr:col>
      <xdr:colOff>64393</xdr:colOff>
      <xdr:row>13</xdr:row>
      <xdr:rowOff>86201</xdr:rowOff>
    </xdr:from>
    <xdr:ext cx="184731" cy="264560"/>
    <xdr:sp macro="" textlink="">
      <xdr:nvSpPr>
        <xdr:cNvPr id="13" name="TextBox 12"/>
        <xdr:cNvSpPr txBox="1"/>
      </xdr:nvSpPr>
      <xdr:spPr>
        <a:xfrm>
          <a:off x="17237968" y="27055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565778</xdr:colOff>
      <xdr:row>34</xdr:row>
      <xdr:rowOff>59292</xdr:rowOff>
    </xdr:from>
    <xdr:ext cx="911225" cy="311496"/>
    <xdr:sp macro="" textlink="">
      <xdr:nvSpPr>
        <xdr:cNvPr id="14" name="TextBox 13"/>
        <xdr:cNvSpPr txBox="1"/>
      </xdr:nvSpPr>
      <xdr:spPr>
        <a:xfrm>
          <a:off x="16542930" y="6859314"/>
          <a:ext cx="9112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>
              <a:solidFill>
                <a:srgbClr val="000000"/>
              </a:solidFill>
            </a:rPr>
            <a:t>HVDC</a:t>
          </a:r>
        </a:p>
      </xdr:txBody>
    </xdr:sp>
    <xdr:clientData/>
  </xdr:oneCellAnchor>
  <xdr:oneCellAnchor>
    <xdr:from>
      <xdr:col>18</xdr:col>
      <xdr:colOff>533400</xdr:colOff>
      <xdr:row>18</xdr:row>
      <xdr:rowOff>152400</xdr:rowOff>
    </xdr:from>
    <xdr:ext cx="184731" cy="280205"/>
    <xdr:sp macro="" textlink="">
      <xdr:nvSpPr>
        <xdr:cNvPr id="15" name="TextBox 14"/>
        <xdr:cNvSpPr txBox="1"/>
      </xdr:nvSpPr>
      <xdr:spPr>
        <a:xfrm>
          <a:off x="12801600" y="3724275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200" b="1"/>
        </a:p>
      </xdr:txBody>
    </xdr:sp>
    <xdr:clientData/>
  </xdr:oneCellAnchor>
  <xdr:oneCellAnchor>
    <xdr:from>
      <xdr:col>23</xdr:col>
      <xdr:colOff>504801</xdr:colOff>
      <xdr:row>31</xdr:row>
      <xdr:rowOff>52228</xdr:rowOff>
    </xdr:from>
    <xdr:ext cx="786673" cy="311496"/>
    <xdr:sp macro="" textlink="">
      <xdr:nvSpPr>
        <xdr:cNvPr id="16" name="TextBox 15"/>
        <xdr:cNvSpPr txBox="1"/>
      </xdr:nvSpPr>
      <xdr:spPr>
        <a:xfrm rot="235675" flipH="1">
          <a:off x="17252236" y="6280750"/>
          <a:ext cx="78667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>
              <a:solidFill>
                <a:srgbClr val="FF33CC"/>
              </a:solidFill>
            </a:rPr>
            <a:t>COAL</a:t>
          </a:r>
        </a:p>
      </xdr:txBody>
    </xdr:sp>
    <xdr:clientData/>
  </xdr:oneCellAnchor>
  <xdr:oneCellAnchor>
    <xdr:from>
      <xdr:col>24</xdr:col>
      <xdr:colOff>533401</xdr:colOff>
      <xdr:row>25</xdr:row>
      <xdr:rowOff>161925</xdr:rowOff>
    </xdr:from>
    <xdr:ext cx="581023" cy="311496"/>
    <xdr:sp macro="" textlink="">
      <xdr:nvSpPr>
        <xdr:cNvPr id="17" name="TextBox 16"/>
        <xdr:cNvSpPr txBox="1"/>
      </xdr:nvSpPr>
      <xdr:spPr>
        <a:xfrm>
          <a:off x="17706976" y="5086350"/>
          <a:ext cx="5810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400" b="1"/>
        </a:p>
      </xdr:txBody>
    </xdr:sp>
    <xdr:clientData/>
  </xdr:oneCellAnchor>
  <xdr:oneCellAnchor>
    <xdr:from>
      <xdr:col>22</xdr:col>
      <xdr:colOff>762000</xdr:colOff>
      <xdr:row>11</xdr:row>
      <xdr:rowOff>159936</xdr:rowOff>
    </xdr:from>
    <xdr:ext cx="390826" cy="342786"/>
    <xdr:sp macro="" textlink="">
      <xdr:nvSpPr>
        <xdr:cNvPr id="18" name="TextBox 17"/>
        <xdr:cNvSpPr txBox="1"/>
      </xdr:nvSpPr>
      <xdr:spPr>
        <a:xfrm>
          <a:off x="16554450" y="2398311"/>
          <a:ext cx="39082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600" b="1"/>
        </a:p>
      </xdr:txBody>
    </xdr:sp>
    <xdr:clientData/>
  </xdr:oneCellAnchor>
  <xdr:oneCellAnchor>
    <xdr:from>
      <xdr:col>27</xdr:col>
      <xdr:colOff>323850</xdr:colOff>
      <xdr:row>47</xdr:row>
      <xdr:rowOff>161925</xdr:rowOff>
    </xdr:from>
    <xdr:ext cx="184731" cy="264560"/>
    <xdr:sp macro="" textlink="">
      <xdr:nvSpPr>
        <xdr:cNvPr id="19" name="TextBox 18"/>
        <xdr:cNvSpPr txBox="1"/>
      </xdr:nvSpPr>
      <xdr:spPr>
        <a:xfrm>
          <a:off x="18935700" y="9286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 b="1"/>
        </a:p>
      </xdr:txBody>
    </xdr:sp>
    <xdr:clientData/>
  </xdr:oneCellAnchor>
  <xdr:oneCellAnchor>
    <xdr:from>
      <xdr:col>21</xdr:col>
      <xdr:colOff>555685</xdr:colOff>
      <xdr:row>34</xdr:row>
      <xdr:rowOff>122826</xdr:rowOff>
    </xdr:from>
    <xdr:ext cx="610745" cy="264560"/>
    <xdr:sp macro="" textlink="">
      <xdr:nvSpPr>
        <xdr:cNvPr id="20" name="TextBox 19"/>
        <xdr:cNvSpPr txBox="1"/>
      </xdr:nvSpPr>
      <xdr:spPr>
        <a:xfrm>
          <a:off x="15364989" y="6922848"/>
          <a:ext cx="61074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b="1"/>
            <a:t>HYDRO</a:t>
          </a:r>
        </a:p>
      </xdr:txBody>
    </xdr:sp>
    <xdr:clientData/>
  </xdr:oneCellAnchor>
  <xdr:twoCellAnchor>
    <xdr:from>
      <xdr:col>18</xdr:col>
      <xdr:colOff>495094</xdr:colOff>
      <xdr:row>7</xdr:row>
      <xdr:rowOff>3246</xdr:rowOff>
    </xdr:from>
    <xdr:to>
      <xdr:col>21</xdr:col>
      <xdr:colOff>940593</xdr:colOff>
      <xdr:row>11</xdr:row>
      <xdr:rowOff>160823</xdr:rowOff>
    </xdr:to>
    <xdr:sp macro="" textlink="AM9">
      <xdr:nvSpPr>
        <xdr:cNvPr id="21" name="Text Box 2"/>
        <xdr:cNvSpPr txBox="1">
          <a:spLocks noChangeArrowheads="1"/>
        </xdr:cNvSpPr>
      </xdr:nvSpPr>
      <xdr:spPr bwMode="auto">
        <a:xfrm>
          <a:off x="12944269" y="1574871"/>
          <a:ext cx="2798174" cy="9957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0" anchor="ctr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1">
            <a:defRPr sz="1000"/>
          </a:pPr>
          <a:fld id="{40F72271-D7A6-4088-ABC4-D6CC7E246BAD}" type="TxLink">
            <a:rPr lang="en-US" sz="1100" b="0" i="0" strike="noStrike">
              <a:solidFill>
                <a:srgbClr val="000000"/>
              </a:solidFill>
              <a:latin typeface="Times New Roman" pitchFamily="18" charset="0"/>
              <a:ea typeface="Tahoma" pitchFamily="34" charset="0"/>
              <a:cs typeface="Times New Roman" pitchFamily="18" charset="0"/>
            </a:rPr>
            <a:pPr algn="l" rtl="1">
              <a:defRPr sz="1000"/>
            </a:pPr>
            <a:t>Total Energy Gen 166.234 MKWHr 
Energy Not Served   0.000 MKWHr 
Energy Requirement     166.234 MKWHr </a:t>
          </a:fld>
          <a:endParaRPr lang="en-US" sz="1100" b="0" i="0" strike="noStrike">
            <a:solidFill>
              <a:srgbClr val="000000"/>
            </a:solidFill>
            <a:latin typeface="Times New Roman" pitchFamily="18" charset="0"/>
            <a:ea typeface="Tahoma" pitchFamily="34" charset="0"/>
            <a:cs typeface="Times New Roman" pitchFamily="18" charset="0"/>
          </a:endParaRPr>
        </a:p>
      </xdr:txBody>
    </xdr:sp>
    <xdr:clientData/>
  </xdr:twoCellAnchor>
  <xdr:oneCellAnchor>
    <xdr:from>
      <xdr:col>21</xdr:col>
      <xdr:colOff>101516</xdr:colOff>
      <xdr:row>37</xdr:row>
      <xdr:rowOff>182166</xdr:rowOff>
    </xdr:from>
    <xdr:ext cx="1269963" cy="342786"/>
    <xdr:sp macro="" textlink="">
      <xdr:nvSpPr>
        <xdr:cNvPr id="22" name="TextBox 21"/>
        <xdr:cNvSpPr txBox="1"/>
      </xdr:nvSpPr>
      <xdr:spPr>
        <a:xfrm>
          <a:off x="14910820" y="7553688"/>
          <a:ext cx="126996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600" b="1"/>
            <a:t>Private(GAS)</a:t>
          </a:r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0.72184</cdr:x>
      <cdr:y>0.58176</cdr:y>
    </cdr:from>
    <cdr:to>
      <cdr:x>0.86497</cdr:x>
      <cdr:y>0.61756</cdr:y>
    </cdr:to>
    <cdr:sp macro="" textlink="">
      <cdr:nvSpPr>
        <cdr:cNvPr id="66" name="TextBox 65"/>
        <cdr:cNvSpPr txBox="1"/>
      </cdr:nvSpPr>
      <cdr:spPr>
        <a:xfrm xmlns:a="http://schemas.openxmlformats.org/drawingml/2006/main">
          <a:off x="5909510" y="5256607"/>
          <a:ext cx="1171759" cy="3234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200" b="1"/>
            <a:t>Public(HFO)</a:t>
          </a:r>
        </a:p>
      </cdr:txBody>
    </cdr:sp>
  </cdr:relSizeAnchor>
  <cdr:relSizeAnchor xmlns:cdr="http://schemas.openxmlformats.org/drawingml/2006/chartDrawing">
    <cdr:from>
      <cdr:x>0.702</cdr:x>
      <cdr:y>0.40223</cdr:y>
    </cdr:from>
    <cdr:to>
      <cdr:x>0.84512</cdr:x>
      <cdr:y>0.43803</cdr:y>
    </cdr:to>
    <cdr:sp macro="" textlink="">
      <cdr:nvSpPr>
        <cdr:cNvPr id="67" name="TextBox 1"/>
        <cdr:cNvSpPr txBox="1"/>
      </cdr:nvSpPr>
      <cdr:spPr>
        <a:xfrm xmlns:a="http://schemas.openxmlformats.org/drawingml/2006/main">
          <a:off x="5747077" y="3634387"/>
          <a:ext cx="1171677" cy="3234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200" b="1"/>
            <a:t>Private(HSD)</a:t>
          </a:r>
        </a:p>
      </cdr:txBody>
    </cdr:sp>
  </cdr:relSizeAnchor>
  <cdr:relSizeAnchor xmlns:cdr="http://schemas.openxmlformats.org/drawingml/2006/chartDrawing">
    <cdr:from>
      <cdr:x>0.5001</cdr:x>
      <cdr:y>0.60125</cdr:y>
    </cdr:from>
    <cdr:to>
      <cdr:x>0.59274</cdr:x>
      <cdr:y>0.63705</cdr:y>
    </cdr:to>
    <cdr:sp macro="" textlink="">
      <cdr:nvSpPr>
        <cdr:cNvPr id="68" name="TextBox 1"/>
        <cdr:cNvSpPr txBox="1"/>
      </cdr:nvSpPr>
      <cdr:spPr>
        <a:xfrm xmlns:a="http://schemas.openxmlformats.org/drawingml/2006/main">
          <a:off x="4094158" y="5432712"/>
          <a:ext cx="758414" cy="323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200" b="1">
              <a:solidFill>
                <a:srgbClr val="92D050"/>
              </a:solidFill>
            </a:rPr>
            <a:t>SOLAR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ntrol" Target="../activeX/activeX1.xml"/><Relationship Id="rId18" Type="http://schemas.openxmlformats.org/officeDocument/2006/relationships/control" Target="../activeX/activeX6.xml"/><Relationship Id="rId3" Type="http://schemas.openxmlformats.org/officeDocument/2006/relationships/printerSettings" Target="../printerSettings/printerSettings3.bin"/><Relationship Id="rId21" Type="http://schemas.openxmlformats.org/officeDocument/2006/relationships/control" Target="../activeX/activeX9.xml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4.xml"/><Relationship Id="rId20" Type="http://schemas.openxmlformats.org/officeDocument/2006/relationships/control" Target="../activeX/activeX8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control" Target="../activeX/activeX3.xml"/><Relationship Id="rId10" Type="http://schemas.openxmlformats.org/officeDocument/2006/relationships/printerSettings" Target="../printerSettings/printerSettings10.bin"/><Relationship Id="rId19" Type="http://schemas.openxmlformats.org/officeDocument/2006/relationships/control" Target="../activeX/activeX7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5" Type="http://schemas.openxmlformats.org/officeDocument/2006/relationships/printerSettings" Target="../printerSettings/printerSettings27.bin"/><Relationship Id="rId4" Type="http://schemas.openxmlformats.org/officeDocument/2006/relationships/printerSettings" Target="../printerSettings/printerSettings26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printerSettings" Target="../printerSettings/printerSettings32.bin"/><Relationship Id="rId7" Type="http://schemas.openxmlformats.org/officeDocument/2006/relationships/printerSettings" Target="../printerSettings/printerSettings36.bin"/><Relationship Id="rId12" Type="http://schemas.openxmlformats.org/officeDocument/2006/relationships/drawing" Target="../drawings/drawing1.xml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printerSettings" Target="../printerSettings/printerSettings35.bin"/><Relationship Id="rId11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4.bin"/><Relationship Id="rId10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3.bin"/><Relationship Id="rId9" Type="http://schemas.openxmlformats.org/officeDocument/2006/relationships/printerSettings" Target="../printerSettings/printerSettings38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11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45.bin"/><Relationship Id="rId10" Type="http://schemas.openxmlformats.org/officeDocument/2006/relationships/printerSettings" Target="../printerSettings/printerSettings50.bin"/><Relationship Id="rId4" Type="http://schemas.openxmlformats.org/officeDocument/2006/relationships/printerSettings" Target="../printerSettings/printerSettings44.bin"/><Relationship Id="rId9" Type="http://schemas.openxmlformats.org/officeDocument/2006/relationships/printerSettings" Target="../printerSettings/printerSettings49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.bin"/><Relationship Id="rId3" Type="http://schemas.openxmlformats.org/officeDocument/2006/relationships/printerSettings" Target="../printerSettings/printerSettings54.bin"/><Relationship Id="rId7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Relationship Id="rId6" Type="http://schemas.openxmlformats.org/officeDocument/2006/relationships/printerSettings" Target="../printerSettings/printerSettings57.bin"/><Relationship Id="rId11" Type="http://schemas.openxmlformats.org/officeDocument/2006/relationships/printerSettings" Target="../printerSettings/printerSettings62.bin"/><Relationship Id="rId5" Type="http://schemas.openxmlformats.org/officeDocument/2006/relationships/printerSettings" Target="../printerSettings/printerSettings56.bin"/><Relationship Id="rId10" Type="http://schemas.openxmlformats.org/officeDocument/2006/relationships/printerSettings" Target="../printerSettings/printerSettings61.bin"/><Relationship Id="rId4" Type="http://schemas.openxmlformats.org/officeDocument/2006/relationships/printerSettings" Target="../printerSettings/printerSettings55.bin"/><Relationship Id="rId9" Type="http://schemas.openxmlformats.org/officeDocument/2006/relationships/printerSettings" Target="../printerSettings/printerSettings60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0.bin"/><Relationship Id="rId3" Type="http://schemas.openxmlformats.org/officeDocument/2006/relationships/printerSettings" Target="../printerSettings/printerSettings65.bin"/><Relationship Id="rId7" Type="http://schemas.openxmlformats.org/officeDocument/2006/relationships/printerSettings" Target="../printerSettings/printerSettings69.bin"/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Relationship Id="rId6" Type="http://schemas.openxmlformats.org/officeDocument/2006/relationships/printerSettings" Target="../printerSettings/printerSettings68.bin"/><Relationship Id="rId11" Type="http://schemas.openxmlformats.org/officeDocument/2006/relationships/printerSettings" Target="../printerSettings/printerSettings73.bin"/><Relationship Id="rId5" Type="http://schemas.openxmlformats.org/officeDocument/2006/relationships/printerSettings" Target="../printerSettings/printerSettings67.bin"/><Relationship Id="rId10" Type="http://schemas.openxmlformats.org/officeDocument/2006/relationships/printerSettings" Target="../printerSettings/printerSettings72.bin"/><Relationship Id="rId4" Type="http://schemas.openxmlformats.org/officeDocument/2006/relationships/printerSettings" Target="../printerSettings/printerSettings66.bin"/><Relationship Id="rId9" Type="http://schemas.openxmlformats.org/officeDocument/2006/relationships/printerSettings" Target="../printerSettings/printerSettings71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1.bin"/><Relationship Id="rId13" Type="http://schemas.openxmlformats.org/officeDocument/2006/relationships/control" Target="../activeX/activeX10.xml"/><Relationship Id="rId3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80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74.bin"/><Relationship Id="rId6" Type="http://schemas.openxmlformats.org/officeDocument/2006/relationships/printerSettings" Target="../printerSettings/printerSettings79.bin"/><Relationship Id="rId11" Type="http://schemas.openxmlformats.org/officeDocument/2006/relationships/printerSettings" Target="../printerSettings/printerSettings84.bin"/><Relationship Id="rId5" Type="http://schemas.openxmlformats.org/officeDocument/2006/relationships/printerSettings" Target="../printerSettings/printerSettings78.bin"/><Relationship Id="rId10" Type="http://schemas.openxmlformats.org/officeDocument/2006/relationships/printerSettings" Target="../printerSettings/printerSettings83.bin"/><Relationship Id="rId4" Type="http://schemas.openxmlformats.org/officeDocument/2006/relationships/printerSettings" Target="../printerSettings/printerSettings77.bin"/><Relationship Id="rId9" Type="http://schemas.openxmlformats.org/officeDocument/2006/relationships/printerSettings" Target="../printerSettings/printerSettings82.bin"/><Relationship Id="rId1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2.bin"/><Relationship Id="rId3" Type="http://schemas.openxmlformats.org/officeDocument/2006/relationships/printerSettings" Target="../printerSettings/printerSettings87.bin"/><Relationship Id="rId7" Type="http://schemas.openxmlformats.org/officeDocument/2006/relationships/printerSettings" Target="../printerSettings/printerSettings91.bin"/><Relationship Id="rId2" Type="http://schemas.openxmlformats.org/officeDocument/2006/relationships/printerSettings" Target="../printerSettings/printerSettings86.bin"/><Relationship Id="rId1" Type="http://schemas.openxmlformats.org/officeDocument/2006/relationships/printerSettings" Target="../printerSettings/printerSettings85.bin"/><Relationship Id="rId6" Type="http://schemas.openxmlformats.org/officeDocument/2006/relationships/printerSettings" Target="../printerSettings/printerSettings90.bin"/><Relationship Id="rId11" Type="http://schemas.openxmlformats.org/officeDocument/2006/relationships/printerSettings" Target="../printerSettings/printerSettings95.bin"/><Relationship Id="rId5" Type="http://schemas.openxmlformats.org/officeDocument/2006/relationships/printerSettings" Target="../printerSettings/printerSettings89.bin"/><Relationship Id="rId10" Type="http://schemas.openxmlformats.org/officeDocument/2006/relationships/printerSettings" Target="../printerSettings/printerSettings94.bin"/><Relationship Id="rId4" Type="http://schemas.openxmlformats.org/officeDocument/2006/relationships/printerSettings" Target="../printerSettings/printerSettings88.bin"/><Relationship Id="rId9" Type="http://schemas.openxmlformats.org/officeDocument/2006/relationships/printerSettings" Target="../printerSettings/printerSettings93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3.bin"/><Relationship Id="rId3" Type="http://schemas.openxmlformats.org/officeDocument/2006/relationships/printerSettings" Target="../printerSettings/printerSettings98.bin"/><Relationship Id="rId7" Type="http://schemas.openxmlformats.org/officeDocument/2006/relationships/printerSettings" Target="../printerSettings/printerSettings102.bin"/><Relationship Id="rId2" Type="http://schemas.openxmlformats.org/officeDocument/2006/relationships/printerSettings" Target="../printerSettings/printerSettings97.bin"/><Relationship Id="rId1" Type="http://schemas.openxmlformats.org/officeDocument/2006/relationships/printerSettings" Target="../printerSettings/printerSettings96.bin"/><Relationship Id="rId6" Type="http://schemas.openxmlformats.org/officeDocument/2006/relationships/printerSettings" Target="../printerSettings/printerSettings101.bin"/><Relationship Id="rId11" Type="http://schemas.openxmlformats.org/officeDocument/2006/relationships/printerSettings" Target="../printerSettings/printerSettings106.bin"/><Relationship Id="rId5" Type="http://schemas.openxmlformats.org/officeDocument/2006/relationships/printerSettings" Target="../printerSettings/printerSettings100.bin"/><Relationship Id="rId10" Type="http://schemas.openxmlformats.org/officeDocument/2006/relationships/printerSettings" Target="../printerSettings/printerSettings105.bin"/><Relationship Id="rId4" Type="http://schemas.openxmlformats.org/officeDocument/2006/relationships/printerSettings" Target="../printerSettings/printerSettings99.bin"/><Relationship Id="rId9" Type="http://schemas.openxmlformats.org/officeDocument/2006/relationships/printerSettings" Target="../printerSettings/printerSettings104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4.bin"/><Relationship Id="rId3" Type="http://schemas.openxmlformats.org/officeDocument/2006/relationships/printerSettings" Target="../printerSettings/printerSettings109.bin"/><Relationship Id="rId7" Type="http://schemas.openxmlformats.org/officeDocument/2006/relationships/printerSettings" Target="../printerSettings/printerSettings113.bin"/><Relationship Id="rId2" Type="http://schemas.openxmlformats.org/officeDocument/2006/relationships/printerSettings" Target="../printerSettings/printerSettings108.bin"/><Relationship Id="rId1" Type="http://schemas.openxmlformats.org/officeDocument/2006/relationships/printerSettings" Target="../printerSettings/printerSettings107.bin"/><Relationship Id="rId6" Type="http://schemas.openxmlformats.org/officeDocument/2006/relationships/printerSettings" Target="../printerSettings/printerSettings112.bin"/><Relationship Id="rId11" Type="http://schemas.openxmlformats.org/officeDocument/2006/relationships/printerSettings" Target="../printerSettings/printerSettings117.bin"/><Relationship Id="rId5" Type="http://schemas.openxmlformats.org/officeDocument/2006/relationships/printerSettings" Target="../printerSettings/printerSettings111.bin"/><Relationship Id="rId10" Type="http://schemas.openxmlformats.org/officeDocument/2006/relationships/printerSettings" Target="../printerSettings/printerSettings116.bin"/><Relationship Id="rId4" Type="http://schemas.openxmlformats.org/officeDocument/2006/relationships/printerSettings" Target="../printerSettings/printerSettings110.bin"/><Relationship Id="rId9" Type="http://schemas.openxmlformats.org/officeDocument/2006/relationships/printerSettings" Target="../printerSettings/printerSettings115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5.bin"/><Relationship Id="rId3" Type="http://schemas.openxmlformats.org/officeDocument/2006/relationships/printerSettings" Target="../printerSettings/printerSettings120.bin"/><Relationship Id="rId7" Type="http://schemas.openxmlformats.org/officeDocument/2006/relationships/printerSettings" Target="../printerSettings/printerSettings124.bin"/><Relationship Id="rId2" Type="http://schemas.openxmlformats.org/officeDocument/2006/relationships/printerSettings" Target="../printerSettings/printerSettings119.bin"/><Relationship Id="rId1" Type="http://schemas.openxmlformats.org/officeDocument/2006/relationships/printerSettings" Target="../printerSettings/printerSettings118.bin"/><Relationship Id="rId6" Type="http://schemas.openxmlformats.org/officeDocument/2006/relationships/printerSettings" Target="../printerSettings/printerSettings123.bin"/><Relationship Id="rId11" Type="http://schemas.openxmlformats.org/officeDocument/2006/relationships/printerSettings" Target="../printerSettings/printerSettings128.bin"/><Relationship Id="rId5" Type="http://schemas.openxmlformats.org/officeDocument/2006/relationships/printerSettings" Target="../printerSettings/printerSettings122.bin"/><Relationship Id="rId10" Type="http://schemas.openxmlformats.org/officeDocument/2006/relationships/printerSettings" Target="../printerSettings/printerSettings127.bin"/><Relationship Id="rId4" Type="http://schemas.openxmlformats.org/officeDocument/2006/relationships/printerSettings" Target="../printerSettings/printerSettings121.bin"/><Relationship Id="rId9" Type="http://schemas.openxmlformats.org/officeDocument/2006/relationships/printerSettings" Target="../printerSettings/printerSettings126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6.bin"/><Relationship Id="rId3" Type="http://schemas.openxmlformats.org/officeDocument/2006/relationships/printerSettings" Target="../printerSettings/printerSettings131.bin"/><Relationship Id="rId7" Type="http://schemas.openxmlformats.org/officeDocument/2006/relationships/printerSettings" Target="../printerSettings/printerSettings135.bin"/><Relationship Id="rId2" Type="http://schemas.openxmlformats.org/officeDocument/2006/relationships/printerSettings" Target="../printerSettings/printerSettings130.bin"/><Relationship Id="rId1" Type="http://schemas.openxmlformats.org/officeDocument/2006/relationships/printerSettings" Target="../printerSettings/printerSettings129.bin"/><Relationship Id="rId6" Type="http://schemas.openxmlformats.org/officeDocument/2006/relationships/printerSettings" Target="../printerSettings/printerSettings134.bin"/><Relationship Id="rId11" Type="http://schemas.openxmlformats.org/officeDocument/2006/relationships/printerSettings" Target="../printerSettings/printerSettings139.bin"/><Relationship Id="rId5" Type="http://schemas.openxmlformats.org/officeDocument/2006/relationships/printerSettings" Target="../printerSettings/printerSettings133.bin"/><Relationship Id="rId10" Type="http://schemas.openxmlformats.org/officeDocument/2006/relationships/printerSettings" Target="../printerSettings/printerSettings138.bin"/><Relationship Id="rId4" Type="http://schemas.openxmlformats.org/officeDocument/2006/relationships/printerSettings" Target="../printerSettings/printerSettings132.bin"/><Relationship Id="rId9" Type="http://schemas.openxmlformats.org/officeDocument/2006/relationships/printerSettings" Target="../printerSettings/printerSettings137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7.bin"/><Relationship Id="rId3" Type="http://schemas.openxmlformats.org/officeDocument/2006/relationships/printerSettings" Target="../printerSettings/printerSettings142.bin"/><Relationship Id="rId7" Type="http://schemas.openxmlformats.org/officeDocument/2006/relationships/printerSettings" Target="../printerSettings/printerSettings146.bin"/><Relationship Id="rId2" Type="http://schemas.openxmlformats.org/officeDocument/2006/relationships/printerSettings" Target="../printerSettings/printerSettings141.bin"/><Relationship Id="rId1" Type="http://schemas.openxmlformats.org/officeDocument/2006/relationships/printerSettings" Target="../printerSettings/printerSettings140.bin"/><Relationship Id="rId6" Type="http://schemas.openxmlformats.org/officeDocument/2006/relationships/printerSettings" Target="../printerSettings/printerSettings145.bin"/><Relationship Id="rId11" Type="http://schemas.openxmlformats.org/officeDocument/2006/relationships/printerSettings" Target="../printerSettings/printerSettings150.bin"/><Relationship Id="rId5" Type="http://schemas.openxmlformats.org/officeDocument/2006/relationships/printerSettings" Target="../printerSettings/printerSettings144.bin"/><Relationship Id="rId10" Type="http://schemas.openxmlformats.org/officeDocument/2006/relationships/printerSettings" Target="../printerSettings/printerSettings149.bin"/><Relationship Id="rId4" Type="http://schemas.openxmlformats.org/officeDocument/2006/relationships/printerSettings" Target="../printerSettings/printerSettings143.bin"/><Relationship Id="rId9" Type="http://schemas.openxmlformats.org/officeDocument/2006/relationships/printerSettings" Target="../printerSettings/printerSettings148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8.bin"/><Relationship Id="rId3" Type="http://schemas.openxmlformats.org/officeDocument/2006/relationships/printerSettings" Target="../printerSettings/printerSettings153.bin"/><Relationship Id="rId7" Type="http://schemas.openxmlformats.org/officeDocument/2006/relationships/printerSettings" Target="../printerSettings/printerSettings157.bin"/><Relationship Id="rId2" Type="http://schemas.openxmlformats.org/officeDocument/2006/relationships/printerSettings" Target="../printerSettings/printerSettings152.bin"/><Relationship Id="rId1" Type="http://schemas.openxmlformats.org/officeDocument/2006/relationships/printerSettings" Target="../printerSettings/printerSettings151.bin"/><Relationship Id="rId6" Type="http://schemas.openxmlformats.org/officeDocument/2006/relationships/printerSettings" Target="../printerSettings/printerSettings156.bin"/><Relationship Id="rId11" Type="http://schemas.openxmlformats.org/officeDocument/2006/relationships/printerSettings" Target="../printerSettings/printerSettings161.bin"/><Relationship Id="rId5" Type="http://schemas.openxmlformats.org/officeDocument/2006/relationships/printerSettings" Target="../printerSettings/printerSettings155.bin"/><Relationship Id="rId10" Type="http://schemas.openxmlformats.org/officeDocument/2006/relationships/printerSettings" Target="../printerSettings/printerSettings160.bin"/><Relationship Id="rId4" Type="http://schemas.openxmlformats.org/officeDocument/2006/relationships/printerSettings" Target="../printerSettings/printerSettings154.bin"/><Relationship Id="rId9" Type="http://schemas.openxmlformats.org/officeDocument/2006/relationships/printerSettings" Target="../printerSettings/printerSettings159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9.bin"/><Relationship Id="rId3" Type="http://schemas.openxmlformats.org/officeDocument/2006/relationships/printerSettings" Target="../printerSettings/printerSettings164.bin"/><Relationship Id="rId7" Type="http://schemas.openxmlformats.org/officeDocument/2006/relationships/printerSettings" Target="../printerSettings/printerSettings168.bin"/><Relationship Id="rId2" Type="http://schemas.openxmlformats.org/officeDocument/2006/relationships/printerSettings" Target="../printerSettings/printerSettings163.bin"/><Relationship Id="rId1" Type="http://schemas.openxmlformats.org/officeDocument/2006/relationships/printerSettings" Target="../printerSettings/printerSettings162.bin"/><Relationship Id="rId6" Type="http://schemas.openxmlformats.org/officeDocument/2006/relationships/printerSettings" Target="../printerSettings/printerSettings167.bin"/><Relationship Id="rId11" Type="http://schemas.openxmlformats.org/officeDocument/2006/relationships/printerSettings" Target="../printerSettings/printerSettings172.bin"/><Relationship Id="rId5" Type="http://schemas.openxmlformats.org/officeDocument/2006/relationships/printerSettings" Target="../printerSettings/printerSettings166.bin"/><Relationship Id="rId10" Type="http://schemas.openxmlformats.org/officeDocument/2006/relationships/printerSettings" Target="../printerSettings/printerSettings171.bin"/><Relationship Id="rId4" Type="http://schemas.openxmlformats.org/officeDocument/2006/relationships/printerSettings" Target="../printerSettings/printerSettings165.bin"/><Relationship Id="rId9" Type="http://schemas.openxmlformats.org/officeDocument/2006/relationships/printerSettings" Target="../printerSettings/printerSettings170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0.bin"/><Relationship Id="rId3" Type="http://schemas.openxmlformats.org/officeDocument/2006/relationships/printerSettings" Target="../printerSettings/printerSettings175.bin"/><Relationship Id="rId7" Type="http://schemas.openxmlformats.org/officeDocument/2006/relationships/printerSettings" Target="../printerSettings/printerSettings179.bin"/><Relationship Id="rId12" Type="http://schemas.openxmlformats.org/officeDocument/2006/relationships/drawing" Target="../drawings/drawing2.xml"/><Relationship Id="rId2" Type="http://schemas.openxmlformats.org/officeDocument/2006/relationships/printerSettings" Target="../printerSettings/printerSettings174.bin"/><Relationship Id="rId1" Type="http://schemas.openxmlformats.org/officeDocument/2006/relationships/printerSettings" Target="../printerSettings/printerSettings173.bin"/><Relationship Id="rId6" Type="http://schemas.openxmlformats.org/officeDocument/2006/relationships/printerSettings" Target="../printerSettings/printerSettings178.bin"/><Relationship Id="rId11" Type="http://schemas.openxmlformats.org/officeDocument/2006/relationships/printerSettings" Target="../printerSettings/printerSettings183.bin"/><Relationship Id="rId5" Type="http://schemas.openxmlformats.org/officeDocument/2006/relationships/printerSettings" Target="../printerSettings/printerSettings177.bin"/><Relationship Id="rId10" Type="http://schemas.openxmlformats.org/officeDocument/2006/relationships/printerSettings" Target="../printerSettings/printerSettings182.bin"/><Relationship Id="rId4" Type="http://schemas.openxmlformats.org/officeDocument/2006/relationships/printerSettings" Target="../printerSettings/printerSettings176.bin"/><Relationship Id="rId9" Type="http://schemas.openxmlformats.org/officeDocument/2006/relationships/printerSettings" Target="../printerSettings/printerSettings181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1.bin"/><Relationship Id="rId3" Type="http://schemas.openxmlformats.org/officeDocument/2006/relationships/printerSettings" Target="../printerSettings/printerSettings186.bin"/><Relationship Id="rId7" Type="http://schemas.openxmlformats.org/officeDocument/2006/relationships/printerSettings" Target="../printerSettings/printerSettings190.bin"/><Relationship Id="rId12" Type="http://schemas.openxmlformats.org/officeDocument/2006/relationships/drawing" Target="../drawings/drawing4.xml"/><Relationship Id="rId2" Type="http://schemas.openxmlformats.org/officeDocument/2006/relationships/printerSettings" Target="../printerSettings/printerSettings185.bin"/><Relationship Id="rId1" Type="http://schemas.openxmlformats.org/officeDocument/2006/relationships/printerSettings" Target="../printerSettings/printerSettings184.bin"/><Relationship Id="rId6" Type="http://schemas.openxmlformats.org/officeDocument/2006/relationships/printerSettings" Target="../printerSettings/printerSettings189.bin"/><Relationship Id="rId11" Type="http://schemas.openxmlformats.org/officeDocument/2006/relationships/printerSettings" Target="../printerSettings/printerSettings194.bin"/><Relationship Id="rId5" Type="http://schemas.openxmlformats.org/officeDocument/2006/relationships/printerSettings" Target="../printerSettings/printerSettings188.bin"/><Relationship Id="rId10" Type="http://schemas.openxmlformats.org/officeDocument/2006/relationships/printerSettings" Target="../printerSettings/printerSettings193.bin"/><Relationship Id="rId4" Type="http://schemas.openxmlformats.org/officeDocument/2006/relationships/printerSettings" Target="../printerSettings/printerSettings187.bin"/><Relationship Id="rId9" Type="http://schemas.openxmlformats.org/officeDocument/2006/relationships/printerSettings" Target="../printerSettings/printerSettings192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2.bin"/><Relationship Id="rId3" Type="http://schemas.openxmlformats.org/officeDocument/2006/relationships/printerSettings" Target="../printerSettings/printerSettings197.bin"/><Relationship Id="rId7" Type="http://schemas.openxmlformats.org/officeDocument/2006/relationships/printerSettings" Target="../printerSettings/printerSettings201.bin"/><Relationship Id="rId2" Type="http://schemas.openxmlformats.org/officeDocument/2006/relationships/printerSettings" Target="../printerSettings/printerSettings196.bin"/><Relationship Id="rId1" Type="http://schemas.openxmlformats.org/officeDocument/2006/relationships/printerSettings" Target="../printerSettings/printerSettings195.bin"/><Relationship Id="rId6" Type="http://schemas.openxmlformats.org/officeDocument/2006/relationships/printerSettings" Target="../printerSettings/printerSettings200.bin"/><Relationship Id="rId11" Type="http://schemas.openxmlformats.org/officeDocument/2006/relationships/printerSettings" Target="../printerSettings/printerSettings205.bin"/><Relationship Id="rId5" Type="http://schemas.openxmlformats.org/officeDocument/2006/relationships/printerSettings" Target="../printerSettings/printerSettings199.bin"/><Relationship Id="rId10" Type="http://schemas.openxmlformats.org/officeDocument/2006/relationships/printerSettings" Target="../printerSettings/printerSettings204.bin"/><Relationship Id="rId4" Type="http://schemas.openxmlformats.org/officeDocument/2006/relationships/printerSettings" Target="../printerSettings/printerSettings198.bin"/><Relationship Id="rId9" Type="http://schemas.openxmlformats.org/officeDocument/2006/relationships/printerSettings" Target="../printerSettings/printerSettings203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13.bin"/><Relationship Id="rId3" Type="http://schemas.openxmlformats.org/officeDocument/2006/relationships/printerSettings" Target="../printerSettings/printerSettings208.bin"/><Relationship Id="rId7" Type="http://schemas.openxmlformats.org/officeDocument/2006/relationships/printerSettings" Target="../printerSettings/printerSettings212.bin"/><Relationship Id="rId2" Type="http://schemas.openxmlformats.org/officeDocument/2006/relationships/printerSettings" Target="../printerSettings/printerSettings207.bin"/><Relationship Id="rId1" Type="http://schemas.openxmlformats.org/officeDocument/2006/relationships/printerSettings" Target="../printerSettings/printerSettings206.bin"/><Relationship Id="rId6" Type="http://schemas.openxmlformats.org/officeDocument/2006/relationships/printerSettings" Target="../printerSettings/printerSettings211.bin"/><Relationship Id="rId11" Type="http://schemas.openxmlformats.org/officeDocument/2006/relationships/printerSettings" Target="../printerSettings/printerSettings216.bin"/><Relationship Id="rId5" Type="http://schemas.openxmlformats.org/officeDocument/2006/relationships/printerSettings" Target="../printerSettings/printerSettings210.bin"/><Relationship Id="rId10" Type="http://schemas.openxmlformats.org/officeDocument/2006/relationships/printerSettings" Target="../printerSettings/printerSettings215.bin"/><Relationship Id="rId4" Type="http://schemas.openxmlformats.org/officeDocument/2006/relationships/printerSettings" Target="../printerSettings/printerSettings209.bin"/><Relationship Id="rId9" Type="http://schemas.openxmlformats.org/officeDocument/2006/relationships/printerSettings" Target="../printerSettings/printerSettings214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4.bin"/><Relationship Id="rId3" Type="http://schemas.openxmlformats.org/officeDocument/2006/relationships/printerSettings" Target="../printerSettings/printerSettings219.bin"/><Relationship Id="rId7" Type="http://schemas.openxmlformats.org/officeDocument/2006/relationships/printerSettings" Target="../printerSettings/printerSettings223.bin"/><Relationship Id="rId2" Type="http://schemas.openxmlformats.org/officeDocument/2006/relationships/printerSettings" Target="../printerSettings/printerSettings218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1" Type="http://schemas.openxmlformats.org/officeDocument/2006/relationships/printerSettings" Target="../printerSettings/printerSettings227.bin"/><Relationship Id="rId5" Type="http://schemas.openxmlformats.org/officeDocument/2006/relationships/printerSettings" Target="../printerSettings/printerSettings221.bin"/><Relationship Id="rId10" Type="http://schemas.openxmlformats.org/officeDocument/2006/relationships/printerSettings" Target="../printerSettings/printerSettings226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5.bin"/><Relationship Id="rId3" Type="http://schemas.openxmlformats.org/officeDocument/2006/relationships/printerSettings" Target="../printerSettings/printerSettings230.bin"/><Relationship Id="rId7" Type="http://schemas.openxmlformats.org/officeDocument/2006/relationships/printerSettings" Target="../printerSettings/printerSettings234.bin"/><Relationship Id="rId2" Type="http://schemas.openxmlformats.org/officeDocument/2006/relationships/printerSettings" Target="../printerSettings/printerSettings229.bin"/><Relationship Id="rId1" Type="http://schemas.openxmlformats.org/officeDocument/2006/relationships/printerSettings" Target="../printerSettings/printerSettings228.bin"/><Relationship Id="rId6" Type="http://schemas.openxmlformats.org/officeDocument/2006/relationships/printerSettings" Target="../printerSettings/printerSettings233.bin"/><Relationship Id="rId11" Type="http://schemas.openxmlformats.org/officeDocument/2006/relationships/printerSettings" Target="../printerSettings/printerSettings238.bin"/><Relationship Id="rId5" Type="http://schemas.openxmlformats.org/officeDocument/2006/relationships/printerSettings" Target="../printerSettings/printerSettings232.bin"/><Relationship Id="rId10" Type="http://schemas.openxmlformats.org/officeDocument/2006/relationships/printerSettings" Target="../printerSettings/printerSettings237.bin"/><Relationship Id="rId4" Type="http://schemas.openxmlformats.org/officeDocument/2006/relationships/printerSettings" Target="../printerSettings/printerSettings231.bin"/><Relationship Id="rId9" Type="http://schemas.openxmlformats.org/officeDocument/2006/relationships/printerSettings" Target="../printerSettings/printerSettings23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6.bin"/><Relationship Id="rId3" Type="http://schemas.openxmlformats.org/officeDocument/2006/relationships/printerSettings" Target="../printerSettings/printerSettings241.bin"/><Relationship Id="rId7" Type="http://schemas.openxmlformats.org/officeDocument/2006/relationships/printerSettings" Target="../printerSettings/printerSettings245.bin"/><Relationship Id="rId2" Type="http://schemas.openxmlformats.org/officeDocument/2006/relationships/printerSettings" Target="../printerSettings/printerSettings240.bin"/><Relationship Id="rId1" Type="http://schemas.openxmlformats.org/officeDocument/2006/relationships/printerSettings" Target="../printerSettings/printerSettings239.bin"/><Relationship Id="rId6" Type="http://schemas.openxmlformats.org/officeDocument/2006/relationships/printerSettings" Target="../printerSettings/printerSettings244.bin"/><Relationship Id="rId11" Type="http://schemas.openxmlformats.org/officeDocument/2006/relationships/printerSettings" Target="../printerSettings/printerSettings249.bin"/><Relationship Id="rId5" Type="http://schemas.openxmlformats.org/officeDocument/2006/relationships/printerSettings" Target="../printerSettings/printerSettings243.bin"/><Relationship Id="rId10" Type="http://schemas.openxmlformats.org/officeDocument/2006/relationships/printerSettings" Target="../printerSettings/printerSettings248.bin"/><Relationship Id="rId4" Type="http://schemas.openxmlformats.org/officeDocument/2006/relationships/printerSettings" Target="../printerSettings/printerSettings242.bin"/><Relationship Id="rId9" Type="http://schemas.openxmlformats.org/officeDocument/2006/relationships/printerSettings" Target="../printerSettings/printerSettings24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7.bin"/><Relationship Id="rId3" Type="http://schemas.openxmlformats.org/officeDocument/2006/relationships/printerSettings" Target="../printerSettings/printerSettings252.bin"/><Relationship Id="rId7" Type="http://schemas.openxmlformats.org/officeDocument/2006/relationships/printerSettings" Target="../printerSettings/printerSettings256.bin"/><Relationship Id="rId2" Type="http://schemas.openxmlformats.org/officeDocument/2006/relationships/printerSettings" Target="../printerSettings/printerSettings251.bin"/><Relationship Id="rId1" Type="http://schemas.openxmlformats.org/officeDocument/2006/relationships/printerSettings" Target="../printerSettings/printerSettings250.bin"/><Relationship Id="rId6" Type="http://schemas.openxmlformats.org/officeDocument/2006/relationships/printerSettings" Target="../printerSettings/printerSettings255.bin"/><Relationship Id="rId11" Type="http://schemas.openxmlformats.org/officeDocument/2006/relationships/printerSettings" Target="../printerSettings/printerSettings260.bin"/><Relationship Id="rId5" Type="http://schemas.openxmlformats.org/officeDocument/2006/relationships/printerSettings" Target="../printerSettings/printerSettings254.bin"/><Relationship Id="rId10" Type="http://schemas.openxmlformats.org/officeDocument/2006/relationships/printerSettings" Target="../printerSettings/printerSettings259.bin"/><Relationship Id="rId4" Type="http://schemas.openxmlformats.org/officeDocument/2006/relationships/printerSettings" Target="../printerSettings/printerSettings253.bin"/><Relationship Id="rId9" Type="http://schemas.openxmlformats.org/officeDocument/2006/relationships/printerSettings" Target="../printerSettings/printerSettings25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3.bin"/><Relationship Id="rId2" Type="http://schemas.openxmlformats.org/officeDocument/2006/relationships/printerSettings" Target="../printerSettings/printerSettings262.bin"/><Relationship Id="rId1" Type="http://schemas.openxmlformats.org/officeDocument/2006/relationships/printerSettings" Target="../printerSettings/printerSettings261.bin"/><Relationship Id="rId6" Type="http://schemas.openxmlformats.org/officeDocument/2006/relationships/printerSettings" Target="../printerSettings/printerSettings266.bin"/><Relationship Id="rId5" Type="http://schemas.openxmlformats.org/officeDocument/2006/relationships/printerSettings" Target="../printerSettings/printerSettings265.bin"/><Relationship Id="rId4" Type="http://schemas.openxmlformats.org/officeDocument/2006/relationships/printerSettings" Target="../printerSettings/printerSettings264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74.bin"/><Relationship Id="rId3" Type="http://schemas.openxmlformats.org/officeDocument/2006/relationships/printerSettings" Target="../printerSettings/printerSettings269.bin"/><Relationship Id="rId7" Type="http://schemas.openxmlformats.org/officeDocument/2006/relationships/printerSettings" Target="../printerSettings/printerSettings273.bin"/><Relationship Id="rId2" Type="http://schemas.openxmlformats.org/officeDocument/2006/relationships/printerSettings" Target="../printerSettings/printerSettings268.bin"/><Relationship Id="rId1" Type="http://schemas.openxmlformats.org/officeDocument/2006/relationships/printerSettings" Target="../printerSettings/printerSettings267.bin"/><Relationship Id="rId6" Type="http://schemas.openxmlformats.org/officeDocument/2006/relationships/printerSettings" Target="../printerSettings/printerSettings272.bin"/><Relationship Id="rId5" Type="http://schemas.openxmlformats.org/officeDocument/2006/relationships/printerSettings" Target="../printerSettings/printerSettings271.bin"/><Relationship Id="rId10" Type="http://schemas.openxmlformats.org/officeDocument/2006/relationships/printerSettings" Target="../printerSettings/printerSettings276.bin"/><Relationship Id="rId4" Type="http://schemas.openxmlformats.org/officeDocument/2006/relationships/printerSettings" Target="../printerSettings/printerSettings270.bin"/><Relationship Id="rId9" Type="http://schemas.openxmlformats.org/officeDocument/2006/relationships/printerSettings" Target="../printerSettings/printerSettings275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4.bin"/><Relationship Id="rId13" Type="http://schemas.openxmlformats.org/officeDocument/2006/relationships/control" Target="../activeX/activeX13.xml"/><Relationship Id="rId3" Type="http://schemas.openxmlformats.org/officeDocument/2006/relationships/printerSettings" Target="../printerSettings/printerSettings279.bin"/><Relationship Id="rId7" Type="http://schemas.openxmlformats.org/officeDocument/2006/relationships/printerSettings" Target="../printerSettings/printerSettings283.bin"/><Relationship Id="rId12" Type="http://schemas.openxmlformats.org/officeDocument/2006/relationships/control" Target="../activeX/activeX12.xml"/><Relationship Id="rId2" Type="http://schemas.openxmlformats.org/officeDocument/2006/relationships/printerSettings" Target="../printerSettings/printerSettings278.bin"/><Relationship Id="rId1" Type="http://schemas.openxmlformats.org/officeDocument/2006/relationships/printerSettings" Target="../printerSettings/printerSettings277.bin"/><Relationship Id="rId6" Type="http://schemas.openxmlformats.org/officeDocument/2006/relationships/printerSettings" Target="../printerSettings/printerSettings282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81.bin"/><Relationship Id="rId10" Type="http://schemas.openxmlformats.org/officeDocument/2006/relationships/printerSettings" Target="../printerSettings/printerSettings286.bin"/><Relationship Id="rId4" Type="http://schemas.openxmlformats.org/officeDocument/2006/relationships/printerSettings" Target="../printerSettings/printerSettings280.bin"/><Relationship Id="rId9" Type="http://schemas.openxmlformats.org/officeDocument/2006/relationships/printerSettings" Target="../printerSettings/printerSettings28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9.bin"/><Relationship Id="rId2" Type="http://schemas.openxmlformats.org/officeDocument/2006/relationships/printerSettings" Target="../printerSettings/printerSettings288.bin"/><Relationship Id="rId1" Type="http://schemas.openxmlformats.org/officeDocument/2006/relationships/printerSettings" Target="../printerSettings/printerSettings287.bin"/><Relationship Id="rId4" Type="http://schemas.openxmlformats.org/officeDocument/2006/relationships/printerSettings" Target="../printerSettings/printerSettings29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NT210"/>
  <sheetViews>
    <sheetView zoomScaleNormal="71" zoomScaleSheetLayoutView="80" workbookViewId="0">
      <pane xSplit="1" ySplit="3" topLeftCell="CB34" activePane="bottomRight" state="frozen"/>
      <selection pane="topRight" activeCell="B1" sqref="B1"/>
      <selection pane="bottomLeft" activeCell="A4" sqref="A4"/>
      <selection pane="bottomRight" activeCell="CC38" sqref="CC38"/>
    </sheetView>
  </sheetViews>
  <sheetFormatPr defaultColWidth="9.140625" defaultRowHeight="33"/>
  <cols>
    <col min="1" max="1" width="37.7109375" style="3" customWidth="1"/>
    <col min="2" max="2" width="25.7109375" style="3" bestFit="1" customWidth="1"/>
    <col min="3" max="3" width="23.42578125" style="3" customWidth="1"/>
    <col min="4" max="4" width="22" style="3" customWidth="1"/>
    <col min="5" max="5" width="20.85546875" style="3" customWidth="1"/>
    <col min="6" max="6" width="21.28515625" style="3" bestFit="1" customWidth="1"/>
    <col min="7" max="7" width="21.28515625" style="143" customWidth="1"/>
    <col min="8" max="8" width="20.42578125" style="3" customWidth="1"/>
    <col min="9" max="9" width="20.28515625" style="3" customWidth="1"/>
    <col min="10" max="10" width="19.5703125" style="3" customWidth="1"/>
    <col min="11" max="11" width="24" style="3" customWidth="1"/>
    <col min="12" max="12" width="20.85546875" style="3" customWidth="1"/>
    <col min="13" max="13" width="19.140625" style="3" customWidth="1"/>
    <col min="14" max="16" width="19.42578125" style="143" customWidth="1"/>
    <col min="17" max="17" width="17.5703125" style="3" bestFit="1" customWidth="1"/>
    <col min="18" max="18" width="21" style="3" bestFit="1" customWidth="1"/>
    <col min="19" max="19" width="24.140625" style="3" bestFit="1" customWidth="1"/>
    <col min="20" max="20" width="24.42578125" style="3" customWidth="1"/>
    <col min="21" max="21" width="16.85546875" style="3" customWidth="1"/>
    <col min="22" max="22" width="27.85546875" style="3" customWidth="1"/>
    <col min="23" max="23" width="22.5703125" style="3" customWidth="1"/>
    <col min="24" max="24" width="16.42578125" style="3" customWidth="1"/>
    <col min="25" max="25" width="20.7109375" style="3" customWidth="1"/>
    <col min="26" max="26" width="20.140625" style="3" customWidth="1"/>
    <col min="27" max="27" width="14.28515625" style="143" customWidth="1"/>
    <col min="28" max="28" width="20.7109375" style="143" customWidth="1"/>
    <col min="29" max="29" width="13.5703125" style="3" customWidth="1"/>
    <col min="30" max="30" width="24.140625" style="3" bestFit="1" customWidth="1"/>
    <col min="31" max="31" width="19.85546875" style="3" customWidth="1"/>
    <col min="32" max="32" width="19.140625" style="3" customWidth="1"/>
    <col min="33" max="33" width="19.85546875" style="3" customWidth="1"/>
    <col min="34" max="34" width="22.5703125" style="3" customWidth="1"/>
    <col min="35" max="35" width="21.7109375" style="3" customWidth="1"/>
    <col min="36" max="36" width="20.5703125" style="3" customWidth="1"/>
    <col min="37" max="37" width="18.140625" style="143" customWidth="1"/>
    <col min="38" max="38" width="20.28515625" style="3" customWidth="1"/>
    <col min="39" max="39" width="17.28515625" style="3" customWidth="1"/>
    <col min="40" max="40" width="20.7109375" style="3" bestFit="1" customWidth="1"/>
    <col min="41" max="41" width="21" style="3" bestFit="1" customWidth="1"/>
    <col min="42" max="44" width="24.140625" style="3" bestFit="1" customWidth="1"/>
    <col min="45" max="45" width="25.7109375" style="3" bestFit="1" customWidth="1"/>
    <col min="46" max="46" width="21.5703125" style="3" customWidth="1"/>
    <col min="47" max="47" width="19.85546875" style="3" customWidth="1"/>
    <col min="48" max="48" width="19.28515625" style="3" customWidth="1"/>
    <col min="49" max="49" width="24.42578125" style="3" customWidth="1"/>
    <col min="50" max="50" width="18.5703125" style="3" customWidth="1"/>
    <col min="51" max="51" width="18.5703125" style="143" customWidth="1"/>
    <col min="52" max="52" width="20.28515625" style="3" customWidth="1"/>
    <col min="53" max="53" width="22.85546875" style="3" customWidth="1"/>
    <col min="54" max="54" width="20.85546875" style="3" customWidth="1"/>
    <col min="55" max="55" width="19.42578125" style="3" customWidth="1"/>
    <col min="56" max="56" width="21.42578125" style="3" customWidth="1"/>
    <col min="57" max="57" width="18.7109375" style="3" customWidth="1"/>
    <col min="58" max="58" width="21.140625" style="3" bestFit="1" customWidth="1"/>
    <col min="59" max="59" width="21.140625" style="3" customWidth="1"/>
    <col min="60" max="60" width="19.140625" style="3" customWidth="1"/>
    <col min="61" max="61" width="19.140625" style="143" customWidth="1"/>
    <col min="62" max="62" width="19" style="3" customWidth="1"/>
    <col min="63" max="63" width="19.42578125" style="3" customWidth="1"/>
    <col min="64" max="64" width="18.85546875" style="3" customWidth="1"/>
    <col min="65" max="65" width="17" style="3" customWidth="1"/>
    <col min="66" max="66" width="17.85546875" style="3" customWidth="1"/>
    <col min="67" max="67" width="19.7109375" style="3" customWidth="1"/>
    <col min="68" max="68" width="23" style="3" customWidth="1"/>
    <col min="69" max="69" width="20.28515625" style="3" customWidth="1"/>
    <col min="70" max="70" width="24.42578125" style="3" customWidth="1"/>
    <col min="71" max="71" width="28.5703125" style="3" customWidth="1"/>
    <col min="72" max="72" width="16.7109375" style="3" customWidth="1"/>
    <col min="73" max="73" width="19.42578125" style="3" customWidth="1"/>
    <col min="74" max="74" width="19.140625" style="3" customWidth="1"/>
    <col min="75" max="75" width="19.28515625" style="3" customWidth="1"/>
    <col min="76" max="76" width="20.42578125" style="3" customWidth="1"/>
    <col min="77" max="77" width="19.28515625" style="3" customWidth="1"/>
    <col min="78" max="80" width="19.28515625" style="143" customWidth="1"/>
    <col min="81" max="81" width="24" style="3" bestFit="1" customWidth="1"/>
    <col min="82" max="82" width="16.7109375" style="3" customWidth="1"/>
    <col min="83" max="83" width="20.42578125" style="3" customWidth="1"/>
    <col min="84" max="84" width="21.5703125" style="3" customWidth="1"/>
    <col min="85" max="85" width="21.42578125" style="3" customWidth="1"/>
    <col min="86" max="89" width="21.42578125" style="143" customWidth="1"/>
    <col min="90" max="90" width="17.85546875" style="3" customWidth="1"/>
    <col min="91" max="91" width="18.140625" style="3" customWidth="1"/>
    <col min="92" max="92" width="21" style="3" bestFit="1" customWidth="1"/>
    <col min="93" max="93" width="28.7109375" style="3" customWidth="1"/>
    <col min="94" max="94" width="24" style="3" bestFit="1" customWidth="1"/>
    <col min="95" max="95" width="20" style="3" customWidth="1"/>
    <col min="96" max="96" width="20" style="143" customWidth="1"/>
    <col min="97" max="97" width="27.7109375" style="3" customWidth="1"/>
    <col min="98" max="98" width="17.42578125" style="3" customWidth="1"/>
    <col min="99" max="99" width="19.140625" style="3" customWidth="1"/>
    <col min="100" max="100" width="21.42578125" style="3" customWidth="1"/>
    <col min="101" max="101" width="19.7109375" style="3" customWidth="1"/>
    <col min="102" max="102" width="18" style="3" customWidth="1"/>
    <col min="103" max="103" width="17.5703125" style="3" customWidth="1"/>
    <col min="104" max="104" width="24" style="3" bestFit="1" customWidth="1"/>
    <col min="105" max="105" width="16" style="3" customWidth="1"/>
    <col min="106" max="106" width="21.140625" style="3" customWidth="1"/>
    <col min="107" max="107" width="17.28515625" style="3" customWidth="1"/>
    <col min="108" max="108" width="17" style="3" customWidth="1"/>
    <col min="109" max="109" width="21.140625" style="3" customWidth="1"/>
    <col min="110" max="110" width="17.5703125" style="3" customWidth="1"/>
    <col min="111" max="111" width="21" style="3" customWidth="1"/>
    <col min="112" max="112" width="19.85546875" style="143" customWidth="1"/>
    <col min="113" max="113" width="24.28515625" style="143" customWidth="1"/>
    <col min="114" max="114" width="21.42578125" style="143" customWidth="1"/>
    <col min="115" max="115" width="19.42578125" style="143" customWidth="1"/>
    <col min="116" max="116" width="20" style="143" customWidth="1"/>
    <col min="117" max="117" width="14" style="143" customWidth="1"/>
    <col min="118" max="118" width="19.5703125" style="143" bestFit="1" customWidth="1"/>
    <col min="119" max="119" width="13.28515625" style="143" customWidth="1"/>
    <col min="120" max="122" width="16.140625" style="143" customWidth="1"/>
    <col min="123" max="128" width="19.85546875" style="143" customWidth="1"/>
    <col min="129" max="129" width="29.140625" style="3" customWidth="1"/>
    <col min="130" max="130" width="19.42578125" style="143" customWidth="1"/>
    <col min="131" max="131" width="16.85546875" style="3" customWidth="1"/>
    <col min="132" max="132" width="23.5703125" style="3" customWidth="1"/>
    <col min="133" max="133" width="20.5703125" style="3" customWidth="1"/>
    <col min="134" max="134" width="20.5703125" style="3"/>
    <col min="135" max="136" width="21" style="3" bestFit="1" customWidth="1"/>
    <col min="137" max="138" width="22.85546875" style="130" customWidth="1"/>
    <col min="139" max="143" width="20.5703125" style="3"/>
    <col min="144" max="144" width="24" style="3" bestFit="1" customWidth="1"/>
    <col min="145" max="145" width="21" style="3" bestFit="1" customWidth="1"/>
    <col min="146" max="146" width="21" style="143" customWidth="1"/>
    <col min="147" max="147" width="24" style="3" bestFit="1" customWidth="1"/>
    <col min="148" max="148" width="21" style="3" bestFit="1" customWidth="1"/>
    <col min="149" max="149" width="21" style="143" customWidth="1"/>
    <col min="150" max="151" width="21" style="3" bestFit="1" customWidth="1"/>
    <col min="152" max="152" width="17.7109375" style="3" customWidth="1"/>
    <col min="153" max="153" width="29" style="3" customWidth="1"/>
    <col min="154" max="154" width="19.85546875" style="3" customWidth="1"/>
    <col min="155" max="155" width="22.28515625" style="3" customWidth="1"/>
    <col min="156" max="157" width="20.5703125" style="3"/>
    <col min="158" max="158" width="21.7109375" style="3" customWidth="1"/>
    <col min="159" max="159" width="20" style="3" customWidth="1"/>
    <col min="160" max="160" width="19.7109375" style="3" customWidth="1"/>
    <col min="161" max="161" width="20.85546875" style="3" customWidth="1"/>
    <col min="162" max="162" width="18.42578125" style="3" customWidth="1"/>
    <col min="163" max="163" width="21" style="3" bestFit="1" customWidth="1"/>
    <col min="164" max="164" width="22.85546875" style="3" customWidth="1"/>
    <col min="165" max="165" width="22.42578125" style="3" customWidth="1"/>
    <col min="166" max="166" width="20.5703125" style="3"/>
    <col min="167" max="172" width="21.7109375" style="143" customWidth="1"/>
    <col min="173" max="177" width="21" style="3" bestFit="1" customWidth="1"/>
    <col min="178" max="178" width="16.7109375" style="3" customWidth="1"/>
    <col min="179" max="179" width="18.28515625" style="3" customWidth="1"/>
    <col min="180" max="181" width="18" style="3" customWidth="1"/>
    <col min="182" max="182" width="29.85546875" style="3" bestFit="1" customWidth="1"/>
    <col min="183" max="183" width="20.5703125" style="3"/>
    <col min="184" max="184" width="26.5703125" style="3" customWidth="1"/>
    <col min="185" max="185" width="28.85546875" style="143" customWidth="1"/>
    <col min="186" max="186" width="23.28515625" style="3" customWidth="1"/>
    <col min="187" max="187" width="17" style="3" customWidth="1"/>
    <col min="188" max="188" width="19.140625" style="3" customWidth="1"/>
    <col min="189" max="189" width="21.28515625" style="3" customWidth="1"/>
    <col min="190" max="190" width="22.7109375" style="3" customWidth="1"/>
    <col min="191" max="191" width="17.7109375" style="143" customWidth="1"/>
    <col min="192" max="192" width="28.7109375" style="3" customWidth="1"/>
    <col min="193" max="193" width="35.7109375" style="3" customWidth="1"/>
    <col min="194" max="194" width="21.7109375" style="3" customWidth="1"/>
    <col min="195" max="195" width="16.7109375" style="994" customWidth="1"/>
    <col min="196" max="218" width="9.140625" style="3"/>
    <col min="219" max="219" width="12.7109375" style="3" bestFit="1" customWidth="1"/>
    <col min="220" max="16384" width="9.140625" style="3"/>
  </cols>
  <sheetData>
    <row r="1" spans="1:384" s="143" customFormat="1" ht="11.25" customHeight="1" thickBot="1">
      <c r="EG1" s="130"/>
      <c r="EH1" s="130"/>
      <c r="GI1" s="143">
        <v>0.3</v>
      </c>
      <c r="GM1" s="994"/>
    </row>
    <row r="2" spans="1:384" ht="33.75" customHeight="1" thickBot="1">
      <c r="A2" s="3068">
        <v>43107</v>
      </c>
      <c r="B2" s="4355"/>
      <c r="C2" s="4355"/>
      <c r="D2" s="4355"/>
      <c r="E2" s="4355"/>
      <c r="F2" s="4355"/>
      <c r="G2" s="4355"/>
      <c r="H2" s="4355"/>
      <c r="I2" s="4355"/>
      <c r="J2" s="4355"/>
      <c r="K2" s="4355"/>
      <c r="L2" s="4355"/>
      <c r="M2" s="4355"/>
      <c r="N2" s="4355"/>
      <c r="O2" s="4355"/>
      <c r="P2" s="4355"/>
      <c r="Q2" s="4355"/>
      <c r="R2" s="4355"/>
      <c r="S2" s="4355"/>
      <c r="T2" s="4355"/>
      <c r="U2" s="4355"/>
      <c r="V2" s="4355"/>
      <c r="W2" s="4355"/>
      <c r="X2" s="4355"/>
      <c r="Y2" s="4355"/>
      <c r="Z2" s="4355"/>
      <c r="AA2" s="4355"/>
      <c r="AB2" s="4355"/>
      <c r="AC2" s="4355"/>
      <c r="AD2" s="4355"/>
      <c r="AE2" s="4355"/>
      <c r="AF2" s="4355"/>
      <c r="AG2" s="4355"/>
      <c r="AH2" s="4355"/>
      <c r="AI2" s="4355"/>
      <c r="AJ2" s="4355"/>
      <c r="AK2" s="4355"/>
      <c r="AL2" s="4355"/>
      <c r="AM2" s="4355"/>
      <c r="AN2" s="4355"/>
      <c r="AO2" s="4355"/>
      <c r="AP2" s="4355"/>
      <c r="AQ2" s="4355"/>
      <c r="AR2" s="4355"/>
      <c r="AS2" s="4355"/>
      <c r="AT2" s="4355"/>
      <c r="AU2" s="4355"/>
      <c r="AV2" s="4355"/>
      <c r="AW2" s="4355"/>
      <c r="AX2" s="4355"/>
      <c r="AY2" s="4355"/>
      <c r="AZ2" s="4355"/>
      <c r="BA2" s="4355"/>
      <c r="BB2" s="4355"/>
      <c r="BC2" s="4355"/>
      <c r="BD2" s="4355"/>
      <c r="BE2" s="4355"/>
      <c r="BF2" s="4355"/>
      <c r="BG2" s="4355"/>
      <c r="BH2" s="4355"/>
      <c r="BI2" s="4355"/>
      <c r="BJ2" s="4355"/>
      <c r="BK2" s="4355"/>
      <c r="BL2" s="4355"/>
      <c r="BM2" s="4355"/>
      <c r="BN2" s="4355"/>
      <c r="BO2" s="4355"/>
      <c r="BP2" s="4355"/>
      <c r="BQ2" s="4355"/>
      <c r="BR2" s="4355"/>
      <c r="BS2" s="4355"/>
      <c r="BT2" s="4355"/>
      <c r="BU2" s="4355"/>
      <c r="BV2" s="4355"/>
      <c r="BW2" s="4355"/>
      <c r="BX2" s="4355"/>
      <c r="BY2" s="4355"/>
      <c r="BZ2" s="4355"/>
      <c r="CA2" s="4355"/>
      <c r="CB2" s="4355"/>
      <c r="CC2" s="4355"/>
      <c r="CD2" s="4355"/>
      <c r="CE2" s="4355"/>
      <c r="CF2" s="4355"/>
      <c r="CG2" s="4355"/>
      <c r="CH2" s="4355"/>
      <c r="CI2" s="4355"/>
      <c r="CJ2" s="4355"/>
      <c r="CK2" s="4355"/>
      <c r="CL2" s="4355"/>
      <c r="CM2" s="4355"/>
      <c r="CN2" s="4355"/>
      <c r="CO2" s="4355"/>
      <c r="CP2" s="4355"/>
      <c r="CQ2" s="4355"/>
      <c r="CR2" s="4355"/>
      <c r="CS2" s="4355"/>
      <c r="CT2" s="4355"/>
      <c r="CU2" s="4355"/>
      <c r="CV2" s="4355"/>
      <c r="CW2" s="4355"/>
      <c r="CX2" s="4355"/>
      <c r="CY2" s="4355"/>
      <c r="CZ2" s="4355"/>
      <c r="DA2" s="4355"/>
      <c r="DB2" s="4355"/>
      <c r="DC2" s="4355"/>
      <c r="DD2" s="4355"/>
      <c r="DE2" s="4355"/>
      <c r="DF2" s="4355"/>
      <c r="DG2" s="4355"/>
      <c r="DH2" s="4355"/>
      <c r="DI2" s="4355"/>
      <c r="DJ2" s="4355"/>
      <c r="DK2" s="4355"/>
      <c r="DL2" s="4355"/>
      <c r="DM2" s="4355"/>
      <c r="DN2" s="4355"/>
      <c r="DO2" s="4355"/>
      <c r="DP2" s="4355"/>
      <c r="DQ2" s="4355"/>
      <c r="DR2" s="4355"/>
      <c r="DS2" s="4355"/>
      <c r="DT2" s="4355"/>
      <c r="DU2" s="4355"/>
      <c r="DV2" s="4355"/>
      <c r="DW2" s="4791"/>
      <c r="DX2" s="4791"/>
      <c r="DY2" s="4355"/>
      <c r="DZ2" s="4355"/>
      <c r="EA2" s="4355"/>
      <c r="EB2" s="4355"/>
      <c r="EC2" s="4355"/>
      <c r="ED2" s="4355"/>
      <c r="EE2" s="4355"/>
      <c r="EF2" s="4355"/>
      <c r="EG2" s="4355"/>
      <c r="EH2" s="4355"/>
      <c r="EI2" s="4355"/>
      <c r="EJ2" s="4355"/>
      <c r="EK2" s="4355"/>
      <c r="EL2" s="4355"/>
      <c r="EM2" s="4355"/>
      <c r="EN2" s="4355"/>
      <c r="EO2" s="4355"/>
      <c r="EP2" s="4355"/>
      <c r="EQ2" s="4355"/>
      <c r="ER2" s="4355"/>
      <c r="ES2" s="4355"/>
      <c r="ET2" s="4355"/>
      <c r="EU2" s="4355"/>
      <c r="EV2" s="4355"/>
      <c r="EW2" s="4355"/>
      <c r="EX2" s="4355"/>
      <c r="EY2" s="4355"/>
      <c r="EZ2" s="4355"/>
      <c r="FA2" s="4355"/>
      <c r="FB2" s="4355"/>
      <c r="FC2" s="4355"/>
      <c r="FD2" s="4355"/>
      <c r="FE2" s="4355"/>
      <c r="FF2" s="4355"/>
      <c r="FG2" s="4355"/>
      <c r="FH2" s="4355"/>
      <c r="FI2" s="4355"/>
      <c r="FJ2" s="4355"/>
      <c r="FK2" s="4355"/>
      <c r="FL2" s="4355"/>
      <c r="FM2" s="4355"/>
      <c r="FN2" s="4355"/>
      <c r="FO2" s="4355"/>
      <c r="FP2" s="4355"/>
      <c r="FQ2" s="4355"/>
      <c r="FR2" s="4355"/>
      <c r="FS2" s="4355"/>
      <c r="FT2" s="4355"/>
      <c r="FU2" s="4355"/>
      <c r="FV2" s="4355"/>
      <c r="FW2" s="4355"/>
      <c r="FX2" s="4355"/>
      <c r="FY2" s="4355"/>
      <c r="FZ2" s="4355"/>
      <c r="GA2" s="4355"/>
      <c r="GB2" s="4355"/>
      <c r="GC2" s="4355"/>
      <c r="GD2" s="4356" t="s">
        <v>824</v>
      </c>
      <c r="GE2" s="4356"/>
      <c r="GF2" s="4789">
        <v>101.67</v>
      </c>
      <c r="GG2" s="4355"/>
      <c r="GH2" s="4356" t="s">
        <v>825</v>
      </c>
      <c r="GI2" s="4601">
        <v>2</v>
      </c>
      <c r="GJ2" s="3012"/>
      <c r="GK2" s="3013"/>
      <c r="GL2" s="3014"/>
      <c r="GM2" s="3014"/>
    </row>
    <row r="3" spans="1:384" s="3608" customFormat="1" ht="53.25" customHeight="1" thickBot="1">
      <c r="A3" s="3602" t="s">
        <v>0</v>
      </c>
      <c r="B3" s="3603" t="str">
        <f>Master!AL3</f>
        <v>Karnaphuli Hydro PP Unit-1, 2 &amp; 3</v>
      </c>
      <c r="C3" s="3604" t="str">
        <f>Master!AM3</f>
        <v>Karnaphuli Hydro PP Unit-4 &amp; 5</v>
      </c>
      <c r="D3" s="3603" t="str">
        <f>Master!AN3</f>
        <v xml:space="preserve">Chattogram TPP-1 </v>
      </c>
      <c r="E3" s="3603" t="str">
        <f>Master!AO3</f>
        <v>Chattogram TPP-2</v>
      </c>
      <c r="F3" s="3603" t="str">
        <f>Master!AP3</f>
        <v>Raozan 25 MW PP</v>
      </c>
      <c r="G3" s="3603" t="str">
        <f>Master!CY3</f>
        <v>Teknaf  20MW PP (Solartech)</v>
      </c>
      <c r="H3" s="3603" t="str">
        <f>Master!AQ3</f>
        <v>Sikalbaha 225MW CCPP (Gas)</v>
      </c>
      <c r="I3" s="3603" t="str">
        <f>Master!AR3</f>
        <v>Sikalbaha 225MW CCPP(Oil)</v>
      </c>
      <c r="J3" s="3603"/>
      <c r="K3" s="3603" t="str">
        <f>Master!AS3</f>
        <v>Sikalbaha 150MW GTPP</v>
      </c>
      <c r="L3" s="3603" t="str">
        <f>Master!AT3</f>
        <v>Sikalbaha 150MW GTPP(Oil)</v>
      </c>
      <c r="M3" s="3603" t="str">
        <f>Master!AX3</f>
        <v>Dohazari -Kalaish 100 MW Peaking</v>
      </c>
      <c r="N3" s="3603" t="str">
        <f>Master!AW3</f>
        <v>Hathazari 100 MW peaking PP</v>
      </c>
      <c r="O3" s="3603" t="str">
        <f>Master!DF3</f>
        <v>Sikalbaha 105 MW PP (Baraka Sikalbaha)</v>
      </c>
      <c r="P3" s="3603" t="str">
        <f>Master!CR3</f>
        <v>Daudkandi 200 MW PP (B.Trac)</v>
      </c>
      <c r="Q3" s="3603" t="str">
        <f>Master!BQ3</f>
        <v>Titas 50 MW Peaking PP</v>
      </c>
      <c r="R3" s="3603" t="str">
        <f>Master!S3</f>
        <v>210 MW Siddhirgonj TPP</v>
      </c>
      <c r="S3" s="3603" t="str">
        <f>Master!T3</f>
        <v xml:space="preserve">Siddhirgonj 2*120 MW GTPP </v>
      </c>
      <c r="T3" s="3603" t="str">
        <f>Master!R3</f>
        <v>Siddhirganj 335 MW CCPP</v>
      </c>
      <c r="U3" s="3603" t="str">
        <f>Master!CS3</f>
        <v xml:space="preserve">Kodda 300 MW PP Unit-2 (Summit) </v>
      </c>
      <c r="V3" s="3603" t="str">
        <f>Master!BJ3</f>
        <v xml:space="preserve">Ashuganj 195MW PP (APSCL-United) </v>
      </c>
      <c r="W3" s="3603" t="str">
        <f>Master!B3</f>
        <v>Ghorasal TPP (Unit-1&amp;2)</v>
      </c>
      <c r="X3" s="3605" t="str">
        <f>Master!C3</f>
        <v>Ghorasal Repowered CCPP:Unit-3 (GT</v>
      </c>
      <c r="Y3" s="3603" t="str">
        <f>Master!D3</f>
        <v>Ghorasal Repowered CCPP Unit-4</v>
      </c>
      <c r="Z3" s="3603" t="str">
        <f>Master!E3</f>
        <v>Ghorasal TPP Unit-5</v>
      </c>
      <c r="AA3" s="3603"/>
      <c r="AB3" s="3603" t="str">
        <f>Master!F3</f>
        <v>Ghorasal 365 MW CCPP Unit-7</v>
      </c>
      <c r="AC3" s="3603"/>
      <c r="AD3" s="3603" t="str">
        <f>Master!BD3</f>
        <v>Ashuganj TPP Unit- 3</v>
      </c>
      <c r="AE3" s="3603" t="str">
        <f>Master!BE3</f>
        <v>Ashuganj TPP Unit- 4</v>
      </c>
      <c r="AF3" s="3603" t="str">
        <f>Master!BF3</f>
        <v>Ashuganj TPP Unit- 5</v>
      </c>
      <c r="AG3" s="3603" t="str">
        <f>Master!BL3</f>
        <v xml:space="preserve">Ashuganj 50 MW PP </v>
      </c>
      <c r="AH3" s="3603" t="str">
        <f>Master!BI3</f>
        <v xml:space="preserve">Ashuganj 225 MW  CCPP </v>
      </c>
      <c r="AI3" s="3603" t="str">
        <f>Master!BH3</f>
        <v>Ashuganj 450 MW CCPP(South)</v>
      </c>
      <c r="AJ3" s="3603" t="str">
        <f>Master!BG3</f>
        <v>Ashuganj 450 MW CCPP(North)</v>
      </c>
      <c r="AK3" s="3603" t="str">
        <f>Master!BM3</f>
        <v xml:space="preserve">Ashuganj 55 MW PP  (Precision) </v>
      </c>
      <c r="AL3" s="3603" t="str">
        <f>Master!BK3</f>
        <v>Chandpur 150 MW CCPP</v>
      </c>
      <c r="AM3" s="3603" t="str">
        <f>Master!AK3</f>
        <v>Tongi 80 MW GTPP</v>
      </c>
      <c r="AN3" s="3603" t="str">
        <f>Master!L3</f>
        <v>Haripur GTPP</v>
      </c>
      <c r="AO3" s="3603" t="str">
        <f>Master!I3</f>
        <v>Haripur  412 MW CCPP</v>
      </c>
      <c r="AP3" s="3603" t="str">
        <f>Master!M3</f>
        <v>Meghnaghat 450 MW CCPP(MPL)</v>
      </c>
      <c r="AQ3" s="3603" t="str">
        <f>Master!J3</f>
        <v>Haripur 360MW CCPP(HPL)</v>
      </c>
      <c r="AR3" s="3603" t="str">
        <f>Master!BX3</f>
        <v>RPCL 210MW CCPP</v>
      </c>
      <c r="AS3" s="3603" t="str">
        <f>Master!DP3</f>
        <v>Sutiakhali 50 MW Solar PP</v>
      </c>
      <c r="AT3" s="3603" t="str">
        <f>Master!CB3</f>
        <v>Fenchugonj CCPP Phase-1</v>
      </c>
      <c r="AU3" s="3603" t="str">
        <f>Master!CC3</f>
        <v>Fenchugonj CCPP Phase-2</v>
      </c>
      <c r="AV3" s="3603" t="str">
        <f>Master!CG3</f>
        <v>Shajibazar 330 MW CCPP</v>
      </c>
      <c r="AW3" s="3603" t="str">
        <f>Master!CH3</f>
        <v xml:space="preserve">Shahjibazar GTPP Unit- 8 &amp; 9 </v>
      </c>
      <c r="AX3" s="3603" t="str">
        <f>Master!CI3</f>
        <v>Shahjibazar 86MW PP (Shahjibazar)</v>
      </c>
      <c r="AY3" s="3603" t="str">
        <f>Master!DS3</f>
        <v>Shahjibazar 100 MW GTPP</v>
      </c>
      <c r="AZ3" s="3603" t="str">
        <f>Master!CJ3</f>
        <v xml:space="preserve">Shahjibazar  50MW PP (EPL)  </v>
      </c>
      <c r="BA3" s="3603" t="str">
        <f>Master!CK3</f>
        <v>Sylhet 225 MW CCPP</v>
      </c>
      <c r="BB3" s="3603" t="str">
        <f>Master!CL3</f>
        <v>Sylhet  20 MW GTPP</v>
      </c>
      <c r="BC3" s="3603" t="str">
        <f>Master!CM3</f>
        <v>Sylhet  50MW PP (EPL)</v>
      </c>
      <c r="BD3" s="3603" t="str">
        <f>Master!CN3</f>
        <v xml:space="preserve">Sylhet 10MW PP (Desh)  </v>
      </c>
      <c r="BE3" s="3603" t="str">
        <f>Master!CQ3</f>
        <v>Hobiganj  11MW PP Cofidence-E</v>
      </c>
      <c r="BF3" s="3603" t="str">
        <f>Master!CD3</f>
        <v xml:space="preserve">Fenchugonj 51 MW PP  (Barakatullah) </v>
      </c>
      <c r="BG3" s="3603" t="str">
        <f>Master!CP3</f>
        <v>Shahjahanulla 25 MW PP</v>
      </c>
      <c r="BH3" s="3603" t="str">
        <f>Master!CO3</f>
        <v>Bibiana-II 341 MW CCPP (Summit)</v>
      </c>
      <c r="BI3" s="3603" t="str">
        <f>Master!DN3</f>
        <v>Bibiyana South 400 MW</v>
      </c>
      <c r="BJ3" s="3603" t="str">
        <f>Master!AD3</f>
        <v>Nababganj 55 MW PP (Southern power )</v>
      </c>
      <c r="BK3" s="3603" t="str">
        <f>Master!AV3</f>
        <v>Tangail Palli Power Gen 22 MW</v>
      </c>
      <c r="BL3" s="3603" t="str">
        <f>Master!BB3</f>
        <v>Barabkunda  22 MW PP (Regent)</v>
      </c>
      <c r="BM3" s="3603" t="str">
        <f>Master!AE3</f>
        <v>Narshingdi 22 MW PP  (Doreen)</v>
      </c>
      <c r="BN3" s="3603" t="str">
        <f>Master!BZ3</f>
        <v>Tangail  22 MW PP (Doreen)</v>
      </c>
      <c r="BO3" s="3749" t="str">
        <f>Master!BW3</f>
        <v>Impoprt (Tripura)</v>
      </c>
      <c r="BP3" s="3603" t="str">
        <f>Master!BC3</f>
        <v>Malancha, Ctg. EPZ (United)</v>
      </c>
      <c r="BQ3" s="3603" t="str">
        <f>Master!BS3</f>
        <v>Feni  22MW PP (Doreen)</v>
      </c>
      <c r="BR3" s="3603" t="str">
        <f>Master!BT3</f>
        <v>Feni 11 MW PP  (Doreen)</v>
      </c>
      <c r="BS3" s="3603" t="str">
        <f>Master!BU3</f>
        <v xml:space="preserve">Jangalia 33MW PP (Summit) </v>
      </c>
      <c r="BT3" s="3603" t="str">
        <f>Master!BV3</f>
        <v>Cumilla 25 MW PP (Summit)</v>
      </c>
      <c r="BU3" s="3603" t="str">
        <f>Master!AF3</f>
        <v>Summit Ashulia</v>
      </c>
      <c r="BV3" s="3603" t="str">
        <f>Master!AG3</f>
        <v>Summit Madhabdi</v>
      </c>
      <c r="BW3" s="3603" t="str">
        <f>Master!AH3</f>
        <v>Maona 33 MW PP(Summit)</v>
      </c>
      <c r="BX3" s="3603" t="str">
        <f>Master!AI3</f>
        <v xml:space="preserve">Rupganj 33 MW PP(Summit) </v>
      </c>
      <c r="BY3" s="3603" t="str">
        <f>Master!G3</f>
        <v>Ghorashal 108MW PP (Regent)</v>
      </c>
      <c r="BZ3" s="3603" t="str">
        <f>Master!DK3</f>
        <v>Feni Lanka Power</v>
      </c>
      <c r="CA3" s="3603" t="str">
        <f>Master!DL3</f>
        <v>Chowmuhani 113 MW</v>
      </c>
      <c r="CB3" s="3603" t="str">
        <f>Master!DQ3</f>
        <v>Manikgonj 162MW PP(MPGL)</v>
      </c>
      <c r="CC3" s="3603" t="str">
        <f>Master!U3</f>
        <v>Siddhirganj 100 PP(Dutch Bangla)</v>
      </c>
      <c r="CD3" s="3603" t="str">
        <f>Master!AJ3</f>
        <v>Gazipur 52 MW PP</v>
      </c>
      <c r="CE3" s="3603" t="str">
        <f>Master!W3</f>
        <v>Kodda 150MW PP</v>
      </c>
      <c r="CF3" s="3603" t="str">
        <f>Master!BY3</f>
        <v>Jamalpur 95 MW PP(Powerpac)</v>
      </c>
      <c r="CG3" s="3603" t="str">
        <f>Master!BR3</f>
        <v>Jangalia 52 MW PP (Lakdanavi)</v>
      </c>
      <c r="CH3" s="3603" t="str">
        <f>Master!DE3</f>
        <v>Gazipur 100 MW PP</v>
      </c>
      <c r="CI3" s="3603" t="str">
        <f>Master!DG3</f>
        <v>Kaptai 7 MW  Solar PP</v>
      </c>
      <c r="CJ3" s="3603" t="str">
        <f>Master!DI3</f>
        <v>Jodiac Power</v>
      </c>
      <c r="CK3" s="3603" t="str">
        <f>Master!DJ3</f>
        <v>Karnaphuli Power Ltd.</v>
      </c>
      <c r="CL3" s="3603" t="str">
        <f>Master!P3</f>
        <v>Madanganj 102 PP(Summit)</v>
      </c>
      <c r="CM3" s="3603" t="str">
        <f>Master!Z3</f>
        <v>Pagla (DPA )</v>
      </c>
      <c r="CN3" s="3603" t="str">
        <f>Master!BP3</f>
        <v>B.Baria (Aggreko) 85MW</v>
      </c>
      <c r="CO3" s="3603" t="str">
        <f>Master!X3</f>
        <v>Keraniganj 100 MW PP (Powerpac)</v>
      </c>
      <c r="CP3" s="3603" t="s">
        <v>1334</v>
      </c>
      <c r="CQ3" s="3603" t="str">
        <f>Master!O3</f>
        <v>Meghnaghat 100 MW(IEL)</v>
      </c>
      <c r="CR3" s="3603" t="str">
        <f>Master!DO3</f>
        <v>Meghnaghat 104 MW PP (OPCL)</v>
      </c>
      <c r="CS3" s="3603" t="str">
        <f>Master!H3</f>
        <v>Ghorashal 78.5 MW PP(MAX)</v>
      </c>
      <c r="CT3" s="3603" t="str">
        <f>Master!BN3</f>
        <v>Ashuganj 53MW PP (United)</v>
      </c>
      <c r="CU3" s="3603" t="str">
        <f>Master!AY3</f>
        <v>Juldah 100 MW Unit-1 (Acorn)</v>
      </c>
      <c r="CV3" s="3603" t="str">
        <f>Master!CE3</f>
        <v>Fenchuganj  44MW (Energyprima)</v>
      </c>
      <c r="CW3" s="3603" t="str">
        <f>Master!BO3</f>
        <v>Ashuganj  51 MW PP (Midland)</v>
      </c>
      <c r="CX3" s="3603" t="str">
        <f>Master!V3</f>
        <v>Gagnagar 102 MW PP (Digital Power)</v>
      </c>
      <c r="CY3" s="3603" t="str">
        <f>Master!BA3</f>
        <v>Patenga 50MW PP (Baraka)</v>
      </c>
      <c r="CZ3" s="3603" t="str">
        <f>Master!AZ3</f>
        <v>Chattogram 108 MW PP (ECPV)</v>
      </c>
      <c r="DA3" s="3603" t="s">
        <v>1256</v>
      </c>
      <c r="DB3" s="3603" t="str">
        <f>Master!Y3</f>
        <v>Bosila 108MW PP(CLC)</v>
      </c>
      <c r="DC3" s="3603" t="str">
        <f>Master!Q3</f>
        <v>Madanganj-55 MW PP(Summit)</v>
      </c>
      <c r="DD3" s="3603" t="str">
        <f>Master!AC3</f>
        <v>Manikganj 55 MW PP (Northern)</v>
      </c>
      <c r="DE3" s="3603" t="str">
        <f>Master!CF3</f>
        <v>Kushiara 163 MW CCPP (KP)</v>
      </c>
      <c r="DF3" s="3603" t="str">
        <f>Master!CA3</f>
        <v>Sarishabari 3 MW Solar Plant</v>
      </c>
      <c r="DG3" s="3603" t="str">
        <f>Master!AB3</f>
        <v>Kamalaghat 54 MW PP(Banco Energy)</v>
      </c>
      <c r="DH3" s="3603" t="str">
        <f>Master!CT3</f>
        <v xml:space="preserve"> Keranigonj 300 MW PP (APR)</v>
      </c>
      <c r="DI3" s="3603" t="str">
        <f>Master!CU3</f>
        <v xml:space="preserve"> Bramhangoan 100 MW PP (Aggreko)</v>
      </c>
      <c r="DJ3" s="3603" t="str">
        <f>Master!CV3</f>
        <v xml:space="preserve"> Mymensingh 200 MW PP (United)</v>
      </c>
      <c r="DK3" s="3603" t="str">
        <f>Master!CW3</f>
        <v>Aurahati 100MW PP (Aggreko)</v>
      </c>
      <c r="DL3" s="3603" t="str">
        <f>Master!CX3</f>
        <v xml:space="preserve">Kodda 149 MW PP Unit-1 (Summit) </v>
      </c>
      <c r="DM3" s="3603" t="str">
        <f>Master!CZ3</f>
        <v>Juldah 100 MW PP Unit-3 (Acorn)</v>
      </c>
      <c r="DN3" s="3603" t="str">
        <f>Master!DA3</f>
        <v>Chandpur 200MW (Desh energy)</v>
      </c>
      <c r="DO3" s="3603" t="str">
        <f>Master!DB3</f>
        <v>Ashuganj 150MW PP (Midland)</v>
      </c>
      <c r="DP3" s="3603" t="str">
        <f>Master!DC3</f>
        <v>Bibiyana-III     400 MW CCPP</v>
      </c>
      <c r="DQ3" s="3603" t="str">
        <f>Master!DD3</f>
        <v>Jamalpur 115 MW PP (United)</v>
      </c>
      <c r="DR3" s="3603" t="str">
        <f>Master!DH3</f>
        <v>Anwara 300 MW PP (United)</v>
      </c>
      <c r="DS3" s="3603" t="str">
        <f>Master!DM3</f>
        <v>Juldah unit-2 (Acorn)</v>
      </c>
      <c r="DT3" s="3603" t="str">
        <f>Master!DR3</f>
        <v>Anlima Energy Ltd.</v>
      </c>
      <c r="DU3" s="3603" t="str">
        <f>Master!DT3</f>
        <v>Bhairob 54.5 MW</v>
      </c>
      <c r="DV3" s="3603" t="str">
        <f>Master!DU3</f>
        <v>Spectra Solar Plant Ltd.</v>
      </c>
      <c r="DW3" s="3603" t="str">
        <f>Master!DV3</f>
        <v xml:space="preserve">Chandpur 115(Doreen) </v>
      </c>
      <c r="DX3" s="3603" t="str">
        <f>Master!DW3</f>
        <v>Kanchan Purbachal Power Generation  Ltd.</v>
      </c>
      <c r="DY3" s="3606" t="s">
        <v>789</v>
      </c>
      <c r="DZ3" s="3603"/>
      <c r="EA3" s="3603" t="str">
        <f>Master!EE3</f>
        <v>Khulna 60MW</v>
      </c>
      <c r="EB3" s="3603" t="str">
        <f>Master!EB3</f>
        <v>Khulna  115 MW PP  (KPCL-1 &amp; 3)</v>
      </c>
      <c r="EC3" s="3603" t="str">
        <f>Master!EC3</f>
        <v>Khulna 115 PP MW (KPCL-2)</v>
      </c>
      <c r="ED3" s="3603"/>
      <c r="EE3" s="3603" t="str">
        <f>Master!EF3</f>
        <v>Khulna (Aggreeco) 55MW</v>
      </c>
      <c r="EF3" s="3603" t="str">
        <f>Master!EG3</f>
        <v>Faridpur 50 MW Peaking PP</v>
      </c>
      <c r="EG3" s="3603" t="str">
        <f>Master!ED3</f>
        <v>Khulna  225 MW CCPP</v>
      </c>
      <c r="EH3" s="3603" t="str">
        <f>Master!FO3</f>
        <v>Rupsha 105 MW PP (Orion rupsha)</v>
      </c>
      <c r="EI3" s="3603" t="str">
        <f>Master!GB3</f>
        <v>Mongla Orion 100 MW Solar PP</v>
      </c>
      <c r="EJ3" s="3603"/>
      <c r="EK3" s="3603" t="str">
        <f>Master!FZ3</f>
        <v>United Payra Power Ltd.</v>
      </c>
      <c r="EL3" s="3603" t="str">
        <f>Master!FX3</f>
        <v>Bhola Nutan Biddut BD LTD (GAS)</v>
      </c>
      <c r="EM3" s="3603" t="str">
        <f>Master!FY3</f>
        <v>Bhola Nutan Biddut BD LTD (OIL)</v>
      </c>
      <c r="EN3" s="3603" t="str">
        <f>Master!EL3</f>
        <v>Barisal 110 MW PP (Summit )</v>
      </c>
      <c r="EO3" s="3603" t="str">
        <f>Master!EM3</f>
        <v>Barisal GT PP Unit-1&amp; 2</v>
      </c>
      <c r="EP3" s="3603" t="str">
        <f>Master!FJ3</f>
        <v>Bhola 95 MW PP (Aggreko)</v>
      </c>
      <c r="EQ3" s="3603" t="str">
        <f>Master!EJ3</f>
        <v>Bhola 225 MW  CCPP</v>
      </c>
      <c r="ER3" s="3603" t="str">
        <f>Master!EK3</f>
        <v>Bhola  33 MW PP (Venture)</v>
      </c>
      <c r="ES3" s="3603" t="str">
        <f>Master!FK3</f>
        <v xml:space="preserve"> Noapara 100 MW PP (Bangla Trac)</v>
      </c>
      <c r="ET3" s="3603" t="str">
        <f>Master!EI3</f>
        <v>Noapara 40 MW PP (Khanjahan Ali)</v>
      </c>
      <c r="EU3" s="3603" t="str">
        <f>Master!EH3</f>
        <v>Gopalganj 100 MW Peaking PP</v>
      </c>
      <c r="EV3" s="3603" t="str">
        <f>Master!DZ3</f>
        <v>Bheramara GTPP Unit-3</v>
      </c>
      <c r="EW3" s="3603" t="str">
        <f>Master!FR3</f>
        <v>Madhumati 100 MW PP</v>
      </c>
      <c r="EX3" s="3601" t="s">
        <v>886</v>
      </c>
      <c r="EY3" s="3603" t="str">
        <f>Master!EA3</f>
        <v>Bheramara 410 MW CCPP</v>
      </c>
      <c r="EZ3" s="3603" t="str">
        <f>Master!FW3</f>
        <v>Payra 1320 MW</v>
      </c>
      <c r="FA3" s="3603"/>
      <c r="FB3" s="3603" t="str">
        <f>Master!FA3</f>
        <v xml:space="preserve">Barapukuria TPP Unit-1 </v>
      </c>
      <c r="FC3" s="3603" t="str">
        <f>Master!FB3</f>
        <v>Barapukuria TPP  Unit-2</v>
      </c>
      <c r="FD3" s="3603" t="str">
        <f>Master!FC3</f>
        <v>Barapukuria 275 MW TPP Unit-3</v>
      </c>
      <c r="FE3" s="3603" t="str">
        <f>Master!EO3</f>
        <v>Baghabari 71 MW GTPP</v>
      </c>
      <c r="FF3" s="3603" t="str">
        <f>Master!EN3</f>
        <v>Baghabari  100 MW GTPP</v>
      </c>
      <c r="FG3" s="3603" t="str">
        <f>Master!EP3</f>
        <v>Baghabari  50 MW Peaking PP</v>
      </c>
      <c r="FH3" s="3603" t="str">
        <f>Master!GA3</f>
        <v xml:space="preserve"> Sirajgonj 6.55 MW Solar</v>
      </c>
      <c r="FI3" s="3603" t="str">
        <f>Master!FF3</f>
        <v>Sirajgonj 225MW CCPP Unit-1  (Gas)</v>
      </c>
      <c r="FJ3" s="3603" t="str">
        <f>Master!FG3</f>
        <v>Sirajgonj  225MW CCPP Unit-1(Oil)</v>
      </c>
      <c r="FK3" s="3603" t="str">
        <f>Master!FH3</f>
        <v>Sirajgonj 225 MW CCPP   Unit-2  (Gas)</v>
      </c>
      <c r="FL3" s="3603" t="str">
        <f>Master!FI3</f>
        <v>Sirajgonj 225 MW CCPP   Unit-2  (Oil)</v>
      </c>
      <c r="FM3" s="3603" t="str">
        <f>Master!FL3</f>
        <v>Sirajgonj 225MW CCPP Unit-3  (Gas)</v>
      </c>
      <c r="FN3" s="3603" t="str">
        <f>Master!FM3</f>
        <v>Sirajgonj 225MW CCPP Unit-3  (Oil)</v>
      </c>
      <c r="FO3" s="3603" t="str">
        <f>Master!FN3</f>
        <v>Sirajgonj 400 MW CCPP Unit-4</v>
      </c>
      <c r="FP3" s="3603" t="str">
        <f>Master!FT3</f>
        <v>Sirajgonj 400MW CCPP Unit-4 (Oil)</v>
      </c>
      <c r="FQ3" s="3603" t="str">
        <f>Master!EQ3</f>
        <v>Bera 70 MW Peaking PP</v>
      </c>
      <c r="FR3" s="3603" t="str">
        <f>Master!EX3</f>
        <v>Bogra 22 MW PP (GBB)</v>
      </c>
      <c r="FS3" s="3603" t="str">
        <f>Master!EY3</f>
        <v>Bogura 20 MW PP (Energyprima)</v>
      </c>
      <c r="FT3" s="3603" t="str">
        <f>Master!EZ3</f>
        <v>Ullapara 11 MW PP  (Summit)</v>
      </c>
      <c r="FU3" s="3603" t="str">
        <f>Master!ES3</f>
        <v>Amnura 50 MW PP(Sinha)</v>
      </c>
      <c r="FV3" s="3603" t="str">
        <f>Master!ET3</f>
        <v>Katakhali 50 MW PP (Northern)</v>
      </c>
      <c r="FW3" s="3603" t="str">
        <f>Master!EU3</f>
        <v>Katakhali 50 MW Peaking PP</v>
      </c>
      <c r="FX3" s="3603" t="str">
        <f>Master!EW3</f>
        <v>Santahar  50 MW Peaking PP</v>
      </c>
      <c r="FY3" s="3603" t="str">
        <f>Master!EV3</f>
        <v xml:space="preserve">Natore 52 MW PP (Rajlanka) </v>
      </c>
      <c r="FZ3" s="3603" t="str">
        <f>Master!ER3</f>
        <v>Chapainawabganj 100 MW Peaking PP</v>
      </c>
      <c r="GA3" s="3603" t="str">
        <f>Master!FP3</f>
        <v>Baghabari 200 MW PP (Paramount)</v>
      </c>
      <c r="GB3" s="3603" t="str">
        <f>Master!FQ3</f>
        <v>Bagura 113 MW PP (Confidence)-2</v>
      </c>
      <c r="GC3" s="3603" t="str">
        <f>Master!FV3</f>
        <v>Confidence Power Bogura Unit-1 113 MW</v>
      </c>
      <c r="GD3" s="3603" t="str">
        <f>Master!FD3</f>
        <v>Rangpur 20 MW  GTPP</v>
      </c>
      <c r="GE3" s="3603" t="str">
        <f>Master!FE3</f>
        <v>Saidpur 20 MW GTPP</v>
      </c>
      <c r="GF3" s="3603" t="str">
        <f>Master!FS3</f>
        <v xml:space="preserve">Rangpur 113 MW PP (Confidence)  </v>
      </c>
      <c r="GG3" s="3603" t="str">
        <f>Master!FU3</f>
        <v>Sympa Solar Power 8MW</v>
      </c>
      <c r="GH3" s="3603" t="str">
        <f>Master!GC3</f>
        <v>Energypac Power Venture Thakurgaon Ltd.</v>
      </c>
      <c r="GI3" s="3603"/>
      <c r="GJ3" s="3617" t="s">
        <v>788</v>
      </c>
      <c r="GK3" s="3618" t="s">
        <v>7</v>
      </c>
      <c r="GL3" s="3607" t="s">
        <v>823</v>
      </c>
      <c r="GM3" s="4195" t="s">
        <v>708</v>
      </c>
    </row>
    <row r="4" spans="1:384" s="441" customFormat="1" ht="27" customHeight="1">
      <c r="A4" s="3609">
        <v>4.1666666666666664E-2</v>
      </c>
      <c r="B4" s="5165">
        <v>40</v>
      </c>
      <c r="C4" s="5143">
        <v>40</v>
      </c>
      <c r="D4" s="5143"/>
      <c r="E4" s="5143"/>
      <c r="F4" s="5166"/>
      <c r="G4" s="5167"/>
      <c r="H4" s="5168"/>
      <c r="I4" s="5166"/>
      <c r="J4" s="5143"/>
      <c r="K4" s="5143"/>
      <c r="L4" s="5143"/>
      <c r="M4" s="5143"/>
      <c r="N4" s="5143"/>
      <c r="O4" s="5143"/>
      <c r="P4" s="5143"/>
      <c r="Q4" s="5143"/>
      <c r="R4" s="5143"/>
      <c r="S4" s="5143"/>
      <c r="T4" s="5143"/>
      <c r="U4" s="5143">
        <v>60</v>
      </c>
      <c r="V4" s="5143">
        <v>8</v>
      </c>
      <c r="W4" s="5143"/>
      <c r="X4" s="5143"/>
      <c r="Y4" s="5143">
        <v>240</v>
      </c>
      <c r="Z4" s="5143"/>
      <c r="AA4" s="5143"/>
      <c r="AB4" s="5143"/>
      <c r="AC4" s="5143"/>
      <c r="AD4" s="5144"/>
      <c r="AE4" s="5143"/>
      <c r="AF4" s="5143">
        <v>80</v>
      </c>
      <c r="AG4" s="5143">
        <v>3</v>
      </c>
      <c r="AH4" s="5143">
        <v>143</v>
      </c>
      <c r="AI4" s="5143">
        <v>310</v>
      </c>
      <c r="AJ4" s="5143">
        <v>150</v>
      </c>
      <c r="AK4" s="5143">
        <v>5</v>
      </c>
      <c r="AL4" s="5143">
        <v>135</v>
      </c>
      <c r="AM4" s="5143"/>
      <c r="AN4" s="5143"/>
      <c r="AO4" s="5143"/>
      <c r="AP4" s="5143">
        <v>180</v>
      </c>
      <c r="AQ4" s="5143">
        <v>244</v>
      </c>
      <c r="AR4" s="5143">
        <v>52</v>
      </c>
      <c r="AS4" s="5143"/>
      <c r="AT4" s="5143">
        <v>42</v>
      </c>
      <c r="AU4" s="5143"/>
      <c r="AV4" s="5143"/>
      <c r="AW4" s="5143">
        <v>71</v>
      </c>
      <c r="AX4" s="5143">
        <v>79</v>
      </c>
      <c r="AY4" s="5143"/>
      <c r="AZ4" s="5143"/>
      <c r="BA4" s="5143">
        <v>190</v>
      </c>
      <c r="BB4" s="5143">
        <v>18</v>
      </c>
      <c r="BC4" s="5143"/>
      <c r="BD4" s="5143">
        <v>10</v>
      </c>
      <c r="BE4" s="5143">
        <v>8</v>
      </c>
      <c r="BF4" s="5143">
        <v>50</v>
      </c>
      <c r="BG4" s="5143">
        <v>22</v>
      </c>
      <c r="BH4" s="5143">
        <v>295</v>
      </c>
      <c r="BI4" s="5143">
        <v>400</v>
      </c>
      <c r="BJ4" s="5143">
        <v>35</v>
      </c>
      <c r="BK4" s="5143">
        <v>22</v>
      </c>
      <c r="BL4" s="5143">
        <v>21</v>
      </c>
      <c r="BM4" s="5143">
        <v>16</v>
      </c>
      <c r="BN4" s="5143">
        <v>22</v>
      </c>
      <c r="BO4" s="5146">
        <v>65</v>
      </c>
      <c r="BP4" s="5143">
        <v>32</v>
      </c>
      <c r="BQ4" s="5143">
        <v>21</v>
      </c>
      <c r="BR4" s="5143">
        <v>11</v>
      </c>
      <c r="BS4" s="5143">
        <v>33</v>
      </c>
      <c r="BT4" s="5143">
        <v>9</v>
      </c>
      <c r="BU4" s="5143">
        <v>25</v>
      </c>
      <c r="BV4" s="5143">
        <v>9</v>
      </c>
      <c r="BW4" s="5143">
        <v>14</v>
      </c>
      <c r="BX4" s="5143">
        <v>33</v>
      </c>
      <c r="BY4" s="5143"/>
      <c r="BZ4" s="5143"/>
      <c r="CA4" s="5143">
        <v>75</v>
      </c>
      <c r="CB4" s="5143"/>
      <c r="CC4" s="5144"/>
      <c r="CD4" s="5143"/>
      <c r="CE4" s="5144"/>
      <c r="CF4" s="5144"/>
      <c r="CG4" s="5144">
        <v>8</v>
      </c>
      <c r="CH4" s="5144">
        <v>17</v>
      </c>
      <c r="CI4" s="5145"/>
      <c r="CJ4" s="5144">
        <v>54</v>
      </c>
      <c r="CK4" s="5144">
        <v>68</v>
      </c>
      <c r="CL4" s="5144"/>
      <c r="CM4" s="5144"/>
      <c r="CN4" s="5144"/>
      <c r="CO4" s="5144"/>
      <c r="CP4" s="5144"/>
      <c r="CQ4" s="5144"/>
      <c r="CR4" s="5144"/>
      <c r="CS4" s="5144"/>
      <c r="CT4" s="5144"/>
      <c r="CU4" s="5144"/>
      <c r="CV4" s="5144"/>
      <c r="CW4" s="5144">
        <v>51</v>
      </c>
      <c r="CX4" s="5144"/>
      <c r="CY4" s="5144"/>
      <c r="CZ4" s="5144">
        <v>8</v>
      </c>
      <c r="DA4" s="5144"/>
      <c r="DB4" s="5144"/>
      <c r="DC4" s="5144"/>
      <c r="DD4" s="5144">
        <v>35</v>
      </c>
      <c r="DE4" s="5144">
        <v>130</v>
      </c>
      <c r="DF4" s="5148"/>
      <c r="DG4" s="5148">
        <v>35</v>
      </c>
      <c r="DH4" s="5144"/>
      <c r="DI4" s="5148"/>
      <c r="DJ4" s="5148">
        <v>130</v>
      </c>
      <c r="DK4" s="5148"/>
      <c r="DL4" s="5148"/>
      <c r="DM4" s="5148">
        <v>90</v>
      </c>
      <c r="DN4" s="5148"/>
      <c r="DO4" s="5148">
        <v>150</v>
      </c>
      <c r="DP4" s="5144"/>
      <c r="DQ4" s="5144"/>
      <c r="DR4" s="5144"/>
      <c r="DS4" s="5144">
        <v>50</v>
      </c>
      <c r="DT4" s="5144">
        <v>116</v>
      </c>
      <c r="DU4" s="5144">
        <v>17</v>
      </c>
      <c r="DV4" s="5144"/>
      <c r="DW4" s="5144"/>
      <c r="DX4" s="5144"/>
      <c r="DY4" s="5103">
        <f t="shared" ref="DY4:DY14" si="0">SUM(B4:DX4)</f>
        <v>4277</v>
      </c>
      <c r="DZ4" s="5149"/>
      <c r="EA4" s="5140"/>
      <c r="EB4" s="5140"/>
      <c r="EC4" s="5140"/>
      <c r="ED4" s="5140"/>
      <c r="EE4" s="5140"/>
      <c r="EF4" s="5140">
        <v>2</v>
      </c>
      <c r="EG4" s="5140"/>
      <c r="EH4" s="5140"/>
      <c r="EI4" s="5140"/>
      <c r="EJ4" s="5140"/>
      <c r="EK4" s="5140"/>
      <c r="EL4" s="5140">
        <v>201</v>
      </c>
      <c r="EM4" s="5140"/>
      <c r="EN4" s="5140"/>
      <c r="EO4" s="5140"/>
      <c r="EP4" s="5140">
        <v>11</v>
      </c>
      <c r="EQ4" s="5140">
        <v>91</v>
      </c>
      <c r="ER4" s="5140">
        <v>19</v>
      </c>
      <c r="ES4" s="5140"/>
      <c r="ET4" s="5140"/>
      <c r="EU4" s="5140"/>
      <c r="EV4" s="5140"/>
      <c r="EW4" s="5140"/>
      <c r="EX4" s="5108">
        <v>469</v>
      </c>
      <c r="EY4" s="5140"/>
      <c r="EZ4" s="5140">
        <v>300</v>
      </c>
      <c r="FA4" s="5140"/>
      <c r="FB4" s="5140"/>
      <c r="FC4" s="5140"/>
      <c r="FD4" s="5140">
        <v>199</v>
      </c>
      <c r="FE4" s="5169"/>
      <c r="FF4" s="5169"/>
      <c r="FG4" s="5169"/>
      <c r="FH4" s="5140"/>
      <c r="FI4" s="5140"/>
      <c r="FJ4" s="5140"/>
      <c r="FK4" s="5140"/>
      <c r="FL4" s="5140"/>
      <c r="FM4" s="5140">
        <v>165</v>
      </c>
      <c r="FN4" s="5140"/>
      <c r="FO4" s="5140">
        <v>385</v>
      </c>
      <c r="FP4" s="5140"/>
      <c r="FQ4" s="5140"/>
      <c r="FR4" s="5140">
        <v>22</v>
      </c>
      <c r="FS4" s="5140"/>
      <c r="FT4" s="5140">
        <v>8</v>
      </c>
      <c r="FU4" s="5140"/>
      <c r="FV4" s="5140"/>
      <c r="FW4" s="5140"/>
      <c r="FX4" s="5140"/>
      <c r="FY4" s="5140">
        <v>8</v>
      </c>
      <c r="FZ4" s="5140"/>
      <c r="GA4" s="5137"/>
      <c r="GB4" s="5137"/>
      <c r="GC4" s="5137"/>
      <c r="GD4" s="5137"/>
      <c r="GE4" s="5137"/>
      <c r="GF4" s="5137">
        <v>56</v>
      </c>
      <c r="GG4" s="5141"/>
      <c r="GH4" s="5137"/>
      <c r="GI4" s="5137"/>
      <c r="GJ4" s="5110">
        <f t="shared" ref="GJ4:GJ14" si="1">SUM(DZ4:GI4)</f>
        <v>1936</v>
      </c>
      <c r="GK4" s="5111">
        <f t="shared" ref="GK4:GK14" si="2">SUM(B4:DX4)+SUM(DZ4:GI4)</f>
        <v>6213</v>
      </c>
      <c r="GL4" s="5164">
        <v>97.3</v>
      </c>
      <c r="GM4" s="4720">
        <v>4.1666666666666699E-2</v>
      </c>
      <c r="GN4" s="4721"/>
      <c r="GO4" s="4722"/>
      <c r="GP4" s="4721"/>
      <c r="GQ4" s="4721"/>
      <c r="GR4" s="4721"/>
      <c r="GS4" s="4721"/>
      <c r="GT4" s="4721"/>
      <c r="GU4" s="4721"/>
      <c r="GV4" s="4721"/>
      <c r="GW4" s="4721"/>
      <c r="GX4" s="4721"/>
      <c r="GY4" s="4721"/>
      <c r="GZ4" s="4722"/>
      <c r="HA4" s="4722"/>
      <c r="HB4" s="4721"/>
      <c r="HC4" s="4721"/>
      <c r="HD4" s="4721"/>
      <c r="HE4" s="4721"/>
      <c r="HF4" s="4721"/>
      <c r="HG4" s="4721"/>
      <c r="HH4" s="4721"/>
      <c r="HI4" s="4721"/>
      <c r="HJ4" s="4721"/>
      <c r="HK4" s="4721"/>
      <c r="HL4" s="4721"/>
      <c r="HM4" s="4721"/>
      <c r="HN4" s="4721"/>
      <c r="HO4" s="4721"/>
      <c r="HP4" s="4721"/>
      <c r="HQ4" s="4721"/>
      <c r="HR4" s="4721"/>
      <c r="HS4" s="4721"/>
      <c r="HT4" s="4721"/>
      <c r="HU4" s="4721"/>
      <c r="HV4" s="4721"/>
      <c r="HW4" s="4721"/>
      <c r="HX4" s="4721"/>
      <c r="HY4" s="4721"/>
      <c r="HZ4" s="4721"/>
      <c r="IA4" s="4721"/>
      <c r="IB4" s="4721"/>
      <c r="IC4" s="4721"/>
      <c r="ID4" s="4721"/>
      <c r="IE4" s="4721"/>
      <c r="IF4" s="4721"/>
      <c r="IG4" s="4721"/>
      <c r="IH4" s="4721"/>
      <c r="II4" s="4721"/>
      <c r="IJ4" s="4721"/>
      <c r="IK4" s="4721"/>
      <c r="IL4" s="4721"/>
      <c r="IM4" s="4721"/>
      <c r="IN4" s="4721"/>
      <c r="IO4" s="4721"/>
      <c r="IP4" s="4721"/>
      <c r="IQ4" s="4721"/>
      <c r="IR4" s="4722"/>
      <c r="IS4" s="4722"/>
      <c r="IT4" s="4721"/>
      <c r="IU4" s="4721"/>
      <c r="IV4" s="4721"/>
      <c r="IW4" s="4721"/>
      <c r="IX4" s="4721"/>
      <c r="IY4" s="4721"/>
      <c r="IZ4" s="4723"/>
      <c r="JA4" s="4723"/>
      <c r="JB4" s="4721"/>
      <c r="JC4" s="4721"/>
      <c r="JD4" s="4721"/>
      <c r="JE4" s="4721"/>
      <c r="JF4" s="4721"/>
      <c r="JG4" s="4721"/>
      <c r="JH4" s="4721"/>
      <c r="JI4" s="4721"/>
      <c r="JJ4" s="4721"/>
      <c r="JK4" s="4721"/>
      <c r="JL4" s="4721"/>
      <c r="JM4" s="4721"/>
      <c r="JN4" s="4721"/>
      <c r="JO4" s="4721"/>
      <c r="JP4" s="4721"/>
      <c r="JQ4" s="4721"/>
      <c r="JR4" s="4721"/>
      <c r="JS4" s="4721"/>
      <c r="JT4" s="4721"/>
      <c r="JU4" s="4721"/>
      <c r="JV4" s="4721"/>
      <c r="JW4" s="4721"/>
      <c r="JX4" s="4721"/>
      <c r="JY4" s="4721"/>
      <c r="JZ4" s="4721"/>
      <c r="KA4" s="4721"/>
      <c r="KB4" s="4721"/>
      <c r="KC4" s="4721"/>
      <c r="KD4" s="4721"/>
      <c r="KE4" s="4721"/>
      <c r="KF4" s="4721"/>
      <c r="KG4" s="4721"/>
      <c r="KH4" s="4721"/>
      <c r="KI4" s="4721"/>
      <c r="KJ4" s="4721"/>
      <c r="KK4" s="4721"/>
      <c r="KL4" s="4721"/>
      <c r="KM4" s="4721"/>
      <c r="KN4" s="4721"/>
      <c r="KO4" s="4721"/>
      <c r="KP4" s="4721"/>
      <c r="KQ4" s="4722"/>
      <c r="KR4" s="4722"/>
      <c r="KS4" s="4721"/>
      <c r="KT4" s="4721"/>
      <c r="KU4" s="4721"/>
      <c r="KV4" s="4721"/>
      <c r="KW4" s="4721"/>
      <c r="KX4" s="4721"/>
      <c r="KY4" s="4721"/>
      <c r="KZ4" s="4721"/>
      <c r="LA4" s="4721"/>
      <c r="LB4" s="4721"/>
      <c r="LC4" s="4721"/>
      <c r="LD4" s="4721"/>
      <c r="LE4" s="4721"/>
      <c r="LF4" s="4721"/>
      <c r="LG4" s="4722"/>
      <c r="LH4" s="4721"/>
      <c r="LI4" s="4721"/>
      <c r="LJ4" s="4721"/>
      <c r="LK4" s="4721"/>
      <c r="LL4" s="4721"/>
      <c r="LM4" s="4721"/>
      <c r="LN4" s="4721"/>
      <c r="LO4" s="4721"/>
      <c r="LP4" s="4721"/>
      <c r="LQ4" s="4721"/>
      <c r="LR4" s="4721"/>
      <c r="LS4" s="4721"/>
      <c r="LT4" s="4721"/>
      <c r="LU4" s="4721"/>
      <c r="LV4" s="4721"/>
      <c r="LW4" s="4721"/>
      <c r="LX4" s="4721"/>
      <c r="LY4" s="4721"/>
      <c r="LZ4" s="4721"/>
      <c r="MA4" s="4721"/>
      <c r="MB4" s="4721"/>
      <c r="MC4" s="4721"/>
      <c r="MD4" s="4721"/>
      <c r="ME4" s="4721"/>
      <c r="MF4" s="4721"/>
      <c r="MG4" s="4721"/>
      <c r="MH4" s="4721"/>
      <c r="MI4" s="4721"/>
      <c r="MJ4" s="4721"/>
      <c r="MK4" s="4721"/>
      <c r="ML4" s="4721"/>
      <c r="MM4" s="4721"/>
      <c r="MN4" s="4721"/>
      <c r="MO4" s="4721"/>
      <c r="MP4" s="4721"/>
      <c r="MQ4" s="4721"/>
      <c r="MR4" s="4721"/>
      <c r="MS4" s="4721"/>
      <c r="MT4" s="4721"/>
      <c r="MU4" s="4721"/>
      <c r="MV4" s="4721"/>
      <c r="MW4" s="4721"/>
      <c r="MX4" s="4721"/>
      <c r="MY4" s="4721"/>
      <c r="MZ4" s="4721"/>
      <c r="NA4" s="4721"/>
      <c r="NB4" s="4721"/>
      <c r="NC4" s="4722"/>
      <c r="ND4" s="4722"/>
      <c r="NE4" s="4721"/>
      <c r="NF4" s="4721"/>
      <c r="NG4" s="4721"/>
      <c r="NH4" s="4721"/>
      <c r="NI4" s="4721"/>
      <c r="NJ4" s="4721"/>
      <c r="NK4" s="4721"/>
      <c r="NL4" s="4721"/>
      <c r="NM4" s="4721"/>
      <c r="NN4" s="4721"/>
      <c r="NO4" s="4721"/>
      <c r="NP4" s="4721"/>
      <c r="NQ4" s="4721"/>
      <c r="NR4" s="4723"/>
      <c r="NS4" s="4722"/>
      <c r="NT4" s="4721"/>
    </row>
    <row r="5" spans="1:384" s="441" customFormat="1" ht="27" customHeight="1">
      <c r="A5" s="3609">
        <v>8.3333333333333329E-2</v>
      </c>
      <c r="B5" s="5170">
        <v>37</v>
      </c>
      <c r="C5" s="5143">
        <v>40</v>
      </c>
      <c r="D5" s="5143"/>
      <c r="E5" s="5143"/>
      <c r="F5" s="5144"/>
      <c r="G5" s="5145"/>
      <c r="H5" s="5148"/>
      <c r="I5" s="5144"/>
      <c r="J5" s="5143"/>
      <c r="K5" s="5143"/>
      <c r="L5" s="5143"/>
      <c r="M5" s="5143"/>
      <c r="N5" s="5143"/>
      <c r="O5" s="5143"/>
      <c r="P5" s="5143"/>
      <c r="Q5" s="5143"/>
      <c r="R5" s="5143"/>
      <c r="S5" s="5143"/>
      <c r="T5" s="5143"/>
      <c r="U5" s="5143">
        <v>60</v>
      </c>
      <c r="V5" s="5143">
        <v>8</v>
      </c>
      <c r="W5" s="5143"/>
      <c r="X5" s="5143"/>
      <c r="Y5" s="5143">
        <v>240</v>
      </c>
      <c r="Z5" s="5143"/>
      <c r="AA5" s="5143"/>
      <c r="AB5" s="5143"/>
      <c r="AC5" s="5143"/>
      <c r="AD5" s="5144"/>
      <c r="AE5" s="5143"/>
      <c r="AF5" s="5143">
        <v>80</v>
      </c>
      <c r="AG5" s="5143">
        <v>3</v>
      </c>
      <c r="AH5" s="5143">
        <v>148</v>
      </c>
      <c r="AI5" s="5143">
        <v>310</v>
      </c>
      <c r="AJ5" s="5143">
        <v>150</v>
      </c>
      <c r="AK5" s="5143">
        <v>5</v>
      </c>
      <c r="AL5" s="5143">
        <v>136</v>
      </c>
      <c r="AM5" s="5143"/>
      <c r="AN5" s="5143"/>
      <c r="AO5" s="5143"/>
      <c r="AP5" s="5143">
        <v>180</v>
      </c>
      <c r="AQ5" s="5143">
        <v>254</v>
      </c>
      <c r="AR5" s="5143">
        <v>52</v>
      </c>
      <c r="AS5" s="5143"/>
      <c r="AT5" s="5143">
        <v>42</v>
      </c>
      <c r="AU5" s="5143"/>
      <c r="AV5" s="5143"/>
      <c r="AW5" s="5143">
        <v>71</v>
      </c>
      <c r="AX5" s="5143">
        <v>79</v>
      </c>
      <c r="AY5" s="5143"/>
      <c r="AZ5" s="5143"/>
      <c r="BA5" s="5143">
        <v>190</v>
      </c>
      <c r="BB5" s="5143">
        <v>18</v>
      </c>
      <c r="BC5" s="5143"/>
      <c r="BD5" s="5143">
        <v>10</v>
      </c>
      <c r="BE5" s="5143">
        <v>8</v>
      </c>
      <c r="BF5" s="5143">
        <v>50</v>
      </c>
      <c r="BG5" s="5143">
        <v>22</v>
      </c>
      <c r="BH5" s="5143">
        <v>280</v>
      </c>
      <c r="BI5" s="5143">
        <v>400</v>
      </c>
      <c r="BJ5" s="5143">
        <v>35</v>
      </c>
      <c r="BK5" s="5143">
        <v>22</v>
      </c>
      <c r="BL5" s="5143">
        <v>21</v>
      </c>
      <c r="BM5" s="5143">
        <v>16</v>
      </c>
      <c r="BN5" s="5143">
        <v>22</v>
      </c>
      <c r="BO5" s="5146">
        <v>64</v>
      </c>
      <c r="BP5" s="5143">
        <v>32</v>
      </c>
      <c r="BQ5" s="5143">
        <v>21</v>
      </c>
      <c r="BR5" s="5143">
        <v>11</v>
      </c>
      <c r="BS5" s="5143">
        <v>33</v>
      </c>
      <c r="BT5" s="5143">
        <v>9</v>
      </c>
      <c r="BU5" s="5143">
        <v>25</v>
      </c>
      <c r="BV5" s="5143">
        <v>9</v>
      </c>
      <c r="BW5" s="5143">
        <v>14</v>
      </c>
      <c r="BX5" s="5143">
        <v>33</v>
      </c>
      <c r="BY5" s="5143"/>
      <c r="BZ5" s="5143"/>
      <c r="CA5" s="5143">
        <v>36</v>
      </c>
      <c r="CB5" s="5143"/>
      <c r="CC5" s="5144"/>
      <c r="CD5" s="5143"/>
      <c r="CE5" s="5144"/>
      <c r="CF5" s="5144"/>
      <c r="CG5" s="5144">
        <v>8</v>
      </c>
      <c r="CH5" s="5144">
        <v>17</v>
      </c>
      <c r="CI5" s="5145"/>
      <c r="CJ5" s="5144">
        <v>54</v>
      </c>
      <c r="CK5" s="5144">
        <v>17</v>
      </c>
      <c r="CL5" s="5144"/>
      <c r="CM5" s="5144"/>
      <c r="CN5" s="5144"/>
      <c r="CO5" s="5144"/>
      <c r="CP5" s="5144"/>
      <c r="CQ5" s="5144"/>
      <c r="CR5" s="5144"/>
      <c r="CS5" s="5144"/>
      <c r="CT5" s="5144"/>
      <c r="CU5" s="5144"/>
      <c r="CV5" s="5144"/>
      <c r="CW5" s="5144">
        <v>51</v>
      </c>
      <c r="CX5" s="5144"/>
      <c r="CY5" s="5144"/>
      <c r="CZ5" s="5144">
        <v>6</v>
      </c>
      <c r="DA5" s="5144"/>
      <c r="DB5" s="5144"/>
      <c r="DC5" s="5144"/>
      <c r="DD5" s="5144">
        <v>17</v>
      </c>
      <c r="DE5" s="5144">
        <v>130</v>
      </c>
      <c r="DF5" s="5148"/>
      <c r="DG5" s="5148">
        <v>35</v>
      </c>
      <c r="DH5" s="5144"/>
      <c r="DI5" s="5148"/>
      <c r="DJ5" s="5148">
        <v>45</v>
      </c>
      <c r="DK5" s="5148"/>
      <c r="DL5" s="5148"/>
      <c r="DM5" s="5148">
        <v>70</v>
      </c>
      <c r="DN5" s="5148"/>
      <c r="DO5" s="5148">
        <v>80</v>
      </c>
      <c r="DP5" s="5144"/>
      <c r="DQ5" s="5144"/>
      <c r="DR5" s="5144"/>
      <c r="DS5" s="5144">
        <v>20</v>
      </c>
      <c r="DT5" s="5144">
        <v>116</v>
      </c>
      <c r="DU5" s="5144">
        <v>17</v>
      </c>
      <c r="DV5" s="5144"/>
      <c r="DW5" s="5144"/>
      <c r="DX5" s="5144"/>
      <c r="DY5" s="5103">
        <f t="shared" si="0"/>
        <v>3959</v>
      </c>
      <c r="DZ5" s="5149"/>
      <c r="EA5" s="5140"/>
      <c r="EB5" s="5140"/>
      <c r="EC5" s="5140"/>
      <c r="ED5" s="5140"/>
      <c r="EE5" s="5140"/>
      <c r="EF5" s="5140"/>
      <c r="EG5" s="5140"/>
      <c r="EH5" s="5140"/>
      <c r="EI5" s="5140"/>
      <c r="EJ5" s="5140"/>
      <c r="EK5" s="5140"/>
      <c r="EL5" s="5140">
        <v>180</v>
      </c>
      <c r="EM5" s="5140"/>
      <c r="EN5" s="5140"/>
      <c r="EO5" s="5140"/>
      <c r="EP5" s="5140">
        <v>11</v>
      </c>
      <c r="EQ5" s="5140">
        <v>91</v>
      </c>
      <c r="ER5" s="5140">
        <v>16</v>
      </c>
      <c r="ES5" s="5140"/>
      <c r="ET5" s="5140"/>
      <c r="EU5" s="5140"/>
      <c r="EV5" s="5140"/>
      <c r="EW5" s="5140"/>
      <c r="EX5" s="5108">
        <v>422</v>
      </c>
      <c r="EY5" s="5140"/>
      <c r="EZ5" s="5140">
        <v>300</v>
      </c>
      <c r="FA5" s="5140"/>
      <c r="FB5" s="5140"/>
      <c r="FC5" s="5140"/>
      <c r="FD5" s="5140">
        <v>199</v>
      </c>
      <c r="FE5" s="5140"/>
      <c r="FF5" s="5140"/>
      <c r="FG5" s="5140"/>
      <c r="FH5" s="5140"/>
      <c r="FI5" s="5140"/>
      <c r="FJ5" s="5140"/>
      <c r="FK5" s="5140"/>
      <c r="FL5" s="5140"/>
      <c r="FM5" s="5140">
        <v>174</v>
      </c>
      <c r="FN5" s="5140"/>
      <c r="FO5" s="5140">
        <v>364</v>
      </c>
      <c r="FP5" s="5140"/>
      <c r="FQ5" s="5140"/>
      <c r="FR5" s="5140">
        <v>22</v>
      </c>
      <c r="FS5" s="5140"/>
      <c r="FT5" s="5140">
        <v>8</v>
      </c>
      <c r="FU5" s="5140"/>
      <c r="FV5" s="5140"/>
      <c r="FW5" s="5140"/>
      <c r="FX5" s="5140"/>
      <c r="FY5" s="5140">
        <v>8</v>
      </c>
      <c r="FZ5" s="5140"/>
      <c r="GA5" s="5137"/>
      <c r="GB5" s="5137"/>
      <c r="GC5" s="5137"/>
      <c r="GD5" s="5137"/>
      <c r="GE5" s="5137"/>
      <c r="GF5" s="5137">
        <v>34</v>
      </c>
      <c r="GG5" s="5141"/>
      <c r="GH5" s="5137"/>
      <c r="GI5" s="5137"/>
      <c r="GJ5" s="5110">
        <f t="shared" si="1"/>
        <v>1829</v>
      </c>
      <c r="GK5" s="5111">
        <f t="shared" si="2"/>
        <v>5788</v>
      </c>
      <c r="GL5" s="5112">
        <v>97.29</v>
      </c>
      <c r="GM5" s="4720">
        <v>8.3333333333333301E-2</v>
      </c>
      <c r="GN5" s="4721"/>
      <c r="GO5" s="4722"/>
      <c r="GP5" s="4721"/>
      <c r="GQ5" s="4721"/>
      <c r="GR5" s="4721"/>
      <c r="GS5" s="4721"/>
      <c r="GT5" s="4721"/>
      <c r="GU5" s="4721"/>
      <c r="GV5" s="4721"/>
      <c r="GW5" s="4721"/>
      <c r="GX5" s="4721"/>
      <c r="GY5" s="4721"/>
      <c r="GZ5" s="4722"/>
      <c r="HA5" s="4722"/>
      <c r="HB5" s="4721"/>
      <c r="HC5" s="4721"/>
      <c r="HD5" s="4721"/>
      <c r="HE5" s="4721"/>
      <c r="HF5" s="4721"/>
      <c r="HG5" s="4721"/>
      <c r="HH5" s="4721"/>
      <c r="HI5" s="4721"/>
      <c r="HJ5" s="4721"/>
      <c r="HK5" s="4721"/>
      <c r="HL5" s="4721"/>
      <c r="HM5" s="4721"/>
      <c r="HN5" s="4721"/>
      <c r="HO5" s="4721"/>
      <c r="HP5" s="4721"/>
      <c r="HQ5" s="4721"/>
      <c r="HR5" s="4721"/>
      <c r="HS5" s="4721"/>
      <c r="HT5" s="4721"/>
      <c r="HU5" s="4721"/>
      <c r="HV5" s="4721"/>
      <c r="HW5" s="4721"/>
      <c r="HX5" s="4721"/>
      <c r="HY5" s="4721"/>
      <c r="HZ5" s="4721"/>
      <c r="IA5" s="4721"/>
      <c r="IB5" s="4721"/>
      <c r="IC5" s="4721"/>
      <c r="ID5" s="4721"/>
      <c r="IE5" s="4721"/>
      <c r="IF5" s="4721"/>
      <c r="IG5" s="4721"/>
      <c r="IH5" s="4721"/>
      <c r="II5" s="4721"/>
      <c r="IJ5" s="4721"/>
      <c r="IK5" s="4721"/>
      <c r="IL5" s="4721"/>
      <c r="IM5" s="4721"/>
      <c r="IN5" s="4721"/>
      <c r="IO5" s="4721"/>
      <c r="IP5" s="4721"/>
      <c r="IQ5" s="4721"/>
      <c r="IR5" s="4722"/>
      <c r="IS5" s="4722"/>
      <c r="IT5" s="4721"/>
      <c r="IU5" s="4721"/>
      <c r="IV5" s="4721"/>
      <c r="IW5" s="4721"/>
      <c r="IX5" s="4721"/>
      <c r="IY5" s="4721"/>
      <c r="IZ5" s="4723"/>
      <c r="JA5" s="4723"/>
      <c r="JB5" s="4721"/>
      <c r="JC5" s="4721"/>
      <c r="JD5" s="4721"/>
      <c r="JE5" s="4721"/>
      <c r="JF5" s="4721"/>
      <c r="JG5" s="4721"/>
      <c r="JH5" s="4721"/>
      <c r="JI5" s="4721"/>
      <c r="JJ5" s="4721"/>
      <c r="JK5" s="4721"/>
      <c r="JL5" s="4721"/>
      <c r="JM5" s="4721"/>
      <c r="JN5" s="4721"/>
      <c r="JO5" s="4721"/>
      <c r="JP5" s="4721"/>
      <c r="JQ5" s="4721"/>
      <c r="JR5" s="4721"/>
      <c r="JS5" s="4721"/>
      <c r="JT5" s="4721"/>
      <c r="JU5" s="4721"/>
      <c r="JV5" s="4721"/>
      <c r="JW5" s="4721"/>
      <c r="JX5" s="4721"/>
      <c r="JY5" s="4721"/>
      <c r="JZ5" s="4721"/>
      <c r="KA5" s="4721"/>
      <c r="KB5" s="4721"/>
      <c r="KC5" s="4721"/>
      <c r="KD5" s="4721"/>
      <c r="KE5" s="4721"/>
      <c r="KF5" s="4721"/>
      <c r="KG5" s="4721"/>
      <c r="KH5" s="4721"/>
      <c r="KI5" s="4721"/>
      <c r="KJ5" s="4721"/>
      <c r="KK5" s="4721"/>
      <c r="KL5" s="4721"/>
      <c r="KM5" s="4721"/>
      <c r="KN5" s="4721"/>
      <c r="KO5" s="4721"/>
      <c r="KP5" s="4721"/>
      <c r="KQ5" s="4721"/>
      <c r="KR5" s="4722"/>
      <c r="KS5" s="4721"/>
      <c r="KT5" s="4721"/>
      <c r="KU5" s="4721"/>
      <c r="KV5" s="4721"/>
      <c r="KW5" s="4721"/>
      <c r="KX5" s="4721"/>
      <c r="KY5" s="4721"/>
      <c r="KZ5" s="4721"/>
      <c r="LA5" s="4721"/>
      <c r="LB5" s="4721"/>
      <c r="LC5" s="4721"/>
      <c r="LD5" s="4721"/>
      <c r="LE5" s="4721"/>
      <c r="LF5" s="4721"/>
      <c r="LG5" s="4722"/>
      <c r="LH5" s="4721"/>
      <c r="LI5" s="4721"/>
      <c r="LJ5" s="4721"/>
      <c r="LK5" s="4721"/>
      <c r="LL5" s="4721"/>
      <c r="LM5" s="4721"/>
      <c r="LN5" s="4721"/>
      <c r="LO5" s="4721"/>
      <c r="LP5" s="4721"/>
      <c r="LQ5" s="4721"/>
      <c r="LR5" s="4721"/>
      <c r="LS5" s="4721"/>
      <c r="LT5" s="4721"/>
      <c r="LU5" s="4721"/>
      <c r="LV5" s="4721"/>
      <c r="LW5" s="4721"/>
      <c r="LX5" s="4721"/>
      <c r="LY5" s="4721"/>
      <c r="LZ5" s="4721"/>
      <c r="MA5" s="4721"/>
      <c r="MB5" s="4721"/>
      <c r="MC5" s="4721"/>
      <c r="MD5" s="4721"/>
      <c r="ME5" s="4721"/>
      <c r="MF5" s="4721"/>
      <c r="MG5" s="4721"/>
      <c r="MH5" s="4721"/>
      <c r="MI5" s="4721"/>
      <c r="MJ5" s="4721"/>
      <c r="MK5" s="4721"/>
      <c r="ML5" s="4721"/>
      <c r="MM5" s="4721"/>
      <c r="MN5" s="4721"/>
      <c r="MO5" s="4721"/>
      <c r="MP5" s="4721"/>
      <c r="MQ5" s="4721"/>
      <c r="MR5" s="4721"/>
      <c r="MS5" s="4721"/>
      <c r="MT5" s="4721"/>
      <c r="MU5" s="4721"/>
      <c r="MV5" s="4721"/>
      <c r="MW5" s="4721"/>
      <c r="MX5" s="4721"/>
      <c r="MY5" s="4721"/>
      <c r="MZ5" s="4721"/>
      <c r="NA5" s="4721"/>
      <c r="NB5" s="4721"/>
      <c r="NC5" s="4722"/>
      <c r="ND5" s="4722"/>
      <c r="NE5" s="4721"/>
      <c r="NF5" s="4721"/>
      <c r="NG5" s="4721"/>
      <c r="NH5" s="4721"/>
      <c r="NI5" s="4721"/>
      <c r="NJ5" s="4721"/>
      <c r="NK5" s="4721"/>
      <c r="NL5" s="4721"/>
      <c r="NM5" s="4721"/>
      <c r="NN5" s="4721"/>
      <c r="NO5" s="4721"/>
      <c r="NP5" s="4721"/>
      <c r="NQ5" s="4721"/>
      <c r="NR5" s="4723"/>
      <c r="NS5" s="4722"/>
      <c r="NT5" s="4721"/>
    </row>
    <row r="6" spans="1:384" s="441" customFormat="1" ht="27" customHeight="1">
      <c r="A6" s="3609">
        <v>0.125</v>
      </c>
      <c r="B6" s="5170">
        <v>38</v>
      </c>
      <c r="C6" s="5143">
        <v>40</v>
      </c>
      <c r="D6" s="5143"/>
      <c r="E6" s="5143"/>
      <c r="F6" s="5144"/>
      <c r="G6" s="5145"/>
      <c r="H6" s="5148"/>
      <c r="I6" s="5144"/>
      <c r="J6" s="5143"/>
      <c r="K6" s="5143"/>
      <c r="L6" s="5143"/>
      <c r="M6" s="5143"/>
      <c r="N6" s="5143"/>
      <c r="O6" s="5143"/>
      <c r="P6" s="5143"/>
      <c r="Q6" s="5143"/>
      <c r="R6" s="5143"/>
      <c r="S6" s="5143"/>
      <c r="T6" s="5143"/>
      <c r="U6" s="5143">
        <v>30</v>
      </c>
      <c r="V6" s="5143">
        <v>8</v>
      </c>
      <c r="W6" s="5143"/>
      <c r="X6" s="5143"/>
      <c r="Y6" s="5143">
        <v>242</v>
      </c>
      <c r="Z6" s="5143"/>
      <c r="AA6" s="5143"/>
      <c r="AB6" s="5143"/>
      <c r="AC6" s="5143"/>
      <c r="AD6" s="5144"/>
      <c r="AE6" s="5143"/>
      <c r="AF6" s="5143">
        <v>80</v>
      </c>
      <c r="AG6" s="5143">
        <v>3</v>
      </c>
      <c r="AH6" s="5143">
        <v>156</v>
      </c>
      <c r="AI6" s="5143">
        <v>310</v>
      </c>
      <c r="AJ6" s="5143">
        <v>150</v>
      </c>
      <c r="AK6" s="5143">
        <v>5</v>
      </c>
      <c r="AL6" s="5143">
        <v>134</v>
      </c>
      <c r="AM6" s="5143"/>
      <c r="AN6" s="5143"/>
      <c r="AO6" s="5143"/>
      <c r="AP6" s="5143">
        <v>180</v>
      </c>
      <c r="AQ6" s="5143">
        <v>254</v>
      </c>
      <c r="AR6" s="5143">
        <v>51</v>
      </c>
      <c r="AS6" s="5143"/>
      <c r="AT6" s="5143">
        <v>42</v>
      </c>
      <c r="AU6" s="5143"/>
      <c r="AV6" s="5143"/>
      <c r="AW6" s="5143">
        <v>71</v>
      </c>
      <c r="AX6" s="5143">
        <v>79</v>
      </c>
      <c r="AY6" s="5143"/>
      <c r="AZ6" s="5143"/>
      <c r="BA6" s="5143">
        <v>190</v>
      </c>
      <c r="BB6" s="5143">
        <v>18</v>
      </c>
      <c r="BC6" s="5143"/>
      <c r="BD6" s="5143">
        <v>10</v>
      </c>
      <c r="BE6" s="5143">
        <v>8</v>
      </c>
      <c r="BF6" s="5143">
        <v>50</v>
      </c>
      <c r="BG6" s="5143">
        <v>22</v>
      </c>
      <c r="BH6" s="5143">
        <v>305</v>
      </c>
      <c r="BI6" s="5143">
        <v>400</v>
      </c>
      <c r="BJ6" s="5143">
        <v>17</v>
      </c>
      <c r="BK6" s="5143">
        <v>22</v>
      </c>
      <c r="BL6" s="5143">
        <v>21</v>
      </c>
      <c r="BM6" s="5143">
        <v>16</v>
      </c>
      <c r="BN6" s="5143">
        <v>22</v>
      </c>
      <c r="BO6" s="5146">
        <v>61</v>
      </c>
      <c r="BP6" s="5143">
        <v>32</v>
      </c>
      <c r="BQ6" s="5143">
        <v>21</v>
      </c>
      <c r="BR6" s="5143">
        <v>11</v>
      </c>
      <c r="BS6" s="5143">
        <v>33</v>
      </c>
      <c r="BT6" s="5143">
        <v>9</v>
      </c>
      <c r="BU6" s="5143">
        <v>25</v>
      </c>
      <c r="BV6" s="5143">
        <v>9</v>
      </c>
      <c r="BW6" s="5143">
        <v>14</v>
      </c>
      <c r="BX6" s="5143">
        <v>33</v>
      </c>
      <c r="BY6" s="5143"/>
      <c r="BZ6" s="5143"/>
      <c r="CA6" s="5143">
        <v>8</v>
      </c>
      <c r="CB6" s="5143"/>
      <c r="CC6" s="5144"/>
      <c r="CD6" s="5143"/>
      <c r="CE6" s="5144"/>
      <c r="CF6" s="5144"/>
      <c r="CG6" s="5144">
        <v>8</v>
      </c>
      <c r="CH6" s="5144"/>
      <c r="CI6" s="5145"/>
      <c r="CJ6" s="5144">
        <v>54</v>
      </c>
      <c r="CK6" s="5144">
        <v>17</v>
      </c>
      <c r="CL6" s="5144"/>
      <c r="CM6" s="5144"/>
      <c r="CN6" s="5144"/>
      <c r="CO6" s="5144"/>
      <c r="CP6" s="5144"/>
      <c r="CQ6" s="5144"/>
      <c r="CR6" s="5144"/>
      <c r="CS6" s="5144"/>
      <c r="CT6" s="5144"/>
      <c r="CU6" s="5144"/>
      <c r="CV6" s="5144"/>
      <c r="CW6" s="5144">
        <v>51</v>
      </c>
      <c r="CX6" s="5144"/>
      <c r="CY6" s="5144"/>
      <c r="CZ6" s="5144">
        <v>5</v>
      </c>
      <c r="DA6" s="5144"/>
      <c r="DB6" s="5144"/>
      <c r="DC6" s="5144"/>
      <c r="DD6" s="5144">
        <v>17</v>
      </c>
      <c r="DE6" s="5144">
        <v>130</v>
      </c>
      <c r="DF6" s="5148"/>
      <c r="DG6" s="5148">
        <v>35</v>
      </c>
      <c r="DH6" s="5144"/>
      <c r="DI6" s="5148"/>
      <c r="DJ6" s="5148">
        <v>45</v>
      </c>
      <c r="DK6" s="5148"/>
      <c r="DL6" s="5148"/>
      <c r="DM6" s="5148">
        <v>70</v>
      </c>
      <c r="DN6" s="5148"/>
      <c r="DO6" s="5148">
        <v>50</v>
      </c>
      <c r="DP6" s="5144"/>
      <c r="DQ6" s="5144"/>
      <c r="DR6" s="5144"/>
      <c r="DS6" s="5144"/>
      <c r="DT6" s="5144">
        <v>116</v>
      </c>
      <c r="DU6" s="5144">
        <v>17</v>
      </c>
      <c r="DV6" s="5144"/>
      <c r="DW6" s="5144"/>
      <c r="DX6" s="5144"/>
      <c r="DY6" s="5103">
        <f t="shared" si="0"/>
        <v>3845</v>
      </c>
      <c r="DZ6" s="5149"/>
      <c r="EA6" s="5140"/>
      <c r="EB6" s="5140"/>
      <c r="EC6" s="5140"/>
      <c r="ED6" s="5140"/>
      <c r="EE6" s="5140"/>
      <c r="EF6" s="5140"/>
      <c r="EG6" s="5140"/>
      <c r="EH6" s="5140"/>
      <c r="EI6" s="5140"/>
      <c r="EJ6" s="5140"/>
      <c r="EK6" s="5140"/>
      <c r="EL6" s="5140">
        <v>180</v>
      </c>
      <c r="EM6" s="5140"/>
      <c r="EN6" s="5140"/>
      <c r="EO6" s="5140"/>
      <c r="EP6" s="5140">
        <v>11</v>
      </c>
      <c r="EQ6" s="5140">
        <v>91</v>
      </c>
      <c r="ER6" s="5140">
        <v>15</v>
      </c>
      <c r="ES6" s="5140"/>
      <c r="ET6" s="5140"/>
      <c r="EU6" s="5140"/>
      <c r="EV6" s="5140"/>
      <c r="EW6" s="5140"/>
      <c r="EX6" s="5108">
        <v>422</v>
      </c>
      <c r="EY6" s="5140"/>
      <c r="EZ6" s="5140">
        <v>300</v>
      </c>
      <c r="FA6" s="5140"/>
      <c r="FB6" s="5140"/>
      <c r="FC6" s="5140"/>
      <c r="FD6" s="5140">
        <v>199</v>
      </c>
      <c r="FE6" s="5140"/>
      <c r="FF6" s="5140"/>
      <c r="FG6" s="5140"/>
      <c r="FH6" s="5140"/>
      <c r="FI6" s="5140"/>
      <c r="FJ6" s="5140"/>
      <c r="FK6" s="5140"/>
      <c r="FL6" s="5140"/>
      <c r="FM6" s="5140">
        <v>175</v>
      </c>
      <c r="FN6" s="5140"/>
      <c r="FO6" s="5140">
        <v>380</v>
      </c>
      <c r="FP6" s="5140"/>
      <c r="FQ6" s="5140"/>
      <c r="FR6" s="5140">
        <v>22</v>
      </c>
      <c r="FS6" s="5140"/>
      <c r="FT6" s="5140">
        <v>8</v>
      </c>
      <c r="FU6" s="5140"/>
      <c r="FV6" s="5140"/>
      <c r="FW6" s="5140"/>
      <c r="FX6" s="5140"/>
      <c r="FY6" s="5140">
        <v>8</v>
      </c>
      <c r="FZ6" s="5140"/>
      <c r="GA6" s="5137"/>
      <c r="GB6" s="5137"/>
      <c r="GC6" s="5137"/>
      <c r="GD6" s="5137"/>
      <c r="GE6" s="5137"/>
      <c r="GF6" s="5137"/>
      <c r="GG6" s="5141"/>
      <c r="GH6" s="5137"/>
      <c r="GI6" s="5137"/>
      <c r="GJ6" s="5110">
        <f t="shared" si="1"/>
        <v>1811</v>
      </c>
      <c r="GK6" s="5111">
        <f t="shared" si="2"/>
        <v>5656</v>
      </c>
      <c r="GL6" s="5112">
        <v>97.28</v>
      </c>
      <c r="GM6" s="4720">
        <v>0.125</v>
      </c>
      <c r="GN6" s="4721"/>
      <c r="GO6" s="4722"/>
      <c r="GP6" s="4721"/>
      <c r="GQ6" s="4721"/>
      <c r="GR6" s="4721"/>
      <c r="GS6" s="4721"/>
      <c r="GT6" s="4721"/>
      <c r="GU6" s="4721"/>
      <c r="GV6" s="4721"/>
      <c r="GW6" s="4721"/>
      <c r="GX6" s="4721"/>
      <c r="GY6" s="4721"/>
      <c r="GZ6" s="4722"/>
      <c r="HA6" s="4722"/>
      <c r="HB6" s="4721"/>
      <c r="HC6" s="4721"/>
      <c r="HD6" s="4721"/>
      <c r="HE6" s="4721"/>
      <c r="HF6" s="4721"/>
      <c r="HG6" s="4721"/>
      <c r="HH6" s="4721"/>
      <c r="HI6" s="4721"/>
      <c r="HJ6" s="4721"/>
      <c r="HK6" s="4721"/>
      <c r="HL6" s="4721"/>
      <c r="HM6" s="4721"/>
      <c r="HN6" s="4721"/>
      <c r="HO6" s="4721"/>
      <c r="HP6" s="4721"/>
      <c r="HQ6" s="4721"/>
      <c r="HR6" s="4721"/>
      <c r="HS6" s="4721"/>
      <c r="HT6" s="4721"/>
      <c r="HU6" s="4721"/>
      <c r="HV6" s="4721"/>
      <c r="HW6" s="4721"/>
      <c r="HX6" s="4721"/>
      <c r="HY6" s="4721"/>
      <c r="HZ6" s="4721"/>
      <c r="IA6" s="4721"/>
      <c r="IB6" s="4721"/>
      <c r="IC6" s="4721"/>
      <c r="ID6" s="4721"/>
      <c r="IE6" s="4721"/>
      <c r="IF6" s="4721"/>
      <c r="IG6" s="4721"/>
      <c r="IH6" s="4721"/>
      <c r="II6" s="4721"/>
      <c r="IJ6" s="4721"/>
      <c r="IK6" s="4721"/>
      <c r="IL6" s="4721"/>
      <c r="IM6" s="4721"/>
      <c r="IN6" s="4721"/>
      <c r="IO6" s="4721"/>
      <c r="IP6" s="4721"/>
      <c r="IQ6" s="4721"/>
      <c r="IR6" s="4722"/>
      <c r="IS6" s="4722"/>
      <c r="IT6" s="4721"/>
      <c r="IU6" s="4721"/>
      <c r="IV6" s="4721"/>
      <c r="IW6" s="4721"/>
      <c r="IX6" s="4721"/>
      <c r="IY6" s="4721"/>
      <c r="IZ6" s="4723"/>
      <c r="JA6" s="4723"/>
      <c r="JB6" s="4721"/>
      <c r="JC6" s="4721"/>
      <c r="JD6" s="4721"/>
      <c r="JE6" s="4721"/>
      <c r="JF6" s="4721"/>
      <c r="JG6" s="4721"/>
      <c r="JH6" s="4721"/>
      <c r="JI6" s="4721"/>
      <c r="JJ6" s="4721"/>
      <c r="JK6" s="4721"/>
      <c r="JL6" s="4721"/>
      <c r="JM6" s="4721"/>
      <c r="JN6" s="4721"/>
      <c r="JO6" s="4721"/>
      <c r="JP6" s="4721"/>
      <c r="JQ6" s="4721"/>
      <c r="JR6" s="4721"/>
      <c r="JS6" s="4721"/>
      <c r="JT6" s="4721"/>
      <c r="JU6" s="4721"/>
      <c r="JV6" s="4721"/>
      <c r="JW6" s="4721"/>
      <c r="JX6" s="4721"/>
      <c r="JY6" s="4721"/>
      <c r="JZ6" s="4721"/>
      <c r="KA6" s="4721"/>
      <c r="KB6" s="4721"/>
      <c r="KC6" s="4721"/>
      <c r="KD6" s="4721"/>
      <c r="KE6" s="4721"/>
      <c r="KF6" s="4721"/>
      <c r="KG6" s="4721"/>
      <c r="KH6" s="4721"/>
      <c r="KI6" s="4721"/>
      <c r="KJ6" s="4721"/>
      <c r="KK6" s="4721"/>
      <c r="KL6" s="4721"/>
      <c r="KM6" s="4721"/>
      <c r="KN6" s="4721"/>
      <c r="KO6" s="4721"/>
      <c r="KP6" s="4721"/>
      <c r="KQ6" s="4721"/>
      <c r="KR6" s="4722"/>
      <c r="KS6" s="4721"/>
      <c r="KT6" s="4721"/>
      <c r="KU6" s="4721"/>
      <c r="KV6" s="4721"/>
      <c r="KW6" s="4721"/>
      <c r="KX6" s="4721"/>
      <c r="KY6" s="4721"/>
      <c r="KZ6" s="4721"/>
      <c r="LA6" s="4721"/>
      <c r="LB6" s="4721"/>
      <c r="LC6" s="4721"/>
      <c r="LD6" s="4721"/>
      <c r="LE6" s="4721"/>
      <c r="LF6" s="4721"/>
      <c r="LG6" s="4722"/>
      <c r="LH6" s="4721"/>
      <c r="LI6" s="4721"/>
      <c r="LJ6" s="4721"/>
      <c r="LK6" s="4721"/>
      <c r="LL6" s="4721"/>
      <c r="LM6" s="4721"/>
      <c r="LN6" s="4721"/>
      <c r="LO6" s="4721"/>
      <c r="LP6" s="4721"/>
      <c r="LQ6" s="4721"/>
      <c r="LR6" s="4721"/>
      <c r="LS6" s="4721"/>
      <c r="LT6" s="4721"/>
      <c r="LU6" s="4721"/>
      <c r="LV6" s="4721"/>
      <c r="LW6" s="4721"/>
      <c r="LX6" s="4721"/>
      <c r="LY6" s="4721"/>
      <c r="LZ6" s="4721"/>
      <c r="MA6" s="4721"/>
      <c r="MB6" s="4721"/>
      <c r="MC6" s="4721"/>
      <c r="MD6" s="4721"/>
      <c r="ME6" s="4721"/>
      <c r="MF6" s="4721"/>
      <c r="MG6" s="4721"/>
      <c r="MH6" s="4721"/>
      <c r="MI6" s="4721"/>
      <c r="MJ6" s="4721"/>
      <c r="MK6" s="4721"/>
      <c r="ML6" s="4721"/>
      <c r="MM6" s="4721"/>
      <c r="MN6" s="4721"/>
      <c r="MO6" s="4721"/>
      <c r="MP6" s="4721"/>
      <c r="MQ6" s="4721"/>
      <c r="MR6" s="4721"/>
      <c r="MS6" s="4721"/>
      <c r="MT6" s="4721"/>
      <c r="MU6" s="4721"/>
      <c r="MV6" s="4721"/>
      <c r="MW6" s="4721"/>
      <c r="MX6" s="4721"/>
      <c r="MY6" s="4721"/>
      <c r="MZ6" s="4721"/>
      <c r="NA6" s="4721"/>
      <c r="NB6" s="4721"/>
      <c r="NC6" s="4722"/>
      <c r="ND6" s="4722"/>
      <c r="NE6" s="4721"/>
      <c r="NF6" s="4721"/>
      <c r="NG6" s="4721"/>
      <c r="NH6" s="4721"/>
      <c r="NI6" s="4721"/>
      <c r="NJ6" s="4721"/>
      <c r="NK6" s="4721"/>
      <c r="NL6" s="4721"/>
      <c r="NM6" s="4721"/>
      <c r="NN6" s="4721"/>
      <c r="NO6" s="4721"/>
      <c r="NP6" s="4721"/>
      <c r="NQ6" s="4721"/>
      <c r="NR6" s="4723"/>
      <c r="NS6" s="4722"/>
      <c r="NT6" s="4721"/>
    </row>
    <row r="7" spans="1:384" s="441" customFormat="1" ht="27" customHeight="1">
      <c r="A7" s="3609">
        <v>0.16666666666666666</v>
      </c>
      <c r="B7" s="5170">
        <v>43</v>
      </c>
      <c r="C7" s="5143">
        <v>40</v>
      </c>
      <c r="D7" s="5143"/>
      <c r="E7" s="5143"/>
      <c r="F7" s="5144"/>
      <c r="G7" s="5145"/>
      <c r="H7" s="5148"/>
      <c r="I7" s="5144"/>
      <c r="J7" s="5143"/>
      <c r="K7" s="5143"/>
      <c r="L7" s="5143"/>
      <c r="M7" s="5143"/>
      <c r="N7" s="5143"/>
      <c r="O7" s="5143"/>
      <c r="P7" s="5143"/>
      <c r="Q7" s="5143"/>
      <c r="R7" s="5143"/>
      <c r="S7" s="5143"/>
      <c r="T7" s="5143"/>
      <c r="U7" s="5143">
        <v>30</v>
      </c>
      <c r="V7" s="5143">
        <v>8</v>
      </c>
      <c r="W7" s="5143"/>
      <c r="X7" s="5143"/>
      <c r="Y7" s="5143">
        <v>240</v>
      </c>
      <c r="Z7" s="5143"/>
      <c r="AA7" s="5143"/>
      <c r="AB7" s="5143"/>
      <c r="AC7" s="5143"/>
      <c r="AD7" s="5144"/>
      <c r="AE7" s="5143"/>
      <c r="AF7" s="5143">
        <v>80</v>
      </c>
      <c r="AG7" s="5143">
        <v>3</v>
      </c>
      <c r="AH7" s="5143">
        <v>161</v>
      </c>
      <c r="AI7" s="5143">
        <v>275</v>
      </c>
      <c r="AJ7" s="5143">
        <v>150</v>
      </c>
      <c r="AK7" s="5143">
        <v>5</v>
      </c>
      <c r="AL7" s="5143">
        <v>133</v>
      </c>
      <c r="AM7" s="5143"/>
      <c r="AN7" s="5143"/>
      <c r="AO7" s="5143"/>
      <c r="AP7" s="5143">
        <v>180</v>
      </c>
      <c r="AQ7" s="5143">
        <v>270</v>
      </c>
      <c r="AR7" s="5143">
        <v>52</v>
      </c>
      <c r="AS7" s="5143"/>
      <c r="AT7" s="5143">
        <v>42</v>
      </c>
      <c r="AU7" s="5143"/>
      <c r="AV7" s="5143"/>
      <c r="AW7" s="5143">
        <v>54</v>
      </c>
      <c r="AX7" s="5143">
        <v>40</v>
      </c>
      <c r="AY7" s="5143"/>
      <c r="AZ7" s="5143"/>
      <c r="BA7" s="5143">
        <v>190</v>
      </c>
      <c r="BB7" s="5143">
        <v>18</v>
      </c>
      <c r="BC7" s="5143"/>
      <c r="BD7" s="5143">
        <v>10</v>
      </c>
      <c r="BE7" s="5143">
        <v>8</v>
      </c>
      <c r="BF7" s="5143">
        <v>50</v>
      </c>
      <c r="BG7" s="5143">
        <v>22</v>
      </c>
      <c r="BH7" s="5143">
        <v>305</v>
      </c>
      <c r="BI7" s="5143">
        <v>400</v>
      </c>
      <c r="BJ7" s="5143">
        <v>17</v>
      </c>
      <c r="BK7" s="5143">
        <v>22</v>
      </c>
      <c r="BL7" s="5143">
        <v>21</v>
      </c>
      <c r="BM7" s="5143">
        <v>16</v>
      </c>
      <c r="BN7" s="5143">
        <v>22</v>
      </c>
      <c r="BO7" s="5146">
        <v>61</v>
      </c>
      <c r="BP7" s="5143">
        <v>32</v>
      </c>
      <c r="BQ7" s="5143">
        <v>21</v>
      </c>
      <c r="BR7" s="5143">
        <v>11</v>
      </c>
      <c r="BS7" s="5143">
        <v>33</v>
      </c>
      <c r="BT7" s="5143">
        <v>9</v>
      </c>
      <c r="BU7" s="5143">
        <v>25</v>
      </c>
      <c r="BV7" s="5143">
        <v>9</v>
      </c>
      <c r="BW7" s="5143">
        <v>14</v>
      </c>
      <c r="BX7" s="5143">
        <v>33</v>
      </c>
      <c r="BY7" s="5143"/>
      <c r="BZ7" s="5143"/>
      <c r="CA7" s="5143">
        <v>8</v>
      </c>
      <c r="CB7" s="5143"/>
      <c r="CC7" s="5144"/>
      <c r="CD7" s="5143"/>
      <c r="CE7" s="5144"/>
      <c r="CF7" s="5144"/>
      <c r="CG7" s="5144">
        <v>8</v>
      </c>
      <c r="CH7" s="5144"/>
      <c r="CI7" s="5145"/>
      <c r="CJ7" s="5144">
        <v>54</v>
      </c>
      <c r="CK7" s="5144">
        <v>17</v>
      </c>
      <c r="CL7" s="5144"/>
      <c r="CM7" s="5144"/>
      <c r="CN7" s="5144"/>
      <c r="CO7" s="5144"/>
      <c r="CP7" s="5144"/>
      <c r="CQ7" s="5144"/>
      <c r="CR7" s="5144"/>
      <c r="CS7" s="5144"/>
      <c r="CT7" s="5144"/>
      <c r="CU7" s="5144"/>
      <c r="CV7" s="5144"/>
      <c r="CW7" s="5144">
        <v>51</v>
      </c>
      <c r="CX7" s="5144"/>
      <c r="CY7" s="5144"/>
      <c r="CZ7" s="5144">
        <v>6</v>
      </c>
      <c r="DA7" s="5144"/>
      <c r="DB7" s="5144"/>
      <c r="DC7" s="5144"/>
      <c r="DD7" s="5144">
        <v>17</v>
      </c>
      <c r="DE7" s="5144">
        <v>130</v>
      </c>
      <c r="DF7" s="5148"/>
      <c r="DG7" s="5148">
        <v>35</v>
      </c>
      <c r="DH7" s="5144"/>
      <c r="DI7" s="5148"/>
      <c r="DJ7" s="5148">
        <v>45</v>
      </c>
      <c r="DK7" s="5148"/>
      <c r="DL7" s="5148"/>
      <c r="DM7" s="5148">
        <v>40</v>
      </c>
      <c r="DN7" s="5148"/>
      <c r="DO7" s="5148">
        <v>50</v>
      </c>
      <c r="DP7" s="5144"/>
      <c r="DQ7" s="5144"/>
      <c r="DR7" s="5144"/>
      <c r="DS7" s="5144"/>
      <c r="DT7" s="5144">
        <v>87</v>
      </c>
      <c r="DU7" s="5144">
        <v>17</v>
      </c>
      <c r="DV7" s="5144"/>
      <c r="DW7" s="5144"/>
      <c r="DX7" s="5144"/>
      <c r="DY7" s="5103">
        <f t="shared" si="0"/>
        <v>3720</v>
      </c>
      <c r="DZ7" s="5149"/>
      <c r="EA7" s="5140"/>
      <c r="EB7" s="5140"/>
      <c r="EC7" s="5140"/>
      <c r="ED7" s="5140"/>
      <c r="EE7" s="5140"/>
      <c r="EF7" s="5140"/>
      <c r="EG7" s="5140"/>
      <c r="EH7" s="5140"/>
      <c r="EI7" s="5140"/>
      <c r="EJ7" s="5140"/>
      <c r="EK7" s="5140"/>
      <c r="EL7" s="5140">
        <v>150</v>
      </c>
      <c r="EM7" s="5140"/>
      <c r="EN7" s="5140"/>
      <c r="EO7" s="5140"/>
      <c r="EP7" s="5140">
        <v>11</v>
      </c>
      <c r="EQ7" s="5140">
        <v>91</v>
      </c>
      <c r="ER7" s="5140">
        <v>15</v>
      </c>
      <c r="ES7" s="5140"/>
      <c r="ET7" s="5140"/>
      <c r="EU7" s="5140"/>
      <c r="EV7" s="5140"/>
      <c r="EW7" s="5140"/>
      <c r="EX7" s="5108">
        <v>423</v>
      </c>
      <c r="EY7" s="5140"/>
      <c r="EZ7" s="5140">
        <v>300</v>
      </c>
      <c r="FA7" s="5140"/>
      <c r="FB7" s="5140"/>
      <c r="FC7" s="5140"/>
      <c r="FD7" s="5140">
        <v>199</v>
      </c>
      <c r="FE7" s="5140"/>
      <c r="FF7" s="5140"/>
      <c r="FG7" s="5140"/>
      <c r="FH7" s="5140"/>
      <c r="FI7" s="5140"/>
      <c r="FJ7" s="5140"/>
      <c r="FK7" s="5140"/>
      <c r="FL7" s="5140"/>
      <c r="FM7" s="5140">
        <v>172</v>
      </c>
      <c r="FN7" s="5140"/>
      <c r="FO7" s="5140">
        <v>391</v>
      </c>
      <c r="FP7" s="5140"/>
      <c r="FQ7" s="5140"/>
      <c r="FR7" s="5140">
        <v>22</v>
      </c>
      <c r="FS7" s="5140"/>
      <c r="FT7" s="5140">
        <v>8</v>
      </c>
      <c r="FU7" s="5140"/>
      <c r="FV7" s="5140"/>
      <c r="FW7" s="5140"/>
      <c r="FX7" s="5140"/>
      <c r="FY7" s="5140">
        <v>8</v>
      </c>
      <c r="FZ7" s="5140"/>
      <c r="GA7" s="5137"/>
      <c r="GB7" s="5137"/>
      <c r="GC7" s="5137"/>
      <c r="GD7" s="5137"/>
      <c r="GE7" s="5137"/>
      <c r="GF7" s="5137"/>
      <c r="GG7" s="5141"/>
      <c r="GH7" s="5137"/>
      <c r="GI7" s="5137"/>
      <c r="GJ7" s="5110">
        <f t="shared" si="1"/>
        <v>1790</v>
      </c>
      <c r="GK7" s="5111">
        <f t="shared" si="2"/>
        <v>5510</v>
      </c>
      <c r="GL7" s="5112">
        <v>97.27</v>
      </c>
      <c r="GM7" s="4720">
        <v>0.16666666666666699</v>
      </c>
      <c r="GN7" s="4721"/>
      <c r="GO7" s="4722"/>
      <c r="GP7" s="4721"/>
      <c r="GQ7" s="4721"/>
      <c r="GR7" s="4721"/>
      <c r="GS7" s="4721"/>
      <c r="GT7" s="4721"/>
      <c r="GU7" s="4721"/>
      <c r="GV7" s="4721"/>
      <c r="GW7" s="4721"/>
      <c r="GX7" s="4721"/>
      <c r="GY7" s="4721"/>
      <c r="GZ7" s="4722"/>
      <c r="HA7" s="4722"/>
      <c r="HB7" s="4721"/>
      <c r="HC7" s="4721"/>
      <c r="HD7" s="4721"/>
      <c r="HE7" s="4721"/>
      <c r="HF7" s="4721"/>
      <c r="HG7" s="4721"/>
      <c r="HH7" s="4721"/>
      <c r="HI7" s="4721"/>
      <c r="HJ7" s="4721"/>
      <c r="HK7" s="4721"/>
      <c r="HL7" s="4721"/>
      <c r="HM7" s="4721"/>
      <c r="HN7" s="4721"/>
      <c r="HO7" s="4721"/>
      <c r="HP7" s="4721"/>
      <c r="HQ7" s="4721"/>
      <c r="HR7" s="4721"/>
      <c r="HS7" s="4721"/>
      <c r="HT7" s="4721"/>
      <c r="HU7" s="4721"/>
      <c r="HV7" s="4721"/>
      <c r="HW7" s="4721"/>
      <c r="HX7" s="4721"/>
      <c r="HY7" s="4721"/>
      <c r="HZ7" s="4721"/>
      <c r="IA7" s="4721"/>
      <c r="IB7" s="4721"/>
      <c r="IC7" s="4721"/>
      <c r="ID7" s="4721"/>
      <c r="IE7" s="4721"/>
      <c r="IF7" s="4721"/>
      <c r="IG7" s="4721"/>
      <c r="IH7" s="4721"/>
      <c r="II7" s="4721"/>
      <c r="IJ7" s="4721"/>
      <c r="IK7" s="4721"/>
      <c r="IL7" s="4721"/>
      <c r="IM7" s="4721"/>
      <c r="IN7" s="4721"/>
      <c r="IO7" s="4721"/>
      <c r="IP7" s="4721"/>
      <c r="IQ7" s="4721"/>
      <c r="IR7" s="4722"/>
      <c r="IS7" s="4722"/>
      <c r="IT7" s="4721"/>
      <c r="IU7" s="4721"/>
      <c r="IV7" s="4721"/>
      <c r="IW7" s="4721"/>
      <c r="IX7" s="4721"/>
      <c r="IY7" s="4721"/>
      <c r="IZ7" s="4723"/>
      <c r="JA7" s="4723"/>
      <c r="JB7" s="4721"/>
      <c r="JC7" s="4721"/>
      <c r="JD7" s="4721"/>
      <c r="JE7" s="4721"/>
      <c r="JF7" s="4721"/>
      <c r="JG7" s="4721"/>
      <c r="JH7" s="4721"/>
      <c r="JI7" s="4721"/>
      <c r="JJ7" s="4721"/>
      <c r="JK7" s="4721"/>
      <c r="JL7" s="4721"/>
      <c r="JM7" s="4721"/>
      <c r="JN7" s="4721"/>
      <c r="JO7" s="4721"/>
      <c r="JP7" s="4721"/>
      <c r="JQ7" s="4721"/>
      <c r="JR7" s="4721"/>
      <c r="JS7" s="4721"/>
      <c r="JT7" s="4721"/>
      <c r="JU7" s="4721"/>
      <c r="JV7" s="4721"/>
      <c r="JW7" s="4721"/>
      <c r="JX7" s="4721"/>
      <c r="JY7" s="4721"/>
      <c r="JZ7" s="4721"/>
      <c r="KA7" s="4721"/>
      <c r="KB7" s="4721"/>
      <c r="KC7" s="4721"/>
      <c r="KD7" s="4721"/>
      <c r="KE7" s="4721"/>
      <c r="KF7" s="4721"/>
      <c r="KG7" s="4721"/>
      <c r="KH7" s="4721"/>
      <c r="KI7" s="4721"/>
      <c r="KJ7" s="4721"/>
      <c r="KK7" s="4721"/>
      <c r="KL7" s="4721"/>
      <c r="KM7" s="4721"/>
      <c r="KN7" s="4721"/>
      <c r="KO7" s="4721"/>
      <c r="KP7" s="4721"/>
      <c r="KQ7" s="4721"/>
      <c r="KR7" s="4722"/>
      <c r="KS7" s="4721"/>
      <c r="KT7" s="4721"/>
      <c r="KU7" s="4721"/>
      <c r="KV7" s="4721"/>
      <c r="KW7" s="4721"/>
      <c r="KX7" s="4721"/>
      <c r="KY7" s="4721"/>
      <c r="KZ7" s="4721"/>
      <c r="LA7" s="4721"/>
      <c r="LB7" s="4721"/>
      <c r="LC7" s="4721"/>
      <c r="LD7" s="4721"/>
      <c r="LE7" s="4721"/>
      <c r="LF7" s="4721"/>
      <c r="LG7" s="4722"/>
      <c r="LH7" s="4721"/>
      <c r="LI7" s="4721"/>
      <c r="LJ7" s="4721"/>
      <c r="LK7" s="4721"/>
      <c r="LL7" s="4721"/>
      <c r="LM7" s="4721"/>
      <c r="LN7" s="4721"/>
      <c r="LO7" s="4721"/>
      <c r="LP7" s="4721"/>
      <c r="LQ7" s="4721"/>
      <c r="LR7" s="4721"/>
      <c r="LS7" s="4721"/>
      <c r="LT7" s="4721"/>
      <c r="LU7" s="4721"/>
      <c r="LV7" s="4721"/>
      <c r="LW7" s="4721"/>
      <c r="LX7" s="4721"/>
      <c r="LY7" s="4721"/>
      <c r="LZ7" s="4721"/>
      <c r="MA7" s="4721"/>
      <c r="MB7" s="4721"/>
      <c r="MC7" s="4721"/>
      <c r="MD7" s="4721"/>
      <c r="ME7" s="4721"/>
      <c r="MF7" s="4721"/>
      <c r="MG7" s="4721"/>
      <c r="MH7" s="4721"/>
      <c r="MI7" s="4721"/>
      <c r="MJ7" s="4721"/>
      <c r="MK7" s="4721"/>
      <c r="ML7" s="4721"/>
      <c r="MM7" s="4721"/>
      <c r="MN7" s="4721"/>
      <c r="MO7" s="4721"/>
      <c r="MP7" s="4721"/>
      <c r="MQ7" s="4721"/>
      <c r="MR7" s="4721"/>
      <c r="MS7" s="4721"/>
      <c r="MT7" s="4721"/>
      <c r="MU7" s="4721"/>
      <c r="MV7" s="4721"/>
      <c r="MW7" s="4721"/>
      <c r="MX7" s="4721"/>
      <c r="MY7" s="4721"/>
      <c r="MZ7" s="4721"/>
      <c r="NA7" s="4721"/>
      <c r="NB7" s="4721"/>
      <c r="NC7" s="4722"/>
      <c r="ND7" s="4722"/>
      <c r="NE7" s="4721"/>
      <c r="NF7" s="4721"/>
      <c r="NG7" s="4721"/>
      <c r="NH7" s="4721"/>
      <c r="NI7" s="4721"/>
      <c r="NJ7" s="4721"/>
      <c r="NK7" s="4721"/>
      <c r="NL7" s="4721"/>
      <c r="NM7" s="4721"/>
      <c r="NN7" s="4721"/>
      <c r="NO7" s="4721"/>
      <c r="NP7" s="4721"/>
      <c r="NQ7" s="4721"/>
      <c r="NR7" s="4723"/>
      <c r="NS7" s="4722"/>
      <c r="NT7" s="4721"/>
    </row>
    <row r="8" spans="1:384" s="441" customFormat="1" ht="27" customHeight="1">
      <c r="A8" s="3610">
        <v>0.20833333333333334</v>
      </c>
      <c r="B8" s="5170">
        <v>38</v>
      </c>
      <c r="C8" s="5143">
        <v>40</v>
      </c>
      <c r="D8" s="5143"/>
      <c r="E8" s="5143"/>
      <c r="F8" s="5144"/>
      <c r="G8" s="5145"/>
      <c r="H8" s="5148"/>
      <c r="I8" s="5144"/>
      <c r="J8" s="5143"/>
      <c r="K8" s="5143"/>
      <c r="L8" s="5143"/>
      <c r="M8" s="5143"/>
      <c r="N8" s="5143"/>
      <c r="O8" s="5143"/>
      <c r="P8" s="5143"/>
      <c r="Q8" s="5143"/>
      <c r="R8" s="5143"/>
      <c r="S8" s="5143"/>
      <c r="T8" s="5143"/>
      <c r="U8" s="5143">
        <v>30</v>
      </c>
      <c r="V8" s="5143">
        <v>8</v>
      </c>
      <c r="W8" s="5143"/>
      <c r="X8" s="5143"/>
      <c r="Y8" s="5143">
        <v>241</v>
      </c>
      <c r="Z8" s="5143"/>
      <c r="AA8" s="5143"/>
      <c r="AB8" s="5143"/>
      <c r="AC8" s="5143"/>
      <c r="AD8" s="5144"/>
      <c r="AE8" s="5143"/>
      <c r="AF8" s="5143">
        <v>80</v>
      </c>
      <c r="AG8" s="5143">
        <v>3</v>
      </c>
      <c r="AH8" s="5143">
        <v>168</v>
      </c>
      <c r="AI8" s="5143">
        <v>275</v>
      </c>
      <c r="AJ8" s="5143">
        <v>150</v>
      </c>
      <c r="AK8" s="5143">
        <v>5</v>
      </c>
      <c r="AL8" s="5143">
        <v>137</v>
      </c>
      <c r="AM8" s="5143"/>
      <c r="AN8" s="5143"/>
      <c r="AO8" s="5143"/>
      <c r="AP8" s="5143">
        <v>180</v>
      </c>
      <c r="AQ8" s="5143">
        <v>271</v>
      </c>
      <c r="AR8" s="5143">
        <v>52</v>
      </c>
      <c r="AS8" s="5143"/>
      <c r="AT8" s="5143">
        <v>42</v>
      </c>
      <c r="AU8" s="5143"/>
      <c r="AV8" s="5143"/>
      <c r="AW8" s="5143">
        <v>40</v>
      </c>
      <c r="AX8" s="5143">
        <v>40</v>
      </c>
      <c r="AY8" s="5143"/>
      <c r="AZ8" s="5143"/>
      <c r="BA8" s="5143">
        <v>190</v>
      </c>
      <c r="BB8" s="5143">
        <v>18</v>
      </c>
      <c r="BC8" s="5143"/>
      <c r="BD8" s="5143">
        <v>10</v>
      </c>
      <c r="BE8" s="5143">
        <v>8</v>
      </c>
      <c r="BF8" s="5143">
        <v>50</v>
      </c>
      <c r="BG8" s="5143">
        <v>22</v>
      </c>
      <c r="BH8" s="5143">
        <v>295</v>
      </c>
      <c r="BI8" s="5143">
        <v>400</v>
      </c>
      <c r="BJ8" s="5143">
        <v>17</v>
      </c>
      <c r="BK8" s="5143">
        <v>22</v>
      </c>
      <c r="BL8" s="5143">
        <v>21</v>
      </c>
      <c r="BM8" s="5143">
        <v>16</v>
      </c>
      <c r="BN8" s="5143">
        <v>22</v>
      </c>
      <c r="BO8" s="5146">
        <v>65</v>
      </c>
      <c r="BP8" s="5143">
        <v>32</v>
      </c>
      <c r="BQ8" s="5143">
        <v>21</v>
      </c>
      <c r="BR8" s="5143">
        <v>11</v>
      </c>
      <c r="BS8" s="5143">
        <v>33</v>
      </c>
      <c r="BT8" s="5143">
        <v>9</v>
      </c>
      <c r="BU8" s="5143">
        <v>25</v>
      </c>
      <c r="BV8" s="5143">
        <v>9</v>
      </c>
      <c r="BW8" s="5143">
        <v>14</v>
      </c>
      <c r="BX8" s="5143">
        <v>33</v>
      </c>
      <c r="BY8" s="5143"/>
      <c r="BZ8" s="5143"/>
      <c r="CA8" s="5143">
        <v>8</v>
      </c>
      <c r="CB8" s="5143"/>
      <c r="CC8" s="5144"/>
      <c r="CD8" s="5143"/>
      <c r="CE8" s="5144"/>
      <c r="CF8" s="5144"/>
      <c r="CG8" s="5144">
        <v>8</v>
      </c>
      <c r="CH8" s="5144"/>
      <c r="CI8" s="5145"/>
      <c r="CJ8" s="5144">
        <v>54</v>
      </c>
      <c r="CK8" s="5144">
        <v>17</v>
      </c>
      <c r="CL8" s="5144"/>
      <c r="CM8" s="5144"/>
      <c r="CN8" s="5144"/>
      <c r="CO8" s="5144"/>
      <c r="CP8" s="5144"/>
      <c r="CQ8" s="5144"/>
      <c r="CR8" s="5144"/>
      <c r="CS8" s="5144"/>
      <c r="CT8" s="5144"/>
      <c r="CU8" s="5144"/>
      <c r="CV8" s="5144"/>
      <c r="CW8" s="5144">
        <v>51</v>
      </c>
      <c r="CX8" s="5144"/>
      <c r="CY8" s="5144"/>
      <c r="CZ8" s="5144">
        <v>6</v>
      </c>
      <c r="DA8" s="5144"/>
      <c r="DB8" s="5144"/>
      <c r="DC8" s="5144"/>
      <c r="DD8" s="5144">
        <v>17</v>
      </c>
      <c r="DE8" s="5144">
        <v>130</v>
      </c>
      <c r="DF8" s="5148"/>
      <c r="DG8" s="5148">
        <v>35</v>
      </c>
      <c r="DH8" s="5144"/>
      <c r="DI8" s="5148"/>
      <c r="DJ8" s="5148">
        <v>45</v>
      </c>
      <c r="DK8" s="5148"/>
      <c r="DL8" s="5148"/>
      <c r="DM8" s="5148">
        <v>40</v>
      </c>
      <c r="DN8" s="5148"/>
      <c r="DO8" s="5148">
        <v>50</v>
      </c>
      <c r="DP8" s="5144"/>
      <c r="DQ8" s="5144"/>
      <c r="DR8" s="5144"/>
      <c r="DS8" s="5144"/>
      <c r="DT8" s="5144">
        <v>87</v>
      </c>
      <c r="DU8" s="5144">
        <v>17</v>
      </c>
      <c r="DV8" s="5144"/>
      <c r="DW8" s="5144"/>
      <c r="DX8" s="5144"/>
      <c r="DY8" s="5103">
        <f t="shared" si="0"/>
        <v>3708</v>
      </c>
      <c r="DZ8" s="5149"/>
      <c r="EA8" s="5140"/>
      <c r="EB8" s="5140"/>
      <c r="EC8" s="5140"/>
      <c r="ED8" s="5140"/>
      <c r="EE8" s="5140"/>
      <c r="EF8" s="5140"/>
      <c r="EG8" s="5140"/>
      <c r="EH8" s="5140"/>
      <c r="EI8" s="5140"/>
      <c r="EJ8" s="5140"/>
      <c r="EK8" s="5140"/>
      <c r="EL8" s="5140">
        <v>150</v>
      </c>
      <c r="EM8" s="5140"/>
      <c r="EN8" s="5140"/>
      <c r="EO8" s="5140"/>
      <c r="EP8" s="5140">
        <v>11</v>
      </c>
      <c r="EQ8" s="5140">
        <v>91</v>
      </c>
      <c r="ER8" s="5140">
        <v>15</v>
      </c>
      <c r="ES8" s="5140"/>
      <c r="ET8" s="5140"/>
      <c r="EU8" s="5140"/>
      <c r="EV8" s="5140"/>
      <c r="EW8" s="5140"/>
      <c r="EX8" s="5108">
        <v>422</v>
      </c>
      <c r="EY8" s="5140"/>
      <c r="EZ8" s="5140">
        <v>300</v>
      </c>
      <c r="FA8" s="5140"/>
      <c r="FB8" s="5140"/>
      <c r="FC8" s="5140"/>
      <c r="FD8" s="5140">
        <v>199</v>
      </c>
      <c r="FE8" s="5140"/>
      <c r="FF8" s="5140"/>
      <c r="FG8" s="5140"/>
      <c r="FH8" s="5140"/>
      <c r="FI8" s="5140"/>
      <c r="FJ8" s="5140"/>
      <c r="FK8" s="5140"/>
      <c r="FL8" s="5140"/>
      <c r="FM8" s="5140">
        <v>176</v>
      </c>
      <c r="FN8" s="5140"/>
      <c r="FO8" s="5140">
        <v>365</v>
      </c>
      <c r="FP8" s="5140"/>
      <c r="FQ8" s="5140"/>
      <c r="FR8" s="5140">
        <v>22</v>
      </c>
      <c r="FS8" s="5140"/>
      <c r="FT8" s="5140">
        <v>8</v>
      </c>
      <c r="FU8" s="5140"/>
      <c r="FV8" s="5140"/>
      <c r="FW8" s="5140"/>
      <c r="FX8" s="5140"/>
      <c r="FY8" s="5140">
        <v>8</v>
      </c>
      <c r="FZ8" s="5140"/>
      <c r="GA8" s="5137"/>
      <c r="GB8" s="5137"/>
      <c r="GC8" s="5137"/>
      <c r="GD8" s="5137"/>
      <c r="GE8" s="5137"/>
      <c r="GF8" s="5137"/>
      <c r="GG8" s="5141"/>
      <c r="GH8" s="5137"/>
      <c r="GI8" s="5137"/>
      <c r="GJ8" s="5110">
        <f t="shared" si="1"/>
        <v>1767</v>
      </c>
      <c r="GK8" s="5111">
        <f t="shared" si="2"/>
        <v>5475</v>
      </c>
      <c r="GL8" s="5112">
        <v>97.26</v>
      </c>
      <c r="GM8" s="4720">
        <v>0.20833333333333301</v>
      </c>
      <c r="GN8" s="4721"/>
      <c r="GO8" s="4722"/>
      <c r="GP8" s="4721"/>
      <c r="GQ8" s="4721"/>
      <c r="GR8" s="4721"/>
      <c r="GS8" s="4721"/>
      <c r="GT8" s="4721"/>
      <c r="GU8" s="4721"/>
      <c r="GV8" s="4721"/>
      <c r="GW8" s="4721"/>
      <c r="GX8" s="4721"/>
      <c r="GY8" s="4721"/>
      <c r="GZ8" s="4722"/>
      <c r="HA8" s="4722"/>
      <c r="HB8" s="4721"/>
      <c r="HC8" s="4721"/>
      <c r="HD8" s="4721"/>
      <c r="HE8" s="4721"/>
      <c r="HF8" s="4721"/>
      <c r="HG8" s="4721"/>
      <c r="HH8" s="4721"/>
      <c r="HI8" s="4721"/>
      <c r="HJ8" s="4721"/>
      <c r="HK8" s="4721"/>
      <c r="HL8" s="4721"/>
      <c r="HM8" s="4721"/>
      <c r="HN8" s="4721"/>
      <c r="HO8" s="4721"/>
      <c r="HP8" s="4721"/>
      <c r="HQ8" s="4721"/>
      <c r="HR8" s="4721"/>
      <c r="HS8" s="4721"/>
      <c r="HT8" s="4721"/>
      <c r="HU8" s="4721"/>
      <c r="HV8" s="4721"/>
      <c r="HW8" s="4721"/>
      <c r="HX8" s="4721"/>
      <c r="HY8" s="4721"/>
      <c r="HZ8" s="4721"/>
      <c r="IA8" s="4721"/>
      <c r="IB8" s="4721"/>
      <c r="IC8" s="4721"/>
      <c r="ID8" s="4721"/>
      <c r="IE8" s="4721"/>
      <c r="IF8" s="4721"/>
      <c r="IG8" s="4721"/>
      <c r="IH8" s="4721"/>
      <c r="II8" s="4721"/>
      <c r="IJ8" s="4721"/>
      <c r="IK8" s="4721"/>
      <c r="IL8" s="4721"/>
      <c r="IM8" s="4721"/>
      <c r="IN8" s="4721"/>
      <c r="IO8" s="4721"/>
      <c r="IP8" s="4721"/>
      <c r="IQ8" s="4721"/>
      <c r="IR8" s="4722"/>
      <c r="IS8" s="4722"/>
      <c r="IT8" s="4721"/>
      <c r="IU8" s="4721"/>
      <c r="IV8" s="4721"/>
      <c r="IW8" s="4721"/>
      <c r="IX8" s="4721"/>
      <c r="IY8" s="4721"/>
      <c r="IZ8" s="4723"/>
      <c r="JA8" s="4723"/>
      <c r="JB8" s="4721"/>
      <c r="JC8" s="4721"/>
      <c r="JD8" s="4721"/>
      <c r="JE8" s="4721"/>
      <c r="JF8" s="4721"/>
      <c r="JG8" s="4721"/>
      <c r="JH8" s="4721"/>
      <c r="JI8" s="4721"/>
      <c r="JJ8" s="4721"/>
      <c r="JK8" s="4721"/>
      <c r="JL8" s="4721"/>
      <c r="JM8" s="4721"/>
      <c r="JN8" s="4721"/>
      <c r="JO8" s="4721"/>
      <c r="JP8" s="4721"/>
      <c r="JQ8" s="4721"/>
      <c r="JR8" s="4721"/>
      <c r="JS8" s="4721"/>
      <c r="JT8" s="4721"/>
      <c r="JU8" s="4721"/>
      <c r="JV8" s="4721"/>
      <c r="JW8" s="4721"/>
      <c r="JX8" s="4721"/>
      <c r="JY8" s="4721"/>
      <c r="JZ8" s="4721"/>
      <c r="KA8" s="4721"/>
      <c r="KB8" s="4721"/>
      <c r="KC8" s="4721"/>
      <c r="KD8" s="4721"/>
      <c r="KE8" s="4721"/>
      <c r="KF8" s="4721"/>
      <c r="KG8" s="4721"/>
      <c r="KH8" s="4721"/>
      <c r="KI8" s="4721"/>
      <c r="KJ8" s="4721"/>
      <c r="KK8" s="4721"/>
      <c r="KL8" s="4721"/>
      <c r="KM8" s="4721"/>
      <c r="KN8" s="4721"/>
      <c r="KO8" s="4721"/>
      <c r="KP8" s="4721"/>
      <c r="KQ8" s="4721"/>
      <c r="KR8" s="4722"/>
      <c r="KS8" s="4721"/>
      <c r="KT8" s="4721"/>
      <c r="KU8" s="4721"/>
      <c r="KV8" s="4721"/>
      <c r="KW8" s="4721"/>
      <c r="KX8" s="4721"/>
      <c r="KY8" s="4721"/>
      <c r="KZ8" s="4721"/>
      <c r="LA8" s="4721"/>
      <c r="LB8" s="4721"/>
      <c r="LC8" s="4721"/>
      <c r="LD8" s="4721"/>
      <c r="LE8" s="4721"/>
      <c r="LF8" s="4721"/>
      <c r="LG8" s="4722"/>
      <c r="LH8" s="4721"/>
      <c r="LI8" s="4721"/>
      <c r="LJ8" s="4721"/>
      <c r="LK8" s="4721"/>
      <c r="LL8" s="4721"/>
      <c r="LM8" s="4721"/>
      <c r="LN8" s="4721"/>
      <c r="LO8" s="4721"/>
      <c r="LP8" s="4721"/>
      <c r="LQ8" s="4721"/>
      <c r="LR8" s="4721"/>
      <c r="LS8" s="4721"/>
      <c r="LT8" s="4721"/>
      <c r="LU8" s="4721"/>
      <c r="LV8" s="4721"/>
      <c r="LW8" s="4721"/>
      <c r="LX8" s="4721"/>
      <c r="LY8" s="4721"/>
      <c r="LZ8" s="4721"/>
      <c r="MA8" s="4721"/>
      <c r="MB8" s="4721"/>
      <c r="MC8" s="4721"/>
      <c r="MD8" s="4721"/>
      <c r="ME8" s="4721"/>
      <c r="MF8" s="4721"/>
      <c r="MG8" s="4721"/>
      <c r="MH8" s="4721"/>
      <c r="MI8" s="4721"/>
      <c r="MJ8" s="4721"/>
      <c r="MK8" s="4721"/>
      <c r="ML8" s="4721"/>
      <c r="MM8" s="4721"/>
      <c r="MN8" s="4721"/>
      <c r="MO8" s="4721"/>
      <c r="MP8" s="4721"/>
      <c r="MQ8" s="4721"/>
      <c r="MR8" s="4721"/>
      <c r="MS8" s="4721"/>
      <c r="MT8" s="4721"/>
      <c r="MU8" s="4721"/>
      <c r="MV8" s="4721"/>
      <c r="MW8" s="4721"/>
      <c r="MX8" s="4721"/>
      <c r="MY8" s="4721"/>
      <c r="MZ8" s="4721"/>
      <c r="NA8" s="4721"/>
      <c r="NB8" s="4721"/>
      <c r="NC8" s="4722"/>
      <c r="ND8" s="4722"/>
      <c r="NE8" s="4721"/>
      <c r="NF8" s="4721"/>
      <c r="NG8" s="4721"/>
      <c r="NH8" s="4721"/>
      <c r="NI8" s="4721"/>
      <c r="NJ8" s="4721"/>
      <c r="NK8" s="4721"/>
      <c r="NL8" s="4721"/>
      <c r="NM8" s="4721"/>
      <c r="NN8" s="4721"/>
      <c r="NO8" s="4721"/>
      <c r="NP8" s="4721"/>
      <c r="NQ8" s="4721"/>
      <c r="NR8" s="4723"/>
      <c r="NS8" s="4722"/>
      <c r="NT8" s="4721"/>
    </row>
    <row r="9" spans="1:384" s="441" customFormat="1" ht="27" customHeight="1">
      <c r="A9" s="3610">
        <v>0.25</v>
      </c>
      <c r="B9" s="5143">
        <v>46</v>
      </c>
      <c r="C9" s="5143">
        <v>40</v>
      </c>
      <c r="D9" s="5143"/>
      <c r="E9" s="5143"/>
      <c r="F9" s="5144"/>
      <c r="G9" s="5145"/>
      <c r="H9" s="5148"/>
      <c r="I9" s="5144"/>
      <c r="J9" s="5143"/>
      <c r="K9" s="5143"/>
      <c r="L9" s="5143"/>
      <c r="M9" s="5143"/>
      <c r="N9" s="5143"/>
      <c r="O9" s="5143"/>
      <c r="P9" s="5143"/>
      <c r="Q9" s="5143"/>
      <c r="R9" s="5143"/>
      <c r="S9" s="5143"/>
      <c r="T9" s="5143"/>
      <c r="U9" s="5143">
        <v>30</v>
      </c>
      <c r="V9" s="5143">
        <v>8</v>
      </c>
      <c r="W9" s="5143"/>
      <c r="X9" s="5143"/>
      <c r="Y9" s="5143">
        <v>241</v>
      </c>
      <c r="Z9" s="5143"/>
      <c r="AA9" s="5143"/>
      <c r="AB9" s="5143"/>
      <c r="AC9" s="5143"/>
      <c r="AD9" s="5144"/>
      <c r="AE9" s="5143"/>
      <c r="AF9" s="5143">
        <v>80</v>
      </c>
      <c r="AG9" s="5143">
        <v>3</v>
      </c>
      <c r="AH9" s="5143">
        <v>153</v>
      </c>
      <c r="AI9" s="5143">
        <v>325</v>
      </c>
      <c r="AJ9" s="5143">
        <v>150</v>
      </c>
      <c r="AK9" s="5143">
        <v>5</v>
      </c>
      <c r="AL9" s="5143">
        <v>136</v>
      </c>
      <c r="AM9" s="5143"/>
      <c r="AN9" s="5143"/>
      <c r="AO9" s="5143"/>
      <c r="AP9" s="5143">
        <v>180</v>
      </c>
      <c r="AQ9" s="5143">
        <v>271</v>
      </c>
      <c r="AR9" s="5143">
        <v>52</v>
      </c>
      <c r="AS9" s="5143"/>
      <c r="AT9" s="5143">
        <v>42</v>
      </c>
      <c r="AU9" s="5143"/>
      <c r="AV9" s="5143"/>
      <c r="AW9" s="5143">
        <v>40</v>
      </c>
      <c r="AX9" s="5143">
        <v>40</v>
      </c>
      <c r="AY9" s="5143"/>
      <c r="AZ9" s="5143"/>
      <c r="BA9" s="5143">
        <v>190</v>
      </c>
      <c r="BB9" s="5143">
        <v>18</v>
      </c>
      <c r="BC9" s="5143"/>
      <c r="BD9" s="5143">
        <v>10</v>
      </c>
      <c r="BE9" s="5143">
        <v>8</v>
      </c>
      <c r="BF9" s="5143">
        <v>50</v>
      </c>
      <c r="BG9" s="5143">
        <v>22</v>
      </c>
      <c r="BH9" s="5143">
        <v>300</v>
      </c>
      <c r="BI9" s="5143">
        <v>400</v>
      </c>
      <c r="BJ9" s="5143">
        <v>35</v>
      </c>
      <c r="BK9" s="5143">
        <v>22</v>
      </c>
      <c r="BL9" s="5143">
        <v>21</v>
      </c>
      <c r="BM9" s="5143">
        <v>16</v>
      </c>
      <c r="BN9" s="5143">
        <v>22</v>
      </c>
      <c r="BO9" s="5146">
        <v>66</v>
      </c>
      <c r="BP9" s="5143">
        <v>32</v>
      </c>
      <c r="BQ9" s="5143">
        <v>21</v>
      </c>
      <c r="BR9" s="5143">
        <v>11</v>
      </c>
      <c r="BS9" s="5143">
        <v>33</v>
      </c>
      <c r="BT9" s="5143">
        <v>9</v>
      </c>
      <c r="BU9" s="5143">
        <v>25</v>
      </c>
      <c r="BV9" s="5143">
        <v>9</v>
      </c>
      <c r="BW9" s="5143">
        <v>14</v>
      </c>
      <c r="BX9" s="5143">
        <v>33</v>
      </c>
      <c r="BY9" s="5143"/>
      <c r="BZ9" s="5143"/>
      <c r="CA9" s="5143">
        <v>25</v>
      </c>
      <c r="CB9" s="5143">
        <v>1</v>
      </c>
      <c r="CC9" s="5144"/>
      <c r="CD9" s="5143"/>
      <c r="CE9" s="5144"/>
      <c r="CF9" s="5144"/>
      <c r="CG9" s="5144">
        <v>10</v>
      </c>
      <c r="CH9" s="5144"/>
      <c r="CI9" s="5145"/>
      <c r="CJ9" s="5144">
        <v>54</v>
      </c>
      <c r="CK9" s="5144">
        <v>17</v>
      </c>
      <c r="CL9" s="5144"/>
      <c r="CM9" s="5144"/>
      <c r="CN9" s="5144"/>
      <c r="CO9" s="5144"/>
      <c r="CP9" s="5144"/>
      <c r="CQ9" s="5144"/>
      <c r="CR9" s="5144"/>
      <c r="CS9" s="5144"/>
      <c r="CT9" s="5144"/>
      <c r="CU9" s="5144"/>
      <c r="CV9" s="5144"/>
      <c r="CW9" s="5144">
        <v>51</v>
      </c>
      <c r="CX9" s="5144"/>
      <c r="CY9" s="5144"/>
      <c r="CZ9" s="5144">
        <v>5</v>
      </c>
      <c r="DA9" s="5144"/>
      <c r="DB9" s="5144"/>
      <c r="DC9" s="5144"/>
      <c r="DD9" s="5144">
        <v>17</v>
      </c>
      <c r="DE9" s="5144">
        <v>130</v>
      </c>
      <c r="DF9" s="5148"/>
      <c r="DG9" s="5148">
        <v>35</v>
      </c>
      <c r="DH9" s="5144"/>
      <c r="DI9" s="5148"/>
      <c r="DJ9" s="5148">
        <v>45</v>
      </c>
      <c r="DK9" s="5148"/>
      <c r="DL9" s="5148"/>
      <c r="DM9" s="5148">
        <v>90</v>
      </c>
      <c r="DN9" s="5148"/>
      <c r="DO9" s="5148">
        <v>63</v>
      </c>
      <c r="DP9" s="5144"/>
      <c r="DQ9" s="5144"/>
      <c r="DR9" s="5144">
        <v>5</v>
      </c>
      <c r="DS9" s="5144">
        <v>30</v>
      </c>
      <c r="DT9" s="5144">
        <v>103</v>
      </c>
      <c r="DU9" s="5144">
        <v>17</v>
      </c>
      <c r="DV9" s="5144"/>
      <c r="DW9" s="5144"/>
      <c r="DX9" s="5144"/>
      <c r="DY9" s="5103">
        <f t="shared" si="0"/>
        <v>3907</v>
      </c>
      <c r="DZ9" s="5149"/>
      <c r="EA9" s="5140"/>
      <c r="EB9" s="5140"/>
      <c r="EC9" s="5140"/>
      <c r="ED9" s="5140"/>
      <c r="EE9" s="5140"/>
      <c r="EF9" s="5140"/>
      <c r="EG9" s="5140"/>
      <c r="EH9" s="5140"/>
      <c r="EI9" s="5140"/>
      <c r="EJ9" s="5140"/>
      <c r="EK9" s="5140"/>
      <c r="EL9" s="5140">
        <v>150</v>
      </c>
      <c r="EM9" s="5140"/>
      <c r="EN9" s="5140"/>
      <c r="EO9" s="5140"/>
      <c r="EP9" s="5140">
        <v>11</v>
      </c>
      <c r="EQ9" s="5140">
        <v>91</v>
      </c>
      <c r="ER9" s="5140">
        <v>17</v>
      </c>
      <c r="ES9" s="5140"/>
      <c r="ET9" s="5140"/>
      <c r="EU9" s="5140"/>
      <c r="EV9" s="5140"/>
      <c r="EW9" s="5140"/>
      <c r="EX9" s="5108">
        <v>423</v>
      </c>
      <c r="EY9" s="5140"/>
      <c r="EZ9" s="5140">
        <v>300</v>
      </c>
      <c r="FA9" s="5140"/>
      <c r="FB9" s="5140"/>
      <c r="FC9" s="5140"/>
      <c r="FD9" s="5140">
        <v>199</v>
      </c>
      <c r="FE9" s="5140"/>
      <c r="FF9" s="5140"/>
      <c r="FG9" s="5140"/>
      <c r="FH9" s="5140"/>
      <c r="FI9" s="5140"/>
      <c r="FJ9" s="5140"/>
      <c r="FK9" s="5140"/>
      <c r="FL9" s="5140"/>
      <c r="FM9" s="5140">
        <v>174</v>
      </c>
      <c r="FN9" s="5140"/>
      <c r="FO9" s="5140">
        <v>408</v>
      </c>
      <c r="FP9" s="5140"/>
      <c r="FQ9" s="5140"/>
      <c r="FR9" s="5140">
        <v>22</v>
      </c>
      <c r="FS9" s="5140"/>
      <c r="FT9" s="5140">
        <v>8</v>
      </c>
      <c r="FU9" s="5140"/>
      <c r="FV9" s="5140"/>
      <c r="FW9" s="5140"/>
      <c r="FX9" s="5140"/>
      <c r="FY9" s="5140">
        <v>8</v>
      </c>
      <c r="FZ9" s="5140"/>
      <c r="GA9" s="5137"/>
      <c r="GB9" s="5137"/>
      <c r="GC9" s="5137">
        <v>10</v>
      </c>
      <c r="GD9" s="5137"/>
      <c r="GE9" s="5137"/>
      <c r="GF9" s="5137">
        <v>34</v>
      </c>
      <c r="GG9" s="5141"/>
      <c r="GH9" s="5137"/>
      <c r="GI9" s="5137"/>
      <c r="GJ9" s="5110">
        <f t="shared" si="1"/>
        <v>1855</v>
      </c>
      <c r="GK9" s="5111">
        <f t="shared" si="2"/>
        <v>5762</v>
      </c>
      <c r="GL9" s="5112">
        <v>97.25</v>
      </c>
      <c r="GM9" s="4720">
        <v>0.25</v>
      </c>
      <c r="GN9" s="4721"/>
      <c r="GO9" s="4722"/>
      <c r="GP9" s="4721"/>
      <c r="GQ9" s="4721"/>
      <c r="GR9" s="4721"/>
      <c r="GS9" s="4721"/>
      <c r="GT9" s="4721"/>
      <c r="GU9" s="4721"/>
      <c r="GV9" s="4721"/>
      <c r="GW9" s="4721"/>
      <c r="GX9" s="4721"/>
      <c r="GY9" s="4721"/>
      <c r="GZ9" s="4722"/>
      <c r="HA9" s="4722"/>
      <c r="HB9" s="4721"/>
      <c r="HC9" s="4721"/>
      <c r="HD9" s="4721"/>
      <c r="HE9" s="4721"/>
      <c r="HF9" s="4721"/>
      <c r="HG9" s="4721"/>
      <c r="HH9" s="4721"/>
      <c r="HI9" s="4721"/>
      <c r="HJ9" s="4721"/>
      <c r="HK9" s="4721"/>
      <c r="HL9" s="4721"/>
      <c r="HM9" s="4721"/>
      <c r="HN9" s="4721"/>
      <c r="HO9" s="4721"/>
      <c r="HP9" s="4721"/>
      <c r="HQ9" s="4721"/>
      <c r="HR9" s="4721"/>
      <c r="HS9" s="4721"/>
      <c r="HT9" s="4722"/>
      <c r="HU9" s="4722"/>
      <c r="HV9" s="4721"/>
      <c r="HW9" s="4721"/>
      <c r="HX9" s="4721"/>
      <c r="HY9" s="4721"/>
      <c r="HZ9" s="4721"/>
      <c r="IA9" s="4721"/>
      <c r="IB9" s="4721"/>
      <c r="IC9" s="4721"/>
      <c r="ID9" s="4721"/>
      <c r="IE9" s="4721"/>
      <c r="IF9" s="4721"/>
      <c r="IG9" s="4721"/>
      <c r="IH9" s="4721"/>
      <c r="II9" s="4721"/>
      <c r="IJ9" s="4721"/>
      <c r="IK9" s="4721"/>
      <c r="IL9" s="4721"/>
      <c r="IM9" s="4721"/>
      <c r="IN9" s="4721"/>
      <c r="IO9" s="4721"/>
      <c r="IP9" s="4721"/>
      <c r="IQ9" s="4721"/>
      <c r="IR9" s="4722"/>
      <c r="IS9" s="4722"/>
      <c r="IT9" s="4721"/>
      <c r="IU9" s="4721"/>
      <c r="IV9" s="4721"/>
      <c r="IW9" s="4721"/>
      <c r="IX9" s="4721"/>
      <c r="IY9" s="4721"/>
      <c r="IZ9" s="4723"/>
      <c r="JA9" s="4723"/>
      <c r="JB9" s="4721"/>
      <c r="JC9" s="4721"/>
      <c r="JD9" s="4721"/>
      <c r="JE9" s="4721"/>
      <c r="JF9" s="4721"/>
      <c r="JG9" s="4721"/>
      <c r="JH9" s="4721"/>
      <c r="JI9" s="4721"/>
      <c r="JJ9" s="4721"/>
      <c r="JK9" s="4721"/>
      <c r="JL9" s="4721"/>
      <c r="JM9" s="4721"/>
      <c r="JN9" s="4721"/>
      <c r="JO9" s="4721"/>
      <c r="JP9" s="4721"/>
      <c r="JQ9" s="4721"/>
      <c r="JR9" s="4721"/>
      <c r="JS9" s="4721"/>
      <c r="JT9" s="4721"/>
      <c r="JU9" s="4721"/>
      <c r="JV9" s="4721"/>
      <c r="JW9" s="4721"/>
      <c r="JX9" s="4721"/>
      <c r="JY9" s="4721"/>
      <c r="JZ9" s="4721"/>
      <c r="KA9" s="4721"/>
      <c r="KB9" s="4721"/>
      <c r="KC9" s="4721"/>
      <c r="KD9" s="4721"/>
      <c r="KE9" s="4721"/>
      <c r="KF9" s="4721"/>
      <c r="KG9" s="4721"/>
      <c r="KH9" s="4721"/>
      <c r="KI9" s="4721"/>
      <c r="KJ9" s="4721"/>
      <c r="KK9" s="4721"/>
      <c r="KL9" s="4721"/>
      <c r="KM9" s="4721"/>
      <c r="KN9" s="4721"/>
      <c r="KO9" s="4721"/>
      <c r="KP9" s="4721"/>
      <c r="KQ9" s="4721"/>
      <c r="KR9" s="4722"/>
      <c r="KS9" s="4721"/>
      <c r="KT9" s="4721"/>
      <c r="KU9" s="4721"/>
      <c r="KV9" s="4721"/>
      <c r="KW9" s="4721"/>
      <c r="KX9" s="4721"/>
      <c r="KY9" s="4721"/>
      <c r="KZ9" s="4721"/>
      <c r="LA9" s="4721"/>
      <c r="LB9" s="4721"/>
      <c r="LC9" s="4721"/>
      <c r="LD9" s="4721"/>
      <c r="LE9" s="4721"/>
      <c r="LF9" s="4721"/>
      <c r="LG9" s="4722"/>
      <c r="LH9" s="4721"/>
      <c r="LI9" s="4721"/>
      <c r="LJ9" s="4721"/>
      <c r="LK9" s="4721"/>
      <c r="LL9" s="4721"/>
      <c r="LM9" s="4721"/>
      <c r="LN9" s="4721"/>
      <c r="LO9" s="4721"/>
      <c r="LP9" s="4721"/>
      <c r="LQ9" s="4721"/>
      <c r="LR9" s="4721"/>
      <c r="LS9" s="4721"/>
      <c r="LT9" s="4721"/>
      <c r="LU9" s="4721"/>
      <c r="LV9" s="4721"/>
      <c r="LW9" s="4721"/>
      <c r="LX9" s="4721"/>
      <c r="LY9" s="4721"/>
      <c r="LZ9" s="4721"/>
      <c r="MA9" s="4721"/>
      <c r="MB9" s="4721"/>
      <c r="MC9" s="4721"/>
      <c r="MD9" s="4721"/>
      <c r="ME9" s="4721"/>
      <c r="MF9" s="4721"/>
      <c r="MG9" s="4721"/>
      <c r="MH9" s="4721"/>
      <c r="MI9" s="4721"/>
      <c r="MJ9" s="4721"/>
      <c r="MK9" s="4721"/>
      <c r="ML9" s="4721"/>
      <c r="MM9" s="4721"/>
      <c r="MN9" s="4721"/>
      <c r="MO9" s="4721"/>
      <c r="MP9" s="4721"/>
      <c r="MQ9" s="4721"/>
      <c r="MR9" s="4721"/>
      <c r="MS9" s="4721"/>
      <c r="MT9" s="4721"/>
      <c r="MU9" s="4721"/>
      <c r="MV9" s="4721"/>
      <c r="MW9" s="4721"/>
      <c r="MX9" s="4721"/>
      <c r="MY9" s="4721"/>
      <c r="MZ9" s="4721"/>
      <c r="NA9" s="4721"/>
      <c r="NB9" s="4721"/>
      <c r="NC9" s="4722"/>
      <c r="ND9" s="4722"/>
      <c r="NE9" s="4721"/>
      <c r="NF9" s="4721"/>
      <c r="NG9" s="4721"/>
      <c r="NH9" s="4721"/>
      <c r="NI9" s="4721"/>
      <c r="NJ9" s="4721"/>
      <c r="NK9" s="4721"/>
      <c r="NL9" s="4721"/>
      <c r="NM9" s="4721"/>
      <c r="NN9" s="4721"/>
      <c r="NO9" s="4721"/>
      <c r="NP9" s="4721"/>
      <c r="NQ9" s="4721"/>
      <c r="NR9" s="4723"/>
      <c r="NS9" s="4722"/>
      <c r="NT9" s="4721"/>
    </row>
    <row r="10" spans="1:384" s="441" customFormat="1" ht="27" customHeight="1">
      <c r="A10" s="3610">
        <v>0.29166666666666669</v>
      </c>
      <c r="B10" s="5170">
        <v>46</v>
      </c>
      <c r="C10" s="5143">
        <v>40</v>
      </c>
      <c r="D10" s="5143"/>
      <c r="E10" s="5143"/>
      <c r="F10" s="5144"/>
      <c r="G10" s="5145">
        <v>1</v>
      </c>
      <c r="H10" s="5148"/>
      <c r="I10" s="5144"/>
      <c r="J10" s="5143"/>
      <c r="K10" s="5143"/>
      <c r="L10" s="5143"/>
      <c r="M10" s="5143"/>
      <c r="N10" s="5143"/>
      <c r="O10" s="5143">
        <v>17</v>
      </c>
      <c r="P10" s="5143"/>
      <c r="Q10" s="5143"/>
      <c r="R10" s="5143"/>
      <c r="S10" s="5143"/>
      <c r="T10" s="5143"/>
      <c r="U10" s="5143">
        <v>38</v>
      </c>
      <c r="V10" s="5143">
        <v>8</v>
      </c>
      <c r="W10" s="5143"/>
      <c r="X10" s="5143"/>
      <c r="Y10" s="5143">
        <v>241</v>
      </c>
      <c r="Z10" s="5143"/>
      <c r="AA10" s="5143"/>
      <c r="AB10" s="5143"/>
      <c r="AC10" s="5143"/>
      <c r="AD10" s="5144"/>
      <c r="AE10" s="5143"/>
      <c r="AF10" s="5143">
        <v>80</v>
      </c>
      <c r="AG10" s="5143">
        <v>3</v>
      </c>
      <c r="AH10" s="5143">
        <v>163</v>
      </c>
      <c r="AI10" s="5143">
        <v>275</v>
      </c>
      <c r="AJ10" s="5143">
        <v>150</v>
      </c>
      <c r="AK10" s="5143">
        <v>5</v>
      </c>
      <c r="AL10" s="5143">
        <v>136</v>
      </c>
      <c r="AM10" s="5143"/>
      <c r="AN10" s="5143"/>
      <c r="AO10" s="5143"/>
      <c r="AP10" s="5143">
        <v>180</v>
      </c>
      <c r="AQ10" s="5143">
        <v>271</v>
      </c>
      <c r="AR10" s="5143">
        <v>52</v>
      </c>
      <c r="AS10" s="5143">
        <v>1</v>
      </c>
      <c r="AT10" s="5143">
        <v>42</v>
      </c>
      <c r="AU10" s="5143"/>
      <c r="AV10" s="5143"/>
      <c r="AW10" s="5143">
        <v>40</v>
      </c>
      <c r="AX10" s="5143">
        <v>40</v>
      </c>
      <c r="AY10" s="5143"/>
      <c r="AZ10" s="5143"/>
      <c r="BA10" s="5143">
        <v>190</v>
      </c>
      <c r="BB10" s="5143">
        <v>18</v>
      </c>
      <c r="BC10" s="5143"/>
      <c r="BD10" s="5143">
        <v>10</v>
      </c>
      <c r="BE10" s="5143">
        <v>8</v>
      </c>
      <c r="BF10" s="5143">
        <v>50</v>
      </c>
      <c r="BG10" s="5143">
        <v>22</v>
      </c>
      <c r="BH10" s="5143">
        <v>300</v>
      </c>
      <c r="BI10" s="5143">
        <v>400</v>
      </c>
      <c r="BJ10" s="5143">
        <v>35</v>
      </c>
      <c r="BK10" s="5143">
        <v>22</v>
      </c>
      <c r="BL10" s="5143">
        <v>21</v>
      </c>
      <c r="BM10" s="5143">
        <v>16</v>
      </c>
      <c r="BN10" s="5143">
        <v>22</v>
      </c>
      <c r="BO10" s="5146">
        <v>66</v>
      </c>
      <c r="BP10" s="5143">
        <v>22</v>
      </c>
      <c r="BQ10" s="5143">
        <v>19</v>
      </c>
      <c r="BR10" s="5143">
        <v>11</v>
      </c>
      <c r="BS10" s="5143">
        <v>33</v>
      </c>
      <c r="BT10" s="5143">
        <v>9</v>
      </c>
      <c r="BU10" s="5143">
        <v>25</v>
      </c>
      <c r="BV10" s="5143">
        <v>9</v>
      </c>
      <c r="BW10" s="5143">
        <v>14</v>
      </c>
      <c r="BX10" s="5143">
        <v>33</v>
      </c>
      <c r="BY10" s="5143"/>
      <c r="BZ10" s="5143"/>
      <c r="CA10" s="5143">
        <v>99</v>
      </c>
      <c r="CB10" s="5143">
        <v>17</v>
      </c>
      <c r="CC10" s="5144"/>
      <c r="CD10" s="5143"/>
      <c r="CE10" s="5144"/>
      <c r="CF10" s="5144"/>
      <c r="CG10" s="5144">
        <v>25</v>
      </c>
      <c r="CH10" s="5144">
        <v>15</v>
      </c>
      <c r="CI10" s="5145">
        <v>0</v>
      </c>
      <c r="CJ10" s="5144">
        <v>54</v>
      </c>
      <c r="CK10" s="5144">
        <v>49</v>
      </c>
      <c r="CL10" s="5144"/>
      <c r="CM10" s="5144"/>
      <c r="CN10" s="5144"/>
      <c r="CO10" s="5144"/>
      <c r="CP10" s="5144"/>
      <c r="CQ10" s="5144"/>
      <c r="CR10" s="5144">
        <v>33</v>
      </c>
      <c r="CS10" s="5144"/>
      <c r="CT10" s="5144"/>
      <c r="CU10" s="5144"/>
      <c r="CV10" s="5144"/>
      <c r="CW10" s="5144">
        <v>51</v>
      </c>
      <c r="CX10" s="5144"/>
      <c r="CY10" s="5144"/>
      <c r="CZ10" s="5144">
        <v>6</v>
      </c>
      <c r="DA10" s="5144"/>
      <c r="DB10" s="5144"/>
      <c r="DC10" s="5144"/>
      <c r="DD10" s="5144">
        <v>55</v>
      </c>
      <c r="DE10" s="5144">
        <v>163</v>
      </c>
      <c r="DF10" s="5148">
        <v>0</v>
      </c>
      <c r="DG10" s="5148">
        <v>35</v>
      </c>
      <c r="DH10" s="5148"/>
      <c r="DI10" s="5148"/>
      <c r="DJ10" s="5148">
        <v>55</v>
      </c>
      <c r="DK10" s="5148"/>
      <c r="DL10" s="5148"/>
      <c r="DM10" s="5148">
        <v>90</v>
      </c>
      <c r="DN10" s="5148"/>
      <c r="DO10" s="5148">
        <v>142</v>
      </c>
      <c r="DP10" s="5144"/>
      <c r="DQ10" s="5144">
        <v>2</v>
      </c>
      <c r="DR10" s="5144">
        <v>25</v>
      </c>
      <c r="DS10" s="5144">
        <v>30</v>
      </c>
      <c r="DT10" s="5144">
        <v>116</v>
      </c>
      <c r="DU10" s="5144">
        <v>17</v>
      </c>
      <c r="DV10" s="5144">
        <v>1</v>
      </c>
      <c r="DW10" s="5144"/>
      <c r="DX10" s="5144"/>
      <c r="DY10" s="5103">
        <f t="shared" si="0"/>
        <v>4264</v>
      </c>
      <c r="DZ10" s="5149"/>
      <c r="EA10" s="5140"/>
      <c r="EB10" s="5140"/>
      <c r="EC10" s="5140"/>
      <c r="ED10" s="5140"/>
      <c r="EE10" s="5140"/>
      <c r="EF10" s="5140"/>
      <c r="EG10" s="5140"/>
      <c r="EH10" s="5140"/>
      <c r="EI10" s="5140"/>
      <c r="EJ10" s="5140"/>
      <c r="EK10" s="5140"/>
      <c r="EL10" s="5140">
        <v>150</v>
      </c>
      <c r="EM10" s="5140"/>
      <c r="EN10" s="5140"/>
      <c r="EO10" s="5140"/>
      <c r="EP10" s="5140">
        <v>11</v>
      </c>
      <c r="EQ10" s="5140">
        <v>91</v>
      </c>
      <c r="ER10" s="5140">
        <v>15</v>
      </c>
      <c r="ES10" s="5140"/>
      <c r="ET10" s="5140"/>
      <c r="EU10" s="5140"/>
      <c r="EV10" s="5140"/>
      <c r="EW10" s="5140"/>
      <c r="EX10" s="5108">
        <v>468</v>
      </c>
      <c r="EY10" s="5140"/>
      <c r="EZ10" s="5140">
        <v>300</v>
      </c>
      <c r="FA10" s="5140"/>
      <c r="FB10" s="5140"/>
      <c r="FC10" s="5140"/>
      <c r="FD10" s="5140">
        <v>199</v>
      </c>
      <c r="FE10" s="5140"/>
      <c r="FF10" s="5140"/>
      <c r="FG10" s="5140"/>
      <c r="FH10" s="5140">
        <v>0</v>
      </c>
      <c r="FI10" s="5140"/>
      <c r="FJ10" s="5140"/>
      <c r="FK10" s="5140"/>
      <c r="FL10" s="5140"/>
      <c r="FM10" s="5140">
        <v>175</v>
      </c>
      <c r="FN10" s="5140"/>
      <c r="FO10" s="5140">
        <v>396</v>
      </c>
      <c r="FP10" s="5140"/>
      <c r="FQ10" s="5140"/>
      <c r="FR10" s="5140">
        <v>22</v>
      </c>
      <c r="FS10" s="5140"/>
      <c r="FT10" s="5140">
        <v>8</v>
      </c>
      <c r="FU10" s="5140"/>
      <c r="FV10" s="5140"/>
      <c r="FW10" s="5140"/>
      <c r="FX10" s="5140"/>
      <c r="FY10" s="5140">
        <v>16</v>
      </c>
      <c r="FZ10" s="5137"/>
      <c r="GA10" s="5137"/>
      <c r="GB10" s="5137">
        <v>26</v>
      </c>
      <c r="GC10" s="5137">
        <v>50</v>
      </c>
      <c r="GD10" s="5137"/>
      <c r="GE10" s="5137"/>
      <c r="GF10" s="5137">
        <v>75</v>
      </c>
      <c r="GG10" s="5141">
        <v>0</v>
      </c>
      <c r="GH10" s="5137"/>
      <c r="GI10" s="5137"/>
      <c r="GJ10" s="5110">
        <f t="shared" si="1"/>
        <v>2002</v>
      </c>
      <c r="GK10" s="5111">
        <f t="shared" si="2"/>
        <v>6266</v>
      </c>
      <c r="GL10" s="5112">
        <v>97.24</v>
      </c>
      <c r="GM10" s="3021">
        <v>0.29166666666666669</v>
      </c>
      <c r="GN10" s="1218"/>
      <c r="GO10" s="1218"/>
      <c r="GP10" s="1218"/>
      <c r="GQ10" s="1218"/>
      <c r="GZ10" s="1217"/>
      <c r="HA10" s="1217"/>
      <c r="HB10" s="1218"/>
      <c r="HC10" s="1218"/>
      <c r="HD10" s="1218"/>
      <c r="HE10" s="1218"/>
      <c r="HF10" s="1218"/>
      <c r="HG10" s="1218"/>
      <c r="HH10" s="1218"/>
      <c r="HI10" s="1218"/>
      <c r="HJ10" s="1218"/>
      <c r="HK10" s="1218"/>
      <c r="HL10" s="1218"/>
      <c r="HM10" s="1218"/>
      <c r="HN10" s="1218"/>
      <c r="HO10" s="1218"/>
      <c r="HP10" s="1218"/>
      <c r="HQ10" s="1218"/>
      <c r="HR10" s="1218"/>
      <c r="HS10" s="1218"/>
      <c r="HT10" s="1217"/>
      <c r="HU10" s="1217"/>
      <c r="HV10" s="1218"/>
      <c r="HW10" s="1218"/>
      <c r="HX10" s="1218"/>
      <c r="HY10" s="1218"/>
      <c r="HZ10" s="1218"/>
      <c r="IA10" s="1218"/>
      <c r="IB10" s="1218"/>
      <c r="IC10" s="1218"/>
      <c r="ID10" s="1218"/>
      <c r="IE10" s="1218"/>
      <c r="IF10" s="1218"/>
      <c r="IG10" s="1218"/>
      <c r="IH10" s="1218"/>
      <c r="II10" s="1218"/>
      <c r="IJ10" s="1218"/>
      <c r="IK10" s="1218"/>
      <c r="IL10" s="1218"/>
      <c r="IM10" s="1218"/>
      <c r="IN10" s="1218"/>
      <c r="IO10" s="1218"/>
      <c r="IP10" s="1218"/>
      <c r="IQ10" s="1218"/>
      <c r="IR10" s="1218"/>
      <c r="IS10" s="1218"/>
      <c r="IT10" s="1218"/>
      <c r="IU10" s="1218"/>
      <c r="IV10" s="1218"/>
      <c r="IW10" s="1218"/>
      <c r="IX10" s="1218"/>
      <c r="IY10" s="1218"/>
      <c r="IZ10" s="1218"/>
      <c r="JA10" s="1218"/>
      <c r="JB10" s="1218"/>
      <c r="JC10" s="1218"/>
      <c r="JD10" s="1218"/>
      <c r="JE10" s="1218"/>
      <c r="JF10" s="1218"/>
      <c r="JG10" s="1218"/>
      <c r="JH10" s="1218"/>
      <c r="JI10" s="1218"/>
    </row>
    <row r="11" spans="1:384" s="441" customFormat="1" ht="27" customHeight="1">
      <c r="A11" s="3611">
        <v>0.33333333333333331</v>
      </c>
      <c r="B11" s="5173">
        <v>40</v>
      </c>
      <c r="C11" s="5173">
        <v>40</v>
      </c>
      <c r="D11" s="5173"/>
      <c r="E11" s="5173"/>
      <c r="F11" s="5174"/>
      <c r="G11" s="5175">
        <v>9</v>
      </c>
      <c r="H11" s="5174"/>
      <c r="I11" s="5174"/>
      <c r="J11" s="5174"/>
      <c r="K11" s="5173"/>
      <c r="L11" s="5173"/>
      <c r="M11" s="5173"/>
      <c r="N11" s="5173"/>
      <c r="O11" s="5173">
        <v>17</v>
      </c>
      <c r="P11" s="5173"/>
      <c r="Q11" s="5173"/>
      <c r="R11" s="5173"/>
      <c r="S11" s="5173"/>
      <c r="T11" s="5173"/>
      <c r="U11" s="5173">
        <v>195</v>
      </c>
      <c r="V11" s="5173">
        <v>8</v>
      </c>
      <c r="W11" s="5173"/>
      <c r="X11" s="5173"/>
      <c r="Y11" s="5173">
        <v>242</v>
      </c>
      <c r="Z11" s="5173"/>
      <c r="AA11" s="5173"/>
      <c r="AB11" s="5173"/>
      <c r="AC11" s="5173"/>
      <c r="AD11" s="5173"/>
      <c r="AE11" s="5174"/>
      <c r="AF11" s="5173">
        <v>80</v>
      </c>
      <c r="AG11" s="5173">
        <v>3</v>
      </c>
      <c r="AH11" s="5173">
        <v>162</v>
      </c>
      <c r="AI11" s="5173">
        <v>275</v>
      </c>
      <c r="AJ11" s="5173">
        <v>150</v>
      </c>
      <c r="AK11" s="5173">
        <v>5</v>
      </c>
      <c r="AL11" s="5173">
        <v>137</v>
      </c>
      <c r="AM11" s="5173"/>
      <c r="AN11" s="5173"/>
      <c r="AO11" s="5173"/>
      <c r="AP11" s="5173">
        <v>180</v>
      </c>
      <c r="AQ11" s="5173">
        <v>272</v>
      </c>
      <c r="AR11" s="5173">
        <v>52</v>
      </c>
      <c r="AS11" s="5173">
        <v>9</v>
      </c>
      <c r="AT11" s="5173">
        <v>42</v>
      </c>
      <c r="AU11" s="5173"/>
      <c r="AV11" s="5173"/>
      <c r="AW11" s="5173">
        <v>40</v>
      </c>
      <c r="AX11" s="5173">
        <v>78</v>
      </c>
      <c r="AY11" s="5173"/>
      <c r="AZ11" s="5173"/>
      <c r="BA11" s="5173">
        <v>190</v>
      </c>
      <c r="BB11" s="5173">
        <v>18</v>
      </c>
      <c r="BC11" s="5173"/>
      <c r="BD11" s="5173">
        <v>10</v>
      </c>
      <c r="BE11" s="5173">
        <v>8</v>
      </c>
      <c r="BF11" s="5173">
        <v>51</v>
      </c>
      <c r="BG11" s="5173">
        <v>22</v>
      </c>
      <c r="BH11" s="5173">
        <v>265</v>
      </c>
      <c r="BI11" s="5173">
        <v>400</v>
      </c>
      <c r="BJ11" s="5173">
        <v>35</v>
      </c>
      <c r="BK11" s="5173">
        <v>22</v>
      </c>
      <c r="BL11" s="5173">
        <v>21</v>
      </c>
      <c r="BM11" s="5173"/>
      <c r="BN11" s="5173">
        <v>22</v>
      </c>
      <c r="BO11" s="5146">
        <v>67</v>
      </c>
      <c r="BP11" s="5173">
        <v>2</v>
      </c>
      <c r="BQ11" s="5173">
        <v>19</v>
      </c>
      <c r="BR11" s="5173">
        <v>11</v>
      </c>
      <c r="BS11" s="5173">
        <v>33</v>
      </c>
      <c r="BT11" s="5173">
        <v>9</v>
      </c>
      <c r="BU11" s="5173">
        <v>25</v>
      </c>
      <c r="BV11" s="5173">
        <v>0</v>
      </c>
      <c r="BW11" s="5173">
        <v>14</v>
      </c>
      <c r="BX11" s="5173">
        <v>33</v>
      </c>
      <c r="BY11" s="5173"/>
      <c r="BZ11" s="5173"/>
      <c r="CA11" s="5173">
        <v>120</v>
      </c>
      <c r="CB11" s="5173">
        <v>89</v>
      </c>
      <c r="CC11" s="5176"/>
      <c r="CD11" s="5174"/>
      <c r="CE11" s="5173"/>
      <c r="CF11" s="5174"/>
      <c r="CG11" s="5174">
        <v>25</v>
      </c>
      <c r="CH11" s="5174">
        <v>52</v>
      </c>
      <c r="CI11" s="5175">
        <v>1</v>
      </c>
      <c r="CJ11" s="5174">
        <v>54</v>
      </c>
      <c r="CK11" s="5174">
        <v>68</v>
      </c>
      <c r="CL11" s="5174"/>
      <c r="CM11" s="5174"/>
      <c r="CN11" s="5174"/>
      <c r="CO11" s="5174"/>
      <c r="CP11" s="5174"/>
      <c r="CQ11" s="5174"/>
      <c r="CR11" s="5174">
        <v>70</v>
      </c>
      <c r="CS11" s="5174"/>
      <c r="CT11" s="5174"/>
      <c r="CU11" s="5174"/>
      <c r="CV11" s="5174"/>
      <c r="CW11" s="5174">
        <v>51</v>
      </c>
      <c r="CX11" s="5174">
        <v>10</v>
      </c>
      <c r="CY11" s="5174"/>
      <c r="CZ11" s="5174">
        <v>6</v>
      </c>
      <c r="DA11" s="5174"/>
      <c r="DB11" s="5174"/>
      <c r="DC11" s="5174"/>
      <c r="DD11" s="5174">
        <v>55</v>
      </c>
      <c r="DE11" s="5174">
        <v>130</v>
      </c>
      <c r="DF11" s="5177">
        <v>0</v>
      </c>
      <c r="DG11" s="5177"/>
      <c r="DH11" s="5176"/>
      <c r="DI11" s="5176"/>
      <c r="DJ11" s="5176">
        <v>89</v>
      </c>
      <c r="DK11" s="5176"/>
      <c r="DL11" s="5176"/>
      <c r="DM11" s="5177">
        <v>90</v>
      </c>
      <c r="DN11" s="5176"/>
      <c r="DO11" s="5176">
        <v>142</v>
      </c>
      <c r="DP11" s="5176"/>
      <c r="DQ11" s="5176">
        <v>8</v>
      </c>
      <c r="DR11" s="5174">
        <v>30</v>
      </c>
      <c r="DS11" s="5174">
        <v>30</v>
      </c>
      <c r="DT11" s="5174">
        <v>116</v>
      </c>
      <c r="DU11" s="5174"/>
      <c r="DV11" s="5174">
        <v>7</v>
      </c>
      <c r="DW11" s="5174"/>
      <c r="DX11" s="5174"/>
      <c r="DY11" s="5103">
        <f t="shared" si="0"/>
        <v>4556</v>
      </c>
      <c r="DZ11" s="5178"/>
      <c r="EA11" s="5178"/>
      <c r="EB11" s="5178"/>
      <c r="EC11" s="5179"/>
      <c r="ED11" s="5179"/>
      <c r="EE11" s="5179"/>
      <c r="EF11" s="5179"/>
      <c r="EG11" s="5179"/>
      <c r="EH11" s="5179"/>
      <c r="EI11" s="5179">
        <v>16</v>
      </c>
      <c r="EJ11" s="5179"/>
      <c r="EK11" s="5179"/>
      <c r="EL11" s="5179">
        <v>150</v>
      </c>
      <c r="EM11" s="5179"/>
      <c r="EN11" s="5179"/>
      <c r="EO11" s="5179"/>
      <c r="EP11" s="5179">
        <v>11</v>
      </c>
      <c r="EQ11" s="5179">
        <v>91</v>
      </c>
      <c r="ER11" s="5179">
        <v>15</v>
      </c>
      <c r="ES11" s="5179"/>
      <c r="ET11" s="5179"/>
      <c r="EU11" s="5179"/>
      <c r="EV11" s="5179"/>
      <c r="EW11" s="5179"/>
      <c r="EX11" s="5108">
        <v>657</v>
      </c>
      <c r="EY11" s="5179"/>
      <c r="EZ11" s="5179">
        <v>300</v>
      </c>
      <c r="FA11" s="5179"/>
      <c r="FB11" s="5179"/>
      <c r="FC11" s="5179"/>
      <c r="FD11" s="5179">
        <v>199</v>
      </c>
      <c r="FE11" s="5179"/>
      <c r="FF11" s="5179"/>
      <c r="FG11" s="5180"/>
      <c r="FH11" s="5179">
        <v>0</v>
      </c>
      <c r="FI11" s="5179"/>
      <c r="FJ11" s="5179"/>
      <c r="FK11" s="5179"/>
      <c r="FL11" s="5179"/>
      <c r="FM11" s="5179">
        <v>164</v>
      </c>
      <c r="FN11" s="5179"/>
      <c r="FO11" s="5179">
        <v>344</v>
      </c>
      <c r="FP11" s="5179"/>
      <c r="FQ11" s="5179"/>
      <c r="FR11" s="5179">
        <v>22</v>
      </c>
      <c r="FS11" s="5179"/>
      <c r="FT11" s="5179">
        <v>8</v>
      </c>
      <c r="FU11" s="5179"/>
      <c r="FV11" s="5179"/>
      <c r="FW11" s="5179"/>
      <c r="FX11" s="5179"/>
      <c r="FY11" s="5179">
        <v>25</v>
      </c>
      <c r="FZ11" s="5179"/>
      <c r="GA11" s="5179"/>
      <c r="GB11" s="5179">
        <v>52</v>
      </c>
      <c r="GC11" s="5179">
        <v>90</v>
      </c>
      <c r="GD11" s="5179"/>
      <c r="GE11" s="5179"/>
      <c r="GF11" s="5179">
        <v>111</v>
      </c>
      <c r="GG11" s="5181">
        <v>1</v>
      </c>
      <c r="GH11" s="5181"/>
      <c r="GI11" s="5179"/>
      <c r="GJ11" s="5110">
        <f t="shared" si="1"/>
        <v>2256</v>
      </c>
      <c r="GK11" s="5111">
        <f t="shared" si="2"/>
        <v>6812</v>
      </c>
      <c r="GL11" s="5112">
        <v>97.23</v>
      </c>
      <c r="GM11" s="3021">
        <v>0.33333333333333331</v>
      </c>
      <c r="GN11" s="1218"/>
      <c r="GO11" s="1218"/>
      <c r="GP11" s="1218"/>
      <c r="GQ11" s="1218"/>
      <c r="GZ11" s="1219"/>
      <c r="HA11" s="1219"/>
      <c r="HT11" s="1219"/>
      <c r="HU11" s="1219"/>
    </row>
    <row r="12" spans="1:384" s="441" customFormat="1" ht="27" customHeight="1">
      <c r="A12" s="3611">
        <v>0.375</v>
      </c>
      <c r="B12" s="5182">
        <v>34</v>
      </c>
      <c r="C12" s="5173">
        <v>40</v>
      </c>
      <c r="D12" s="5173"/>
      <c r="E12" s="5173"/>
      <c r="F12" s="5174"/>
      <c r="G12" s="5175">
        <v>13</v>
      </c>
      <c r="H12" s="5174"/>
      <c r="I12" s="5174"/>
      <c r="J12" s="5174"/>
      <c r="K12" s="5173"/>
      <c r="L12" s="5173"/>
      <c r="M12" s="5173"/>
      <c r="N12" s="5173"/>
      <c r="O12" s="5173">
        <v>17</v>
      </c>
      <c r="P12" s="5173"/>
      <c r="Q12" s="5173"/>
      <c r="R12" s="5173"/>
      <c r="S12" s="5173"/>
      <c r="T12" s="5173"/>
      <c r="U12" s="5173">
        <v>260</v>
      </c>
      <c r="V12" s="5173">
        <v>8</v>
      </c>
      <c r="W12" s="5173"/>
      <c r="X12" s="5173"/>
      <c r="Y12" s="5173">
        <v>260</v>
      </c>
      <c r="Z12" s="5173"/>
      <c r="AA12" s="5173"/>
      <c r="AB12" s="5173"/>
      <c r="AC12" s="5173"/>
      <c r="AD12" s="5173"/>
      <c r="AE12" s="5174"/>
      <c r="AF12" s="5173">
        <v>80</v>
      </c>
      <c r="AG12" s="5173">
        <v>5</v>
      </c>
      <c r="AH12" s="5173">
        <v>162</v>
      </c>
      <c r="AI12" s="5173">
        <v>275</v>
      </c>
      <c r="AJ12" s="5173">
        <v>150</v>
      </c>
      <c r="AK12" s="5173">
        <v>5</v>
      </c>
      <c r="AL12" s="5173">
        <v>136</v>
      </c>
      <c r="AM12" s="5173"/>
      <c r="AN12" s="5173"/>
      <c r="AO12" s="5173"/>
      <c r="AP12" s="5173">
        <v>180</v>
      </c>
      <c r="AQ12" s="5173">
        <v>273</v>
      </c>
      <c r="AR12" s="5173">
        <v>52</v>
      </c>
      <c r="AS12" s="5173">
        <v>23</v>
      </c>
      <c r="AT12" s="5173">
        <v>42</v>
      </c>
      <c r="AU12" s="5173"/>
      <c r="AV12" s="5173"/>
      <c r="AW12" s="5173">
        <v>40</v>
      </c>
      <c r="AX12" s="5173">
        <v>78</v>
      </c>
      <c r="AY12" s="5173"/>
      <c r="AZ12" s="5173"/>
      <c r="BA12" s="5173">
        <v>190</v>
      </c>
      <c r="BB12" s="5173">
        <v>18</v>
      </c>
      <c r="BC12" s="5173"/>
      <c r="BD12" s="5173">
        <v>10</v>
      </c>
      <c r="BE12" s="5173">
        <v>8</v>
      </c>
      <c r="BF12" s="5173">
        <v>51</v>
      </c>
      <c r="BG12" s="5173">
        <v>16</v>
      </c>
      <c r="BH12" s="5173">
        <v>275</v>
      </c>
      <c r="BI12" s="5173">
        <v>340</v>
      </c>
      <c r="BJ12" s="5173">
        <v>35</v>
      </c>
      <c r="BK12" s="5173">
        <v>22</v>
      </c>
      <c r="BL12" s="5173">
        <v>21</v>
      </c>
      <c r="BM12" s="5173"/>
      <c r="BN12" s="5173">
        <v>22</v>
      </c>
      <c r="BO12" s="5146">
        <v>61</v>
      </c>
      <c r="BP12" s="5173">
        <v>3</v>
      </c>
      <c r="BQ12" s="5173">
        <v>19</v>
      </c>
      <c r="BR12" s="5173">
        <v>8</v>
      </c>
      <c r="BS12" s="5173">
        <v>25</v>
      </c>
      <c r="BT12" s="5173">
        <v>9</v>
      </c>
      <c r="BU12" s="5173"/>
      <c r="BV12" s="5173">
        <v>0</v>
      </c>
      <c r="BW12" s="5173">
        <v>16</v>
      </c>
      <c r="BX12" s="5173">
        <v>16</v>
      </c>
      <c r="BY12" s="5173"/>
      <c r="BZ12" s="5173"/>
      <c r="CA12" s="5173">
        <v>55</v>
      </c>
      <c r="CB12" s="5173">
        <v>162</v>
      </c>
      <c r="CC12" s="5176"/>
      <c r="CD12" s="5174"/>
      <c r="CE12" s="5173"/>
      <c r="CF12" s="5174"/>
      <c r="CG12" s="5174">
        <v>25</v>
      </c>
      <c r="CH12" s="5174">
        <v>52</v>
      </c>
      <c r="CI12" s="5175">
        <v>3</v>
      </c>
      <c r="CJ12" s="5174">
        <v>54</v>
      </c>
      <c r="CK12" s="5174">
        <v>68</v>
      </c>
      <c r="CL12" s="5174"/>
      <c r="CM12" s="5174"/>
      <c r="CN12" s="5174"/>
      <c r="CO12" s="5174"/>
      <c r="CP12" s="5174"/>
      <c r="CQ12" s="5174"/>
      <c r="CR12" s="5174">
        <v>104</v>
      </c>
      <c r="CS12" s="5174"/>
      <c r="CT12" s="5174"/>
      <c r="CU12" s="5174"/>
      <c r="CV12" s="5174"/>
      <c r="CW12" s="5174">
        <v>43</v>
      </c>
      <c r="CX12" s="5174">
        <v>40</v>
      </c>
      <c r="CY12" s="5174"/>
      <c r="CZ12" s="5174">
        <v>6</v>
      </c>
      <c r="DA12" s="5174"/>
      <c r="DB12" s="5174"/>
      <c r="DC12" s="5174">
        <v>29</v>
      </c>
      <c r="DD12" s="5174">
        <v>55</v>
      </c>
      <c r="DE12" s="5174">
        <v>110</v>
      </c>
      <c r="DF12" s="5177">
        <v>1</v>
      </c>
      <c r="DG12" s="5177"/>
      <c r="DH12" s="5176"/>
      <c r="DI12" s="5176"/>
      <c r="DJ12" s="5176">
        <v>120</v>
      </c>
      <c r="DK12" s="5176"/>
      <c r="DL12" s="5176"/>
      <c r="DM12" s="5177">
        <v>90</v>
      </c>
      <c r="DN12" s="5176"/>
      <c r="DO12" s="5176">
        <v>138</v>
      </c>
      <c r="DP12" s="5176"/>
      <c r="DQ12" s="5176">
        <v>8</v>
      </c>
      <c r="DR12" s="5174">
        <v>15</v>
      </c>
      <c r="DS12" s="5174">
        <v>30</v>
      </c>
      <c r="DT12" s="5174">
        <v>116</v>
      </c>
      <c r="DU12" s="5174"/>
      <c r="DV12" s="5174">
        <v>17</v>
      </c>
      <c r="DW12" s="5174"/>
      <c r="DX12" s="5174"/>
      <c r="DY12" s="5103">
        <f t="shared" si="0"/>
        <v>4639</v>
      </c>
      <c r="DZ12" s="5178"/>
      <c r="EA12" s="5178"/>
      <c r="EB12" s="5179"/>
      <c r="EC12" s="5179"/>
      <c r="ED12" s="5179"/>
      <c r="EE12" s="5179"/>
      <c r="EF12" s="5179"/>
      <c r="EG12" s="5179"/>
      <c r="EH12" s="5179">
        <v>35</v>
      </c>
      <c r="EI12" s="5179">
        <v>39</v>
      </c>
      <c r="EJ12" s="5179"/>
      <c r="EK12" s="5179"/>
      <c r="EL12" s="5179">
        <v>130</v>
      </c>
      <c r="EM12" s="5179"/>
      <c r="EN12" s="5179"/>
      <c r="EO12" s="5183"/>
      <c r="EP12" s="5179">
        <v>0</v>
      </c>
      <c r="EQ12" s="5179">
        <v>91</v>
      </c>
      <c r="ER12" s="5179">
        <v>10</v>
      </c>
      <c r="ES12" s="5179"/>
      <c r="ET12" s="5179"/>
      <c r="EU12" s="5179"/>
      <c r="EV12" s="5179"/>
      <c r="EW12" s="5180"/>
      <c r="EX12" s="5108">
        <v>657</v>
      </c>
      <c r="EY12" s="5179"/>
      <c r="EZ12" s="5179">
        <v>250</v>
      </c>
      <c r="FA12" s="5179"/>
      <c r="FB12" s="5179"/>
      <c r="FC12" s="5179"/>
      <c r="FD12" s="5179">
        <v>199</v>
      </c>
      <c r="FE12" s="5179"/>
      <c r="FF12" s="5179"/>
      <c r="FG12" s="5179"/>
      <c r="FH12" s="5179">
        <v>2</v>
      </c>
      <c r="FI12" s="5179"/>
      <c r="FJ12" s="5179"/>
      <c r="FK12" s="5179"/>
      <c r="FL12" s="5179"/>
      <c r="FM12" s="5179">
        <v>156</v>
      </c>
      <c r="FN12" s="5179"/>
      <c r="FO12" s="5179">
        <v>292</v>
      </c>
      <c r="FP12" s="5179"/>
      <c r="FQ12" s="5179"/>
      <c r="FR12" s="5179">
        <v>22</v>
      </c>
      <c r="FS12" s="5179"/>
      <c r="FT12" s="5179">
        <v>8</v>
      </c>
      <c r="FU12" s="5179"/>
      <c r="FV12" s="5179"/>
      <c r="FW12" s="5179"/>
      <c r="FX12" s="5179"/>
      <c r="FY12" s="5179">
        <v>16</v>
      </c>
      <c r="FZ12" s="5179"/>
      <c r="GA12" s="5179"/>
      <c r="GB12" s="5179">
        <v>70</v>
      </c>
      <c r="GC12" s="5179">
        <v>113</v>
      </c>
      <c r="GD12" s="5179"/>
      <c r="GE12" s="5179"/>
      <c r="GF12" s="5179">
        <v>112</v>
      </c>
      <c r="GG12" s="5181">
        <v>2</v>
      </c>
      <c r="GH12" s="5179"/>
      <c r="GI12" s="5179"/>
      <c r="GJ12" s="5184">
        <f t="shared" si="1"/>
        <v>2204</v>
      </c>
      <c r="GK12" s="5111">
        <f t="shared" si="2"/>
        <v>6843</v>
      </c>
      <c r="GL12" s="5112">
        <v>97.22</v>
      </c>
      <c r="GM12" s="4524">
        <v>0.375</v>
      </c>
      <c r="HT12" s="1219"/>
      <c r="HU12" s="1219"/>
      <c r="HV12" s="1219"/>
    </row>
    <row r="13" spans="1:384" s="441" customFormat="1" ht="27" customHeight="1">
      <c r="A13" s="3611">
        <v>0.41666666666666669</v>
      </c>
      <c r="B13" s="5042">
        <v>0</v>
      </c>
      <c r="C13" s="5043">
        <v>40</v>
      </c>
      <c r="D13" s="5043"/>
      <c r="E13" s="5043"/>
      <c r="F13" s="5044"/>
      <c r="G13" s="5045">
        <v>17</v>
      </c>
      <c r="H13" s="5044"/>
      <c r="I13" s="5044"/>
      <c r="J13" s="5043"/>
      <c r="K13" s="5043"/>
      <c r="L13" s="5043"/>
      <c r="M13" s="5043"/>
      <c r="N13" s="5043"/>
      <c r="O13" s="5043">
        <v>17</v>
      </c>
      <c r="P13" s="5043"/>
      <c r="Q13" s="5043"/>
      <c r="R13" s="5043"/>
      <c r="S13" s="5043"/>
      <c r="T13" s="5043"/>
      <c r="U13" s="5043">
        <v>271</v>
      </c>
      <c r="V13" s="5043">
        <v>8</v>
      </c>
      <c r="W13" s="5043"/>
      <c r="X13" s="5043"/>
      <c r="Y13" s="5043">
        <v>220</v>
      </c>
      <c r="Z13" s="5043"/>
      <c r="AA13" s="5043"/>
      <c r="AB13" s="5043"/>
      <c r="AC13" s="5043"/>
      <c r="AD13" s="5043"/>
      <c r="AE13" s="5044"/>
      <c r="AF13" s="5043">
        <v>80</v>
      </c>
      <c r="AG13" s="5043">
        <v>5</v>
      </c>
      <c r="AH13" s="5043">
        <v>160</v>
      </c>
      <c r="AI13" s="5043">
        <v>275</v>
      </c>
      <c r="AJ13" s="5043">
        <v>150</v>
      </c>
      <c r="AK13" s="5043">
        <v>5</v>
      </c>
      <c r="AL13" s="5043">
        <v>138</v>
      </c>
      <c r="AM13" s="5043"/>
      <c r="AN13" s="5043"/>
      <c r="AO13" s="5043"/>
      <c r="AP13" s="5043">
        <v>180</v>
      </c>
      <c r="AQ13" s="5043">
        <v>253</v>
      </c>
      <c r="AR13" s="5043">
        <v>50</v>
      </c>
      <c r="AS13" s="5043">
        <v>35</v>
      </c>
      <c r="AT13" s="5043">
        <v>43</v>
      </c>
      <c r="AU13" s="5043"/>
      <c r="AV13" s="5043"/>
      <c r="AW13" s="5043">
        <v>55</v>
      </c>
      <c r="AX13" s="5043">
        <v>78</v>
      </c>
      <c r="AY13" s="5043"/>
      <c r="AZ13" s="5043"/>
      <c r="BA13" s="5043">
        <v>190</v>
      </c>
      <c r="BB13" s="5043">
        <v>18</v>
      </c>
      <c r="BC13" s="5043"/>
      <c r="BD13" s="5043">
        <v>10</v>
      </c>
      <c r="BE13" s="5043">
        <v>8</v>
      </c>
      <c r="BF13" s="5043">
        <v>51</v>
      </c>
      <c r="BG13" s="5043">
        <v>16</v>
      </c>
      <c r="BH13" s="5043">
        <v>280</v>
      </c>
      <c r="BI13" s="5043">
        <v>322</v>
      </c>
      <c r="BJ13" s="5043">
        <v>35</v>
      </c>
      <c r="BK13" s="5043">
        <v>22</v>
      </c>
      <c r="BL13" s="5043">
        <v>21</v>
      </c>
      <c r="BM13" s="5043"/>
      <c r="BN13" s="5043">
        <v>22</v>
      </c>
      <c r="BO13" s="5007">
        <v>63</v>
      </c>
      <c r="BP13" s="5043">
        <v>3</v>
      </c>
      <c r="BQ13" s="5043">
        <v>19</v>
      </c>
      <c r="BR13" s="5043">
        <v>8</v>
      </c>
      <c r="BS13" s="5043">
        <v>21</v>
      </c>
      <c r="BT13" s="5043">
        <v>9</v>
      </c>
      <c r="BU13" s="5043"/>
      <c r="BV13" s="5043">
        <v>0</v>
      </c>
      <c r="BW13" s="5043">
        <v>16</v>
      </c>
      <c r="BX13" s="5043">
        <v>16</v>
      </c>
      <c r="BY13" s="5043"/>
      <c r="BZ13" s="5043"/>
      <c r="CA13" s="5043">
        <v>55</v>
      </c>
      <c r="CB13" s="5043">
        <v>162</v>
      </c>
      <c r="CC13" s="5046"/>
      <c r="CD13" s="5044">
        <v>12</v>
      </c>
      <c r="CE13" s="5043"/>
      <c r="CF13" s="5044"/>
      <c r="CG13" s="5044">
        <v>25</v>
      </c>
      <c r="CH13" s="5044">
        <v>52</v>
      </c>
      <c r="CI13" s="5045">
        <v>4</v>
      </c>
      <c r="CJ13" s="5044">
        <v>54</v>
      </c>
      <c r="CK13" s="5044">
        <v>51</v>
      </c>
      <c r="CL13" s="5044"/>
      <c r="CM13" s="5044"/>
      <c r="CN13" s="5044"/>
      <c r="CO13" s="5044"/>
      <c r="CP13" s="5044"/>
      <c r="CQ13" s="5044"/>
      <c r="CR13" s="5044">
        <v>79</v>
      </c>
      <c r="CS13" s="5044"/>
      <c r="CT13" s="5044"/>
      <c r="CU13" s="5044"/>
      <c r="CV13" s="5044"/>
      <c r="CW13" s="5044">
        <v>43</v>
      </c>
      <c r="CX13" s="5044">
        <v>40</v>
      </c>
      <c r="CY13" s="5044"/>
      <c r="CZ13" s="5044">
        <v>6</v>
      </c>
      <c r="DA13" s="5044"/>
      <c r="DB13" s="5044"/>
      <c r="DC13" s="5044">
        <v>30</v>
      </c>
      <c r="DD13" s="5044">
        <v>55</v>
      </c>
      <c r="DE13" s="5044">
        <v>110</v>
      </c>
      <c r="DF13" s="5008">
        <v>2</v>
      </c>
      <c r="DG13" s="5008"/>
      <c r="DH13" s="5046"/>
      <c r="DI13" s="5046"/>
      <c r="DJ13" s="5046">
        <v>120</v>
      </c>
      <c r="DK13" s="5046"/>
      <c r="DL13" s="5046"/>
      <c r="DM13" s="5008">
        <v>90</v>
      </c>
      <c r="DN13" s="5046"/>
      <c r="DO13" s="5046">
        <v>137</v>
      </c>
      <c r="DP13" s="5046"/>
      <c r="DQ13" s="5046">
        <v>8</v>
      </c>
      <c r="DR13" s="5046">
        <v>15</v>
      </c>
      <c r="DS13" s="5046">
        <v>30</v>
      </c>
      <c r="DT13" s="5044">
        <v>116</v>
      </c>
      <c r="DU13" s="5044">
        <v>14</v>
      </c>
      <c r="DV13" s="5044">
        <v>24</v>
      </c>
      <c r="DW13" s="5044"/>
      <c r="DX13" s="5044"/>
      <c r="DY13" s="5047">
        <f t="shared" si="0"/>
        <v>4564</v>
      </c>
      <c r="DZ13" s="5048"/>
      <c r="EA13" s="5048"/>
      <c r="EB13" s="5049"/>
      <c r="EC13" s="5186"/>
      <c r="ED13" s="5049"/>
      <c r="EE13" s="5049"/>
      <c r="EF13" s="5049"/>
      <c r="EG13" s="5049"/>
      <c r="EH13" s="5049">
        <v>17</v>
      </c>
      <c r="EI13" s="5049">
        <v>57</v>
      </c>
      <c r="EJ13" s="5049"/>
      <c r="EK13" s="5049"/>
      <c r="EL13" s="5049">
        <v>130</v>
      </c>
      <c r="EM13" s="5049"/>
      <c r="EN13" s="5049"/>
      <c r="EO13" s="5050"/>
      <c r="EP13" s="5049">
        <v>0</v>
      </c>
      <c r="EQ13" s="5049">
        <v>91</v>
      </c>
      <c r="ER13" s="5049">
        <v>10</v>
      </c>
      <c r="ES13" s="5049"/>
      <c r="ET13" s="5049"/>
      <c r="EU13" s="5049"/>
      <c r="EV13" s="5049"/>
      <c r="EW13" s="5009"/>
      <c r="EX13" s="5051">
        <v>656</v>
      </c>
      <c r="EY13" s="5049"/>
      <c r="EZ13" s="5049">
        <v>250</v>
      </c>
      <c r="FA13" s="5049"/>
      <c r="FB13" s="5049"/>
      <c r="FC13" s="5049"/>
      <c r="FD13" s="5049">
        <v>200</v>
      </c>
      <c r="FE13" s="5049"/>
      <c r="FF13" s="5049"/>
      <c r="FG13" s="5049"/>
      <c r="FH13" s="5049">
        <v>2</v>
      </c>
      <c r="FI13" s="5049"/>
      <c r="FJ13" s="5049"/>
      <c r="FK13" s="5049"/>
      <c r="FL13" s="5049"/>
      <c r="FM13" s="5049">
        <v>158</v>
      </c>
      <c r="FN13" s="5049"/>
      <c r="FO13" s="5049">
        <v>337</v>
      </c>
      <c r="FP13" s="5049"/>
      <c r="FQ13" s="5049"/>
      <c r="FR13" s="5049">
        <v>18</v>
      </c>
      <c r="FS13" s="5049"/>
      <c r="FT13" s="5049">
        <v>8</v>
      </c>
      <c r="FU13" s="5049"/>
      <c r="FV13" s="5049"/>
      <c r="FW13" s="5049"/>
      <c r="FX13" s="5049"/>
      <c r="FY13" s="5049">
        <v>16</v>
      </c>
      <c r="FZ13" s="5049"/>
      <c r="GA13" s="5049"/>
      <c r="GB13" s="5049">
        <v>35</v>
      </c>
      <c r="GC13" s="5049">
        <v>35</v>
      </c>
      <c r="GD13" s="5049"/>
      <c r="GE13" s="5049"/>
      <c r="GF13" s="5049">
        <v>76</v>
      </c>
      <c r="GG13" s="5052">
        <v>3</v>
      </c>
      <c r="GH13" s="5049">
        <v>4</v>
      </c>
      <c r="GI13" s="5049"/>
      <c r="GJ13" s="5006">
        <f t="shared" si="1"/>
        <v>2103</v>
      </c>
      <c r="GK13" s="4860">
        <f t="shared" si="2"/>
        <v>6667</v>
      </c>
      <c r="GL13" s="5187">
        <v>97.22</v>
      </c>
      <c r="GM13" s="3021">
        <v>0.41666666666666669</v>
      </c>
      <c r="GN13" s="1615"/>
      <c r="GO13" s="1616"/>
      <c r="GP13" s="441" t="s">
        <v>18</v>
      </c>
      <c r="GQ13" s="1615"/>
      <c r="GR13" s="1615"/>
      <c r="GS13" s="1615"/>
      <c r="GT13" s="1615"/>
      <c r="GU13" s="1615"/>
      <c r="GV13" s="1615"/>
      <c r="GW13" s="1615"/>
      <c r="GX13" s="1615"/>
      <c r="GY13" s="1615"/>
      <c r="GZ13" s="1615"/>
      <c r="HA13" s="1615"/>
      <c r="HB13" s="1615"/>
      <c r="HC13" s="1615"/>
      <c r="HD13" s="1615"/>
      <c r="HE13" s="1615"/>
      <c r="HF13" s="1615"/>
      <c r="HG13" s="1615"/>
      <c r="HH13" s="1615"/>
      <c r="HI13" s="1615"/>
      <c r="HJ13" s="1615"/>
      <c r="HK13" s="1615"/>
      <c r="HL13" s="1615"/>
      <c r="HM13" s="1615"/>
      <c r="HN13" s="1615"/>
      <c r="HO13" s="1615"/>
      <c r="HP13" s="1615"/>
      <c r="HQ13" s="1615"/>
      <c r="HR13" s="1615"/>
      <c r="HS13" s="1615"/>
      <c r="HT13" s="1615"/>
      <c r="HU13" s="1615"/>
      <c r="HV13" s="1615"/>
      <c r="HW13" s="1615"/>
      <c r="HX13" s="1615"/>
      <c r="HY13" s="1615"/>
      <c r="HZ13" s="1615"/>
      <c r="IA13" s="1615"/>
      <c r="IB13" s="1615"/>
      <c r="IC13" s="1615"/>
      <c r="ID13" s="1615"/>
      <c r="IE13" s="1615"/>
      <c r="IF13" s="1615"/>
      <c r="IG13" s="1615"/>
      <c r="IH13" s="1615"/>
      <c r="II13" s="1615"/>
      <c r="IJ13" s="1615"/>
      <c r="IK13" s="1615"/>
      <c r="IL13" s="1615"/>
      <c r="IM13" s="1615"/>
      <c r="IN13" s="1615"/>
      <c r="IO13" s="1615"/>
      <c r="IP13" s="1615"/>
      <c r="IQ13" s="1615"/>
      <c r="IR13" s="1615"/>
      <c r="IS13" s="1615"/>
      <c r="IT13" s="1615"/>
      <c r="IU13" s="1615"/>
      <c r="IV13" s="1615"/>
      <c r="IW13" s="1615"/>
      <c r="IX13" s="1615"/>
      <c r="IY13" s="1615"/>
      <c r="IZ13" s="1615"/>
      <c r="JA13" s="1615"/>
      <c r="JB13" s="1615"/>
      <c r="JC13" s="1615"/>
      <c r="JD13" s="1615"/>
      <c r="JE13" s="1615"/>
      <c r="JF13" s="1615"/>
      <c r="JG13" s="1615"/>
      <c r="JH13" s="1615"/>
      <c r="JI13" s="1615"/>
      <c r="JJ13" s="1615"/>
      <c r="JK13" s="1615"/>
      <c r="JL13" s="1615"/>
      <c r="JM13" s="1615"/>
      <c r="JN13" s="1615"/>
      <c r="JO13" s="1615"/>
      <c r="JP13" s="1615"/>
      <c r="JQ13" s="1615"/>
      <c r="JR13" s="1615"/>
      <c r="JS13" s="1615"/>
      <c r="JT13" s="1615"/>
      <c r="JU13" s="1615"/>
      <c r="JV13" s="1615"/>
      <c r="JW13" s="1615"/>
      <c r="JX13" s="1615"/>
      <c r="JY13" s="1615"/>
      <c r="JZ13" s="1615"/>
      <c r="KA13" s="1615"/>
      <c r="KB13" s="1615"/>
      <c r="KC13" s="1615"/>
      <c r="KD13" s="1615"/>
      <c r="KE13" s="1615"/>
      <c r="KF13" s="1615"/>
      <c r="KG13" s="1615"/>
      <c r="KH13" s="1615"/>
      <c r="KI13" s="1615"/>
      <c r="KJ13" s="1615"/>
      <c r="KK13" s="1615"/>
      <c r="KL13" s="1615"/>
      <c r="KM13" s="1615"/>
      <c r="KN13" s="1615"/>
      <c r="KO13" s="1617"/>
      <c r="KP13" s="1615"/>
      <c r="KQ13" s="1615"/>
      <c r="KR13" s="1615"/>
      <c r="KS13" s="1615"/>
      <c r="KT13" s="1615"/>
      <c r="KU13" s="1615"/>
      <c r="KV13" s="1615"/>
      <c r="KW13" s="1615"/>
      <c r="KX13" s="1615"/>
      <c r="KY13" s="1615"/>
      <c r="KZ13" s="1615"/>
      <c r="LA13" s="1615"/>
      <c r="LB13" s="1617"/>
      <c r="LC13" s="1615"/>
      <c r="LD13" s="1615"/>
      <c r="LE13" s="1615"/>
      <c r="LF13" s="1615"/>
      <c r="LG13" s="1615"/>
      <c r="LH13" s="1615"/>
      <c r="LI13" s="1615"/>
      <c r="LJ13" s="1615"/>
      <c r="LK13" s="1615"/>
      <c r="LL13" s="1615"/>
      <c r="LM13" s="1615"/>
      <c r="LN13" s="1615"/>
      <c r="LO13" s="1615"/>
      <c r="LP13" s="1615"/>
      <c r="LQ13" s="1615"/>
      <c r="LR13" s="1615"/>
      <c r="LS13" s="1615"/>
      <c r="LT13" s="1615"/>
      <c r="LU13" s="1615"/>
      <c r="LV13" s="1615"/>
      <c r="LW13" s="1615"/>
      <c r="LX13" s="1615"/>
      <c r="LY13" s="1615"/>
      <c r="LZ13" s="1615"/>
      <c r="MA13" s="1615"/>
      <c r="MB13" s="1615"/>
      <c r="MC13" s="1615"/>
      <c r="MD13" s="1615"/>
      <c r="ME13" s="1615"/>
      <c r="MF13" s="1615"/>
      <c r="MG13" s="1615"/>
      <c r="MH13" s="1615"/>
      <c r="MI13" s="1615"/>
      <c r="MJ13" s="1615"/>
      <c r="MK13" s="1615"/>
      <c r="ML13" s="1615"/>
      <c r="MM13" s="1615"/>
      <c r="MN13" s="1615"/>
      <c r="MO13" s="1615"/>
      <c r="MP13" s="1615"/>
      <c r="MQ13" s="1615"/>
      <c r="MR13" s="1615"/>
      <c r="MS13" s="1615"/>
      <c r="MT13" s="1615"/>
      <c r="MU13" s="1617"/>
      <c r="MV13" s="1617"/>
      <c r="NM13" s="1219"/>
      <c r="NN13" s="1219"/>
    </row>
    <row r="14" spans="1:384" s="441" customFormat="1" ht="27" customHeight="1">
      <c r="A14" s="3611">
        <v>0.45833333333333331</v>
      </c>
      <c r="B14" s="5042">
        <v>40</v>
      </c>
      <c r="C14" s="5043">
        <v>40</v>
      </c>
      <c r="D14" s="5043"/>
      <c r="E14" s="5043"/>
      <c r="F14" s="5044"/>
      <c r="G14" s="5045">
        <v>19</v>
      </c>
      <c r="H14" s="5044"/>
      <c r="I14" s="5044"/>
      <c r="J14" s="5043"/>
      <c r="K14" s="5043"/>
      <c r="L14" s="5043"/>
      <c r="M14" s="5043"/>
      <c r="N14" s="5043"/>
      <c r="O14" s="5043">
        <v>21</v>
      </c>
      <c r="P14" s="5043"/>
      <c r="Q14" s="5043"/>
      <c r="R14" s="5043"/>
      <c r="S14" s="5043"/>
      <c r="T14" s="5043"/>
      <c r="U14" s="5043">
        <v>276</v>
      </c>
      <c r="V14" s="5043">
        <v>8</v>
      </c>
      <c r="W14" s="5043"/>
      <c r="X14" s="5043"/>
      <c r="Y14" s="5043">
        <v>200</v>
      </c>
      <c r="Z14" s="5043"/>
      <c r="AA14" s="5043"/>
      <c r="AB14" s="5043"/>
      <c r="AC14" s="5043"/>
      <c r="AD14" s="5043"/>
      <c r="AE14" s="5044"/>
      <c r="AF14" s="5043">
        <v>80</v>
      </c>
      <c r="AG14" s="5043">
        <v>5</v>
      </c>
      <c r="AH14" s="5043">
        <v>152</v>
      </c>
      <c r="AI14" s="5043">
        <v>285</v>
      </c>
      <c r="AJ14" s="5043">
        <v>150</v>
      </c>
      <c r="AK14" s="5043">
        <v>5</v>
      </c>
      <c r="AL14" s="5043">
        <v>138</v>
      </c>
      <c r="AM14" s="5043"/>
      <c r="AN14" s="5043"/>
      <c r="AO14" s="5043"/>
      <c r="AP14" s="5043">
        <v>180</v>
      </c>
      <c r="AQ14" s="5043">
        <v>252</v>
      </c>
      <c r="AR14" s="5043">
        <v>49</v>
      </c>
      <c r="AS14" s="5043">
        <v>43</v>
      </c>
      <c r="AT14" s="5043">
        <v>43</v>
      </c>
      <c r="AU14" s="5043"/>
      <c r="AV14" s="5043"/>
      <c r="AW14" s="5043">
        <v>67</v>
      </c>
      <c r="AX14" s="5043">
        <v>78</v>
      </c>
      <c r="AY14" s="5043"/>
      <c r="AZ14" s="5043"/>
      <c r="BA14" s="5043">
        <v>190</v>
      </c>
      <c r="BB14" s="5043">
        <v>18</v>
      </c>
      <c r="BC14" s="5043"/>
      <c r="BD14" s="5043">
        <v>10</v>
      </c>
      <c r="BE14" s="5043">
        <v>8</v>
      </c>
      <c r="BF14" s="5043">
        <v>45</v>
      </c>
      <c r="BG14" s="5043">
        <v>16</v>
      </c>
      <c r="BH14" s="5043">
        <v>305</v>
      </c>
      <c r="BI14" s="5043">
        <v>371</v>
      </c>
      <c r="BJ14" s="5043">
        <v>35</v>
      </c>
      <c r="BK14" s="5043">
        <v>22</v>
      </c>
      <c r="BL14" s="5043">
        <v>21</v>
      </c>
      <c r="BM14" s="5043"/>
      <c r="BN14" s="5043">
        <v>22</v>
      </c>
      <c r="BO14" s="5007">
        <v>64</v>
      </c>
      <c r="BP14" s="5043">
        <v>2</v>
      </c>
      <c r="BQ14" s="5043">
        <v>19</v>
      </c>
      <c r="BR14" s="5043">
        <v>8</v>
      </c>
      <c r="BS14" s="5043">
        <v>16</v>
      </c>
      <c r="BT14" s="5043">
        <v>6</v>
      </c>
      <c r="BU14" s="5043"/>
      <c r="BV14" s="5043">
        <v>0</v>
      </c>
      <c r="BW14" s="5043">
        <v>16</v>
      </c>
      <c r="BX14" s="5043">
        <v>17</v>
      </c>
      <c r="BY14" s="5043"/>
      <c r="BZ14" s="5043"/>
      <c r="CA14" s="5043">
        <v>66</v>
      </c>
      <c r="CB14" s="5043">
        <v>162</v>
      </c>
      <c r="CC14" s="5046"/>
      <c r="CD14" s="5044">
        <v>25</v>
      </c>
      <c r="CE14" s="5043"/>
      <c r="CF14" s="5044"/>
      <c r="CG14" s="5044">
        <v>20</v>
      </c>
      <c r="CH14" s="5044">
        <v>60</v>
      </c>
      <c r="CI14" s="5045">
        <v>4</v>
      </c>
      <c r="CJ14" s="5044">
        <v>54</v>
      </c>
      <c r="CK14" s="5044">
        <v>68</v>
      </c>
      <c r="CL14" s="5044"/>
      <c r="CM14" s="5044"/>
      <c r="CN14" s="5044"/>
      <c r="CO14" s="5044"/>
      <c r="CP14" s="5044"/>
      <c r="CQ14" s="5044"/>
      <c r="CR14" s="5044">
        <v>74</v>
      </c>
      <c r="CS14" s="5044"/>
      <c r="CT14" s="5044"/>
      <c r="CU14" s="5044"/>
      <c r="CV14" s="5044"/>
      <c r="CW14" s="5044">
        <v>43</v>
      </c>
      <c r="CX14" s="5044">
        <v>58</v>
      </c>
      <c r="CY14" s="5044"/>
      <c r="CZ14" s="5044">
        <v>6</v>
      </c>
      <c r="DA14" s="5044"/>
      <c r="DB14" s="5044"/>
      <c r="DC14" s="5044">
        <v>31</v>
      </c>
      <c r="DD14" s="5044">
        <v>55</v>
      </c>
      <c r="DE14" s="5044">
        <v>163</v>
      </c>
      <c r="DF14" s="5008">
        <v>2</v>
      </c>
      <c r="DG14" s="5008"/>
      <c r="DH14" s="5046"/>
      <c r="DI14" s="5046"/>
      <c r="DJ14" s="5046">
        <v>127</v>
      </c>
      <c r="DK14" s="5046"/>
      <c r="DL14" s="5046"/>
      <c r="DM14" s="5008">
        <v>76</v>
      </c>
      <c r="DN14" s="5046"/>
      <c r="DO14" s="5046">
        <v>147</v>
      </c>
      <c r="DP14" s="5046"/>
      <c r="DQ14" s="5046">
        <v>8</v>
      </c>
      <c r="DR14" s="5046">
        <v>15</v>
      </c>
      <c r="DS14" s="5046">
        <v>90</v>
      </c>
      <c r="DT14" s="5044">
        <v>116</v>
      </c>
      <c r="DU14" s="5044">
        <v>17</v>
      </c>
      <c r="DV14" s="5044">
        <v>28</v>
      </c>
      <c r="DW14" s="5044"/>
      <c r="DX14" s="5044"/>
      <c r="DY14" s="5047">
        <f t="shared" si="0"/>
        <v>4857</v>
      </c>
      <c r="DZ14" s="5048"/>
      <c r="EA14" s="5048"/>
      <c r="EB14" s="5049"/>
      <c r="EC14" s="5049"/>
      <c r="ED14" s="5049"/>
      <c r="EE14" s="5049"/>
      <c r="EF14" s="5049"/>
      <c r="EG14" s="5049"/>
      <c r="EH14" s="5049">
        <v>17</v>
      </c>
      <c r="EI14" s="5049">
        <v>68</v>
      </c>
      <c r="EJ14" s="5049"/>
      <c r="EK14" s="5049"/>
      <c r="EL14" s="5049">
        <v>130</v>
      </c>
      <c r="EM14" s="5049"/>
      <c r="EN14" s="5049"/>
      <c r="EO14" s="5049"/>
      <c r="EP14" s="5049">
        <v>0</v>
      </c>
      <c r="EQ14" s="5049">
        <v>91</v>
      </c>
      <c r="ER14" s="5049">
        <v>10</v>
      </c>
      <c r="ES14" s="5049"/>
      <c r="ET14" s="5049"/>
      <c r="EU14" s="5049"/>
      <c r="EV14" s="5049"/>
      <c r="EW14" s="5009"/>
      <c r="EX14" s="5051">
        <v>655</v>
      </c>
      <c r="EY14" s="5049"/>
      <c r="EZ14" s="5049">
        <v>250</v>
      </c>
      <c r="FA14" s="5049"/>
      <c r="FB14" s="5049"/>
      <c r="FC14" s="5049"/>
      <c r="FD14" s="5049">
        <v>200</v>
      </c>
      <c r="FE14" s="5049"/>
      <c r="FF14" s="5049"/>
      <c r="FG14" s="5049"/>
      <c r="FH14" s="5049">
        <v>5</v>
      </c>
      <c r="FI14" s="5049"/>
      <c r="FJ14" s="5049"/>
      <c r="FK14" s="5049"/>
      <c r="FL14" s="5049"/>
      <c r="FM14" s="5049">
        <v>169</v>
      </c>
      <c r="FN14" s="5049"/>
      <c r="FO14" s="5049">
        <v>341</v>
      </c>
      <c r="FP14" s="5049"/>
      <c r="FQ14" s="5049"/>
      <c r="FR14" s="5049">
        <v>18</v>
      </c>
      <c r="FS14" s="5049"/>
      <c r="FT14" s="5049">
        <v>8</v>
      </c>
      <c r="FU14" s="5049"/>
      <c r="FV14" s="5049"/>
      <c r="FW14" s="5049"/>
      <c r="FX14" s="5049"/>
      <c r="FY14" s="5049">
        <v>16</v>
      </c>
      <c r="FZ14" s="5049"/>
      <c r="GA14" s="5049"/>
      <c r="GB14" s="5049">
        <v>35</v>
      </c>
      <c r="GC14" s="5049">
        <v>35</v>
      </c>
      <c r="GD14" s="5049"/>
      <c r="GE14" s="5049"/>
      <c r="GF14" s="5049">
        <v>72</v>
      </c>
      <c r="GG14" s="5052">
        <v>3</v>
      </c>
      <c r="GH14" s="5049">
        <v>7</v>
      </c>
      <c r="GI14" s="5049"/>
      <c r="GJ14" s="5006">
        <f t="shared" si="1"/>
        <v>2130</v>
      </c>
      <c r="GK14" s="4860">
        <f t="shared" si="2"/>
        <v>6987</v>
      </c>
      <c r="GL14" s="5187">
        <v>97.21</v>
      </c>
      <c r="GM14" s="3021">
        <v>0.45833333333333331</v>
      </c>
      <c r="GN14" s="1615"/>
      <c r="GO14" s="1615"/>
      <c r="GP14" s="1615"/>
      <c r="GQ14" s="1615"/>
      <c r="GR14" s="1615"/>
      <c r="GS14" s="1616"/>
      <c r="GT14" s="1615"/>
      <c r="GU14" s="1618"/>
      <c r="GV14" s="1618"/>
      <c r="GW14" s="1618"/>
      <c r="GX14" s="1615"/>
      <c r="GY14" s="1615"/>
      <c r="GZ14" s="1615"/>
      <c r="HA14" s="1615"/>
      <c r="HB14" s="1615"/>
      <c r="HC14" s="1615"/>
      <c r="HD14" s="1615"/>
      <c r="HE14" s="1615"/>
      <c r="HF14" s="1615"/>
      <c r="HG14" s="1615"/>
      <c r="HH14" s="1615"/>
      <c r="HI14" s="1615"/>
      <c r="HJ14" s="1615"/>
      <c r="HK14" s="1615"/>
      <c r="HL14" s="1615"/>
      <c r="HM14" s="1615"/>
      <c r="HN14" s="1615"/>
      <c r="HO14" s="1615"/>
      <c r="HP14" s="1615"/>
      <c r="HQ14" s="1615"/>
      <c r="HR14" s="1615"/>
      <c r="HS14" s="1615"/>
      <c r="HT14" s="1615"/>
      <c r="HU14" s="1615"/>
      <c r="HV14" s="1615"/>
      <c r="HW14" s="1615"/>
      <c r="HX14" s="1615"/>
      <c r="HY14" s="1615"/>
      <c r="HZ14" s="1615"/>
      <c r="IA14" s="1615"/>
      <c r="IB14" s="1615"/>
      <c r="IC14" s="1615"/>
      <c r="ID14" s="1615"/>
      <c r="IE14" s="1615"/>
      <c r="IF14" s="1615"/>
      <c r="IG14" s="1615"/>
      <c r="IH14" s="1615"/>
      <c r="II14" s="1615"/>
      <c r="IJ14" s="1615"/>
      <c r="IK14" s="1615"/>
      <c r="IL14" s="1615"/>
      <c r="IM14" s="1615"/>
      <c r="IN14" s="1615"/>
      <c r="IO14" s="1615"/>
      <c r="IP14" s="1615"/>
      <c r="IQ14" s="1615"/>
      <c r="IR14" s="1615"/>
      <c r="IS14" s="1615"/>
      <c r="IT14" s="1615"/>
      <c r="IU14" s="1615"/>
      <c r="IV14" s="1615"/>
      <c r="IW14" s="1615"/>
      <c r="IX14" s="1615"/>
      <c r="IY14" s="1615"/>
      <c r="IZ14" s="1615"/>
      <c r="JA14" s="1615"/>
      <c r="JB14" s="1615"/>
      <c r="JC14" s="1615"/>
      <c r="JD14" s="1615"/>
      <c r="JE14" s="1615"/>
      <c r="JF14" s="1617"/>
      <c r="JG14" s="1615"/>
      <c r="JH14" s="1615"/>
      <c r="JI14" s="1615"/>
      <c r="JJ14" s="1615"/>
      <c r="JK14" s="1615"/>
      <c r="JL14" s="1615"/>
      <c r="JM14" s="1615"/>
      <c r="JN14" s="1615"/>
      <c r="JO14" s="1615"/>
      <c r="JP14" s="1615"/>
      <c r="JQ14" s="1615"/>
      <c r="JR14" s="1615"/>
      <c r="JS14" s="1615"/>
      <c r="JT14" s="1615"/>
      <c r="JU14" s="1615"/>
      <c r="JV14" s="1615"/>
      <c r="JW14" s="1615"/>
      <c r="JX14" s="1615"/>
      <c r="JY14" s="1615"/>
      <c r="JZ14" s="1615"/>
      <c r="KA14" s="1615"/>
      <c r="KB14" s="1615"/>
      <c r="KC14" s="1615"/>
      <c r="KD14" s="1615"/>
      <c r="KE14" s="1615"/>
      <c r="KF14" s="1615"/>
      <c r="KG14" s="1615"/>
      <c r="KH14" s="1615"/>
      <c r="KI14" s="1615"/>
      <c r="KJ14" s="1615"/>
      <c r="KK14" s="1615"/>
      <c r="KL14" s="1615"/>
      <c r="KM14" s="1615"/>
      <c r="KN14" s="1615"/>
      <c r="KO14" s="1617"/>
      <c r="KP14" s="1615"/>
      <c r="KQ14" s="1615"/>
      <c r="KR14" s="1615"/>
      <c r="KS14" s="1615"/>
      <c r="KT14" s="1615"/>
      <c r="KU14" s="1615"/>
      <c r="KV14" s="1615"/>
      <c r="KW14" s="1615"/>
      <c r="KX14" s="1615"/>
      <c r="KY14" s="1615"/>
      <c r="KZ14" s="1617"/>
      <c r="LA14" s="1615"/>
      <c r="LB14" s="1615"/>
      <c r="LC14" s="1615"/>
      <c r="LD14" s="1615"/>
      <c r="LE14" s="1615"/>
      <c r="LF14" s="1615"/>
      <c r="LG14" s="1615"/>
      <c r="LH14" s="1615"/>
      <c r="LI14" s="1615"/>
      <c r="LJ14" s="1615"/>
      <c r="LK14" s="1615"/>
      <c r="LL14" s="1615"/>
      <c r="LM14" s="1615"/>
      <c r="LN14" s="1615"/>
      <c r="LO14" s="1615"/>
      <c r="LP14" s="1615"/>
      <c r="LQ14" s="1615"/>
      <c r="LR14" s="1615"/>
      <c r="LS14" s="1615"/>
      <c r="LT14" s="1615"/>
      <c r="LU14" s="1615"/>
      <c r="LV14" s="1615"/>
      <c r="LW14" s="1615"/>
      <c r="LX14" s="1615"/>
      <c r="LY14" s="1615"/>
      <c r="LZ14" s="1615"/>
      <c r="MA14" s="1615"/>
      <c r="MB14" s="1615"/>
      <c r="MC14" s="1615"/>
      <c r="MD14" s="1615"/>
      <c r="ME14" s="1615"/>
      <c r="MF14" s="1615"/>
      <c r="MG14" s="1615"/>
      <c r="MH14" s="1615"/>
      <c r="MI14" s="1615"/>
      <c r="MJ14" s="1615"/>
      <c r="MK14" s="1615"/>
      <c r="ML14" s="1615"/>
      <c r="MM14" s="1615"/>
      <c r="MN14" s="1615"/>
      <c r="MO14" s="1615"/>
      <c r="MP14" s="1615"/>
      <c r="MQ14" s="1615"/>
      <c r="MR14" s="1615"/>
      <c r="MS14" s="1615"/>
      <c r="MT14" s="1615"/>
      <c r="MU14" s="1617"/>
      <c r="MV14" s="1617"/>
      <c r="NK14" s="1219"/>
      <c r="NL14" s="1219"/>
    </row>
    <row r="15" spans="1:384" s="441" customFormat="1" ht="27" customHeight="1">
      <c r="A15" s="3611">
        <v>0.5</v>
      </c>
      <c r="B15" s="5040"/>
      <c r="C15" s="5031"/>
      <c r="D15" s="5031"/>
      <c r="E15" s="5031"/>
      <c r="F15" s="5032"/>
      <c r="G15" s="5033"/>
      <c r="H15" s="5032"/>
      <c r="I15" s="5032"/>
      <c r="J15" s="5031"/>
      <c r="K15" s="5031"/>
      <c r="L15" s="5031"/>
      <c r="M15" s="5031"/>
      <c r="N15" s="5031"/>
      <c r="O15" s="5031"/>
      <c r="P15" s="5031"/>
      <c r="Q15" s="5031"/>
      <c r="R15" s="5031"/>
      <c r="S15" s="5031"/>
      <c r="T15" s="5031"/>
      <c r="U15" s="5031"/>
      <c r="V15" s="5031"/>
      <c r="W15" s="5031"/>
      <c r="X15" s="5031"/>
      <c r="Y15" s="5031"/>
      <c r="Z15" s="5031"/>
      <c r="AA15" s="5031"/>
      <c r="AB15" s="5031"/>
      <c r="AC15" s="5031"/>
      <c r="AD15" s="5031"/>
      <c r="AE15" s="5032"/>
      <c r="AF15" s="5031"/>
      <c r="AG15" s="5031"/>
      <c r="AH15" s="5031"/>
      <c r="AI15" s="5031"/>
      <c r="AJ15" s="5031"/>
      <c r="AK15" s="5031"/>
      <c r="AL15" s="5031"/>
      <c r="AM15" s="5031"/>
      <c r="AN15" s="5031"/>
      <c r="AO15" s="5031"/>
      <c r="AP15" s="5031"/>
      <c r="AQ15" s="5031"/>
      <c r="AR15" s="5031"/>
      <c r="AS15" s="5031"/>
      <c r="AT15" s="5031"/>
      <c r="AU15" s="5031"/>
      <c r="AV15" s="5031"/>
      <c r="AW15" s="5031"/>
      <c r="AX15" s="5031"/>
      <c r="AY15" s="5031"/>
      <c r="AZ15" s="5031"/>
      <c r="BA15" s="5031"/>
      <c r="BB15" s="5031"/>
      <c r="BC15" s="5031"/>
      <c r="BD15" s="5031"/>
      <c r="BE15" s="5031"/>
      <c r="BF15" s="5031"/>
      <c r="BG15" s="5031"/>
      <c r="BH15" s="5031"/>
      <c r="BI15" s="5031"/>
      <c r="BJ15" s="5031"/>
      <c r="BK15" s="5031"/>
      <c r="BL15" s="5031"/>
      <c r="BM15" s="5031"/>
      <c r="BN15" s="5031"/>
      <c r="BO15" s="5015"/>
      <c r="BP15" s="5031"/>
      <c r="BQ15" s="5031"/>
      <c r="BR15" s="5031"/>
      <c r="BS15" s="5031"/>
      <c r="BT15" s="5031"/>
      <c r="BU15" s="5031"/>
      <c r="BV15" s="5031"/>
      <c r="BW15" s="5031"/>
      <c r="BX15" s="5031"/>
      <c r="BY15" s="5031"/>
      <c r="BZ15" s="5031"/>
      <c r="CA15" s="5031"/>
      <c r="CB15" s="5031"/>
      <c r="CC15" s="5034"/>
      <c r="CD15" s="5032"/>
      <c r="CE15" s="5031"/>
      <c r="CF15" s="5032"/>
      <c r="CG15" s="5032"/>
      <c r="CH15" s="5032"/>
      <c r="CI15" s="5033"/>
      <c r="CJ15" s="5032"/>
      <c r="CK15" s="5032"/>
      <c r="CL15" s="5032"/>
      <c r="CM15" s="5032"/>
      <c r="CN15" s="5032"/>
      <c r="CO15" s="5032"/>
      <c r="CP15" s="5032"/>
      <c r="CQ15" s="5032"/>
      <c r="CR15" s="5032"/>
      <c r="CS15" s="5032"/>
      <c r="CT15" s="5032"/>
      <c r="CU15" s="5032"/>
      <c r="CV15" s="5032"/>
      <c r="CW15" s="5032"/>
      <c r="CX15" s="5032"/>
      <c r="CY15" s="5032"/>
      <c r="CZ15" s="5032"/>
      <c r="DA15" s="5032"/>
      <c r="DB15" s="5032"/>
      <c r="DC15" s="5032"/>
      <c r="DD15" s="5032"/>
      <c r="DE15" s="5032"/>
      <c r="DF15" s="5016"/>
      <c r="DG15" s="5016"/>
      <c r="DH15" s="5034"/>
      <c r="DI15" s="5034"/>
      <c r="DJ15" s="5034"/>
      <c r="DK15" s="5034"/>
      <c r="DL15" s="5034"/>
      <c r="DM15" s="5016"/>
      <c r="DN15" s="5034"/>
      <c r="DO15" s="5034"/>
      <c r="DP15" s="5034"/>
      <c r="DQ15" s="5034"/>
      <c r="DR15" s="5034"/>
      <c r="DS15" s="5034"/>
      <c r="DT15" s="5032"/>
      <c r="DU15" s="5032"/>
      <c r="DV15" s="5032"/>
      <c r="DW15" s="5032"/>
      <c r="DX15" s="5032"/>
      <c r="DY15" s="5035">
        <f t="shared" ref="DY15:DY21" si="3">SUM(B15:DX15)</f>
        <v>0</v>
      </c>
      <c r="DZ15" s="5036"/>
      <c r="EA15" s="5036"/>
      <c r="EB15" s="5037"/>
      <c r="EC15" s="5037"/>
      <c r="ED15" s="5037"/>
      <c r="EE15" s="5037"/>
      <c r="EF15" s="5037"/>
      <c r="EG15" s="5037"/>
      <c r="EH15" s="5037"/>
      <c r="EI15" s="5037"/>
      <c r="EJ15" s="5037"/>
      <c r="EK15" s="5037"/>
      <c r="EL15" s="5037"/>
      <c r="EM15" s="5037"/>
      <c r="EN15" s="5037"/>
      <c r="EO15" s="5041"/>
      <c r="EP15" s="5037"/>
      <c r="EQ15" s="5037"/>
      <c r="ER15" s="5037"/>
      <c r="ES15" s="5037"/>
      <c r="ET15" s="5037"/>
      <c r="EU15" s="5037"/>
      <c r="EV15" s="5037"/>
      <c r="EW15" s="5018"/>
      <c r="EX15" s="5038"/>
      <c r="EY15" s="5037"/>
      <c r="EZ15" s="5037"/>
      <c r="FA15" s="5037"/>
      <c r="FB15" s="5037"/>
      <c r="FC15" s="5037"/>
      <c r="FD15" s="5037"/>
      <c r="FE15" s="5037"/>
      <c r="FF15" s="5037"/>
      <c r="FG15" s="5037"/>
      <c r="FH15" s="5037"/>
      <c r="FI15" s="5037"/>
      <c r="FJ15" s="5037"/>
      <c r="FK15" s="5037"/>
      <c r="FL15" s="5037"/>
      <c r="FM15" s="5037"/>
      <c r="FN15" s="5037"/>
      <c r="FO15" s="5037"/>
      <c r="FP15" s="5037"/>
      <c r="FQ15" s="5037"/>
      <c r="FR15" s="5037"/>
      <c r="FS15" s="5037"/>
      <c r="FT15" s="5037"/>
      <c r="FU15" s="5037"/>
      <c r="FV15" s="5037"/>
      <c r="FW15" s="5037"/>
      <c r="FX15" s="5037"/>
      <c r="FY15" s="5037"/>
      <c r="FZ15" s="5037"/>
      <c r="GA15" s="5037"/>
      <c r="GB15" s="5037"/>
      <c r="GC15" s="5037"/>
      <c r="GD15" s="5037"/>
      <c r="GE15" s="5037"/>
      <c r="GF15" s="5037"/>
      <c r="GG15" s="5039"/>
      <c r="GH15" s="5037"/>
      <c r="GI15" s="5037"/>
      <c r="GJ15" s="5013">
        <f t="shared" ref="GJ15:GJ16" si="4">SUM(DZ15:GI15)</f>
        <v>0</v>
      </c>
      <c r="GK15" s="5014">
        <f t="shared" ref="GK15:GK16" si="5">SUM(B15:DX15)+SUM(DZ15:GI15)</f>
        <v>0</v>
      </c>
      <c r="GL15" s="5112">
        <v>97.43</v>
      </c>
      <c r="GM15" s="3021">
        <v>0.5</v>
      </c>
      <c r="GN15" s="1218"/>
      <c r="GO15" s="1218"/>
      <c r="GP15" s="1218"/>
      <c r="GQ15" s="1218"/>
      <c r="GS15" s="1223"/>
      <c r="GT15" s="1224"/>
      <c r="GU15" s="1225"/>
      <c r="GV15" s="1225"/>
      <c r="GW15" s="1225"/>
      <c r="GX15" s="1218"/>
      <c r="GY15" s="1218"/>
      <c r="GZ15" s="1218"/>
      <c r="HA15" s="1218"/>
      <c r="HB15" s="1218"/>
      <c r="HC15" s="1218"/>
      <c r="HD15" s="1218"/>
      <c r="HE15" s="1218"/>
      <c r="HF15" s="1218"/>
      <c r="HG15" s="1218"/>
      <c r="HH15" s="1218"/>
      <c r="HI15" s="1218"/>
      <c r="HJ15" s="1218"/>
      <c r="HK15" s="1218"/>
      <c r="HL15" s="1218"/>
      <c r="HM15" s="1218"/>
      <c r="HN15" s="1218"/>
      <c r="HO15" s="1218"/>
      <c r="HP15" s="1218"/>
      <c r="HQ15" s="1218"/>
      <c r="HR15" s="1218"/>
      <c r="HS15" s="1218"/>
      <c r="HT15" s="1218"/>
      <c r="HU15" s="1218"/>
      <c r="HV15" s="1218"/>
      <c r="HW15" s="1218"/>
      <c r="HX15" s="1218"/>
      <c r="HY15" s="1218"/>
      <c r="HZ15" s="1218"/>
      <c r="IA15" s="1218"/>
      <c r="IB15" s="1218"/>
      <c r="IC15" s="1218"/>
      <c r="ID15" s="1218"/>
      <c r="IE15" s="1218"/>
      <c r="IF15" s="1218"/>
      <c r="IG15" s="1218"/>
      <c r="IH15" s="1218"/>
      <c r="II15" s="1218"/>
      <c r="IJ15" s="1218"/>
      <c r="IK15" s="1218"/>
      <c r="IL15" s="1218"/>
      <c r="IM15" s="1218"/>
      <c r="IN15" s="1218"/>
      <c r="IO15" s="1218"/>
      <c r="IP15" s="1218"/>
      <c r="IQ15" s="1218"/>
      <c r="IR15" s="1218"/>
      <c r="IS15" s="1218"/>
      <c r="IT15" s="1218"/>
      <c r="IU15" s="1218"/>
      <c r="IV15" s="1218"/>
      <c r="IW15" s="1218"/>
      <c r="IX15" s="1218"/>
      <c r="IY15" s="1218"/>
      <c r="IZ15" s="1218"/>
      <c r="JA15" s="1218"/>
      <c r="JB15" s="1218"/>
      <c r="JC15" s="1218"/>
      <c r="JD15" s="1218"/>
      <c r="JE15" s="1218"/>
      <c r="JF15" s="1217"/>
      <c r="JG15" s="1218"/>
      <c r="JH15" s="1218"/>
      <c r="JI15" s="1218"/>
    </row>
    <row r="16" spans="1:384" s="441" customFormat="1" ht="27" customHeight="1">
      <c r="A16" s="3611">
        <v>0.54166666666666663</v>
      </c>
      <c r="B16" s="5042"/>
      <c r="C16" s="5043"/>
      <c r="D16" s="5043"/>
      <c r="E16" s="5043"/>
      <c r="F16" s="5044"/>
      <c r="G16" s="5045"/>
      <c r="H16" s="5044"/>
      <c r="I16" s="5044"/>
      <c r="J16" s="5043"/>
      <c r="K16" s="5043"/>
      <c r="L16" s="5043"/>
      <c r="M16" s="5043"/>
      <c r="N16" s="5043"/>
      <c r="O16" s="5043"/>
      <c r="P16" s="5043"/>
      <c r="Q16" s="5043"/>
      <c r="R16" s="5043"/>
      <c r="S16" s="5043"/>
      <c r="T16" s="5043"/>
      <c r="U16" s="5043"/>
      <c r="V16" s="5043"/>
      <c r="W16" s="5043"/>
      <c r="X16" s="5043"/>
      <c r="Y16" s="5043"/>
      <c r="Z16" s="5043"/>
      <c r="AA16" s="5043"/>
      <c r="AB16" s="5043"/>
      <c r="AC16" s="5043"/>
      <c r="AD16" s="5043"/>
      <c r="AE16" s="5044"/>
      <c r="AF16" s="5043"/>
      <c r="AG16" s="5043"/>
      <c r="AH16" s="5043"/>
      <c r="AI16" s="5043"/>
      <c r="AJ16" s="5043"/>
      <c r="AK16" s="5043"/>
      <c r="AL16" s="5043"/>
      <c r="AM16" s="5043"/>
      <c r="AN16" s="5043"/>
      <c r="AO16" s="5043"/>
      <c r="AP16" s="5043"/>
      <c r="AQ16" s="5043"/>
      <c r="AR16" s="5043"/>
      <c r="AS16" s="5043"/>
      <c r="AT16" s="5043"/>
      <c r="AU16" s="5043"/>
      <c r="AV16" s="5043"/>
      <c r="AW16" s="5043"/>
      <c r="AX16" s="5043"/>
      <c r="AY16" s="5043"/>
      <c r="AZ16" s="5043"/>
      <c r="BA16" s="5043"/>
      <c r="BB16" s="5043"/>
      <c r="BC16" s="5043"/>
      <c r="BD16" s="5043"/>
      <c r="BE16" s="5043"/>
      <c r="BF16" s="5043"/>
      <c r="BG16" s="5043"/>
      <c r="BH16" s="5043"/>
      <c r="BI16" s="5043"/>
      <c r="BJ16" s="5043"/>
      <c r="BK16" s="5043"/>
      <c r="BL16" s="5043"/>
      <c r="BM16" s="5043"/>
      <c r="BN16" s="5043"/>
      <c r="BO16" s="5007"/>
      <c r="BP16" s="5043"/>
      <c r="BQ16" s="5043"/>
      <c r="BR16" s="5043"/>
      <c r="BS16" s="5043"/>
      <c r="BT16" s="5043"/>
      <c r="BU16" s="5043"/>
      <c r="BV16" s="5043"/>
      <c r="BW16" s="5043"/>
      <c r="BX16" s="5043"/>
      <c r="BY16" s="5043"/>
      <c r="BZ16" s="5043"/>
      <c r="CA16" s="5043"/>
      <c r="CB16" s="5043"/>
      <c r="CC16" s="5046"/>
      <c r="CD16" s="5044"/>
      <c r="CE16" s="5043"/>
      <c r="CF16" s="5044"/>
      <c r="CG16" s="5044"/>
      <c r="CH16" s="5044"/>
      <c r="CI16" s="5045"/>
      <c r="CJ16" s="5044"/>
      <c r="CK16" s="5044"/>
      <c r="CL16" s="5044"/>
      <c r="CM16" s="5044"/>
      <c r="CN16" s="5044"/>
      <c r="CO16" s="5044"/>
      <c r="CP16" s="5044"/>
      <c r="CQ16" s="5044"/>
      <c r="CR16" s="5044"/>
      <c r="CS16" s="5044"/>
      <c r="CT16" s="5044"/>
      <c r="CU16" s="5044"/>
      <c r="CV16" s="5044"/>
      <c r="CW16" s="5044"/>
      <c r="CX16" s="5044"/>
      <c r="CY16" s="5044"/>
      <c r="CZ16" s="5044"/>
      <c r="DA16" s="5044"/>
      <c r="DB16" s="5044"/>
      <c r="DC16" s="5044"/>
      <c r="DD16" s="5044"/>
      <c r="DE16" s="5044"/>
      <c r="DF16" s="5045"/>
      <c r="DG16" s="5008"/>
      <c r="DH16" s="5046"/>
      <c r="DI16" s="5046"/>
      <c r="DJ16" s="5046"/>
      <c r="DK16" s="5046"/>
      <c r="DL16" s="5046"/>
      <c r="DM16" s="5008"/>
      <c r="DN16" s="5046"/>
      <c r="DO16" s="5046"/>
      <c r="DP16" s="5046"/>
      <c r="DQ16" s="5046"/>
      <c r="DR16" s="5046"/>
      <c r="DS16" s="5046"/>
      <c r="DT16" s="5046"/>
      <c r="DU16" s="5046"/>
      <c r="DV16" s="5046"/>
      <c r="DW16" s="5046"/>
      <c r="DX16" s="5046"/>
      <c r="DY16" s="5047">
        <f t="shared" si="3"/>
        <v>0</v>
      </c>
      <c r="DZ16" s="5048"/>
      <c r="EA16" s="5048"/>
      <c r="EB16" s="5049"/>
      <c r="EC16" s="5049"/>
      <c r="ED16" s="5049"/>
      <c r="EE16" s="5049"/>
      <c r="EF16" s="5049"/>
      <c r="EG16" s="5049"/>
      <c r="EH16" s="5049"/>
      <c r="EI16" s="5049"/>
      <c r="EJ16" s="5049"/>
      <c r="EK16" s="5049"/>
      <c r="EL16" s="5049"/>
      <c r="EM16" s="5049"/>
      <c r="EN16" s="5049"/>
      <c r="EO16" s="5050"/>
      <c r="EP16" s="5049"/>
      <c r="EQ16" s="5049"/>
      <c r="ER16" s="5049"/>
      <c r="ES16" s="5049"/>
      <c r="ET16" s="5049"/>
      <c r="EU16" s="5049"/>
      <c r="EV16" s="5049"/>
      <c r="EW16" s="5009"/>
      <c r="EX16" s="5051"/>
      <c r="EY16" s="5049"/>
      <c r="EZ16" s="5049"/>
      <c r="FA16" s="5049"/>
      <c r="FB16" s="5049"/>
      <c r="FC16" s="5049"/>
      <c r="FD16" s="5049"/>
      <c r="FE16" s="5049"/>
      <c r="FF16" s="5049"/>
      <c r="FG16" s="5049"/>
      <c r="FH16" s="5049"/>
      <c r="FI16" s="5049"/>
      <c r="FJ16" s="5049"/>
      <c r="FK16" s="5049"/>
      <c r="FL16" s="5049"/>
      <c r="FM16" s="5049"/>
      <c r="FN16" s="5049"/>
      <c r="FO16" s="5049"/>
      <c r="FP16" s="5049"/>
      <c r="FQ16" s="5049"/>
      <c r="FR16" s="5049"/>
      <c r="FS16" s="5049"/>
      <c r="FT16" s="5049"/>
      <c r="FU16" s="5049"/>
      <c r="FV16" s="5049"/>
      <c r="FW16" s="5049"/>
      <c r="FX16" s="5049"/>
      <c r="FY16" s="5049"/>
      <c r="FZ16" s="5049"/>
      <c r="GA16" s="5049"/>
      <c r="GB16" s="5049"/>
      <c r="GC16" s="5049"/>
      <c r="GD16" s="5049"/>
      <c r="GE16" s="5049"/>
      <c r="GF16" s="5049"/>
      <c r="GG16" s="5052"/>
      <c r="GH16" s="5049"/>
      <c r="GI16" s="5017"/>
      <c r="GJ16" s="5013">
        <f t="shared" si="4"/>
        <v>0</v>
      </c>
      <c r="GK16" s="5014">
        <f t="shared" si="5"/>
        <v>0</v>
      </c>
      <c r="GL16" s="5112">
        <v>97.41</v>
      </c>
      <c r="GM16" s="3021">
        <v>0.54166666666666663</v>
      </c>
      <c r="GN16" s="1978"/>
      <c r="GO16" s="1978"/>
      <c r="GP16" s="1218"/>
      <c r="GQ16" s="1218"/>
      <c r="GR16" s="1218"/>
      <c r="GS16" s="1224"/>
      <c r="GT16" s="1224"/>
      <c r="GU16" s="1224"/>
      <c r="GV16" s="1224"/>
      <c r="GW16" s="1224"/>
      <c r="GX16" s="1218"/>
      <c r="GY16" s="1218"/>
      <c r="GZ16" s="1218"/>
      <c r="HA16" s="1218"/>
      <c r="HB16" s="1218"/>
      <c r="HC16" s="1218"/>
      <c r="HD16" s="1218"/>
      <c r="HE16" s="1218"/>
      <c r="HF16" s="1218"/>
      <c r="HG16" s="1218"/>
      <c r="HH16" s="1218"/>
      <c r="HI16" s="1218"/>
      <c r="HJ16" s="1218"/>
      <c r="HK16" s="1218"/>
      <c r="HL16" s="1218"/>
      <c r="HM16" s="1218"/>
      <c r="HN16" s="1218"/>
      <c r="HO16" s="1218"/>
      <c r="HP16" s="1218"/>
      <c r="HQ16" s="1218"/>
      <c r="HR16" s="1218"/>
      <c r="HS16" s="1218"/>
      <c r="HT16" s="1218"/>
      <c r="HU16" s="1218"/>
      <c r="HV16" s="1218"/>
      <c r="HW16" s="1218"/>
      <c r="HX16" s="1218"/>
      <c r="HY16" s="1218"/>
      <c r="HZ16" s="1218"/>
      <c r="IA16" s="1218"/>
      <c r="IB16" s="1218"/>
      <c r="IC16" s="1218"/>
      <c r="ID16" s="1218"/>
      <c r="IE16" s="1218"/>
      <c r="IF16" s="1218"/>
      <c r="IG16" s="1218"/>
      <c r="IH16" s="1218"/>
      <c r="II16" s="1218"/>
      <c r="IJ16" s="1218"/>
      <c r="IK16" s="1218"/>
      <c r="IL16" s="1218"/>
      <c r="IM16" s="1218"/>
      <c r="IN16" s="1218"/>
      <c r="IO16" s="1218"/>
      <c r="IP16" s="1218"/>
      <c r="IQ16" s="1218"/>
      <c r="IR16" s="1218"/>
      <c r="IS16" s="1218"/>
      <c r="IT16" s="1218"/>
      <c r="IU16" s="1218"/>
      <c r="IV16" s="1218"/>
      <c r="IW16" s="1218"/>
      <c r="IX16" s="1218"/>
      <c r="IY16" s="1218"/>
      <c r="IZ16" s="1218"/>
      <c r="JA16" s="1218"/>
      <c r="JB16" s="1218"/>
      <c r="JC16" s="1218"/>
      <c r="JD16" s="1218"/>
      <c r="JE16" s="1218"/>
      <c r="JF16" s="1217"/>
      <c r="JG16" s="1218"/>
      <c r="JH16" s="1218"/>
      <c r="JI16" s="1218"/>
    </row>
    <row r="17" spans="1:379" s="441" customFormat="1" ht="27" customHeight="1">
      <c r="A17" s="3612">
        <v>0.58333333333333304</v>
      </c>
      <c r="B17" s="5053"/>
      <c r="C17" s="5054"/>
      <c r="D17" s="5054"/>
      <c r="E17" s="5054"/>
      <c r="F17" s="5055"/>
      <c r="G17" s="5056"/>
      <c r="H17" s="5055"/>
      <c r="I17" s="5055"/>
      <c r="J17" s="5054"/>
      <c r="K17" s="5054"/>
      <c r="L17" s="5054"/>
      <c r="M17" s="5054"/>
      <c r="N17" s="5054"/>
      <c r="O17" s="5054"/>
      <c r="P17" s="5054"/>
      <c r="Q17" s="5054"/>
      <c r="R17" s="5054"/>
      <c r="S17" s="5054"/>
      <c r="T17" s="5054"/>
      <c r="U17" s="5054"/>
      <c r="V17" s="5054"/>
      <c r="W17" s="5054"/>
      <c r="X17" s="5054"/>
      <c r="Y17" s="5054"/>
      <c r="Z17" s="5054"/>
      <c r="AA17" s="5054"/>
      <c r="AB17" s="5054"/>
      <c r="AC17" s="5054"/>
      <c r="AD17" s="5054"/>
      <c r="AE17" s="5055"/>
      <c r="AF17" s="5054"/>
      <c r="AG17" s="5054"/>
      <c r="AH17" s="5054"/>
      <c r="AI17" s="5054"/>
      <c r="AJ17" s="5054"/>
      <c r="AK17" s="5054"/>
      <c r="AL17" s="5054"/>
      <c r="AM17" s="5054"/>
      <c r="AN17" s="5054"/>
      <c r="AO17" s="5054"/>
      <c r="AP17" s="5054"/>
      <c r="AQ17" s="5054"/>
      <c r="AR17" s="5054"/>
      <c r="AS17" s="5054"/>
      <c r="AT17" s="5054"/>
      <c r="AU17" s="5054"/>
      <c r="AV17" s="5054"/>
      <c r="AW17" s="5054"/>
      <c r="AX17" s="5054"/>
      <c r="AY17" s="5054"/>
      <c r="AZ17" s="5054"/>
      <c r="BA17" s="5054"/>
      <c r="BB17" s="5054"/>
      <c r="BC17" s="5054"/>
      <c r="BD17" s="5054"/>
      <c r="BE17" s="5054"/>
      <c r="BF17" s="5054"/>
      <c r="BG17" s="5054"/>
      <c r="BH17" s="5054"/>
      <c r="BI17" s="5054"/>
      <c r="BJ17" s="5054"/>
      <c r="BK17" s="5054"/>
      <c r="BL17" s="5054"/>
      <c r="BM17" s="5054"/>
      <c r="BN17" s="5054"/>
      <c r="BO17" s="5057"/>
      <c r="BP17" s="5054"/>
      <c r="BQ17" s="5054"/>
      <c r="BR17" s="5054"/>
      <c r="BS17" s="5054"/>
      <c r="BT17" s="5054"/>
      <c r="BU17" s="5054"/>
      <c r="BV17" s="5054"/>
      <c r="BW17" s="5054"/>
      <c r="BX17" s="5054"/>
      <c r="BY17" s="5054"/>
      <c r="BZ17" s="5054"/>
      <c r="CA17" s="5054"/>
      <c r="CB17" s="5054"/>
      <c r="CC17" s="5058"/>
      <c r="CD17" s="5055"/>
      <c r="CE17" s="5054"/>
      <c r="CF17" s="5055"/>
      <c r="CG17" s="5055"/>
      <c r="CH17" s="5055"/>
      <c r="CI17" s="5056"/>
      <c r="CJ17" s="5055"/>
      <c r="CK17" s="5055"/>
      <c r="CL17" s="5055"/>
      <c r="CM17" s="5055"/>
      <c r="CN17" s="5055"/>
      <c r="CO17" s="5055"/>
      <c r="CP17" s="5055"/>
      <c r="CQ17" s="5055"/>
      <c r="CR17" s="5055"/>
      <c r="CS17" s="5055"/>
      <c r="CT17" s="5055"/>
      <c r="CU17" s="5055"/>
      <c r="CV17" s="5055"/>
      <c r="CW17" s="5055"/>
      <c r="CX17" s="5055"/>
      <c r="CY17" s="5055"/>
      <c r="CZ17" s="5055"/>
      <c r="DA17" s="5055"/>
      <c r="DB17" s="5055"/>
      <c r="DC17" s="5055"/>
      <c r="DD17" s="5055"/>
      <c r="DE17" s="5055"/>
      <c r="DF17" s="5056"/>
      <c r="DG17" s="5055"/>
      <c r="DH17" s="5058"/>
      <c r="DI17" s="5058"/>
      <c r="DJ17" s="5058"/>
      <c r="DK17" s="5058"/>
      <c r="DL17" s="5058"/>
      <c r="DM17" s="5058"/>
      <c r="DN17" s="5058"/>
      <c r="DO17" s="5058"/>
      <c r="DP17" s="5058"/>
      <c r="DQ17" s="5058"/>
      <c r="DR17" s="5058"/>
      <c r="DS17" s="5058"/>
      <c r="DT17" s="5058"/>
      <c r="DU17" s="5058"/>
      <c r="DV17" s="5058"/>
      <c r="DW17" s="5058"/>
      <c r="DX17" s="5058"/>
      <c r="DY17" s="5047">
        <f t="shared" si="3"/>
        <v>0</v>
      </c>
      <c r="DZ17" s="5059"/>
      <c r="EA17" s="5060"/>
      <c r="EB17" s="5060"/>
      <c r="EC17" s="5061"/>
      <c r="ED17" s="5061"/>
      <c r="EE17" s="5061"/>
      <c r="EF17" s="5061"/>
      <c r="EG17" s="5061"/>
      <c r="EH17" s="5061"/>
      <c r="EI17" s="5061"/>
      <c r="EJ17" s="5061"/>
      <c r="EK17" s="5061"/>
      <c r="EL17" s="5061"/>
      <c r="EM17" s="5061"/>
      <c r="EN17" s="5061"/>
      <c r="EO17" s="5061"/>
      <c r="EP17" s="5061"/>
      <c r="EQ17" s="5061"/>
      <c r="ER17" s="5061"/>
      <c r="ES17" s="5061"/>
      <c r="ET17" s="5061"/>
      <c r="EU17" s="5061"/>
      <c r="EV17" s="5061"/>
      <c r="EW17" s="5061"/>
      <c r="EX17" s="5051"/>
      <c r="EY17" s="5061"/>
      <c r="EZ17" s="5005"/>
      <c r="FA17" s="5061"/>
      <c r="FB17" s="5061"/>
      <c r="FC17" s="5061"/>
      <c r="FD17" s="5061"/>
      <c r="FE17" s="5061"/>
      <c r="FF17" s="5062"/>
      <c r="FG17" s="5061"/>
      <c r="FH17" s="5061"/>
      <c r="FI17" s="5061"/>
      <c r="FJ17" s="5061"/>
      <c r="FK17" s="5061"/>
      <c r="FL17" s="5061"/>
      <c r="FM17" s="5061"/>
      <c r="FN17" s="5061"/>
      <c r="FO17" s="5061"/>
      <c r="FP17" s="5061"/>
      <c r="FQ17" s="5061"/>
      <c r="FR17" s="5061"/>
      <c r="FS17" s="5061"/>
      <c r="FT17" s="5061"/>
      <c r="FU17" s="5061"/>
      <c r="FV17" s="5061"/>
      <c r="FW17" s="5061"/>
      <c r="FX17" s="5061"/>
      <c r="FY17" s="5061"/>
      <c r="FZ17" s="5061"/>
      <c r="GA17" s="5061"/>
      <c r="GB17" s="5061"/>
      <c r="GC17" s="5061"/>
      <c r="GD17" s="5061"/>
      <c r="GE17" s="5061"/>
      <c r="GF17" s="5061"/>
      <c r="GG17" s="5063"/>
      <c r="GH17" s="5061"/>
      <c r="GI17" s="5061"/>
      <c r="GJ17" s="5006">
        <f>SUM(DZ17:GI17)</f>
        <v>0</v>
      </c>
      <c r="GK17" s="4860">
        <f>SUM(B17:DX17)+SUM(DZ17:GI17)</f>
        <v>0</v>
      </c>
      <c r="GL17" s="5112">
        <v>97.41</v>
      </c>
      <c r="GM17" s="3020">
        <v>0.58333333333333337</v>
      </c>
      <c r="GN17" s="1218"/>
      <c r="GO17" s="1218"/>
      <c r="GP17" s="1218"/>
      <c r="GQ17" s="1218"/>
      <c r="GR17" s="1218"/>
      <c r="GS17" s="1218"/>
      <c r="GT17" s="1218"/>
      <c r="GU17" s="1218"/>
      <c r="GV17" s="1218"/>
      <c r="GW17" s="1218"/>
      <c r="GX17" s="1218"/>
      <c r="GY17" s="1218"/>
      <c r="GZ17" s="1218"/>
      <c r="HA17" s="1218"/>
      <c r="HB17" s="1218"/>
      <c r="HC17" s="1218"/>
      <c r="HD17" s="1218"/>
      <c r="HE17" s="1218"/>
      <c r="HF17" s="1218"/>
      <c r="HG17" s="1218"/>
      <c r="HH17" s="1218"/>
      <c r="HI17" s="1218"/>
      <c r="HJ17" s="1218"/>
      <c r="HK17" s="1218"/>
      <c r="HL17" s="1218"/>
      <c r="HM17" s="1218"/>
      <c r="HN17" s="1218"/>
      <c r="HO17" s="1218"/>
      <c r="HP17" s="1218"/>
      <c r="HQ17" s="1218"/>
      <c r="HR17" s="1218"/>
      <c r="HS17" s="1218"/>
      <c r="HT17" s="1218"/>
      <c r="HU17" s="1218"/>
      <c r="HV17" s="1218"/>
      <c r="HW17" s="1218"/>
      <c r="HX17" s="1218"/>
      <c r="HY17" s="1218"/>
      <c r="HZ17" s="1218"/>
      <c r="IA17" s="1218"/>
      <c r="IB17" s="1218"/>
      <c r="IC17" s="1218"/>
      <c r="ID17" s="1218"/>
      <c r="IE17" s="1218"/>
      <c r="IF17" s="1218"/>
      <c r="IG17" s="1218"/>
      <c r="IH17" s="1218"/>
      <c r="II17" s="1218"/>
      <c r="IJ17" s="1218"/>
      <c r="IK17" s="1218"/>
      <c r="IL17" s="1218"/>
      <c r="IM17" s="1218"/>
      <c r="IN17" s="1218"/>
      <c r="IO17" s="1218"/>
      <c r="IP17" s="1218"/>
      <c r="IQ17" s="1218"/>
      <c r="IR17" s="1218"/>
      <c r="IS17" s="1218"/>
      <c r="IT17" s="1218"/>
      <c r="IU17" s="1218"/>
      <c r="IV17" s="1218"/>
      <c r="IW17" s="1218"/>
      <c r="IX17" s="1218"/>
      <c r="IY17" s="1218"/>
      <c r="IZ17" s="1218"/>
      <c r="JA17" s="1218"/>
      <c r="JB17" s="1218"/>
      <c r="JC17" s="1218"/>
      <c r="JD17" s="1218"/>
      <c r="JE17" s="1218"/>
      <c r="JF17" s="1218"/>
      <c r="JG17" s="1218"/>
      <c r="JH17" s="1218"/>
      <c r="JI17" s="1218"/>
    </row>
    <row r="18" spans="1:379" s="441" customFormat="1" ht="27" customHeight="1">
      <c r="A18" s="4861">
        <v>0.625</v>
      </c>
      <c r="B18" s="5053"/>
      <c r="C18" s="5054"/>
      <c r="D18" s="5054"/>
      <c r="E18" s="5054"/>
      <c r="F18" s="5055"/>
      <c r="G18" s="5056"/>
      <c r="H18" s="5055"/>
      <c r="I18" s="5055"/>
      <c r="J18" s="5054"/>
      <c r="K18" s="5054"/>
      <c r="L18" s="5054"/>
      <c r="M18" s="5054"/>
      <c r="N18" s="5054"/>
      <c r="O18" s="5054"/>
      <c r="P18" s="5054"/>
      <c r="Q18" s="5054"/>
      <c r="R18" s="5054"/>
      <c r="S18" s="5054"/>
      <c r="T18" s="5054"/>
      <c r="U18" s="5054"/>
      <c r="V18" s="5054"/>
      <c r="W18" s="5054"/>
      <c r="X18" s="5054"/>
      <c r="Y18" s="5054"/>
      <c r="Z18" s="5054"/>
      <c r="AA18" s="5054"/>
      <c r="AB18" s="5054"/>
      <c r="AC18" s="5054"/>
      <c r="AD18" s="5055"/>
      <c r="AE18" s="5054"/>
      <c r="AF18" s="5054"/>
      <c r="AG18" s="5054"/>
      <c r="AH18" s="5054"/>
      <c r="AI18" s="5054"/>
      <c r="AJ18" s="5054"/>
      <c r="AK18" s="5054"/>
      <c r="AL18" s="5054"/>
      <c r="AM18" s="5054"/>
      <c r="AN18" s="5054"/>
      <c r="AO18" s="5054"/>
      <c r="AP18" s="5054"/>
      <c r="AQ18" s="5054"/>
      <c r="AR18" s="5054"/>
      <c r="AS18" s="5054"/>
      <c r="AT18" s="5054"/>
      <c r="AU18" s="5054"/>
      <c r="AV18" s="5054"/>
      <c r="AW18" s="5054"/>
      <c r="AX18" s="5054"/>
      <c r="AY18" s="5054"/>
      <c r="AZ18" s="5054"/>
      <c r="BA18" s="5054"/>
      <c r="BB18" s="5054"/>
      <c r="BC18" s="5054"/>
      <c r="BD18" s="5054"/>
      <c r="BE18" s="5054"/>
      <c r="BF18" s="5054"/>
      <c r="BG18" s="5054"/>
      <c r="BH18" s="5054"/>
      <c r="BI18" s="5054"/>
      <c r="BJ18" s="5054"/>
      <c r="BK18" s="5054"/>
      <c r="BL18" s="5054"/>
      <c r="BM18" s="5054"/>
      <c r="BN18" s="5054"/>
      <c r="BO18" s="5057"/>
      <c r="BP18" s="5054"/>
      <c r="BQ18" s="5054"/>
      <c r="BR18" s="5054"/>
      <c r="BS18" s="5054"/>
      <c r="BT18" s="5054"/>
      <c r="BU18" s="5054"/>
      <c r="BV18" s="5054"/>
      <c r="BW18" s="5054"/>
      <c r="BX18" s="5054"/>
      <c r="BY18" s="5054"/>
      <c r="BZ18" s="5054"/>
      <c r="CA18" s="5054"/>
      <c r="CB18" s="5054"/>
      <c r="CC18" s="5055"/>
      <c r="CD18" s="5054"/>
      <c r="CE18" s="5055"/>
      <c r="CF18" s="5055"/>
      <c r="CG18" s="5055"/>
      <c r="CH18" s="5055"/>
      <c r="CI18" s="5056"/>
      <c r="CJ18" s="5055"/>
      <c r="CK18" s="5055"/>
      <c r="CL18" s="5055"/>
      <c r="CM18" s="5055"/>
      <c r="CN18" s="5055"/>
      <c r="CO18" s="5055"/>
      <c r="CP18" s="5055"/>
      <c r="CQ18" s="5055"/>
      <c r="CR18" s="5055"/>
      <c r="CS18" s="5055"/>
      <c r="CT18" s="5055"/>
      <c r="CU18" s="5055"/>
      <c r="CV18" s="5055"/>
      <c r="CW18" s="5055"/>
      <c r="CX18" s="5055"/>
      <c r="CY18" s="5055"/>
      <c r="CZ18" s="5055"/>
      <c r="DA18" s="5055"/>
      <c r="DB18" s="5055"/>
      <c r="DC18" s="5055"/>
      <c r="DD18" s="5055"/>
      <c r="DE18" s="5055"/>
      <c r="DF18" s="5056"/>
      <c r="DG18" s="5055"/>
      <c r="DH18" s="5058"/>
      <c r="DI18" s="5058"/>
      <c r="DJ18" s="5058"/>
      <c r="DK18" s="5058"/>
      <c r="DL18" s="5058"/>
      <c r="DM18" s="5058"/>
      <c r="DN18" s="5058"/>
      <c r="DO18" s="5058"/>
      <c r="DP18" s="5058"/>
      <c r="DQ18" s="5055"/>
      <c r="DR18" s="5055"/>
      <c r="DS18" s="5055"/>
      <c r="DT18" s="5055"/>
      <c r="DU18" s="5055"/>
      <c r="DV18" s="5055"/>
      <c r="DW18" s="5055"/>
      <c r="DX18" s="5055"/>
      <c r="DY18" s="5047">
        <f t="shared" si="3"/>
        <v>0</v>
      </c>
      <c r="DZ18" s="5059"/>
      <c r="EA18" s="5060"/>
      <c r="EB18" s="5061"/>
      <c r="EC18" s="5061"/>
      <c r="ED18" s="5061"/>
      <c r="EE18" s="5061"/>
      <c r="EF18" s="5061"/>
      <c r="EG18" s="5061"/>
      <c r="EH18" s="5061"/>
      <c r="EI18" s="5061"/>
      <c r="EJ18" s="5061"/>
      <c r="EK18" s="5061"/>
      <c r="EL18" s="5061"/>
      <c r="EM18" s="5061"/>
      <c r="EN18" s="5061"/>
      <c r="EO18" s="5064"/>
      <c r="EP18" s="5061"/>
      <c r="EQ18" s="5061"/>
      <c r="ER18" s="5061"/>
      <c r="ES18" s="5061"/>
      <c r="ET18" s="5061"/>
      <c r="EU18" s="5061"/>
      <c r="EV18" s="5061"/>
      <c r="EW18" s="5061"/>
      <c r="EX18" s="5051"/>
      <c r="EY18" s="5061"/>
      <c r="EZ18" s="5061"/>
      <c r="FA18" s="5061"/>
      <c r="FB18" s="5061"/>
      <c r="FC18" s="5061"/>
      <c r="FD18" s="5062"/>
      <c r="FE18" s="5061"/>
      <c r="FF18" s="5061"/>
      <c r="FG18" s="5061"/>
      <c r="FH18" s="5061"/>
      <c r="FI18" s="5061"/>
      <c r="FJ18" s="5061"/>
      <c r="FK18" s="5061"/>
      <c r="FL18" s="5061"/>
      <c r="FM18" s="5061"/>
      <c r="FN18" s="5061"/>
      <c r="FO18" s="5061"/>
      <c r="FP18" s="5061"/>
      <c r="FQ18" s="5061"/>
      <c r="FR18" s="5061"/>
      <c r="FS18" s="5061"/>
      <c r="FT18" s="5061"/>
      <c r="FU18" s="5061"/>
      <c r="FV18" s="5061"/>
      <c r="FW18" s="5061"/>
      <c r="FX18" s="5061"/>
      <c r="FY18" s="5061"/>
      <c r="FZ18" s="5061"/>
      <c r="GA18" s="5061"/>
      <c r="GB18" s="5061"/>
      <c r="GC18" s="5061"/>
      <c r="GD18" s="5061"/>
      <c r="GE18" s="5061"/>
      <c r="GF18" s="5061"/>
      <c r="GG18" s="5063"/>
      <c r="GH18" s="5061"/>
      <c r="GI18" s="5061"/>
      <c r="GJ18" s="5006">
        <f>SUM(DZ18:GI18)</f>
        <v>0</v>
      </c>
      <c r="GK18" s="4860">
        <f>SUM(B18:DX18)+SUM(DZ18:GI18)</f>
        <v>0</v>
      </c>
      <c r="GL18" s="5112">
        <v>97.4</v>
      </c>
      <c r="GM18" s="4553">
        <v>0.625</v>
      </c>
      <c r="GN18" s="1218"/>
      <c r="GO18" s="1218"/>
      <c r="GP18" s="1218"/>
      <c r="GQ18" s="1218"/>
      <c r="GR18" s="1218"/>
      <c r="GS18" s="1218"/>
      <c r="GT18" s="1218"/>
      <c r="GU18" s="1218"/>
      <c r="GV18" s="1218"/>
      <c r="GW18" s="1218"/>
      <c r="GX18" s="1218"/>
      <c r="GY18" s="1218"/>
      <c r="GZ18" s="1218"/>
      <c r="HA18" s="1218"/>
      <c r="HB18" s="1218"/>
      <c r="HC18" s="1218"/>
      <c r="HD18" s="1218"/>
      <c r="HE18" s="1218"/>
      <c r="HF18" s="1218"/>
      <c r="HG18" s="1218"/>
      <c r="HH18" s="1218"/>
      <c r="HI18" s="1218"/>
      <c r="HJ18" s="1218"/>
      <c r="HK18" s="1218"/>
      <c r="HL18" s="1218"/>
      <c r="HM18" s="1218"/>
      <c r="HN18" s="1218"/>
      <c r="HO18" s="1218"/>
      <c r="HP18" s="1218"/>
      <c r="HQ18" s="1218"/>
      <c r="HR18" s="1218"/>
      <c r="HS18" s="1218"/>
      <c r="HT18" s="1218"/>
      <c r="HU18" s="1218"/>
      <c r="HV18" s="1218"/>
      <c r="HW18" s="1218"/>
      <c r="HX18" s="1218"/>
      <c r="HY18" s="1218"/>
      <c r="HZ18" s="1218"/>
      <c r="IA18" s="1218"/>
      <c r="IB18" s="1218"/>
      <c r="IC18" s="1218"/>
      <c r="ID18" s="1218"/>
      <c r="IE18" s="1218"/>
      <c r="IF18" s="1218"/>
      <c r="IG18" s="1218"/>
      <c r="IH18" s="1218"/>
      <c r="II18" s="1218"/>
      <c r="IJ18" s="1218"/>
      <c r="IK18" s="1218"/>
      <c r="IL18" s="1218"/>
      <c r="IM18" s="1218"/>
      <c r="IN18" s="1218"/>
      <c r="IO18" s="1218"/>
      <c r="IP18" s="1218"/>
      <c r="IQ18" s="1218"/>
      <c r="IR18" s="1218"/>
      <c r="IS18" s="1218"/>
      <c r="IT18" s="1218"/>
      <c r="IU18" s="1218"/>
      <c r="IV18" s="1218"/>
      <c r="IW18" s="1218"/>
      <c r="IX18" s="1218"/>
      <c r="IY18" s="1218"/>
      <c r="IZ18" s="1218"/>
      <c r="JA18" s="1218"/>
      <c r="JB18" s="1218"/>
      <c r="JC18" s="1218"/>
      <c r="JD18" s="1218"/>
      <c r="JE18" s="1218"/>
      <c r="JF18" s="1218"/>
      <c r="JG18" s="1218"/>
      <c r="JH18" s="1218"/>
      <c r="JI18" s="1218"/>
    </row>
    <row r="19" spans="1:379" s="441" customFormat="1" ht="27" customHeight="1">
      <c r="A19" s="4548">
        <v>0.66666666666666663</v>
      </c>
      <c r="B19" s="5068"/>
      <c r="C19" s="5069"/>
      <c r="D19" s="5069"/>
      <c r="E19" s="5069"/>
      <c r="F19" s="5070"/>
      <c r="G19" s="5071"/>
      <c r="H19" s="5070"/>
      <c r="I19" s="5070"/>
      <c r="J19" s="5069"/>
      <c r="K19" s="5069"/>
      <c r="L19" s="5069"/>
      <c r="M19" s="5069"/>
      <c r="N19" s="5069"/>
      <c r="O19" s="5069"/>
      <c r="P19" s="5069"/>
      <c r="Q19" s="5069"/>
      <c r="R19" s="5069"/>
      <c r="S19" s="5069"/>
      <c r="T19" s="5069"/>
      <c r="U19" s="5069"/>
      <c r="V19" s="5069"/>
      <c r="W19" s="5069"/>
      <c r="X19" s="5069"/>
      <c r="Y19" s="5069"/>
      <c r="Z19" s="5069"/>
      <c r="AA19" s="5069"/>
      <c r="AB19" s="5069"/>
      <c r="AC19" s="5069"/>
      <c r="AD19" s="5070"/>
      <c r="AE19" s="5069"/>
      <c r="AF19" s="5069"/>
      <c r="AG19" s="5069"/>
      <c r="AH19" s="5069"/>
      <c r="AI19" s="5069"/>
      <c r="AJ19" s="5069"/>
      <c r="AK19" s="5069"/>
      <c r="AL19" s="5069"/>
      <c r="AM19" s="5069"/>
      <c r="AN19" s="5069"/>
      <c r="AO19" s="5069"/>
      <c r="AP19" s="5069"/>
      <c r="AQ19" s="5069"/>
      <c r="AR19" s="5069"/>
      <c r="AS19" s="5069"/>
      <c r="AT19" s="5069"/>
      <c r="AU19" s="5069"/>
      <c r="AV19" s="5069"/>
      <c r="AW19" s="5069"/>
      <c r="AX19" s="5069"/>
      <c r="AY19" s="5069"/>
      <c r="AZ19" s="5069"/>
      <c r="BA19" s="5069"/>
      <c r="BB19" s="5069"/>
      <c r="BC19" s="5069"/>
      <c r="BD19" s="5069"/>
      <c r="BE19" s="5069"/>
      <c r="BF19" s="5069"/>
      <c r="BG19" s="5069"/>
      <c r="BH19" s="5069"/>
      <c r="BI19" s="5069"/>
      <c r="BJ19" s="5069"/>
      <c r="BK19" s="5069"/>
      <c r="BL19" s="5069"/>
      <c r="BM19" s="5069"/>
      <c r="BN19" s="5069"/>
      <c r="BO19" s="5072"/>
      <c r="BP19" s="5069"/>
      <c r="BQ19" s="5069"/>
      <c r="BR19" s="5069"/>
      <c r="BS19" s="5069"/>
      <c r="BT19" s="5069"/>
      <c r="BU19" s="5069"/>
      <c r="BV19" s="5069"/>
      <c r="BW19" s="5069"/>
      <c r="BX19" s="5069"/>
      <c r="BY19" s="5069"/>
      <c r="BZ19" s="5069"/>
      <c r="CA19" s="5069"/>
      <c r="CB19" s="5069"/>
      <c r="CC19" s="5070"/>
      <c r="CD19" s="5069"/>
      <c r="CE19" s="5070"/>
      <c r="CF19" s="5070"/>
      <c r="CG19" s="5070"/>
      <c r="CH19" s="5070"/>
      <c r="CI19" s="5071"/>
      <c r="CJ19" s="5070"/>
      <c r="CK19" s="5070"/>
      <c r="CL19" s="5070"/>
      <c r="CM19" s="5070"/>
      <c r="CN19" s="5070"/>
      <c r="CO19" s="5070"/>
      <c r="CP19" s="5070"/>
      <c r="CQ19" s="5070"/>
      <c r="CR19" s="5070"/>
      <c r="CS19" s="5070"/>
      <c r="CT19" s="5070"/>
      <c r="CU19" s="5070"/>
      <c r="CV19" s="5070"/>
      <c r="CW19" s="5070"/>
      <c r="CX19" s="5070"/>
      <c r="CY19" s="5070"/>
      <c r="CZ19" s="5070"/>
      <c r="DA19" s="5070"/>
      <c r="DB19" s="5070"/>
      <c r="DC19" s="5070"/>
      <c r="DD19" s="5070"/>
      <c r="DE19" s="5070"/>
      <c r="DF19" s="5071"/>
      <c r="DG19" s="5070"/>
      <c r="DH19" s="5073"/>
      <c r="DI19" s="5073"/>
      <c r="DJ19" s="5073"/>
      <c r="DK19" s="5073"/>
      <c r="DL19" s="5073"/>
      <c r="DM19" s="5073"/>
      <c r="DN19" s="5073"/>
      <c r="DO19" s="5073"/>
      <c r="DP19" s="5073"/>
      <c r="DQ19" s="5070"/>
      <c r="DR19" s="5070"/>
      <c r="DS19" s="5070"/>
      <c r="DT19" s="5070"/>
      <c r="DU19" s="5070"/>
      <c r="DV19" s="5070"/>
      <c r="DW19" s="5070"/>
      <c r="DX19" s="5070"/>
      <c r="DY19" s="5035">
        <f t="shared" si="3"/>
        <v>0</v>
      </c>
      <c r="DZ19" s="5074"/>
      <c r="EA19" s="5075"/>
      <c r="EB19" s="5076"/>
      <c r="EC19" s="5076"/>
      <c r="ED19" s="5076"/>
      <c r="EE19" s="5076"/>
      <c r="EF19" s="5076"/>
      <c r="EG19" s="5076"/>
      <c r="EH19" s="5076"/>
      <c r="EI19" s="5076"/>
      <c r="EJ19" s="5076"/>
      <c r="EK19" s="5076"/>
      <c r="EL19" s="5076"/>
      <c r="EM19" s="5076"/>
      <c r="EN19" s="5076"/>
      <c r="EO19" s="5077"/>
      <c r="EP19" s="5076"/>
      <c r="EQ19" s="5076"/>
      <c r="ER19" s="5076"/>
      <c r="ES19" s="5076"/>
      <c r="ET19" s="5076"/>
      <c r="EU19" s="5076"/>
      <c r="EV19" s="5076"/>
      <c r="EW19" s="5076"/>
      <c r="EX19" s="5038"/>
      <c r="EY19" s="5076"/>
      <c r="EZ19" s="5076"/>
      <c r="FA19" s="5076"/>
      <c r="FB19" s="5076"/>
      <c r="FC19" s="5076"/>
      <c r="FD19" s="5078"/>
      <c r="FE19" s="5076"/>
      <c r="FF19" s="5076"/>
      <c r="FG19" s="5076"/>
      <c r="FH19" s="5076"/>
      <c r="FI19" s="5076"/>
      <c r="FJ19" s="5076"/>
      <c r="FK19" s="5076"/>
      <c r="FL19" s="5076"/>
      <c r="FM19" s="5076"/>
      <c r="FN19" s="5076"/>
      <c r="FO19" s="5076"/>
      <c r="FP19" s="5076"/>
      <c r="FQ19" s="5076"/>
      <c r="FR19" s="5076"/>
      <c r="FS19" s="5076"/>
      <c r="FT19" s="5076"/>
      <c r="FU19" s="5076"/>
      <c r="FV19" s="5076"/>
      <c r="FW19" s="5076"/>
      <c r="FX19" s="5076"/>
      <c r="FY19" s="5076"/>
      <c r="FZ19" s="5076"/>
      <c r="GA19" s="5076"/>
      <c r="GB19" s="5076"/>
      <c r="GC19" s="5076"/>
      <c r="GD19" s="5076"/>
      <c r="GE19" s="5076"/>
      <c r="GF19" s="5076"/>
      <c r="GG19" s="5071"/>
      <c r="GH19" s="5076"/>
      <c r="GI19" s="5076"/>
      <c r="GJ19" s="5013">
        <f>SUM(DZ19:GI19)</f>
        <v>0</v>
      </c>
      <c r="GK19" s="5014">
        <f>SUM(B19:DX19)+SUM(DZ19:GI19)</f>
        <v>0</v>
      </c>
      <c r="GL19" s="5112">
        <v>97.39</v>
      </c>
      <c r="GM19" s="4373">
        <v>0.66666666666666663</v>
      </c>
      <c r="GN19" s="1218"/>
      <c r="GO19" s="1218"/>
      <c r="GP19" s="1218"/>
      <c r="GQ19" s="1218"/>
      <c r="GR19" s="1218"/>
      <c r="GS19" s="1218"/>
      <c r="GT19" s="1218"/>
      <c r="GU19" s="1218"/>
      <c r="GV19" s="1218"/>
      <c r="GW19" s="1218"/>
      <c r="GX19" s="1218"/>
      <c r="GY19" s="1218"/>
      <c r="GZ19" s="1218"/>
      <c r="HA19" s="1218"/>
      <c r="HB19" s="1218"/>
      <c r="HC19" s="1218"/>
      <c r="HD19" s="1218"/>
      <c r="HE19" s="1218"/>
      <c r="HF19" s="1218"/>
      <c r="HG19" s="1218"/>
      <c r="HH19" s="1218"/>
      <c r="HI19" s="1218"/>
      <c r="HJ19" s="1218"/>
      <c r="HK19" s="1217"/>
      <c r="HL19" s="1217"/>
      <c r="HM19" s="1218"/>
      <c r="HN19" s="1218"/>
      <c r="HO19" s="1218"/>
      <c r="HP19" s="1218"/>
      <c r="HQ19" s="1218"/>
      <c r="HR19" s="1218"/>
      <c r="HS19" s="1218"/>
      <c r="HT19" s="1218"/>
      <c r="HU19" s="1218"/>
      <c r="HV19" s="1218"/>
      <c r="HW19" s="1217"/>
      <c r="HX19" s="1218"/>
      <c r="HY19" s="1218"/>
      <c r="HZ19" s="1218"/>
      <c r="IA19" s="1218"/>
      <c r="IB19" s="1218"/>
      <c r="IC19" s="1218"/>
      <c r="ID19" s="1218"/>
      <c r="IE19" s="1218"/>
      <c r="IF19" s="1218"/>
      <c r="IG19" s="1218"/>
      <c r="IH19" s="1218"/>
      <c r="II19" s="1218"/>
      <c r="IJ19" s="1218"/>
      <c r="IK19" s="1218"/>
      <c r="IL19" s="1218"/>
      <c r="IM19" s="1218"/>
      <c r="IN19" s="1218"/>
      <c r="IO19" s="1218"/>
      <c r="IP19" s="1218"/>
      <c r="IQ19" s="1218"/>
      <c r="IR19" s="1218"/>
      <c r="IS19" s="1218"/>
      <c r="IT19" s="1218"/>
      <c r="IU19" s="1218"/>
      <c r="IV19" s="1218"/>
      <c r="IW19" s="1218"/>
      <c r="IX19" s="1218"/>
      <c r="IY19" s="1218"/>
      <c r="IZ19" s="1218"/>
      <c r="JA19" s="1218"/>
      <c r="JB19" s="1218"/>
      <c r="JC19" s="1218"/>
      <c r="JD19" s="1218"/>
      <c r="JE19" s="1218"/>
      <c r="JF19" s="1218"/>
      <c r="JG19" s="1218"/>
      <c r="JH19" s="1218"/>
      <c r="JI19" s="1218"/>
      <c r="KH19" s="3141"/>
      <c r="KI19" s="1219"/>
    </row>
    <row r="20" spans="1:379" s="441" customFormat="1" ht="27" customHeight="1">
      <c r="A20" s="4548">
        <v>0.70833333333333337</v>
      </c>
      <c r="B20" s="5068"/>
      <c r="C20" s="5069"/>
      <c r="D20" s="5069"/>
      <c r="E20" s="5069"/>
      <c r="F20" s="5070"/>
      <c r="G20" s="5071"/>
      <c r="H20" s="5070"/>
      <c r="I20" s="5070"/>
      <c r="J20" s="5069"/>
      <c r="K20" s="5069"/>
      <c r="L20" s="5069"/>
      <c r="M20" s="5069"/>
      <c r="N20" s="5069"/>
      <c r="O20" s="5069"/>
      <c r="P20" s="5069"/>
      <c r="Q20" s="5069"/>
      <c r="R20" s="5069"/>
      <c r="S20" s="5069"/>
      <c r="T20" s="5069"/>
      <c r="U20" s="5069"/>
      <c r="V20" s="5069"/>
      <c r="W20" s="5069"/>
      <c r="X20" s="5069"/>
      <c r="Y20" s="5069"/>
      <c r="Z20" s="5069"/>
      <c r="AA20" s="5069"/>
      <c r="AB20" s="5069"/>
      <c r="AC20" s="5069"/>
      <c r="AD20" s="5070"/>
      <c r="AE20" s="5069"/>
      <c r="AF20" s="5069"/>
      <c r="AG20" s="5069"/>
      <c r="AH20" s="5069"/>
      <c r="AI20" s="5069"/>
      <c r="AJ20" s="5069"/>
      <c r="AK20" s="5069"/>
      <c r="AL20" s="5069"/>
      <c r="AM20" s="5069"/>
      <c r="AN20" s="5069"/>
      <c r="AO20" s="5069"/>
      <c r="AP20" s="5069"/>
      <c r="AQ20" s="5069"/>
      <c r="AR20" s="5069"/>
      <c r="AS20" s="5069"/>
      <c r="AT20" s="5069"/>
      <c r="AU20" s="5069"/>
      <c r="AV20" s="5069"/>
      <c r="AW20" s="5069"/>
      <c r="AX20" s="5069"/>
      <c r="AY20" s="5069"/>
      <c r="AZ20" s="5069"/>
      <c r="BA20" s="5069"/>
      <c r="BB20" s="5069"/>
      <c r="BC20" s="5069"/>
      <c r="BD20" s="5069"/>
      <c r="BE20" s="5069"/>
      <c r="BF20" s="5069"/>
      <c r="BG20" s="5069"/>
      <c r="BH20" s="5069"/>
      <c r="BI20" s="5069"/>
      <c r="BJ20" s="5069"/>
      <c r="BK20" s="5069"/>
      <c r="BL20" s="5069"/>
      <c r="BM20" s="5069"/>
      <c r="BN20" s="5069"/>
      <c r="BO20" s="5072"/>
      <c r="BP20" s="5069"/>
      <c r="BQ20" s="5069"/>
      <c r="BR20" s="5069"/>
      <c r="BS20" s="5069"/>
      <c r="BT20" s="5069"/>
      <c r="BU20" s="5069"/>
      <c r="BV20" s="5069"/>
      <c r="BW20" s="5069"/>
      <c r="BX20" s="5069"/>
      <c r="BY20" s="5069"/>
      <c r="BZ20" s="5069"/>
      <c r="CA20" s="5069"/>
      <c r="CB20" s="5069"/>
      <c r="CC20" s="5070"/>
      <c r="CD20" s="5069"/>
      <c r="CE20" s="5070"/>
      <c r="CF20" s="5070"/>
      <c r="CG20" s="5070"/>
      <c r="CH20" s="5070"/>
      <c r="CI20" s="5071"/>
      <c r="CJ20" s="5070"/>
      <c r="CK20" s="5070"/>
      <c r="CL20" s="5070"/>
      <c r="CM20" s="5070"/>
      <c r="CN20" s="5070"/>
      <c r="CO20" s="5070"/>
      <c r="CP20" s="5070"/>
      <c r="CQ20" s="5070"/>
      <c r="CR20" s="5070"/>
      <c r="CS20" s="5070"/>
      <c r="CT20" s="5070"/>
      <c r="CU20" s="5070"/>
      <c r="CV20" s="5070"/>
      <c r="CW20" s="5070"/>
      <c r="CX20" s="5070"/>
      <c r="CY20" s="5070"/>
      <c r="CZ20" s="5070"/>
      <c r="DA20" s="5070"/>
      <c r="DB20" s="5070"/>
      <c r="DC20" s="5070"/>
      <c r="DD20" s="5070"/>
      <c r="DE20" s="5070"/>
      <c r="DF20" s="5071"/>
      <c r="DG20" s="5070"/>
      <c r="DH20" s="5073"/>
      <c r="DI20" s="5073"/>
      <c r="DJ20" s="5073"/>
      <c r="DK20" s="5073"/>
      <c r="DL20" s="5073"/>
      <c r="DM20" s="5073"/>
      <c r="DN20" s="5073"/>
      <c r="DO20" s="5073"/>
      <c r="DP20" s="5073"/>
      <c r="DQ20" s="5070"/>
      <c r="DR20" s="5070"/>
      <c r="DS20" s="5070"/>
      <c r="DT20" s="5070"/>
      <c r="DU20" s="5070"/>
      <c r="DV20" s="5070"/>
      <c r="DW20" s="5070"/>
      <c r="DX20" s="5070"/>
      <c r="DY20" s="5035">
        <f t="shared" si="3"/>
        <v>0</v>
      </c>
      <c r="DZ20" s="5074"/>
      <c r="EA20" s="5075"/>
      <c r="EB20" s="5076"/>
      <c r="EC20" s="5076"/>
      <c r="ED20" s="5076"/>
      <c r="EE20" s="5076"/>
      <c r="EF20" s="5076"/>
      <c r="EG20" s="5076"/>
      <c r="EH20" s="5076"/>
      <c r="EI20" s="5076"/>
      <c r="EJ20" s="5076"/>
      <c r="EK20" s="5076"/>
      <c r="EL20" s="5076"/>
      <c r="EM20" s="5076"/>
      <c r="EN20" s="5076"/>
      <c r="EO20" s="5077"/>
      <c r="EP20" s="5076"/>
      <c r="EQ20" s="5076"/>
      <c r="ER20" s="5076"/>
      <c r="ES20" s="5076"/>
      <c r="ET20" s="5076"/>
      <c r="EU20" s="5076"/>
      <c r="EV20" s="5076"/>
      <c r="EW20" s="5076"/>
      <c r="EX20" s="5038"/>
      <c r="EY20" s="5076"/>
      <c r="EZ20" s="5076"/>
      <c r="FA20" s="5076"/>
      <c r="FB20" s="5076"/>
      <c r="FC20" s="5076"/>
      <c r="FD20" s="5078"/>
      <c r="FE20" s="5076"/>
      <c r="FF20" s="5076"/>
      <c r="FG20" s="5076"/>
      <c r="FH20" s="5076"/>
      <c r="FI20" s="5076"/>
      <c r="FJ20" s="5076"/>
      <c r="FK20" s="5076"/>
      <c r="FL20" s="5076"/>
      <c r="FM20" s="5076"/>
      <c r="FN20" s="5076"/>
      <c r="FO20" s="5076"/>
      <c r="FP20" s="5076"/>
      <c r="FQ20" s="5076"/>
      <c r="FR20" s="5076"/>
      <c r="FS20" s="5076"/>
      <c r="FT20" s="5076"/>
      <c r="FU20" s="5076"/>
      <c r="FV20" s="5076"/>
      <c r="FW20" s="5076"/>
      <c r="FX20" s="5076"/>
      <c r="FY20" s="5076"/>
      <c r="FZ20" s="5076"/>
      <c r="GA20" s="5076"/>
      <c r="GB20" s="5076"/>
      <c r="GC20" s="5076"/>
      <c r="GD20" s="5076"/>
      <c r="GE20" s="5076"/>
      <c r="GF20" s="5076"/>
      <c r="GG20" s="5071"/>
      <c r="GH20" s="5076"/>
      <c r="GI20" s="5076"/>
      <c r="GJ20" s="5013">
        <f>SUM(DZ20:GI20)</f>
        <v>0</v>
      </c>
      <c r="GK20" s="5014">
        <f>SUM(B20:DX20)+SUM(DZ20:GI20)</f>
        <v>0</v>
      </c>
      <c r="GL20" s="5112">
        <v>97.38</v>
      </c>
      <c r="GM20" s="4558">
        <v>0.70833333333333337</v>
      </c>
      <c r="GN20" s="3464"/>
      <c r="GO20" s="3464"/>
      <c r="GP20" s="1218"/>
      <c r="GQ20" s="1218"/>
      <c r="GR20" s="1218"/>
      <c r="GS20" s="1218"/>
      <c r="GT20" s="1218"/>
      <c r="GU20" s="1218"/>
      <c r="GV20" s="1218"/>
      <c r="GW20" s="1218"/>
      <c r="GX20" s="1218"/>
      <c r="GY20" s="1218"/>
      <c r="GZ20" s="1218"/>
      <c r="HA20" s="1218"/>
      <c r="HB20" s="1218"/>
      <c r="HC20" s="1218"/>
      <c r="HD20" s="1218"/>
      <c r="HE20" s="1218"/>
      <c r="HF20" s="1218"/>
      <c r="HG20" s="1218"/>
      <c r="HH20" s="1218"/>
      <c r="HI20" s="1218"/>
      <c r="HJ20" s="1218"/>
      <c r="HK20" s="1218"/>
      <c r="HL20" s="1218"/>
      <c r="HM20" s="1218"/>
      <c r="HN20" s="1218"/>
      <c r="HO20" s="1218"/>
      <c r="HP20" s="1218"/>
      <c r="HQ20" s="1218"/>
      <c r="HR20" s="1218"/>
      <c r="HS20" s="1218"/>
      <c r="HT20" s="1218"/>
      <c r="HU20" s="1218"/>
      <c r="HV20" s="1218"/>
      <c r="HW20" s="1218"/>
      <c r="HX20" s="1218"/>
      <c r="HY20" s="1218"/>
      <c r="HZ20" s="1218"/>
      <c r="IA20" s="1218"/>
      <c r="IB20" s="1218"/>
      <c r="IC20" s="1218"/>
      <c r="ID20" s="1218"/>
      <c r="IE20" s="1218"/>
      <c r="IF20" s="1218"/>
      <c r="IG20" s="1218"/>
      <c r="IH20" s="1218"/>
      <c r="II20" s="1218"/>
      <c r="IJ20" s="1218"/>
      <c r="IK20" s="1218"/>
      <c r="IL20" s="1218"/>
      <c r="IM20" s="1218"/>
      <c r="IN20" s="1218"/>
      <c r="IO20" s="1218"/>
      <c r="IP20" s="1218"/>
      <c r="IQ20" s="1218"/>
      <c r="IR20" s="1218"/>
      <c r="IS20" s="1218"/>
      <c r="IT20" s="1218"/>
      <c r="IU20" s="1218"/>
      <c r="IV20" s="1218"/>
      <c r="IW20" s="1218"/>
      <c r="IX20" s="1218"/>
      <c r="IY20" s="1218"/>
      <c r="IZ20" s="1218"/>
      <c r="JA20" s="1218"/>
      <c r="JB20" s="1218"/>
      <c r="JC20" s="1218"/>
      <c r="JD20" s="1218"/>
      <c r="JE20" s="1218"/>
      <c r="JF20" s="1218"/>
      <c r="JG20" s="1218"/>
      <c r="JH20" s="1218"/>
      <c r="JI20" s="1218"/>
      <c r="LC20" s="1219"/>
      <c r="NN20" s="1219"/>
      <c r="NO20" s="1219"/>
    </row>
    <row r="21" spans="1:379" s="441" customFormat="1" ht="25.5" customHeight="1">
      <c r="A21" s="4548">
        <v>0.75</v>
      </c>
      <c r="B21" s="5053"/>
      <c r="C21" s="5054"/>
      <c r="D21" s="5054"/>
      <c r="E21" s="5054"/>
      <c r="F21" s="5055"/>
      <c r="G21" s="5056"/>
      <c r="H21" s="5055"/>
      <c r="I21" s="5055"/>
      <c r="J21" s="5054"/>
      <c r="K21" s="5054"/>
      <c r="L21" s="5054"/>
      <c r="M21" s="5054"/>
      <c r="N21" s="5054"/>
      <c r="O21" s="5054"/>
      <c r="P21" s="5054"/>
      <c r="Q21" s="5054"/>
      <c r="R21" s="5054"/>
      <c r="S21" s="5054"/>
      <c r="T21" s="5054"/>
      <c r="U21" s="5054"/>
      <c r="V21" s="5054"/>
      <c r="W21" s="5054"/>
      <c r="X21" s="5054"/>
      <c r="Y21" s="5054"/>
      <c r="Z21" s="5054"/>
      <c r="AA21" s="5054"/>
      <c r="AB21" s="5054"/>
      <c r="AC21" s="5054"/>
      <c r="AD21" s="5055"/>
      <c r="AE21" s="5054"/>
      <c r="AF21" s="5054"/>
      <c r="AG21" s="5054"/>
      <c r="AH21" s="5054"/>
      <c r="AI21" s="5054"/>
      <c r="AJ21" s="5054"/>
      <c r="AK21" s="5054"/>
      <c r="AL21" s="5054"/>
      <c r="AM21" s="5054"/>
      <c r="AN21" s="5054"/>
      <c r="AO21" s="5054"/>
      <c r="AP21" s="5054"/>
      <c r="AQ21" s="5054"/>
      <c r="AR21" s="5054"/>
      <c r="AS21" s="5054"/>
      <c r="AT21" s="5054"/>
      <c r="AU21" s="5054"/>
      <c r="AV21" s="5054"/>
      <c r="AW21" s="5054"/>
      <c r="AX21" s="5054"/>
      <c r="AY21" s="5054"/>
      <c r="AZ21" s="5054"/>
      <c r="BA21" s="5054"/>
      <c r="BB21" s="5054"/>
      <c r="BC21" s="5054"/>
      <c r="BD21" s="5054"/>
      <c r="BE21" s="5054"/>
      <c r="BF21" s="5054"/>
      <c r="BG21" s="5054"/>
      <c r="BH21" s="5054"/>
      <c r="BI21" s="5054"/>
      <c r="BJ21" s="5054"/>
      <c r="BK21" s="5054"/>
      <c r="BL21" s="5054"/>
      <c r="BM21" s="5054"/>
      <c r="BN21" s="5054"/>
      <c r="BO21" s="5057"/>
      <c r="BP21" s="5054"/>
      <c r="BQ21" s="5054"/>
      <c r="BR21" s="5054"/>
      <c r="BS21" s="5054"/>
      <c r="BT21" s="5054"/>
      <c r="BU21" s="5054"/>
      <c r="BV21" s="5054"/>
      <c r="BW21" s="5054"/>
      <c r="BX21" s="5054"/>
      <c r="BY21" s="5054"/>
      <c r="BZ21" s="5054"/>
      <c r="CA21" s="5054"/>
      <c r="CB21" s="5054"/>
      <c r="CC21" s="5055"/>
      <c r="CD21" s="5054"/>
      <c r="CE21" s="5055"/>
      <c r="CF21" s="5055"/>
      <c r="CG21" s="5055"/>
      <c r="CH21" s="5055"/>
      <c r="CI21" s="5056"/>
      <c r="CJ21" s="5055"/>
      <c r="CK21" s="5055"/>
      <c r="CL21" s="5055"/>
      <c r="CM21" s="5055"/>
      <c r="CN21" s="5055"/>
      <c r="CO21" s="5055"/>
      <c r="CP21" s="5055"/>
      <c r="CQ21" s="5055"/>
      <c r="CR21" s="5055"/>
      <c r="CS21" s="5055"/>
      <c r="CT21" s="5055"/>
      <c r="CU21" s="5055"/>
      <c r="CV21" s="5055"/>
      <c r="CW21" s="5055"/>
      <c r="CX21" s="5055"/>
      <c r="CY21" s="5055"/>
      <c r="CZ21" s="5055"/>
      <c r="DA21" s="5055"/>
      <c r="DB21" s="5055"/>
      <c r="DC21" s="5055"/>
      <c r="DD21" s="5055"/>
      <c r="DE21" s="5055"/>
      <c r="DF21" s="5056"/>
      <c r="DG21" s="5055"/>
      <c r="DH21" s="5058"/>
      <c r="DI21" s="5058"/>
      <c r="DJ21" s="5058"/>
      <c r="DK21" s="5058"/>
      <c r="DL21" s="5058"/>
      <c r="DM21" s="5058"/>
      <c r="DN21" s="5058"/>
      <c r="DO21" s="5058"/>
      <c r="DP21" s="5055"/>
      <c r="DQ21" s="5055"/>
      <c r="DR21" s="5055"/>
      <c r="DS21" s="5055"/>
      <c r="DT21" s="5055"/>
      <c r="DU21" s="5055"/>
      <c r="DV21" s="5055"/>
      <c r="DW21" s="5055"/>
      <c r="DX21" s="5055"/>
      <c r="DY21" s="5047">
        <f t="shared" si="3"/>
        <v>0</v>
      </c>
      <c r="DZ21" s="5060"/>
      <c r="EA21" s="5061"/>
      <c r="EB21" s="5065"/>
      <c r="EC21" s="5065"/>
      <c r="ED21" s="5061"/>
      <c r="EE21" s="5061"/>
      <c r="EF21" s="5061"/>
      <c r="EG21" s="5061"/>
      <c r="EH21" s="5061"/>
      <c r="EI21" s="5061"/>
      <c r="EJ21" s="5061"/>
      <c r="EK21" s="5061"/>
      <c r="EL21" s="5061"/>
      <c r="EM21" s="5061"/>
      <c r="EN21" s="5061"/>
      <c r="EO21" s="5061"/>
      <c r="EP21" s="5061"/>
      <c r="EQ21" s="5061"/>
      <c r="ER21" s="5061"/>
      <c r="ES21" s="5061"/>
      <c r="ET21" s="5061"/>
      <c r="EU21" s="5061"/>
      <c r="EV21" s="5061"/>
      <c r="EW21" s="5005"/>
      <c r="EX21" s="5051"/>
      <c r="EY21" s="5061"/>
      <c r="EZ21" s="5061"/>
      <c r="FA21" s="5061"/>
      <c r="FB21" s="5061"/>
      <c r="FC21" s="5058"/>
      <c r="FD21" s="5061"/>
      <c r="FE21" s="5061"/>
      <c r="FF21" s="5061"/>
      <c r="FG21" s="5061"/>
      <c r="FH21" s="5061"/>
      <c r="FI21" s="5061"/>
      <c r="FJ21" s="5061"/>
      <c r="FK21" s="5061"/>
      <c r="FL21" s="5061"/>
      <c r="FM21" s="5061"/>
      <c r="FN21" s="5061"/>
      <c r="FO21" s="5061"/>
      <c r="FP21" s="5061"/>
      <c r="FQ21" s="5061"/>
      <c r="FR21" s="5061"/>
      <c r="FS21" s="5061"/>
      <c r="FT21" s="5061"/>
      <c r="FU21" s="5061"/>
      <c r="FV21" s="5061"/>
      <c r="FW21" s="5061"/>
      <c r="FX21" s="5061"/>
      <c r="FY21" s="5061"/>
      <c r="FZ21" s="5061"/>
      <c r="GA21" s="5061"/>
      <c r="GB21" s="5061"/>
      <c r="GC21" s="5061"/>
      <c r="GD21" s="5061"/>
      <c r="GE21" s="5061"/>
      <c r="GF21" s="5061"/>
      <c r="GG21" s="5063"/>
      <c r="GH21" s="5061"/>
      <c r="GI21" s="5061"/>
      <c r="GJ21" s="5006">
        <f>SUM(DZ21:GI21)</f>
        <v>0</v>
      </c>
      <c r="GK21" s="4860">
        <f>SUM(B21:DX21)+SUM(DZ21:GI21)</f>
        <v>0</v>
      </c>
      <c r="GL21" s="5112">
        <v>97.37</v>
      </c>
      <c r="GM21" s="4368">
        <v>0.75</v>
      </c>
      <c r="GN21" s="4369"/>
      <c r="GO21" s="4369"/>
      <c r="GP21" s="1218"/>
      <c r="GQ21" s="1218"/>
      <c r="GR21" s="1218"/>
      <c r="GS21" s="1218"/>
      <c r="GT21" s="1218"/>
      <c r="GU21" s="1218"/>
      <c r="GV21" s="1218"/>
      <c r="GW21" s="1218"/>
      <c r="GX21" s="1218"/>
      <c r="GY21" s="1218"/>
      <c r="GZ21" s="1218"/>
      <c r="HA21" s="1218"/>
      <c r="HB21" s="1218"/>
      <c r="HC21" s="1218"/>
      <c r="HD21" s="1218"/>
      <c r="HE21" s="1218"/>
      <c r="HF21" s="1218"/>
      <c r="HG21" s="1218"/>
      <c r="HH21" s="1218"/>
      <c r="HI21" s="1218"/>
      <c r="HJ21" s="1218"/>
      <c r="HK21" s="1218"/>
      <c r="HL21" s="1218"/>
      <c r="HM21" s="1218"/>
      <c r="HN21" s="1218"/>
      <c r="HO21" s="1218"/>
      <c r="HP21" s="1218"/>
      <c r="HQ21" s="1218"/>
      <c r="HR21" s="1218"/>
      <c r="HS21" s="1218"/>
      <c r="HT21" s="1218"/>
      <c r="HU21" s="1218"/>
      <c r="HV21" s="1218"/>
      <c r="HW21" s="1218"/>
      <c r="HX21" s="1218"/>
      <c r="HY21" s="1218"/>
      <c r="HZ21" s="1218"/>
      <c r="IA21" s="1218"/>
      <c r="IB21" s="1218"/>
      <c r="IC21" s="1218"/>
      <c r="ID21" s="1218"/>
      <c r="IE21" s="1218"/>
      <c r="IF21" s="1218"/>
      <c r="IG21" s="1218"/>
      <c r="IH21" s="1218"/>
      <c r="II21" s="1218"/>
      <c r="IJ21" s="1218"/>
      <c r="IK21" s="1218"/>
      <c r="IL21" s="1218"/>
      <c r="IM21" s="1218"/>
      <c r="IN21" s="1218"/>
      <c r="IO21" s="1218"/>
      <c r="IP21" s="1218"/>
      <c r="IQ21" s="1218"/>
      <c r="IR21" s="1218"/>
      <c r="IS21" s="1218"/>
      <c r="IT21" s="1218"/>
      <c r="IU21" s="1218"/>
      <c r="IV21" s="1218"/>
      <c r="IW21" s="1218"/>
      <c r="IX21" s="1218"/>
      <c r="IY21" s="1218"/>
      <c r="IZ21" s="1218"/>
      <c r="JA21" s="1218"/>
      <c r="JB21" s="1218"/>
      <c r="JC21" s="1218"/>
      <c r="JD21" s="1218"/>
      <c r="JE21" s="1218"/>
      <c r="JF21" s="1218"/>
      <c r="JG21" s="1218"/>
      <c r="JH21" s="1218"/>
      <c r="JI21" s="1218"/>
    </row>
    <row r="22" spans="1:379" s="540" customFormat="1" ht="9" customHeight="1">
      <c r="A22" s="4549"/>
      <c r="B22" s="4724"/>
      <c r="C22" s="4725"/>
      <c r="D22" s="4725"/>
      <c r="E22" s="4725"/>
      <c r="F22" s="4726"/>
      <c r="G22" s="4727"/>
      <c r="H22" s="4726"/>
      <c r="I22" s="4726"/>
      <c r="J22" s="4725"/>
      <c r="K22" s="4725"/>
      <c r="L22" s="4725"/>
      <c r="M22" s="4725"/>
      <c r="N22" s="4725"/>
      <c r="O22" s="4725"/>
      <c r="P22" s="4725"/>
      <c r="Q22" s="4725"/>
      <c r="R22" s="4725"/>
      <c r="S22" s="4725"/>
      <c r="T22" s="4725"/>
      <c r="U22" s="4725"/>
      <c r="V22" s="4725"/>
      <c r="W22" s="4725"/>
      <c r="X22" s="4725"/>
      <c r="Y22" s="4725"/>
      <c r="Z22" s="4725"/>
      <c r="AA22" s="4725"/>
      <c r="AB22" s="4725"/>
      <c r="AC22" s="4725"/>
      <c r="AD22" s="4726"/>
      <c r="AE22" s="4725"/>
      <c r="AF22" s="4725"/>
      <c r="AG22" s="4725"/>
      <c r="AH22" s="4725"/>
      <c r="AI22" s="4725"/>
      <c r="AJ22" s="4725"/>
      <c r="AK22" s="4725"/>
      <c r="AL22" s="4725"/>
      <c r="AM22" s="4725"/>
      <c r="AN22" s="4725"/>
      <c r="AO22" s="4725"/>
      <c r="AP22" s="4725"/>
      <c r="AQ22" s="4725"/>
      <c r="AR22" s="4725"/>
      <c r="AS22" s="4725"/>
      <c r="AT22" s="4725"/>
      <c r="AU22" s="4725"/>
      <c r="AV22" s="4725"/>
      <c r="AW22" s="4725"/>
      <c r="AX22" s="4725"/>
      <c r="AY22" s="4725"/>
      <c r="AZ22" s="4725"/>
      <c r="BA22" s="4725"/>
      <c r="BB22" s="4725"/>
      <c r="BC22" s="4725"/>
      <c r="BD22" s="4725"/>
      <c r="BE22" s="4725"/>
      <c r="BF22" s="4725"/>
      <c r="BG22" s="4725"/>
      <c r="BH22" s="4725"/>
      <c r="BI22" s="4725"/>
      <c r="BJ22" s="4725"/>
      <c r="BK22" s="4725"/>
      <c r="BL22" s="4725"/>
      <c r="BM22" s="4725"/>
      <c r="BN22" s="4725"/>
      <c r="BO22" s="4728"/>
      <c r="BP22" s="4725"/>
      <c r="BQ22" s="4725"/>
      <c r="BR22" s="4725"/>
      <c r="BS22" s="4725"/>
      <c r="BT22" s="4725"/>
      <c r="BU22" s="4725"/>
      <c r="BV22" s="4725"/>
      <c r="BW22" s="4725"/>
      <c r="BX22" s="4725"/>
      <c r="BY22" s="4725"/>
      <c r="BZ22" s="4725"/>
      <c r="CA22" s="4725"/>
      <c r="CB22" s="4725"/>
      <c r="CC22" s="4726"/>
      <c r="CD22" s="4725"/>
      <c r="CE22" s="4726"/>
      <c r="CF22" s="4726"/>
      <c r="CG22" s="4726"/>
      <c r="CH22" s="4726"/>
      <c r="CI22" s="4727"/>
      <c r="CJ22" s="4726"/>
      <c r="CK22" s="4726"/>
      <c r="CL22" s="4726"/>
      <c r="CM22" s="4726"/>
      <c r="CN22" s="4726"/>
      <c r="CO22" s="4726"/>
      <c r="CP22" s="4726"/>
      <c r="CQ22" s="4726"/>
      <c r="CR22" s="4726"/>
      <c r="CS22" s="4726"/>
      <c r="CT22" s="4726"/>
      <c r="CU22" s="4726"/>
      <c r="CV22" s="4726"/>
      <c r="CW22" s="4726"/>
      <c r="CX22" s="4726"/>
      <c r="CY22" s="4726"/>
      <c r="CZ22" s="4726"/>
      <c r="DA22" s="4726"/>
      <c r="DB22" s="4726"/>
      <c r="DC22" s="4726"/>
      <c r="DD22" s="4726"/>
      <c r="DE22" s="4726"/>
      <c r="DF22" s="4727"/>
      <c r="DG22" s="4726"/>
      <c r="DH22" s="4729"/>
      <c r="DI22" s="4729"/>
      <c r="DJ22" s="4729"/>
      <c r="DK22" s="4729"/>
      <c r="DL22" s="4729"/>
      <c r="DM22" s="4729"/>
      <c r="DN22" s="4729"/>
      <c r="DO22" s="4729"/>
      <c r="DP22" s="4726"/>
      <c r="DQ22" s="4726"/>
      <c r="DR22" s="4726"/>
      <c r="DS22" s="4726"/>
      <c r="DT22" s="4726"/>
      <c r="DU22" s="4726"/>
      <c r="DV22" s="4726"/>
      <c r="DW22" s="4792"/>
      <c r="DX22" s="4792"/>
      <c r="DY22" s="4862"/>
      <c r="DZ22" s="4730"/>
      <c r="EA22" s="4731"/>
      <c r="EB22" s="4732"/>
      <c r="EC22" s="4732"/>
      <c r="ED22" s="4731"/>
      <c r="EE22" s="4731"/>
      <c r="EF22" s="4731"/>
      <c r="EG22" s="4731"/>
      <c r="EH22" s="4731"/>
      <c r="EI22" s="4731"/>
      <c r="EJ22" s="4731"/>
      <c r="EK22" s="4731"/>
      <c r="EL22" s="4731"/>
      <c r="EM22" s="4731"/>
      <c r="EN22" s="4733"/>
      <c r="EO22" s="4731"/>
      <c r="EP22" s="4731"/>
      <c r="EQ22" s="4731"/>
      <c r="ER22" s="4731"/>
      <c r="ES22" s="4731"/>
      <c r="ET22" s="4731"/>
      <c r="EU22" s="4731"/>
      <c r="EV22" s="4731"/>
      <c r="EW22" s="4734"/>
      <c r="EX22" s="4735"/>
      <c r="EY22" s="4734"/>
      <c r="EZ22" s="4731"/>
      <c r="FA22" s="4731"/>
      <c r="FB22" s="4731"/>
      <c r="FC22" s="4729"/>
      <c r="FD22" s="4731"/>
      <c r="FE22" s="4731"/>
      <c r="FF22" s="4731"/>
      <c r="FG22" s="4731"/>
      <c r="FH22" s="4731"/>
      <c r="FI22" s="4731"/>
      <c r="FJ22" s="4731"/>
      <c r="FK22" s="4731"/>
      <c r="FL22" s="4823"/>
      <c r="FM22" s="4731"/>
      <c r="FN22" s="4731"/>
      <c r="FO22" s="4731"/>
      <c r="FP22" s="4731"/>
      <c r="FQ22" s="4731"/>
      <c r="FR22" s="4731"/>
      <c r="FS22" s="4731"/>
      <c r="FT22" s="4731"/>
      <c r="FU22" s="4731"/>
      <c r="FV22" s="4731"/>
      <c r="FW22" s="4731"/>
      <c r="FX22" s="4731"/>
      <c r="FY22" s="4731"/>
      <c r="FZ22" s="4731"/>
      <c r="GA22" s="4731"/>
      <c r="GB22" s="4731"/>
      <c r="GC22" s="4731"/>
      <c r="GD22" s="4731"/>
      <c r="GE22" s="4731"/>
      <c r="GF22" s="4731"/>
      <c r="GG22" s="4736"/>
      <c r="GH22" s="4731"/>
      <c r="GI22" s="4731"/>
      <c r="GJ22" s="4719"/>
      <c r="GK22" s="4761"/>
      <c r="GL22" s="5112"/>
      <c r="GM22" s="3463"/>
      <c r="GN22" s="1112"/>
      <c r="GO22" s="1112"/>
      <c r="GP22" s="1112"/>
      <c r="GQ22" s="1112"/>
      <c r="GR22" s="1112"/>
      <c r="GS22" s="1112"/>
      <c r="GT22" s="1112"/>
      <c r="GU22" s="1112"/>
      <c r="GV22" s="1112"/>
      <c r="GW22" s="1112"/>
      <c r="GX22" s="1112"/>
      <c r="GY22" s="1112"/>
      <c r="GZ22" s="1112"/>
      <c r="HA22" s="1112"/>
      <c r="HB22" s="1112"/>
      <c r="HC22" s="1112"/>
      <c r="HD22" s="1112"/>
      <c r="HE22" s="1112"/>
      <c r="HF22" s="1112"/>
      <c r="HG22" s="1112"/>
      <c r="HH22" s="1112"/>
      <c r="HI22" s="1112"/>
      <c r="HJ22" s="1112"/>
      <c r="HK22" s="1112"/>
      <c r="HL22" s="1112"/>
      <c r="HM22" s="1112"/>
      <c r="HN22" s="1112"/>
      <c r="HO22" s="1112"/>
      <c r="HP22" s="1112"/>
      <c r="HQ22" s="1112"/>
      <c r="HR22" s="1112"/>
      <c r="HS22" s="1112"/>
      <c r="HT22" s="1112"/>
      <c r="HU22" s="1112"/>
      <c r="HV22" s="1112"/>
      <c r="HW22" s="1112"/>
      <c r="HX22" s="1112"/>
      <c r="HY22" s="1112"/>
      <c r="HZ22" s="1112"/>
      <c r="IA22" s="1112"/>
      <c r="IB22" s="1112"/>
      <c r="IC22" s="1112"/>
      <c r="ID22" s="1112"/>
      <c r="IE22" s="1112"/>
      <c r="IF22" s="1112"/>
      <c r="IG22" s="1112"/>
      <c r="IH22" s="1112"/>
      <c r="II22" s="1112"/>
      <c r="IJ22" s="1112"/>
      <c r="IK22" s="1112"/>
      <c r="IL22" s="1112"/>
      <c r="IM22" s="1112"/>
      <c r="IN22" s="1112"/>
      <c r="IO22" s="1112"/>
      <c r="IP22" s="1112"/>
      <c r="IQ22" s="1112"/>
      <c r="IR22" s="1112"/>
      <c r="IS22" s="1112"/>
      <c r="IT22" s="1112"/>
      <c r="IU22" s="1112"/>
      <c r="IV22" s="1112"/>
      <c r="IW22" s="1112"/>
      <c r="IX22" s="1112"/>
      <c r="IY22" s="1112"/>
      <c r="IZ22" s="1112"/>
      <c r="JA22" s="1112"/>
      <c r="JB22" s="1112"/>
      <c r="JC22" s="1112"/>
      <c r="JD22" s="1112"/>
      <c r="JE22" s="1112"/>
      <c r="JF22" s="1112"/>
      <c r="JG22" s="1112"/>
      <c r="JH22" s="1112"/>
      <c r="JI22" s="1112"/>
    </row>
    <row r="23" spans="1:379" s="441" customFormat="1" ht="27" customHeight="1">
      <c r="A23" s="4548">
        <v>0.79166666666666663</v>
      </c>
      <c r="B23" s="5053">
        <v>37</v>
      </c>
      <c r="C23" s="5054">
        <v>40</v>
      </c>
      <c r="D23" s="5054"/>
      <c r="E23" s="5054"/>
      <c r="F23" s="5055">
        <v>17</v>
      </c>
      <c r="G23" s="5056"/>
      <c r="H23" s="5055"/>
      <c r="I23" s="5055"/>
      <c r="J23" s="5054"/>
      <c r="K23" s="5054"/>
      <c r="L23" s="5054"/>
      <c r="M23" s="5054">
        <v>51</v>
      </c>
      <c r="N23" s="5054"/>
      <c r="O23" s="5054">
        <v>105</v>
      </c>
      <c r="P23" s="5054"/>
      <c r="Q23" s="5054">
        <v>50</v>
      </c>
      <c r="R23" s="5054"/>
      <c r="S23" s="5054"/>
      <c r="T23" s="5054"/>
      <c r="U23" s="5054">
        <v>265</v>
      </c>
      <c r="V23" s="5054">
        <v>8</v>
      </c>
      <c r="W23" s="5054"/>
      <c r="X23" s="5054"/>
      <c r="Y23" s="5054">
        <v>240</v>
      </c>
      <c r="Z23" s="5054"/>
      <c r="AA23" s="5054"/>
      <c r="AB23" s="5054"/>
      <c r="AC23" s="5054"/>
      <c r="AD23" s="5055"/>
      <c r="AE23" s="5054"/>
      <c r="AF23" s="5054">
        <v>80</v>
      </c>
      <c r="AG23" s="5054">
        <v>3</v>
      </c>
      <c r="AH23" s="5054">
        <v>175</v>
      </c>
      <c r="AI23" s="5054">
        <v>310</v>
      </c>
      <c r="AJ23" s="5054">
        <v>150</v>
      </c>
      <c r="AK23" s="5054">
        <v>5</v>
      </c>
      <c r="AL23" s="5054">
        <v>130</v>
      </c>
      <c r="AM23" s="5054"/>
      <c r="AN23" s="5054"/>
      <c r="AO23" s="5054"/>
      <c r="AP23" s="5054">
        <v>180</v>
      </c>
      <c r="AQ23" s="5054">
        <v>223</v>
      </c>
      <c r="AR23" s="5054">
        <v>50</v>
      </c>
      <c r="AS23" s="5054"/>
      <c r="AT23" s="5054">
        <v>43</v>
      </c>
      <c r="AU23" s="5054"/>
      <c r="AV23" s="5054"/>
      <c r="AW23" s="5054">
        <v>64</v>
      </c>
      <c r="AX23" s="5054">
        <v>79</v>
      </c>
      <c r="AY23" s="5054"/>
      <c r="AZ23" s="5054"/>
      <c r="BA23" s="5054">
        <v>190</v>
      </c>
      <c r="BB23" s="5054">
        <v>18</v>
      </c>
      <c r="BC23" s="5054"/>
      <c r="BD23" s="5054">
        <v>10</v>
      </c>
      <c r="BE23" s="5054">
        <v>11</v>
      </c>
      <c r="BF23" s="5054">
        <v>49</v>
      </c>
      <c r="BG23" s="5054">
        <v>24</v>
      </c>
      <c r="BH23" s="5054">
        <v>280</v>
      </c>
      <c r="BI23" s="5054">
        <v>200</v>
      </c>
      <c r="BJ23" s="5054">
        <v>35</v>
      </c>
      <c r="BK23" s="5054">
        <v>22</v>
      </c>
      <c r="BL23" s="5054">
        <v>21</v>
      </c>
      <c r="BM23" s="5054">
        <v>16</v>
      </c>
      <c r="BN23" s="5054">
        <v>22</v>
      </c>
      <c r="BO23" s="5057">
        <v>86</v>
      </c>
      <c r="BP23" s="5054">
        <v>12</v>
      </c>
      <c r="BQ23" s="5054">
        <v>20</v>
      </c>
      <c r="BR23" s="5054">
        <v>11</v>
      </c>
      <c r="BS23" s="5054">
        <v>33</v>
      </c>
      <c r="BT23" s="5054">
        <v>9</v>
      </c>
      <c r="BU23" s="5054">
        <v>25</v>
      </c>
      <c r="BV23" s="5054">
        <v>9</v>
      </c>
      <c r="BW23" s="5054">
        <v>16</v>
      </c>
      <c r="BX23" s="5054">
        <v>33</v>
      </c>
      <c r="BY23" s="5054"/>
      <c r="BZ23" s="5054">
        <v>17</v>
      </c>
      <c r="CA23" s="5054"/>
      <c r="CB23" s="5054">
        <v>54</v>
      </c>
      <c r="CC23" s="5055"/>
      <c r="CD23" s="5054">
        <v>40</v>
      </c>
      <c r="CE23" s="5055">
        <v>16</v>
      </c>
      <c r="CF23" s="5055"/>
      <c r="CG23" s="5055">
        <v>8</v>
      </c>
      <c r="CH23" s="5055">
        <v>105</v>
      </c>
      <c r="CI23" s="5056"/>
      <c r="CJ23" s="5055">
        <v>54</v>
      </c>
      <c r="CK23" s="5055">
        <v>110</v>
      </c>
      <c r="CL23" s="5055"/>
      <c r="CM23" s="5055"/>
      <c r="CN23" s="5055"/>
      <c r="CO23" s="5055">
        <v>23</v>
      </c>
      <c r="CP23" s="5055"/>
      <c r="CQ23" s="5055"/>
      <c r="CR23" s="5055">
        <v>91</v>
      </c>
      <c r="CS23" s="5055"/>
      <c r="CT23" s="5055"/>
      <c r="CU23" s="5055">
        <v>10</v>
      </c>
      <c r="CV23" s="5055"/>
      <c r="CW23" s="5055">
        <v>51</v>
      </c>
      <c r="CX23" s="5055">
        <v>102</v>
      </c>
      <c r="CY23" s="5055"/>
      <c r="CZ23" s="5055">
        <v>12</v>
      </c>
      <c r="DA23" s="5055"/>
      <c r="DB23" s="5055"/>
      <c r="DC23" s="5055">
        <v>55</v>
      </c>
      <c r="DD23" s="5055">
        <v>55</v>
      </c>
      <c r="DE23" s="5055">
        <v>163</v>
      </c>
      <c r="DF23" s="5056"/>
      <c r="DG23" s="5055">
        <v>35</v>
      </c>
      <c r="DH23" s="5058"/>
      <c r="DI23" s="5058">
        <v>25</v>
      </c>
      <c r="DJ23" s="5058">
        <v>183</v>
      </c>
      <c r="DK23" s="5058">
        <v>25</v>
      </c>
      <c r="DL23" s="5058">
        <v>70</v>
      </c>
      <c r="DM23" s="5058">
        <v>90</v>
      </c>
      <c r="DN23" s="5058">
        <v>63</v>
      </c>
      <c r="DO23" s="5058">
        <v>140</v>
      </c>
      <c r="DP23" s="5055"/>
      <c r="DQ23" s="5055">
        <v>100</v>
      </c>
      <c r="DR23" s="5055">
        <v>65</v>
      </c>
      <c r="DS23" s="5055">
        <v>90</v>
      </c>
      <c r="DT23" s="5055">
        <v>116</v>
      </c>
      <c r="DU23" s="5055">
        <v>17</v>
      </c>
      <c r="DV23" s="5055"/>
      <c r="DW23" s="5055"/>
      <c r="DX23" s="5055">
        <v>55</v>
      </c>
      <c r="DY23" s="5047">
        <f t="shared" ref="DY23:DY30" si="6">SUM(B23:DX23)</f>
        <v>5497</v>
      </c>
      <c r="DZ23" s="5060"/>
      <c r="EA23" s="5061"/>
      <c r="EB23" s="5065"/>
      <c r="EC23" s="5065"/>
      <c r="ED23" s="5061"/>
      <c r="EE23" s="5061"/>
      <c r="EF23" s="5061">
        <v>34</v>
      </c>
      <c r="EG23" s="5061"/>
      <c r="EH23" s="5061">
        <v>105</v>
      </c>
      <c r="EI23" s="5061"/>
      <c r="EJ23" s="5061"/>
      <c r="EK23" s="5061"/>
      <c r="EL23" s="5061">
        <v>221</v>
      </c>
      <c r="EM23" s="5061"/>
      <c r="EN23" s="5061"/>
      <c r="EO23" s="5061"/>
      <c r="EP23" s="5061">
        <v>11</v>
      </c>
      <c r="EQ23" s="5061">
        <v>91</v>
      </c>
      <c r="ER23" s="5061">
        <v>19</v>
      </c>
      <c r="ES23" s="5061"/>
      <c r="ET23" s="5061"/>
      <c r="EU23" s="5061"/>
      <c r="EV23" s="5061"/>
      <c r="EW23" s="5005"/>
      <c r="EX23" s="5051">
        <v>656</v>
      </c>
      <c r="EY23" s="5061"/>
      <c r="EZ23" s="5061">
        <v>70</v>
      </c>
      <c r="FA23" s="5061"/>
      <c r="FB23" s="5061"/>
      <c r="FC23" s="5058"/>
      <c r="FD23" s="5061">
        <v>199</v>
      </c>
      <c r="FE23" s="5061"/>
      <c r="FF23" s="5061"/>
      <c r="FG23" s="5061">
        <v>50</v>
      </c>
      <c r="FH23" s="5061"/>
      <c r="FI23" s="5061"/>
      <c r="FJ23" s="5061"/>
      <c r="FK23" s="5061"/>
      <c r="FL23" s="5061"/>
      <c r="FM23" s="5061">
        <v>184</v>
      </c>
      <c r="FN23" s="5061"/>
      <c r="FO23" s="5061">
        <v>377</v>
      </c>
      <c r="FP23" s="5061"/>
      <c r="FQ23" s="5061">
        <v>21</v>
      </c>
      <c r="FR23" s="5061">
        <v>22</v>
      </c>
      <c r="FS23" s="5061"/>
      <c r="FT23" s="5061">
        <v>8</v>
      </c>
      <c r="FU23" s="5061"/>
      <c r="FV23" s="5061">
        <v>34</v>
      </c>
      <c r="FW23" s="5061">
        <v>32</v>
      </c>
      <c r="FX23" s="5061"/>
      <c r="FY23" s="5061">
        <v>52</v>
      </c>
      <c r="FZ23" s="5061">
        <v>100</v>
      </c>
      <c r="GA23" s="5061"/>
      <c r="GB23" s="5061">
        <v>90</v>
      </c>
      <c r="GC23" s="5061">
        <v>113</v>
      </c>
      <c r="GD23" s="5061"/>
      <c r="GE23" s="5061"/>
      <c r="GF23" s="5061">
        <v>112</v>
      </c>
      <c r="GG23" s="5063"/>
      <c r="GH23" s="5061"/>
      <c r="GI23" s="5061"/>
      <c r="GJ23" s="5006">
        <f t="shared" ref="GJ23:GJ30" si="7">SUM(DZ23:GI23)</f>
        <v>2601</v>
      </c>
      <c r="GK23" s="4860">
        <f t="shared" ref="GK23:GK30" si="8">SUM(B23:DX23)+SUM(DZ23:GI23)</f>
        <v>8098</v>
      </c>
      <c r="GL23" s="5112">
        <v>97.36</v>
      </c>
      <c r="GM23" s="3020">
        <v>0.79166666666666663</v>
      </c>
      <c r="GN23" s="1218"/>
      <c r="GO23" s="1218"/>
      <c r="GP23" s="1218"/>
      <c r="GQ23" s="1218"/>
      <c r="GR23" s="1218"/>
      <c r="GS23" s="1218"/>
      <c r="GT23" s="1218"/>
      <c r="GU23" s="1218"/>
      <c r="GV23" s="1218"/>
      <c r="GW23" s="1218"/>
      <c r="GX23" s="1218"/>
      <c r="GY23" s="1218"/>
      <c r="GZ23" s="1218"/>
      <c r="HA23" s="1218"/>
      <c r="HB23" s="1218"/>
      <c r="HC23" s="1218"/>
      <c r="HD23" s="1218"/>
      <c r="HE23" s="1218"/>
      <c r="HF23" s="1218"/>
      <c r="HG23" s="1218"/>
      <c r="HH23" s="1218"/>
      <c r="HI23" s="1218"/>
      <c r="HJ23" s="1218"/>
      <c r="HK23" s="1218"/>
      <c r="HL23" s="1218"/>
      <c r="HM23" s="1218"/>
      <c r="HN23" s="1218"/>
      <c r="HO23" s="1218"/>
      <c r="HP23" s="1218"/>
      <c r="HQ23" s="1218"/>
      <c r="HR23" s="1218"/>
      <c r="HS23" s="1218"/>
      <c r="HT23" s="1218"/>
      <c r="HU23" s="1218"/>
      <c r="HV23" s="1218"/>
      <c r="HW23" s="1218"/>
      <c r="HX23" s="1218"/>
      <c r="HY23" s="1218"/>
      <c r="HZ23" s="1218"/>
      <c r="IA23" s="1218"/>
      <c r="IB23" s="1218"/>
      <c r="IC23" s="1218"/>
      <c r="ID23" s="1218"/>
      <c r="IE23" s="1218"/>
      <c r="IF23" s="1218"/>
      <c r="IG23" s="1218"/>
      <c r="IH23" s="1218"/>
      <c r="II23" s="1218"/>
      <c r="IJ23" s="1218"/>
      <c r="IK23" s="1218"/>
      <c r="IL23" s="1218"/>
      <c r="IM23" s="1218"/>
      <c r="IN23" s="1218"/>
      <c r="IO23" s="1218"/>
      <c r="IP23" s="1218"/>
      <c r="IQ23" s="1218"/>
      <c r="IR23" s="1218"/>
      <c r="IS23" s="1218"/>
      <c r="IT23" s="1218"/>
      <c r="IU23" s="1218"/>
      <c r="IV23" s="1218"/>
      <c r="IW23" s="1218"/>
      <c r="IX23" s="1218"/>
      <c r="IY23" s="1218"/>
      <c r="IZ23" s="1218"/>
      <c r="JA23" s="1218"/>
      <c r="JB23" s="1218"/>
      <c r="JC23" s="1218"/>
      <c r="JD23" s="1218"/>
      <c r="JE23" s="1218"/>
      <c r="JF23" s="1218"/>
      <c r="JG23" s="1218"/>
      <c r="JH23" s="1218"/>
      <c r="JI23" s="1218"/>
      <c r="KS23" s="1219"/>
      <c r="ND23" s="1219"/>
      <c r="NE23" s="1219"/>
    </row>
    <row r="24" spans="1:379" s="441" customFormat="1" ht="27" customHeight="1">
      <c r="A24" s="4548">
        <v>0.8125</v>
      </c>
      <c r="B24" s="5097">
        <v>38</v>
      </c>
      <c r="C24" s="5098">
        <v>40</v>
      </c>
      <c r="D24" s="5098"/>
      <c r="E24" s="5098"/>
      <c r="F24" s="5099">
        <v>17</v>
      </c>
      <c r="G24" s="5100"/>
      <c r="H24" s="5099"/>
      <c r="I24" s="5099"/>
      <c r="J24" s="5098"/>
      <c r="K24" s="5098"/>
      <c r="L24" s="5098"/>
      <c r="M24" s="5098">
        <v>40</v>
      </c>
      <c r="N24" s="5098"/>
      <c r="O24" s="5098">
        <v>105</v>
      </c>
      <c r="P24" s="5098"/>
      <c r="Q24" s="5098"/>
      <c r="R24" s="5098"/>
      <c r="S24" s="5098"/>
      <c r="T24" s="5098"/>
      <c r="U24" s="5098">
        <v>265</v>
      </c>
      <c r="V24" s="5098">
        <v>8</v>
      </c>
      <c r="W24" s="5098"/>
      <c r="X24" s="5098"/>
      <c r="Y24" s="5098">
        <v>240</v>
      </c>
      <c r="Z24" s="5098"/>
      <c r="AA24" s="5098"/>
      <c r="AB24" s="5098"/>
      <c r="AC24" s="5098"/>
      <c r="AD24" s="5099"/>
      <c r="AE24" s="5098"/>
      <c r="AF24" s="5098">
        <v>80</v>
      </c>
      <c r="AG24" s="5098">
        <v>3</v>
      </c>
      <c r="AH24" s="5098">
        <v>168</v>
      </c>
      <c r="AI24" s="5098">
        <v>310</v>
      </c>
      <c r="AJ24" s="5098">
        <v>150</v>
      </c>
      <c r="AK24" s="5098">
        <v>5</v>
      </c>
      <c r="AL24" s="5098">
        <v>132</v>
      </c>
      <c r="AM24" s="5098"/>
      <c r="AN24" s="5098"/>
      <c r="AO24" s="5098"/>
      <c r="AP24" s="5098">
        <v>180</v>
      </c>
      <c r="AQ24" s="5098">
        <v>222</v>
      </c>
      <c r="AR24" s="5098">
        <v>50</v>
      </c>
      <c r="AS24" s="5098"/>
      <c r="AT24" s="5098">
        <v>43</v>
      </c>
      <c r="AU24" s="5098"/>
      <c r="AV24" s="5098"/>
      <c r="AW24" s="5098">
        <v>70</v>
      </c>
      <c r="AX24" s="5098">
        <v>79</v>
      </c>
      <c r="AY24" s="5098"/>
      <c r="AZ24" s="5098"/>
      <c r="BA24" s="5098">
        <v>190</v>
      </c>
      <c r="BB24" s="5098">
        <v>18</v>
      </c>
      <c r="BC24" s="5098"/>
      <c r="BD24" s="5098">
        <v>10</v>
      </c>
      <c r="BE24" s="5098">
        <v>11</v>
      </c>
      <c r="BF24" s="5098">
        <v>51</v>
      </c>
      <c r="BG24" s="5098">
        <v>24</v>
      </c>
      <c r="BH24" s="5098">
        <v>300</v>
      </c>
      <c r="BI24" s="5098">
        <v>200</v>
      </c>
      <c r="BJ24" s="5098">
        <v>35</v>
      </c>
      <c r="BK24" s="5098">
        <v>22</v>
      </c>
      <c r="BL24" s="5098">
        <v>21</v>
      </c>
      <c r="BM24" s="5098">
        <v>16</v>
      </c>
      <c r="BN24" s="5098">
        <v>22</v>
      </c>
      <c r="BO24" s="5101">
        <v>88</v>
      </c>
      <c r="BP24" s="5098">
        <v>10</v>
      </c>
      <c r="BQ24" s="5098">
        <v>20</v>
      </c>
      <c r="BR24" s="5098">
        <v>11</v>
      </c>
      <c r="BS24" s="5098">
        <v>33</v>
      </c>
      <c r="BT24" s="5098">
        <v>9</v>
      </c>
      <c r="BU24" s="5098">
        <v>25</v>
      </c>
      <c r="BV24" s="5098">
        <v>9</v>
      </c>
      <c r="BW24" s="5098">
        <v>16</v>
      </c>
      <c r="BX24" s="5098">
        <v>33</v>
      </c>
      <c r="BY24" s="5098"/>
      <c r="BZ24" s="5098">
        <v>17</v>
      </c>
      <c r="CA24" s="5098"/>
      <c r="CB24" s="5098">
        <v>54</v>
      </c>
      <c r="CC24" s="5099"/>
      <c r="CD24" s="5098">
        <v>25</v>
      </c>
      <c r="CE24" s="5099"/>
      <c r="CF24" s="5099"/>
      <c r="CG24" s="5099">
        <v>8</v>
      </c>
      <c r="CH24" s="5099">
        <v>105</v>
      </c>
      <c r="CI24" s="5100"/>
      <c r="CJ24" s="5099">
        <v>54</v>
      </c>
      <c r="CK24" s="5099">
        <v>110</v>
      </c>
      <c r="CL24" s="5099"/>
      <c r="CM24" s="5099"/>
      <c r="CN24" s="5099"/>
      <c r="CO24" s="5099">
        <v>24</v>
      </c>
      <c r="CP24" s="5099"/>
      <c r="CQ24" s="5099"/>
      <c r="CR24" s="5099">
        <v>104</v>
      </c>
      <c r="CS24" s="5099"/>
      <c r="CT24" s="5099"/>
      <c r="CU24" s="5099">
        <v>10</v>
      </c>
      <c r="CV24" s="5099"/>
      <c r="CW24" s="5099">
        <v>51</v>
      </c>
      <c r="CX24" s="5099">
        <v>102</v>
      </c>
      <c r="CY24" s="5099"/>
      <c r="CZ24" s="5099">
        <v>12</v>
      </c>
      <c r="DA24" s="5099"/>
      <c r="DB24" s="5099"/>
      <c r="DC24" s="5099">
        <v>55</v>
      </c>
      <c r="DD24" s="5099">
        <v>55</v>
      </c>
      <c r="DE24" s="5099">
        <v>163</v>
      </c>
      <c r="DF24" s="5100"/>
      <c r="DG24" s="5099">
        <v>35</v>
      </c>
      <c r="DH24" s="5102"/>
      <c r="DI24" s="5102"/>
      <c r="DJ24" s="5102">
        <v>183</v>
      </c>
      <c r="DK24" s="5102"/>
      <c r="DL24" s="5102">
        <v>70</v>
      </c>
      <c r="DM24" s="5102">
        <v>90</v>
      </c>
      <c r="DN24" s="5102">
        <v>100</v>
      </c>
      <c r="DO24" s="5102">
        <v>142</v>
      </c>
      <c r="DP24" s="5099"/>
      <c r="DQ24" s="5099">
        <v>112</v>
      </c>
      <c r="DR24" s="5099">
        <v>65</v>
      </c>
      <c r="DS24" s="5099">
        <v>90</v>
      </c>
      <c r="DT24" s="5099">
        <v>116</v>
      </c>
      <c r="DU24" s="5099">
        <v>17</v>
      </c>
      <c r="DV24" s="5099"/>
      <c r="DW24" s="5099"/>
      <c r="DX24" s="5099">
        <v>55</v>
      </c>
      <c r="DY24" s="5103">
        <f t="shared" si="6"/>
        <v>5443</v>
      </c>
      <c r="DZ24" s="5104"/>
      <c r="EA24" s="5105"/>
      <c r="EB24" s="5106"/>
      <c r="EC24" s="5106"/>
      <c r="ED24" s="5105"/>
      <c r="EE24" s="5105"/>
      <c r="EF24" s="5105">
        <v>34</v>
      </c>
      <c r="EG24" s="5105"/>
      <c r="EH24" s="5105">
        <v>105</v>
      </c>
      <c r="EI24" s="5105"/>
      <c r="EJ24" s="5105"/>
      <c r="EK24" s="5105"/>
      <c r="EL24" s="5105">
        <v>221</v>
      </c>
      <c r="EM24" s="5105"/>
      <c r="EN24" s="5105"/>
      <c r="EO24" s="5105"/>
      <c r="EP24" s="5105">
        <v>11</v>
      </c>
      <c r="EQ24" s="5105">
        <v>91</v>
      </c>
      <c r="ER24" s="5105">
        <v>20</v>
      </c>
      <c r="ES24" s="5105"/>
      <c r="ET24" s="5105"/>
      <c r="EU24" s="5105"/>
      <c r="EV24" s="5105"/>
      <c r="EW24" s="5107"/>
      <c r="EX24" s="5108">
        <v>658</v>
      </c>
      <c r="EY24" s="5105"/>
      <c r="EZ24" s="5105">
        <v>190</v>
      </c>
      <c r="FA24" s="5105"/>
      <c r="FB24" s="5105"/>
      <c r="FC24" s="5102"/>
      <c r="FD24" s="5105">
        <v>199</v>
      </c>
      <c r="FE24" s="5105"/>
      <c r="FF24" s="5105"/>
      <c r="FG24" s="5105">
        <v>50</v>
      </c>
      <c r="FH24" s="5105"/>
      <c r="FI24" s="5105"/>
      <c r="FJ24" s="5105"/>
      <c r="FK24" s="5105"/>
      <c r="FL24" s="5105"/>
      <c r="FM24" s="5105">
        <v>185</v>
      </c>
      <c r="FN24" s="5105"/>
      <c r="FO24" s="5105">
        <v>409</v>
      </c>
      <c r="FP24" s="5105"/>
      <c r="FQ24" s="5105">
        <v>25</v>
      </c>
      <c r="FR24" s="5105">
        <v>22</v>
      </c>
      <c r="FS24" s="5105"/>
      <c r="FT24" s="5105">
        <v>8</v>
      </c>
      <c r="FU24" s="5105"/>
      <c r="FV24" s="5105">
        <v>34</v>
      </c>
      <c r="FW24" s="5105">
        <v>32</v>
      </c>
      <c r="FX24" s="5105"/>
      <c r="FY24" s="5105">
        <v>43</v>
      </c>
      <c r="FZ24" s="5105">
        <v>100</v>
      </c>
      <c r="GA24" s="5105"/>
      <c r="GB24" s="5105">
        <v>113</v>
      </c>
      <c r="GC24" s="5105">
        <v>113</v>
      </c>
      <c r="GD24" s="5105"/>
      <c r="GE24" s="5105"/>
      <c r="GF24" s="5105">
        <v>112</v>
      </c>
      <c r="GG24" s="5109"/>
      <c r="GH24" s="5105"/>
      <c r="GI24" s="5105"/>
      <c r="GJ24" s="5110">
        <f t="shared" si="7"/>
        <v>2775</v>
      </c>
      <c r="GK24" s="5111">
        <f t="shared" si="8"/>
        <v>8218</v>
      </c>
      <c r="GL24" s="5112">
        <v>0</v>
      </c>
      <c r="GM24" s="3020">
        <v>0.8125</v>
      </c>
      <c r="HH24" s="1219"/>
    </row>
    <row r="25" spans="1:379" s="441" customFormat="1" ht="27" customHeight="1">
      <c r="A25" s="4548">
        <v>0.83333333333333337</v>
      </c>
      <c r="B25" s="5097">
        <v>39</v>
      </c>
      <c r="C25" s="5098">
        <v>40</v>
      </c>
      <c r="D25" s="5098"/>
      <c r="E25" s="5098"/>
      <c r="F25" s="5099">
        <v>17</v>
      </c>
      <c r="G25" s="5100"/>
      <c r="H25" s="5099"/>
      <c r="I25" s="5099"/>
      <c r="J25" s="5098"/>
      <c r="K25" s="5098"/>
      <c r="L25" s="5098"/>
      <c r="M25" s="5098">
        <v>34</v>
      </c>
      <c r="N25" s="5098"/>
      <c r="O25" s="5098">
        <v>105</v>
      </c>
      <c r="P25" s="5098"/>
      <c r="Q25" s="5098"/>
      <c r="R25" s="5098"/>
      <c r="S25" s="5098"/>
      <c r="T25" s="5098"/>
      <c r="U25" s="5098">
        <v>265</v>
      </c>
      <c r="V25" s="5098">
        <v>8</v>
      </c>
      <c r="W25" s="5098"/>
      <c r="X25" s="5098"/>
      <c r="Y25" s="5098">
        <v>240</v>
      </c>
      <c r="Z25" s="5098"/>
      <c r="AA25" s="5098"/>
      <c r="AB25" s="5098"/>
      <c r="AC25" s="5098"/>
      <c r="AD25" s="5099"/>
      <c r="AE25" s="5098"/>
      <c r="AF25" s="5098">
        <v>80</v>
      </c>
      <c r="AG25" s="5098">
        <v>3</v>
      </c>
      <c r="AH25" s="5098">
        <v>163</v>
      </c>
      <c r="AI25" s="5098">
        <v>310</v>
      </c>
      <c r="AJ25" s="5098">
        <v>150</v>
      </c>
      <c r="AK25" s="5098">
        <v>5</v>
      </c>
      <c r="AL25" s="5098">
        <v>132</v>
      </c>
      <c r="AM25" s="5098"/>
      <c r="AN25" s="5098"/>
      <c r="AO25" s="5098"/>
      <c r="AP25" s="5098">
        <v>180</v>
      </c>
      <c r="AQ25" s="5098">
        <v>224</v>
      </c>
      <c r="AR25" s="5098">
        <v>50</v>
      </c>
      <c r="AS25" s="5098"/>
      <c r="AT25" s="5098">
        <v>43</v>
      </c>
      <c r="AU25" s="5098"/>
      <c r="AV25" s="5098"/>
      <c r="AW25" s="5098">
        <v>70</v>
      </c>
      <c r="AX25" s="5098">
        <v>79</v>
      </c>
      <c r="AY25" s="5098"/>
      <c r="AZ25" s="5098"/>
      <c r="BA25" s="5098">
        <v>190</v>
      </c>
      <c r="BB25" s="5098">
        <v>18</v>
      </c>
      <c r="BC25" s="5098"/>
      <c r="BD25" s="5098">
        <v>10</v>
      </c>
      <c r="BE25" s="5098">
        <v>11</v>
      </c>
      <c r="BF25" s="5098">
        <v>51</v>
      </c>
      <c r="BG25" s="5098">
        <v>24</v>
      </c>
      <c r="BH25" s="5098">
        <v>290</v>
      </c>
      <c r="BI25" s="5098">
        <v>270</v>
      </c>
      <c r="BJ25" s="5098">
        <v>35</v>
      </c>
      <c r="BK25" s="5098">
        <v>22</v>
      </c>
      <c r="BL25" s="5098">
        <v>21</v>
      </c>
      <c r="BM25" s="5098">
        <v>16</v>
      </c>
      <c r="BN25" s="5098">
        <v>22</v>
      </c>
      <c r="BO25" s="5101">
        <v>86</v>
      </c>
      <c r="BP25" s="5098">
        <v>14</v>
      </c>
      <c r="BQ25" s="5098">
        <v>21</v>
      </c>
      <c r="BR25" s="5098">
        <v>11</v>
      </c>
      <c r="BS25" s="5098">
        <v>33</v>
      </c>
      <c r="BT25" s="5098">
        <v>9</v>
      </c>
      <c r="BU25" s="5098">
        <v>25</v>
      </c>
      <c r="BV25" s="5098">
        <v>9</v>
      </c>
      <c r="BW25" s="5098">
        <v>16</v>
      </c>
      <c r="BX25" s="5098">
        <v>33</v>
      </c>
      <c r="BY25" s="5098"/>
      <c r="BZ25" s="5098"/>
      <c r="CA25" s="5098"/>
      <c r="CB25" s="5098">
        <v>54</v>
      </c>
      <c r="CC25" s="5099"/>
      <c r="CD25" s="5098">
        <v>25</v>
      </c>
      <c r="CE25" s="5099"/>
      <c r="CF25" s="5099"/>
      <c r="CG25" s="5099">
        <v>8</v>
      </c>
      <c r="CH25" s="5099">
        <v>105</v>
      </c>
      <c r="CI25" s="5100"/>
      <c r="CJ25" s="5099">
        <v>54</v>
      </c>
      <c r="CK25" s="5099">
        <v>110</v>
      </c>
      <c r="CL25" s="5099"/>
      <c r="CM25" s="5099"/>
      <c r="CN25" s="5099"/>
      <c r="CO25" s="5099">
        <v>24</v>
      </c>
      <c r="CP25" s="5099"/>
      <c r="CQ25" s="5099"/>
      <c r="CR25" s="5099">
        <v>101</v>
      </c>
      <c r="CS25" s="5099"/>
      <c r="CT25" s="5099"/>
      <c r="CU25" s="5099">
        <v>10</v>
      </c>
      <c r="CV25" s="5099"/>
      <c r="CW25" s="5099">
        <v>51</v>
      </c>
      <c r="CX25" s="5099">
        <v>102</v>
      </c>
      <c r="CY25" s="5099"/>
      <c r="CZ25" s="5099">
        <v>12</v>
      </c>
      <c r="DA25" s="5099"/>
      <c r="DB25" s="5099"/>
      <c r="DC25" s="5099">
        <v>30</v>
      </c>
      <c r="DD25" s="5099">
        <v>55</v>
      </c>
      <c r="DE25" s="5099">
        <v>163</v>
      </c>
      <c r="DF25" s="5100"/>
      <c r="DG25" s="5099">
        <v>35</v>
      </c>
      <c r="DH25" s="5102"/>
      <c r="DI25" s="5102"/>
      <c r="DJ25" s="5102">
        <v>183</v>
      </c>
      <c r="DK25" s="5102"/>
      <c r="DL25" s="5102">
        <v>70</v>
      </c>
      <c r="DM25" s="5102">
        <v>90</v>
      </c>
      <c r="DN25" s="5102">
        <v>100</v>
      </c>
      <c r="DO25" s="5102">
        <v>142</v>
      </c>
      <c r="DP25" s="5099"/>
      <c r="DQ25" s="5099">
        <v>112</v>
      </c>
      <c r="DR25" s="5099">
        <v>30</v>
      </c>
      <c r="DS25" s="5099">
        <v>100</v>
      </c>
      <c r="DT25" s="5099">
        <v>116</v>
      </c>
      <c r="DU25" s="5099">
        <v>17</v>
      </c>
      <c r="DV25" s="5099"/>
      <c r="DW25" s="5099"/>
      <c r="DX25" s="5099">
        <v>55</v>
      </c>
      <c r="DY25" s="5103">
        <f t="shared" si="6"/>
        <v>5428</v>
      </c>
      <c r="DZ25" s="5104"/>
      <c r="EA25" s="5105"/>
      <c r="EB25" s="5106"/>
      <c r="EC25" s="5106"/>
      <c r="ED25" s="5105"/>
      <c r="EE25" s="5105"/>
      <c r="EF25" s="5105">
        <v>10</v>
      </c>
      <c r="EG25" s="5105"/>
      <c r="EH25" s="5105">
        <v>105</v>
      </c>
      <c r="EI25" s="5105"/>
      <c r="EJ25" s="5105"/>
      <c r="EK25" s="5105"/>
      <c r="EL25" s="5105">
        <v>223</v>
      </c>
      <c r="EM25" s="5105"/>
      <c r="EN25" s="5105"/>
      <c r="EO25" s="5105"/>
      <c r="EP25" s="5105">
        <v>11</v>
      </c>
      <c r="EQ25" s="5105">
        <v>91</v>
      </c>
      <c r="ER25" s="5105">
        <v>21</v>
      </c>
      <c r="ES25" s="5105"/>
      <c r="ET25" s="5105"/>
      <c r="EU25" s="5105"/>
      <c r="EV25" s="5105"/>
      <c r="EW25" s="5107"/>
      <c r="EX25" s="5108">
        <v>657</v>
      </c>
      <c r="EY25" s="5105"/>
      <c r="EZ25" s="5105">
        <v>210</v>
      </c>
      <c r="FA25" s="5105"/>
      <c r="FB25" s="5105"/>
      <c r="FC25" s="5102"/>
      <c r="FD25" s="5105">
        <v>199</v>
      </c>
      <c r="FE25" s="5105"/>
      <c r="FF25" s="5105"/>
      <c r="FG25" s="5105">
        <v>50</v>
      </c>
      <c r="FH25" s="5105"/>
      <c r="FI25" s="5105"/>
      <c r="FJ25" s="5105"/>
      <c r="FK25" s="5105"/>
      <c r="FL25" s="5105"/>
      <c r="FM25" s="5105">
        <v>186</v>
      </c>
      <c r="FN25" s="5105"/>
      <c r="FO25" s="5105">
        <v>395</v>
      </c>
      <c r="FP25" s="5105"/>
      <c r="FQ25" s="5105"/>
      <c r="FR25" s="5105">
        <v>22</v>
      </c>
      <c r="FS25" s="5105"/>
      <c r="FT25" s="5105">
        <v>8</v>
      </c>
      <c r="FU25" s="5105"/>
      <c r="FV25" s="5105">
        <v>34</v>
      </c>
      <c r="FW25" s="5105">
        <v>32</v>
      </c>
      <c r="FX25" s="5105"/>
      <c r="FY25" s="5105">
        <v>43</v>
      </c>
      <c r="FZ25" s="5105">
        <v>100</v>
      </c>
      <c r="GA25" s="5105"/>
      <c r="GB25" s="5105">
        <v>113</v>
      </c>
      <c r="GC25" s="5105">
        <v>113</v>
      </c>
      <c r="GD25" s="5105"/>
      <c r="GE25" s="5105"/>
      <c r="GF25" s="5105">
        <v>112</v>
      </c>
      <c r="GG25" s="5109"/>
      <c r="GH25" s="5105"/>
      <c r="GI25" s="5105"/>
      <c r="GJ25" s="5110">
        <f t="shared" si="7"/>
        <v>2735</v>
      </c>
      <c r="GK25" s="5111">
        <f t="shared" si="8"/>
        <v>8163</v>
      </c>
      <c r="GL25" s="5112">
        <v>97.35</v>
      </c>
      <c r="GM25" s="3020">
        <v>0.83333333333333337</v>
      </c>
      <c r="GP25" s="1218"/>
      <c r="GQ25" s="1218"/>
      <c r="GR25" s="1218"/>
      <c r="GS25" s="1218"/>
      <c r="GT25" s="1218"/>
      <c r="GU25" s="1218"/>
      <c r="GV25" s="1218"/>
      <c r="GW25" s="1218"/>
      <c r="GX25" s="1218"/>
      <c r="GY25" s="1218"/>
      <c r="GZ25" s="1218"/>
      <c r="HA25" s="1218"/>
      <c r="HB25" s="1218"/>
      <c r="HC25" s="1218"/>
      <c r="HD25" s="1218"/>
      <c r="HE25" s="1218"/>
      <c r="HF25" s="1218"/>
      <c r="HG25" s="1218"/>
      <c r="HH25" s="1218"/>
      <c r="HI25" s="1218"/>
      <c r="HJ25" s="1218"/>
      <c r="HK25" s="1218"/>
      <c r="HL25" s="1218"/>
      <c r="HM25" s="1218"/>
      <c r="HN25" s="1218"/>
      <c r="HO25" s="1218"/>
      <c r="HP25" s="1218"/>
      <c r="HQ25" s="1218"/>
      <c r="HR25" s="1218"/>
      <c r="HS25" s="1218"/>
      <c r="HT25" s="1218"/>
      <c r="HU25" s="1218"/>
      <c r="HV25" s="1218"/>
      <c r="HW25" s="1218"/>
      <c r="HX25" s="1218"/>
      <c r="HY25" s="1218"/>
      <c r="HZ25" s="1218"/>
      <c r="IA25" s="1218"/>
      <c r="IB25" s="1218"/>
      <c r="IC25" s="1218"/>
      <c r="ID25" s="1218"/>
      <c r="IE25" s="1218"/>
      <c r="IF25" s="1218"/>
      <c r="IG25" s="1218"/>
      <c r="IH25" s="1218"/>
      <c r="II25" s="1218"/>
      <c r="IJ25" s="1218"/>
      <c r="IK25" s="1218"/>
      <c r="IL25" s="1218"/>
      <c r="IM25" s="1218"/>
      <c r="IN25" s="1218"/>
      <c r="IO25" s="1218"/>
      <c r="IP25" s="1218"/>
      <c r="IQ25" s="1218"/>
      <c r="IR25" s="1218"/>
      <c r="IS25" s="1218"/>
      <c r="IT25" s="1218"/>
      <c r="IU25" s="1218"/>
      <c r="IV25" s="1218"/>
      <c r="IW25" s="1218"/>
      <c r="IX25" s="1218"/>
      <c r="IY25" s="1218"/>
      <c r="IZ25" s="1218"/>
      <c r="JA25" s="1218"/>
      <c r="JB25" s="1218"/>
      <c r="JC25" s="1218"/>
      <c r="JD25" s="1218"/>
      <c r="JE25" s="1218"/>
      <c r="JF25" s="1218"/>
      <c r="JG25" s="1218"/>
      <c r="JH25" s="1218"/>
      <c r="JI25" s="1218"/>
    </row>
    <row r="26" spans="1:379" s="441" customFormat="1" ht="27" customHeight="1">
      <c r="A26" s="4548">
        <v>0.875</v>
      </c>
      <c r="B26" s="5097">
        <v>46</v>
      </c>
      <c r="C26" s="5098">
        <v>40</v>
      </c>
      <c r="D26" s="5098"/>
      <c r="E26" s="5098"/>
      <c r="F26" s="5099"/>
      <c r="G26" s="5130"/>
      <c r="H26" s="5099"/>
      <c r="I26" s="5099"/>
      <c r="J26" s="5098"/>
      <c r="K26" s="5098"/>
      <c r="L26" s="5098"/>
      <c r="M26" s="5098"/>
      <c r="N26" s="5098"/>
      <c r="O26" s="5098">
        <v>68</v>
      </c>
      <c r="P26" s="5098"/>
      <c r="Q26" s="5098"/>
      <c r="R26" s="5098"/>
      <c r="S26" s="5098"/>
      <c r="T26" s="5098"/>
      <c r="U26" s="5098">
        <v>265</v>
      </c>
      <c r="V26" s="5098">
        <v>8</v>
      </c>
      <c r="W26" s="5098"/>
      <c r="X26" s="5098"/>
      <c r="Y26" s="5098">
        <v>240</v>
      </c>
      <c r="Z26" s="5098"/>
      <c r="AA26" s="5098"/>
      <c r="AB26" s="5098"/>
      <c r="AC26" s="5098"/>
      <c r="AD26" s="5099"/>
      <c r="AE26" s="5098"/>
      <c r="AF26" s="5098">
        <v>80</v>
      </c>
      <c r="AG26" s="5098">
        <v>3</v>
      </c>
      <c r="AH26" s="5098">
        <v>151</v>
      </c>
      <c r="AI26" s="5098">
        <v>310</v>
      </c>
      <c r="AJ26" s="5098">
        <v>150</v>
      </c>
      <c r="AK26" s="5098">
        <v>5</v>
      </c>
      <c r="AL26" s="5098">
        <v>138</v>
      </c>
      <c r="AM26" s="5098"/>
      <c r="AN26" s="5098"/>
      <c r="AO26" s="5098"/>
      <c r="AP26" s="5098">
        <v>180</v>
      </c>
      <c r="AQ26" s="5098">
        <v>224</v>
      </c>
      <c r="AR26" s="5098">
        <v>50</v>
      </c>
      <c r="AS26" s="5098"/>
      <c r="AT26" s="5098">
        <v>42</v>
      </c>
      <c r="AU26" s="5098"/>
      <c r="AV26" s="5098"/>
      <c r="AW26" s="5098">
        <v>70</v>
      </c>
      <c r="AX26" s="5098">
        <v>79</v>
      </c>
      <c r="AY26" s="5098"/>
      <c r="AZ26" s="5098"/>
      <c r="BA26" s="5098">
        <v>190</v>
      </c>
      <c r="BB26" s="5098">
        <v>18</v>
      </c>
      <c r="BC26" s="5098"/>
      <c r="BD26" s="5098">
        <v>10</v>
      </c>
      <c r="BE26" s="5098">
        <v>11</v>
      </c>
      <c r="BF26" s="5098">
        <v>51</v>
      </c>
      <c r="BG26" s="5098">
        <v>24</v>
      </c>
      <c r="BH26" s="5098">
        <v>290</v>
      </c>
      <c r="BI26" s="5098">
        <v>401</v>
      </c>
      <c r="BJ26" s="5098">
        <v>35</v>
      </c>
      <c r="BK26" s="5098">
        <v>22</v>
      </c>
      <c r="BL26" s="5098">
        <v>21</v>
      </c>
      <c r="BM26" s="5098">
        <v>16</v>
      </c>
      <c r="BN26" s="5098">
        <v>22</v>
      </c>
      <c r="BO26" s="5101">
        <v>86</v>
      </c>
      <c r="BP26" s="5098">
        <v>16</v>
      </c>
      <c r="BQ26" s="5098">
        <v>21</v>
      </c>
      <c r="BR26" s="5098">
        <v>11</v>
      </c>
      <c r="BS26" s="5098">
        <v>33</v>
      </c>
      <c r="BT26" s="5098">
        <v>9</v>
      </c>
      <c r="BU26" s="5098">
        <v>25</v>
      </c>
      <c r="BV26" s="5098">
        <v>9</v>
      </c>
      <c r="BW26" s="5098">
        <v>16</v>
      </c>
      <c r="BX26" s="5098">
        <v>33</v>
      </c>
      <c r="BY26" s="5098"/>
      <c r="BZ26" s="5098"/>
      <c r="CA26" s="5098">
        <v>20</v>
      </c>
      <c r="CB26" s="5098">
        <v>54</v>
      </c>
      <c r="CC26" s="5099"/>
      <c r="CD26" s="5098"/>
      <c r="CE26" s="5099"/>
      <c r="CF26" s="5099"/>
      <c r="CG26" s="5099">
        <v>8</v>
      </c>
      <c r="CH26" s="5099">
        <v>105</v>
      </c>
      <c r="CI26" s="5100"/>
      <c r="CJ26" s="5099">
        <v>54</v>
      </c>
      <c r="CK26" s="5099">
        <v>110</v>
      </c>
      <c r="CL26" s="5099"/>
      <c r="CM26" s="5099"/>
      <c r="CN26" s="5099"/>
      <c r="CO26" s="5099">
        <v>24</v>
      </c>
      <c r="CP26" s="5099"/>
      <c r="CQ26" s="5099"/>
      <c r="CR26" s="5099">
        <v>104</v>
      </c>
      <c r="CS26" s="5099"/>
      <c r="CT26" s="5099"/>
      <c r="CU26" s="5099">
        <v>30</v>
      </c>
      <c r="CV26" s="5099"/>
      <c r="CW26" s="5099">
        <v>51</v>
      </c>
      <c r="CX26" s="5099">
        <v>58</v>
      </c>
      <c r="CY26" s="5099"/>
      <c r="CZ26" s="5099">
        <v>12</v>
      </c>
      <c r="DA26" s="5099"/>
      <c r="DB26" s="5099"/>
      <c r="DC26" s="5099"/>
      <c r="DD26" s="5099">
        <v>55</v>
      </c>
      <c r="DE26" s="5099">
        <v>163</v>
      </c>
      <c r="DF26" s="5100"/>
      <c r="DG26" s="5099">
        <v>35</v>
      </c>
      <c r="DH26" s="5102"/>
      <c r="DI26" s="5102"/>
      <c r="DJ26" s="5102">
        <v>183</v>
      </c>
      <c r="DK26" s="5102"/>
      <c r="DL26" s="5102"/>
      <c r="DM26" s="5102">
        <v>90</v>
      </c>
      <c r="DN26" s="5102">
        <v>68</v>
      </c>
      <c r="DO26" s="5102">
        <v>147</v>
      </c>
      <c r="DP26" s="5099"/>
      <c r="DQ26" s="5099">
        <v>85</v>
      </c>
      <c r="DR26" s="5099">
        <v>15</v>
      </c>
      <c r="DS26" s="5099">
        <v>100</v>
      </c>
      <c r="DT26" s="5099">
        <v>116</v>
      </c>
      <c r="DU26" s="5099">
        <v>17</v>
      </c>
      <c r="DV26" s="5099"/>
      <c r="DW26" s="5099"/>
      <c r="DX26" s="5099">
        <v>55</v>
      </c>
      <c r="DY26" s="5103">
        <f t="shared" si="6"/>
        <v>5278</v>
      </c>
      <c r="DZ26" s="5104"/>
      <c r="EA26" s="5105"/>
      <c r="EB26" s="5106"/>
      <c r="EC26" s="5106"/>
      <c r="ED26" s="5105"/>
      <c r="EE26" s="5105"/>
      <c r="EF26" s="5105">
        <v>10</v>
      </c>
      <c r="EG26" s="5105"/>
      <c r="EH26" s="5105">
        <v>105</v>
      </c>
      <c r="EI26" s="5105"/>
      <c r="EJ26" s="5105"/>
      <c r="EK26" s="5105"/>
      <c r="EL26" s="5105">
        <v>224</v>
      </c>
      <c r="EM26" s="5105"/>
      <c r="EN26" s="5105"/>
      <c r="EO26" s="5105"/>
      <c r="EP26" s="5105">
        <v>11</v>
      </c>
      <c r="EQ26" s="5105">
        <v>91</v>
      </c>
      <c r="ER26" s="5105">
        <v>23</v>
      </c>
      <c r="ES26" s="5105"/>
      <c r="ET26" s="5105"/>
      <c r="EU26" s="5105"/>
      <c r="EV26" s="5105"/>
      <c r="EW26" s="5107"/>
      <c r="EX26" s="5108">
        <v>657</v>
      </c>
      <c r="EY26" s="5105"/>
      <c r="EZ26" s="5105">
        <v>280</v>
      </c>
      <c r="FA26" s="5105"/>
      <c r="FB26" s="5105"/>
      <c r="FC26" s="5105"/>
      <c r="FD26" s="5105">
        <v>200</v>
      </c>
      <c r="FE26" s="5105"/>
      <c r="FF26" s="5105"/>
      <c r="FG26" s="5105"/>
      <c r="FH26" s="5105"/>
      <c r="FI26" s="5105"/>
      <c r="FJ26" s="5105"/>
      <c r="FK26" s="5105"/>
      <c r="FL26" s="5105"/>
      <c r="FM26" s="5105">
        <v>192</v>
      </c>
      <c r="FN26" s="5105"/>
      <c r="FO26" s="5105">
        <v>420</v>
      </c>
      <c r="FP26" s="5105"/>
      <c r="FQ26" s="5105"/>
      <c r="FR26" s="5105">
        <v>22</v>
      </c>
      <c r="FS26" s="5105"/>
      <c r="FT26" s="5105">
        <v>8</v>
      </c>
      <c r="FU26" s="5105"/>
      <c r="FV26" s="5105"/>
      <c r="FW26" s="5105"/>
      <c r="FX26" s="5105"/>
      <c r="FY26" s="5105">
        <v>34</v>
      </c>
      <c r="FZ26" s="5105">
        <v>100</v>
      </c>
      <c r="GA26" s="5105"/>
      <c r="GB26" s="5105">
        <v>113</v>
      </c>
      <c r="GC26" s="5105">
        <v>113</v>
      </c>
      <c r="GD26" s="5105"/>
      <c r="GE26" s="5105"/>
      <c r="GF26" s="5105">
        <v>112</v>
      </c>
      <c r="GG26" s="5109"/>
      <c r="GH26" s="5105"/>
      <c r="GI26" s="5105"/>
      <c r="GJ26" s="5110">
        <f t="shared" si="7"/>
        <v>2715</v>
      </c>
      <c r="GK26" s="5111">
        <f t="shared" si="8"/>
        <v>7993</v>
      </c>
      <c r="GL26" s="5112">
        <v>97.34</v>
      </c>
      <c r="GM26" s="3020">
        <v>0.875</v>
      </c>
      <c r="GN26" s="3332"/>
      <c r="GO26" s="3332"/>
      <c r="GP26" s="1218"/>
      <c r="GQ26" s="1218"/>
      <c r="GR26" s="1218"/>
      <c r="GS26" s="1218"/>
      <c r="GT26" s="1218"/>
      <c r="GU26" s="1218"/>
      <c r="GV26" s="1218"/>
      <c r="GW26" s="1218"/>
      <c r="GX26" s="1218"/>
      <c r="GY26" s="1218"/>
      <c r="GZ26" s="1218"/>
      <c r="HA26" s="1218"/>
      <c r="HB26" s="1218"/>
      <c r="HC26" s="1218"/>
      <c r="HD26" s="1218"/>
      <c r="HE26" s="1218"/>
      <c r="HF26" s="1218"/>
      <c r="HG26" s="1218"/>
      <c r="HH26" s="1218"/>
      <c r="HI26" s="1218"/>
      <c r="HJ26" s="1218"/>
      <c r="HK26" s="1218"/>
      <c r="HL26" s="1218"/>
      <c r="HM26" s="1218"/>
      <c r="HN26" s="1218"/>
      <c r="HO26" s="1218"/>
      <c r="HP26" s="1218"/>
      <c r="HQ26" s="1218"/>
      <c r="HR26" s="1218"/>
      <c r="HS26" s="1218"/>
      <c r="HT26" s="1218"/>
      <c r="HU26" s="1218"/>
      <c r="HV26" s="1218"/>
      <c r="HW26" s="1218"/>
      <c r="HX26" s="1218"/>
      <c r="HY26" s="1218"/>
      <c r="HZ26" s="1218"/>
      <c r="IA26" s="1218"/>
      <c r="IB26" s="1218"/>
      <c r="IC26" s="1218"/>
      <c r="ID26" s="1218"/>
      <c r="IE26" s="1218"/>
      <c r="IF26" s="1218"/>
      <c r="IG26" s="1218"/>
      <c r="IH26" s="1218"/>
      <c r="II26" s="1218"/>
      <c r="IJ26" s="1218"/>
      <c r="IK26" s="1218"/>
      <c r="IL26" s="1218"/>
      <c r="IM26" s="1218"/>
      <c r="IN26" s="1218"/>
      <c r="IO26" s="1218"/>
      <c r="IP26" s="1218"/>
      <c r="IQ26" s="1218"/>
      <c r="IR26" s="1218"/>
      <c r="IS26" s="1218"/>
      <c r="IT26" s="1218"/>
      <c r="IU26" s="1218"/>
      <c r="IV26" s="1218"/>
      <c r="IW26" s="1218"/>
      <c r="IX26" s="1218"/>
      <c r="IY26" s="1218"/>
      <c r="IZ26" s="1218"/>
      <c r="JA26" s="1218"/>
      <c r="JB26" s="1218"/>
      <c r="JC26" s="1218"/>
      <c r="JD26" s="1218"/>
      <c r="JE26" s="1218"/>
      <c r="JF26" s="1218"/>
      <c r="JG26" s="1218"/>
      <c r="JH26" s="1218"/>
      <c r="JI26" s="1218"/>
    </row>
    <row r="27" spans="1:379" s="441" customFormat="1" ht="27" customHeight="1">
      <c r="A27" s="4550">
        <v>0.91666666666666663</v>
      </c>
      <c r="B27" s="5131">
        <v>46</v>
      </c>
      <c r="C27" s="5132">
        <v>40</v>
      </c>
      <c r="D27" s="5132"/>
      <c r="E27" s="5132"/>
      <c r="F27" s="5133"/>
      <c r="G27" s="5134"/>
      <c r="H27" s="5133"/>
      <c r="I27" s="5133"/>
      <c r="J27" s="5132"/>
      <c r="K27" s="5132"/>
      <c r="L27" s="5132"/>
      <c r="M27" s="5132"/>
      <c r="N27" s="5132"/>
      <c r="O27" s="5132">
        <v>34</v>
      </c>
      <c r="P27" s="5132"/>
      <c r="Q27" s="5132"/>
      <c r="R27" s="5132"/>
      <c r="S27" s="5132"/>
      <c r="T27" s="5132"/>
      <c r="U27" s="5132">
        <v>195</v>
      </c>
      <c r="V27" s="5132">
        <v>8</v>
      </c>
      <c r="W27" s="5132"/>
      <c r="X27" s="5132"/>
      <c r="Y27" s="5132">
        <v>240</v>
      </c>
      <c r="Z27" s="5132"/>
      <c r="AA27" s="5132"/>
      <c r="AB27" s="5132"/>
      <c r="AC27" s="5132"/>
      <c r="AD27" s="5133"/>
      <c r="AE27" s="5132"/>
      <c r="AF27" s="5132">
        <v>80</v>
      </c>
      <c r="AG27" s="5132">
        <v>3</v>
      </c>
      <c r="AH27" s="5132">
        <v>144</v>
      </c>
      <c r="AI27" s="5132">
        <v>310</v>
      </c>
      <c r="AJ27" s="5132">
        <v>150</v>
      </c>
      <c r="AK27" s="5132">
        <v>5</v>
      </c>
      <c r="AL27" s="5132">
        <v>136</v>
      </c>
      <c r="AM27" s="5132"/>
      <c r="AN27" s="5132"/>
      <c r="AO27" s="5132"/>
      <c r="AP27" s="5132">
        <v>180</v>
      </c>
      <c r="AQ27" s="5132">
        <v>224</v>
      </c>
      <c r="AR27" s="5132">
        <v>50</v>
      </c>
      <c r="AS27" s="5132"/>
      <c r="AT27" s="5132">
        <v>43</v>
      </c>
      <c r="AU27" s="5132"/>
      <c r="AV27" s="5132"/>
      <c r="AW27" s="5132">
        <v>69</v>
      </c>
      <c r="AX27" s="5132">
        <v>79</v>
      </c>
      <c r="AY27" s="5132"/>
      <c r="AZ27" s="5132"/>
      <c r="BA27" s="5132">
        <v>190</v>
      </c>
      <c r="BB27" s="5132">
        <v>18</v>
      </c>
      <c r="BC27" s="5132"/>
      <c r="BD27" s="5132">
        <v>10</v>
      </c>
      <c r="BE27" s="5132">
        <v>11</v>
      </c>
      <c r="BF27" s="5132">
        <v>51</v>
      </c>
      <c r="BG27" s="5132">
        <v>16</v>
      </c>
      <c r="BH27" s="5132">
        <v>290</v>
      </c>
      <c r="BI27" s="5132">
        <v>402</v>
      </c>
      <c r="BJ27" s="5132">
        <v>35</v>
      </c>
      <c r="BK27" s="5132">
        <v>22</v>
      </c>
      <c r="BL27" s="5132">
        <v>21</v>
      </c>
      <c r="BM27" s="5132">
        <v>16</v>
      </c>
      <c r="BN27" s="5132">
        <v>22</v>
      </c>
      <c r="BO27" s="5101">
        <v>84</v>
      </c>
      <c r="BP27" s="5132">
        <v>16</v>
      </c>
      <c r="BQ27" s="5132">
        <v>21</v>
      </c>
      <c r="BR27" s="5132">
        <v>11</v>
      </c>
      <c r="BS27" s="5132">
        <v>33</v>
      </c>
      <c r="BT27" s="5132">
        <v>9</v>
      </c>
      <c r="BU27" s="5132">
        <v>25</v>
      </c>
      <c r="BV27" s="5132">
        <v>9</v>
      </c>
      <c r="BW27" s="5132">
        <v>16</v>
      </c>
      <c r="BX27" s="5132">
        <v>33</v>
      </c>
      <c r="BY27" s="5132"/>
      <c r="BZ27" s="5132"/>
      <c r="CA27" s="5132">
        <v>108</v>
      </c>
      <c r="CB27" s="5132">
        <v>54</v>
      </c>
      <c r="CC27" s="5133"/>
      <c r="CD27" s="5132"/>
      <c r="CE27" s="5133"/>
      <c r="CF27" s="5133"/>
      <c r="CG27" s="5133">
        <v>8</v>
      </c>
      <c r="CH27" s="5133">
        <v>105</v>
      </c>
      <c r="CI27" s="5134"/>
      <c r="CJ27" s="5133">
        <v>54</v>
      </c>
      <c r="CK27" s="5133">
        <v>110</v>
      </c>
      <c r="CL27" s="5133"/>
      <c r="CM27" s="5133"/>
      <c r="CN27" s="5133"/>
      <c r="CO27" s="5133"/>
      <c r="CP27" s="5133"/>
      <c r="CQ27" s="5133"/>
      <c r="CR27" s="5133">
        <v>104</v>
      </c>
      <c r="CS27" s="5133"/>
      <c r="CT27" s="5133"/>
      <c r="CU27" s="5133"/>
      <c r="CV27" s="5133"/>
      <c r="CW27" s="5133">
        <v>51</v>
      </c>
      <c r="CX27" s="5133">
        <v>7</v>
      </c>
      <c r="CY27" s="5133"/>
      <c r="CZ27" s="5133">
        <v>12</v>
      </c>
      <c r="DA27" s="5133"/>
      <c r="DB27" s="5133"/>
      <c r="DC27" s="5133"/>
      <c r="DD27" s="5133">
        <v>55</v>
      </c>
      <c r="DE27" s="5133">
        <v>130</v>
      </c>
      <c r="DF27" s="5135"/>
      <c r="DG27" s="5133">
        <v>35</v>
      </c>
      <c r="DH27" s="5135"/>
      <c r="DI27" s="5135"/>
      <c r="DJ27" s="5135">
        <v>183</v>
      </c>
      <c r="DK27" s="5135"/>
      <c r="DL27" s="5135"/>
      <c r="DM27" s="5135">
        <v>90</v>
      </c>
      <c r="DN27" s="5135">
        <v>17</v>
      </c>
      <c r="DO27" s="5135">
        <v>142</v>
      </c>
      <c r="DP27" s="5133"/>
      <c r="DQ27" s="5133">
        <v>85</v>
      </c>
      <c r="DR27" s="5133"/>
      <c r="DS27" s="5133">
        <v>70</v>
      </c>
      <c r="DT27" s="5133">
        <v>116</v>
      </c>
      <c r="DU27" s="5133">
        <v>17</v>
      </c>
      <c r="DV27" s="5133"/>
      <c r="DW27" s="5133"/>
      <c r="DX27" s="5133">
        <v>55</v>
      </c>
      <c r="DY27" s="5103">
        <f t="shared" si="6"/>
        <v>5005</v>
      </c>
      <c r="DZ27" s="5136"/>
      <c r="EA27" s="5137"/>
      <c r="EB27" s="5138"/>
      <c r="EC27" s="5137"/>
      <c r="ED27" s="5137"/>
      <c r="EE27" s="5137"/>
      <c r="EF27" s="5137">
        <v>10</v>
      </c>
      <c r="EG27" s="5137"/>
      <c r="EH27" s="5137">
        <v>70</v>
      </c>
      <c r="EI27" s="5137"/>
      <c r="EJ27" s="5137"/>
      <c r="EK27" s="5137"/>
      <c r="EL27" s="5137">
        <v>224</v>
      </c>
      <c r="EM27" s="5137"/>
      <c r="EN27" s="5137"/>
      <c r="EO27" s="5139"/>
      <c r="EP27" s="5137">
        <v>11</v>
      </c>
      <c r="EQ27" s="5137">
        <v>91</v>
      </c>
      <c r="ER27" s="5137">
        <v>23</v>
      </c>
      <c r="ES27" s="5137"/>
      <c r="ET27" s="5137"/>
      <c r="EU27" s="5137"/>
      <c r="EV27" s="5137"/>
      <c r="EW27" s="5140"/>
      <c r="EX27" s="5108">
        <v>658</v>
      </c>
      <c r="EY27" s="5137"/>
      <c r="EZ27" s="5137">
        <v>380</v>
      </c>
      <c r="FA27" s="5137"/>
      <c r="FB27" s="5137"/>
      <c r="FC27" s="5137"/>
      <c r="FD27" s="5137">
        <v>199</v>
      </c>
      <c r="FE27" s="5137"/>
      <c r="FF27" s="5137"/>
      <c r="FG27" s="5137"/>
      <c r="FH27" s="5137"/>
      <c r="FI27" s="5137"/>
      <c r="FJ27" s="5137"/>
      <c r="FK27" s="5137"/>
      <c r="FL27" s="5137"/>
      <c r="FM27" s="5137">
        <v>186</v>
      </c>
      <c r="FN27" s="5137"/>
      <c r="FO27" s="5137">
        <v>400</v>
      </c>
      <c r="FP27" s="5137"/>
      <c r="FQ27" s="5137"/>
      <c r="FR27" s="5137">
        <v>22</v>
      </c>
      <c r="FS27" s="5137"/>
      <c r="FT27" s="5137">
        <v>8</v>
      </c>
      <c r="FU27" s="5137"/>
      <c r="FV27" s="5137"/>
      <c r="FW27" s="5137"/>
      <c r="FX27" s="5137"/>
      <c r="FY27" s="5137">
        <v>34</v>
      </c>
      <c r="FZ27" s="5137">
        <v>100</v>
      </c>
      <c r="GA27" s="5137"/>
      <c r="GB27" s="5137">
        <v>113</v>
      </c>
      <c r="GC27" s="5137">
        <v>113</v>
      </c>
      <c r="GD27" s="5137"/>
      <c r="GE27" s="5137"/>
      <c r="GF27" s="5137">
        <v>112</v>
      </c>
      <c r="GG27" s="5141"/>
      <c r="GH27" s="5137"/>
      <c r="GI27" s="5137"/>
      <c r="GJ27" s="5110">
        <f t="shared" si="7"/>
        <v>2754</v>
      </c>
      <c r="GK27" s="5111">
        <f t="shared" si="8"/>
        <v>7759</v>
      </c>
      <c r="GL27" s="5112">
        <v>97.33</v>
      </c>
      <c r="GM27" s="4552">
        <v>0.91666666666666663</v>
      </c>
      <c r="GN27" s="1218"/>
      <c r="GO27" s="1218"/>
      <c r="GP27" s="1218"/>
      <c r="GQ27" s="1218"/>
      <c r="GR27" s="1218"/>
      <c r="GS27" s="1218"/>
      <c r="GT27" s="1218"/>
      <c r="GU27" s="1218"/>
      <c r="GV27" s="1218"/>
      <c r="GW27" s="1218"/>
      <c r="GX27" s="1218"/>
      <c r="GY27" s="1218"/>
      <c r="GZ27" s="1218"/>
      <c r="HA27" s="1218"/>
      <c r="HB27" s="1218"/>
      <c r="HC27" s="1218"/>
      <c r="HD27" s="1218"/>
      <c r="HE27" s="1218"/>
      <c r="HF27" s="1218"/>
      <c r="HG27" s="1218"/>
      <c r="HH27" s="1218"/>
      <c r="HI27" s="1218"/>
      <c r="HJ27" s="1218"/>
      <c r="HK27" s="1218"/>
      <c r="HL27" s="1218"/>
      <c r="HM27" s="1218"/>
      <c r="HN27" s="1218"/>
      <c r="HO27" s="1218"/>
      <c r="HP27" s="1218"/>
      <c r="HQ27" s="1218"/>
      <c r="HR27" s="1218"/>
      <c r="HS27" s="1218"/>
      <c r="HT27" s="1218"/>
      <c r="HU27" s="1218"/>
      <c r="HV27" s="1218"/>
      <c r="HW27" s="1218"/>
      <c r="HX27" s="1218"/>
      <c r="HY27" s="1218"/>
      <c r="HZ27" s="1218"/>
      <c r="IA27" s="1218"/>
      <c r="IB27" s="1218"/>
      <c r="IC27" s="1218"/>
      <c r="ID27" s="1218"/>
      <c r="IE27" s="1218"/>
      <c r="IF27" s="1218"/>
      <c r="IG27" s="1218"/>
      <c r="IH27" s="1218"/>
      <c r="II27" s="1218"/>
      <c r="IJ27" s="1218"/>
      <c r="IK27" s="1218"/>
      <c r="IL27" s="1218"/>
      <c r="IM27" s="1218"/>
      <c r="IN27" s="1218"/>
      <c r="IO27" s="1218"/>
      <c r="IP27" s="1217"/>
      <c r="IQ27" s="1217"/>
      <c r="IR27" s="1218"/>
      <c r="IS27" s="1218"/>
      <c r="IT27" s="1218"/>
      <c r="IU27" s="1218"/>
      <c r="IV27" s="1218"/>
      <c r="IW27" s="1218"/>
      <c r="IX27" s="1218"/>
      <c r="IY27" s="1218"/>
      <c r="IZ27" s="1218"/>
      <c r="JA27" s="1218"/>
      <c r="JB27" s="1218"/>
      <c r="JC27" s="1218"/>
      <c r="JD27" s="1218"/>
      <c r="JE27" s="1218"/>
      <c r="JF27" s="1218"/>
      <c r="JG27" s="1218"/>
      <c r="JH27" s="1218"/>
      <c r="JI27" s="1217"/>
    </row>
    <row r="28" spans="1:379" s="441" customFormat="1" ht="27" customHeight="1">
      <c r="A28" s="4550">
        <v>0.95833333333333337</v>
      </c>
      <c r="B28" s="5131">
        <v>37</v>
      </c>
      <c r="C28" s="5132">
        <v>40</v>
      </c>
      <c r="D28" s="5132"/>
      <c r="E28" s="5132"/>
      <c r="F28" s="5133"/>
      <c r="G28" s="5133"/>
      <c r="H28" s="5133"/>
      <c r="I28" s="5133"/>
      <c r="J28" s="5132"/>
      <c r="K28" s="5132"/>
      <c r="L28" s="5132"/>
      <c r="M28" s="5132"/>
      <c r="N28" s="5132"/>
      <c r="O28" s="5132">
        <v>34</v>
      </c>
      <c r="P28" s="5132"/>
      <c r="Q28" s="5132"/>
      <c r="R28" s="5132"/>
      <c r="S28" s="5132"/>
      <c r="T28" s="5132"/>
      <c r="U28" s="5132">
        <v>145</v>
      </c>
      <c r="V28" s="5132">
        <v>8</v>
      </c>
      <c r="W28" s="5132"/>
      <c r="X28" s="5132"/>
      <c r="Y28" s="5132">
        <v>240</v>
      </c>
      <c r="Z28" s="5132"/>
      <c r="AA28" s="5132"/>
      <c r="AB28" s="5132"/>
      <c r="AC28" s="5132"/>
      <c r="AD28" s="5133"/>
      <c r="AE28" s="5132"/>
      <c r="AF28" s="5132">
        <v>80</v>
      </c>
      <c r="AG28" s="5132">
        <v>3</v>
      </c>
      <c r="AH28" s="5132">
        <v>142</v>
      </c>
      <c r="AI28" s="5132">
        <v>310</v>
      </c>
      <c r="AJ28" s="5132">
        <v>150</v>
      </c>
      <c r="AK28" s="5132">
        <v>5</v>
      </c>
      <c r="AL28" s="5132">
        <v>133</v>
      </c>
      <c r="AM28" s="5132"/>
      <c r="AN28" s="5132"/>
      <c r="AO28" s="5132"/>
      <c r="AP28" s="5132">
        <v>180</v>
      </c>
      <c r="AQ28" s="5132">
        <v>230</v>
      </c>
      <c r="AR28" s="5132">
        <v>52</v>
      </c>
      <c r="AS28" s="5132"/>
      <c r="AT28" s="5132">
        <v>42</v>
      </c>
      <c r="AU28" s="5132"/>
      <c r="AV28" s="5132"/>
      <c r="AW28" s="5132">
        <v>71</v>
      </c>
      <c r="AX28" s="5132">
        <v>79</v>
      </c>
      <c r="AY28" s="5132"/>
      <c r="AZ28" s="5132"/>
      <c r="BA28" s="5132">
        <v>190</v>
      </c>
      <c r="BB28" s="5132">
        <v>18</v>
      </c>
      <c r="BC28" s="5132"/>
      <c r="BD28" s="5132">
        <v>10</v>
      </c>
      <c r="BE28" s="5132">
        <v>11</v>
      </c>
      <c r="BF28" s="5132">
        <v>50</v>
      </c>
      <c r="BG28" s="5132">
        <v>22</v>
      </c>
      <c r="BH28" s="5132">
        <v>295</v>
      </c>
      <c r="BI28" s="5132">
        <v>400</v>
      </c>
      <c r="BJ28" s="5132">
        <v>35</v>
      </c>
      <c r="BK28" s="5132">
        <v>22</v>
      </c>
      <c r="BL28" s="5132">
        <v>21</v>
      </c>
      <c r="BM28" s="5132">
        <v>16</v>
      </c>
      <c r="BN28" s="5132">
        <v>22</v>
      </c>
      <c r="BO28" s="5101">
        <v>76</v>
      </c>
      <c r="BP28" s="5132">
        <v>16</v>
      </c>
      <c r="BQ28" s="5132">
        <v>21</v>
      </c>
      <c r="BR28" s="5132">
        <v>11</v>
      </c>
      <c r="BS28" s="5132">
        <v>33</v>
      </c>
      <c r="BT28" s="5132">
        <v>9</v>
      </c>
      <c r="BU28" s="5132">
        <v>25</v>
      </c>
      <c r="BV28" s="5132">
        <v>9</v>
      </c>
      <c r="BW28" s="5132">
        <v>16</v>
      </c>
      <c r="BX28" s="5132">
        <v>33</v>
      </c>
      <c r="BY28" s="5132"/>
      <c r="BZ28" s="5132"/>
      <c r="CA28" s="5132">
        <v>75</v>
      </c>
      <c r="CB28" s="5132">
        <v>54</v>
      </c>
      <c r="CC28" s="5133"/>
      <c r="CD28" s="5132"/>
      <c r="CE28" s="5133"/>
      <c r="CF28" s="5133"/>
      <c r="CG28" s="5133">
        <v>8</v>
      </c>
      <c r="CH28" s="5133">
        <v>70</v>
      </c>
      <c r="CI28" s="5133"/>
      <c r="CJ28" s="5133">
        <v>54</v>
      </c>
      <c r="CK28" s="5133">
        <v>110</v>
      </c>
      <c r="CL28" s="5133"/>
      <c r="CM28" s="5133"/>
      <c r="CN28" s="5133"/>
      <c r="CO28" s="5133"/>
      <c r="CP28" s="5133"/>
      <c r="CQ28" s="5133"/>
      <c r="CR28" s="5133">
        <v>72</v>
      </c>
      <c r="CS28" s="5133"/>
      <c r="CT28" s="5133"/>
      <c r="CU28" s="5133"/>
      <c r="CV28" s="5133"/>
      <c r="CW28" s="5133">
        <v>51</v>
      </c>
      <c r="CX28" s="5133"/>
      <c r="CY28" s="5133"/>
      <c r="CZ28" s="5133">
        <v>12</v>
      </c>
      <c r="DA28" s="5133"/>
      <c r="DB28" s="5133"/>
      <c r="DC28" s="5133"/>
      <c r="DD28" s="5133">
        <v>55</v>
      </c>
      <c r="DE28" s="5133">
        <v>130</v>
      </c>
      <c r="DF28" s="5133"/>
      <c r="DG28" s="5133">
        <v>35</v>
      </c>
      <c r="DH28" s="5133"/>
      <c r="DI28" s="5133"/>
      <c r="DJ28" s="5133">
        <v>200</v>
      </c>
      <c r="DK28" s="5133"/>
      <c r="DL28" s="5133"/>
      <c r="DM28" s="5133">
        <v>90</v>
      </c>
      <c r="DN28" s="5133"/>
      <c r="DO28" s="5133">
        <v>138</v>
      </c>
      <c r="DP28" s="5133"/>
      <c r="DQ28" s="5133">
        <v>55</v>
      </c>
      <c r="DR28" s="5133"/>
      <c r="DS28" s="5133">
        <v>50</v>
      </c>
      <c r="DT28" s="5133">
        <v>116</v>
      </c>
      <c r="DU28" s="5133">
        <v>17</v>
      </c>
      <c r="DV28" s="5133"/>
      <c r="DW28" s="5133"/>
      <c r="DX28" s="5133">
        <v>55</v>
      </c>
      <c r="DY28" s="5103">
        <f t="shared" si="6"/>
        <v>4789</v>
      </c>
      <c r="DZ28" s="5136"/>
      <c r="EA28" s="5137"/>
      <c r="EB28" s="5138"/>
      <c r="EC28" s="5137"/>
      <c r="ED28" s="5137"/>
      <c r="EE28" s="5137"/>
      <c r="EF28" s="5137">
        <v>8</v>
      </c>
      <c r="EG28" s="5137"/>
      <c r="EH28" s="5137">
        <v>35</v>
      </c>
      <c r="EI28" s="5137"/>
      <c r="EJ28" s="5137"/>
      <c r="EK28" s="5137"/>
      <c r="EL28" s="5137">
        <v>223</v>
      </c>
      <c r="EM28" s="5137"/>
      <c r="EN28" s="5137"/>
      <c r="EO28" s="5139"/>
      <c r="EP28" s="5137">
        <v>11</v>
      </c>
      <c r="EQ28" s="5137">
        <v>91</v>
      </c>
      <c r="ER28" s="5137">
        <v>22</v>
      </c>
      <c r="ES28" s="5137"/>
      <c r="ET28" s="5137"/>
      <c r="EU28" s="5137"/>
      <c r="EV28" s="5137"/>
      <c r="EW28" s="5140"/>
      <c r="EX28" s="5108">
        <v>610</v>
      </c>
      <c r="EY28" s="5137"/>
      <c r="EZ28" s="5137">
        <v>370</v>
      </c>
      <c r="FA28" s="5137"/>
      <c r="FB28" s="5137"/>
      <c r="FC28" s="5137"/>
      <c r="FD28" s="5137">
        <v>199</v>
      </c>
      <c r="FE28" s="5137"/>
      <c r="FF28" s="5137"/>
      <c r="FG28" s="5137"/>
      <c r="FH28" s="5137"/>
      <c r="FI28" s="5137"/>
      <c r="FJ28" s="5137"/>
      <c r="FK28" s="5137"/>
      <c r="FL28" s="5137"/>
      <c r="FM28" s="5137">
        <v>170</v>
      </c>
      <c r="FN28" s="5137"/>
      <c r="FO28" s="5137">
        <v>354</v>
      </c>
      <c r="FP28" s="5137"/>
      <c r="FQ28" s="5137"/>
      <c r="FR28" s="5137">
        <v>22</v>
      </c>
      <c r="FS28" s="5137"/>
      <c r="FT28" s="5137">
        <v>8</v>
      </c>
      <c r="FU28" s="5137"/>
      <c r="FV28" s="5137"/>
      <c r="FW28" s="5137"/>
      <c r="FX28" s="5137"/>
      <c r="FY28" s="5137">
        <v>25</v>
      </c>
      <c r="FZ28" s="5137"/>
      <c r="GA28" s="5137"/>
      <c r="GB28" s="5137">
        <v>70</v>
      </c>
      <c r="GC28" s="5137">
        <v>113</v>
      </c>
      <c r="GD28" s="5137"/>
      <c r="GE28" s="5137"/>
      <c r="GF28" s="5137">
        <v>112</v>
      </c>
      <c r="GG28" s="5141"/>
      <c r="GH28" s="5137"/>
      <c r="GI28" s="5137"/>
      <c r="GJ28" s="5110">
        <f t="shared" si="7"/>
        <v>2443</v>
      </c>
      <c r="GK28" s="5111">
        <f t="shared" si="8"/>
        <v>7232</v>
      </c>
      <c r="GL28" s="5112">
        <v>97.32</v>
      </c>
      <c r="GM28" s="3021">
        <v>0.95833333333333337</v>
      </c>
      <c r="GN28" s="3824"/>
      <c r="GO28" s="3824"/>
      <c r="GP28" s="3824"/>
      <c r="GQ28" s="3824"/>
      <c r="GR28" s="3824"/>
      <c r="GS28" s="3824"/>
      <c r="GT28" s="3824"/>
      <c r="GU28" s="3824"/>
      <c r="GV28" s="3824"/>
      <c r="GW28" s="3824"/>
      <c r="GX28" s="3824"/>
      <c r="GY28" s="3824"/>
      <c r="GZ28" s="3824"/>
      <c r="HA28" s="3824"/>
      <c r="HB28" s="3824"/>
      <c r="HC28" s="3824"/>
      <c r="HD28" s="3824"/>
      <c r="HE28" s="3824"/>
      <c r="HF28" s="3824"/>
      <c r="HG28" s="3824"/>
      <c r="HH28" s="3824"/>
      <c r="HI28" s="3824"/>
      <c r="HJ28" s="3824"/>
      <c r="HK28" s="3824"/>
      <c r="HL28" s="3824"/>
      <c r="HM28" s="3824"/>
      <c r="HN28" s="3824"/>
      <c r="HO28" s="3824"/>
      <c r="HP28" s="3824"/>
      <c r="HQ28" s="3824"/>
      <c r="HR28" s="3824"/>
      <c r="HS28" s="3824"/>
      <c r="HT28" s="3824"/>
      <c r="HU28" s="3824"/>
      <c r="HV28" s="3824"/>
      <c r="HW28" s="3824"/>
      <c r="HX28" s="3824"/>
      <c r="HY28" s="3824"/>
      <c r="HZ28" s="3824"/>
      <c r="IA28" s="3824"/>
      <c r="IB28" s="3824"/>
      <c r="IC28" s="3824"/>
      <c r="ID28" s="3824"/>
      <c r="IE28" s="3824"/>
      <c r="IF28" s="3824"/>
      <c r="IG28" s="3824"/>
      <c r="IH28" s="3824"/>
      <c r="II28" s="3824"/>
      <c r="IJ28" s="3824"/>
      <c r="IK28" s="3824"/>
      <c r="IL28" s="3824"/>
      <c r="IM28" s="3824"/>
      <c r="IN28" s="3824"/>
      <c r="IO28" s="3824"/>
      <c r="IP28" s="3825"/>
      <c r="IQ28" s="3825"/>
      <c r="IR28" s="3824"/>
      <c r="IS28" s="3824"/>
      <c r="IT28" s="3824"/>
      <c r="IU28" s="3824"/>
      <c r="IV28" s="3824"/>
      <c r="IW28" s="3824"/>
      <c r="IX28" s="3824"/>
      <c r="IY28" s="3824"/>
      <c r="IZ28" s="3824"/>
      <c r="JA28" s="3824"/>
      <c r="JB28" s="3824"/>
      <c r="JC28" s="3824"/>
      <c r="JD28" s="3824"/>
      <c r="JE28" s="3824"/>
      <c r="JF28" s="3824"/>
      <c r="JG28" s="3824"/>
      <c r="JH28" s="3824"/>
      <c r="JI28" s="3825"/>
      <c r="JJ28" s="3824"/>
      <c r="JK28" s="3824"/>
      <c r="JL28" s="3824"/>
      <c r="JM28" s="3824"/>
      <c r="JN28" s="3824"/>
      <c r="JO28" s="3824"/>
      <c r="JP28" s="3824"/>
      <c r="JQ28" s="3824"/>
      <c r="JR28" s="3824"/>
      <c r="JS28" s="3824"/>
      <c r="JT28" s="3824"/>
      <c r="JU28" s="3824"/>
      <c r="JV28" s="3824"/>
      <c r="JW28" s="3824"/>
      <c r="JX28" s="3824"/>
      <c r="JY28" s="3824"/>
      <c r="JZ28" s="3824"/>
      <c r="KA28" s="3824"/>
      <c r="KB28" s="3824"/>
      <c r="KC28" s="3824"/>
      <c r="KD28" s="3824"/>
      <c r="KE28" s="3824"/>
      <c r="KF28" s="3824"/>
      <c r="KG28" s="3824"/>
      <c r="KH28" s="3824"/>
      <c r="KI28" s="3824"/>
      <c r="KJ28" s="3824"/>
      <c r="KK28" s="3824"/>
      <c r="KL28" s="3824"/>
      <c r="KM28" s="3824"/>
      <c r="KN28" s="3824"/>
      <c r="KO28" s="3824"/>
      <c r="KP28" s="3824"/>
      <c r="KQ28" s="3824"/>
      <c r="KR28" s="3824"/>
      <c r="KS28" s="3824"/>
      <c r="KT28" s="3825"/>
      <c r="KU28" s="3824"/>
      <c r="KV28" s="3824"/>
      <c r="KW28" s="3824"/>
      <c r="KX28" s="3824"/>
      <c r="KY28" s="3824"/>
      <c r="KZ28" s="3824"/>
      <c r="LA28" s="3824"/>
      <c r="LB28" s="3824"/>
      <c r="LC28" s="3824"/>
      <c r="LD28" s="3824"/>
      <c r="LE28" s="3824"/>
      <c r="LF28" s="3824"/>
      <c r="LG28" s="3824"/>
      <c r="LH28" s="3824"/>
      <c r="LI28" s="3824"/>
      <c r="LJ28" s="3824"/>
      <c r="LK28" s="3824"/>
      <c r="LL28" s="3824"/>
      <c r="LM28" s="3824"/>
      <c r="LN28" s="3824"/>
      <c r="LO28" s="3824"/>
      <c r="LP28" s="3824"/>
      <c r="LQ28" s="3824"/>
      <c r="LR28" s="3824"/>
      <c r="LS28" s="3824"/>
      <c r="LT28" s="3824"/>
      <c r="LU28" s="3824"/>
      <c r="LV28" s="3824"/>
      <c r="LW28" s="3824"/>
      <c r="LX28" s="3824"/>
      <c r="LY28" s="3824"/>
      <c r="LZ28" s="3824"/>
      <c r="MA28" s="3824"/>
      <c r="MB28" s="3824"/>
      <c r="MC28" s="3824"/>
      <c r="MD28" s="3824"/>
      <c r="ME28" s="3824"/>
      <c r="MF28" s="3824"/>
      <c r="MG28" s="3824"/>
      <c r="MH28" s="3824"/>
      <c r="MI28" s="3824"/>
      <c r="MJ28" s="3824"/>
      <c r="MK28" s="3824"/>
      <c r="ML28" s="3824"/>
      <c r="MM28" s="3824"/>
      <c r="MN28" s="3824"/>
      <c r="MO28" s="3824"/>
      <c r="MP28" s="3824"/>
      <c r="MQ28" s="3824"/>
      <c r="MR28" s="3824"/>
      <c r="MS28" s="3824"/>
      <c r="MT28" s="3824"/>
      <c r="MU28" s="3824"/>
      <c r="MV28" s="3824"/>
      <c r="MW28" s="3824"/>
      <c r="MX28" s="3824"/>
      <c r="MY28" s="3824"/>
      <c r="MZ28" s="3824"/>
      <c r="NA28" s="3824"/>
      <c r="NB28" s="3824"/>
      <c r="NC28" s="3824"/>
      <c r="ND28" s="3824"/>
      <c r="NE28" s="3826"/>
      <c r="NF28" s="3825"/>
      <c r="NG28" s="3824"/>
    </row>
    <row r="29" spans="1:379" s="441" customFormat="1" ht="27" customHeight="1" thickBot="1">
      <c r="A29" s="4550">
        <v>0</v>
      </c>
      <c r="B29" s="5142">
        <v>35</v>
      </c>
      <c r="C29" s="5143">
        <v>40</v>
      </c>
      <c r="D29" s="5143"/>
      <c r="E29" s="5143"/>
      <c r="F29" s="5144"/>
      <c r="G29" s="5145"/>
      <c r="H29" s="5144"/>
      <c r="I29" s="5144"/>
      <c r="J29" s="5143"/>
      <c r="K29" s="5143"/>
      <c r="L29" s="5143"/>
      <c r="M29" s="5143"/>
      <c r="N29" s="5143"/>
      <c r="O29" s="5143"/>
      <c r="P29" s="5143"/>
      <c r="Q29" s="5143"/>
      <c r="R29" s="5143"/>
      <c r="S29" s="5143"/>
      <c r="T29" s="5143"/>
      <c r="U29" s="5143">
        <v>95</v>
      </c>
      <c r="V29" s="5143">
        <v>8</v>
      </c>
      <c r="W29" s="5143"/>
      <c r="X29" s="5143"/>
      <c r="Y29" s="5143">
        <v>240</v>
      </c>
      <c r="Z29" s="5143"/>
      <c r="AA29" s="5143"/>
      <c r="AB29" s="5143"/>
      <c r="AC29" s="5143"/>
      <c r="AD29" s="5144"/>
      <c r="AE29" s="5143"/>
      <c r="AF29" s="5143">
        <v>80</v>
      </c>
      <c r="AG29" s="5143">
        <v>3</v>
      </c>
      <c r="AH29" s="5143">
        <v>142</v>
      </c>
      <c r="AI29" s="5143">
        <v>310</v>
      </c>
      <c r="AJ29" s="5143">
        <v>150</v>
      </c>
      <c r="AK29" s="5143">
        <v>5</v>
      </c>
      <c r="AL29" s="5143">
        <v>135</v>
      </c>
      <c r="AM29" s="5143"/>
      <c r="AN29" s="5143"/>
      <c r="AO29" s="5143"/>
      <c r="AP29" s="5143">
        <v>180</v>
      </c>
      <c r="AQ29" s="5143">
        <v>230</v>
      </c>
      <c r="AR29" s="5143">
        <v>52</v>
      </c>
      <c r="AS29" s="5143"/>
      <c r="AT29" s="5143">
        <v>42</v>
      </c>
      <c r="AU29" s="5143"/>
      <c r="AV29" s="5143"/>
      <c r="AW29" s="5143">
        <v>71</v>
      </c>
      <c r="AX29" s="5143">
        <v>79</v>
      </c>
      <c r="AY29" s="5143"/>
      <c r="AZ29" s="5143"/>
      <c r="BA29" s="5143">
        <v>190</v>
      </c>
      <c r="BB29" s="5143">
        <v>18</v>
      </c>
      <c r="BC29" s="5143"/>
      <c r="BD29" s="5143">
        <v>10</v>
      </c>
      <c r="BE29" s="5143">
        <v>11</v>
      </c>
      <c r="BF29" s="5143">
        <v>50</v>
      </c>
      <c r="BG29" s="5143">
        <v>22</v>
      </c>
      <c r="BH29" s="5143">
        <v>290</v>
      </c>
      <c r="BI29" s="5143">
        <v>400</v>
      </c>
      <c r="BJ29" s="5143">
        <v>35</v>
      </c>
      <c r="BK29" s="5143">
        <v>22</v>
      </c>
      <c r="BL29" s="5143">
        <v>21</v>
      </c>
      <c r="BM29" s="5143">
        <v>16</v>
      </c>
      <c r="BN29" s="5143">
        <v>22</v>
      </c>
      <c r="BO29" s="5146">
        <v>71</v>
      </c>
      <c r="BP29" s="5143">
        <v>30</v>
      </c>
      <c r="BQ29" s="5143">
        <v>21</v>
      </c>
      <c r="BR29" s="5143">
        <v>11</v>
      </c>
      <c r="BS29" s="5143">
        <v>33</v>
      </c>
      <c r="BT29" s="5143">
        <v>9</v>
      </c>
      <c r="BU29" s="5143">
        <v>25</v>
      </c>
      <c r="BV29" s="5143">
        <v>9</v>
      </c>
      <c r="BW29" s="5143">
        <v>16</v>
      </c>
      <c r="BX29" s="5143">
        <v>33</v>
      </c>
      <c r="BY29" s="5143"/>
      <c r="BZ29" s="5143"/>
      <c r="CA29" s="5143">
        <v>75</v>
      </c>
      <c r="CB29" s="5143">
        <v>17</v>
      </c>
      <c r="CC29" s="5144"/>
      <c r="CD29" s="5143"/>
      <c r="CE29" s="5144"/>
      <c r="CF29" s="5144"/>
      <c r="CG29" s="5144">
        <v>8</v>
      </c>
      <c r="CH29" s="5144">
        <v>35</v>
      </c>
      <c r="CI29" s="5145"/>
      <c r="CJ29" s="5144">
        <v>54</v>
      </c>
      <c r="CK29" s="5144">
        <v>110</v>
      </c>
      <c r="CL29" s="5144"/>
      <c r="CM29" s="5144"/>
      <c r="CN29" s="5144"/>
      <c r="CO29" s="5144"/>
      <c r="CP29" s="5144"/>
      <c r="CQ29" s="5144"/>
      <c r="CR29" s="5144">
        <v>34</v>
      </c>
      <c r="CS29" s="5144"/>
      <c r="CT29" s="5144"/>
      <c r="CU29" s="5144"/>
      <c r="CV29" s="5144"/>
      <c r="CW29" s="5144">
        <v>51</v>
      </c>
      <c r="CX29" s="5144"/>
      <c r="CY29" s="5144"/>
      <c r="CZ29" s="5147">
        <v>12</v>
      </c>
      <c r="DA29" s="5144"/>
      <c r="DB29" s="5144"/>
      <c r="DC29" s="5144"/>
      <c r="DD29" s="5144">
        <v>55</v>
      </c>
      <c r="DE29" s="5144">
        <v>130</v>
      </c>
      <c r="DF29" s="5148"/>
      <c r="DG29" s="5148">
        <v>35</v>
      </c>
      <c r="DH29" s="5148"/>
      <c r="DI29" s="5148"/>
      <c r="DJ29" s="5148">
        <v>200</v>
      </c>
      <c r="DK29" s="5148"/>
      <c r="DL29" s="5148"/>
      <c r="DM29" s="5148">
        <v>90</v>
      </c>
      <c r="DN29" s="5148"/>
      <c r="DO29" s="5148">
        <v>146</v>
      </c>
      <c r="DP29" s="5144"/>
      <c r="DQ29" s="5144">
        <v>25</v>
      </c>
      <c r="DR29" s="5144"/>
      <c r="DS29" s="5144">
        <v>50</v>
      </c>
      <c r="DT29" s="5144">
        <v>116</v>
      </c>
      <c r="DU29" s="5144">
        <v>17</v>
      </c>
      <c r="DV29" s="5144"/>
      <c r="DW29" s="5144"/>
      <c r="DX29" s="5144">
        <v>55</v>
      </c>
      <c r="DY29" s="5103">
        <f t="shared" si="6"/>
        <v>4577</v>
      </c>
      <c r="DZ29" s="5149"/>
      <c r="EA29" s="5140"/>
      <c r="EB29" s="5150"/>
      <c r="EC29" s="5140"/>
      <c r="ED29" s="5140"/>
      <c r="EE29" s="5140"/>
      <c r="EF29" s="5140">
        <v>8</v>
      </c>
      <c r="EG29" s="5140"/>
      <c r="EH29" s="5140"/>
      <c r="EI29" s="5140"/>
      <c r="EJ29" s="5140"/>
      <c r="EK29" s="5140"/>
      <c r="EL29" s="5140">
        <v>224</v>
      </c>
      <c r="EM29" s="5140"/>
      <c r="EN29" s="5140"/>
      <c r="EO29" s="5140"/>
      <c r="EP29" s="5140">
        <v>11</v>
      </c>
      <c r="EQ29" s="5140">
        <v>91</v>
      </c>
      <c r="ER29" s="5140">
        <v>21</v>
      </c>
      <c r="ES29" s="5140"/>
      <c r="ET29" s="5140"/>
      <c r="EU29" s="5140"/>
      <c r="EV29" s="5140"/>
      <c r="EW29" s="5140"/>
      <c r="EX29" s="5151">
        <v>469</v>
      </c>
      <c r="EY29" s="5140"/>
      <c r="EZ29" s="5140">
        <v>320</v>
      </c>
      <c r="FA29" s="5140"/>
      <c r="FB29" s="5140"/>
      <c r="FC29" s="5140"/>
      <c r="FD29" s="5140">
        <v>199</v>
      </c>
      <c r="FE29" s="5140"/>
      <c r="FF29" s="5140"/>
      <c r="FG29" s="5140"/>
      <c r="FH29" s="5140"/>
      <c r="FI29" s="5140"/>
      <c r="FJ29" s="5140"/>
      <c r="FK29" s="5140"/>
      <c r="FL29" s="5137"/>
      <c r="FM29" s="5140">
        <v>166</v>
      </c>
      <c r="FN29" s="5140"/>
      <c r="FO29" s="5140">
        <v>354</v>
      </c>
      <c r="FP29" s="5140"/>
      <c r="FQ29" s="5140"/>
      <c r="FR29" s="5140">
        <v>22</v>
      </c>
      <c r="FS29" s="5140"/>
      <c r="FT29" s="5140">
        <v>8</v>
      </c>
      <c r="FU29" s="5140"/>
      <c r="FV29" s="5140"/>
      <c r="FW29" s="5140"/>
      <c r="FX29" s="5140"/>
      <c r="FY29" s="5140">
        <v>25</v>
      </c>
      <c r="FZ29" s="5140"/>
      <c r="GA29" s="5140"/>
      <c r="GB29" s="5140"/>
      <c r="GC29" s="5140">
        <v>70</v>
      </c>
      <c r="GD29" s="5140"/>
      <c r="GE29" s="5140"/>
      <c r="GF29" s="5140">
        <v>112</v>
      </c>
      <c r="GG29" s="5152"/>
      <c r="GH29" s="5153"/>
      <c r="GI29" s="5153"/>
      <c r="GJ29" s="5110">
        <f t="shared" si="7"/>
        <v>2100</v>
      </c>
      <c r="GK29" s="5111">
        <f t="shared" si="8"/>
        <v>6677</v>
      </c>
      <c r="GL29" s="5112">
        <v>97.31</v>
      </c>
      <c r="GM29" s="4555">
        <v>1</v>
      </c>
      <c r="GN29" s="1218"/>
      <c r="GO29" s="1218"/>
      <c r="GP29" s="1218"/>
      <c r="GQ29" s="1218"/>
      <c r="GR29" s="1218"/>
      <c r="GS29" s="1218"/>
      <c r="GT29" s="1218"/>
      <c r="GU29" s="1218"/>
      <c r="GV29" s="1218"/>
      <c r="GW29" s="1218"/>
      <c r="GX29" s="1218"/>
      <c r="GY29" s="1218"/>
      <c r="GZ29" s="1218"/>
      <c r="HA29" s="1218"/>
      <c r="HB29" s="1218"/>
      <c r="HC29" s="1218"/>
      <c r="HD29" s="1218"/>
      <c r="HE29" s="1218"/>
      <c r="HF29" s="1218"/>
      <c r="HG29" s="1218"/>
      <c r="HH29" s="1218"/>
      <c r="HI29" s="1218"/>
      <c r="HJ29" s="1218"/>
      <c r="HK29" s="1218"/>
      <c r="HL29" s="1218"/>
      <c r="HM29" s="1218"/>
      <c r="HN29" s="1218"/>
      <c r="HO29" s="1218"/>
      <c r="HP29" s="1218"/>
      <c r="HQ29" s="1218"/>
      <c r="HR29" s="1218"/>
      <c r="HS29" s="1218"/>
      <c r="HT29" s="1218"/>
      <c r="HU29" s="1218"/>
      <c r="HV29" s="1218"/>
      <c r="HW29" s="1218"/>
      <c r="HX29" s="1218"/>
      <c r="HY29" s="1218"/>
      <c r="HZ29" s="1218"/>
      <c r="IA29" s="1218"/>
      <c r="IB29" s="1218"/>
      <c r="IC29" s="1218"/>
      <c r="ID29" s="1218"/>
      <c r="IE29" s="1218"/>
      <c r="IF29" s="1218"/>
      <c r="IG29" s="1218"/>
      <c r="IH29" s="1218"/>
      <c r="II29" s="1218"/>
      <c r="IJ29" s="1218"/>
      <c r="IK29" s="1218"/>
      <c r="IL29" s="1218"/>
      <c r="IM29" s="1218"/>
      <c r="IN29" s="1218"/>
      <c r="IO29" s="1218"/>
      <c r="IP29" s="1218"/>
      <c r="IQ29" s="1218"/>
      <c r="IR29" s="1218"/>
      <c r="IS29" s="1218"/>
      <c r="IT29" s="1218"/>
      <c r="IU29" s="1218"/>
      <c r="IV29" s="1218"/>
      <c r="IW29" s="1218"/>
      <c r="IX29" s="1218"/>
      <c r="IY29" s="1218"/>
      <c r="IZ29" s="1218"/>
      <c r="JA29" s="1218"/>
      <c r="JB29" s="1218"/>
      <c r="JC29" s="1218"/>
      <c r="JD29" s="1218"/>
      <c r="JE29" s="1218"/>
      <c r="JF29" s="1218"/>
      <c r="JG29" s="1218"/>
      <c r="JH29" s="1218"/>
      <c r="JI29" s="1218"/>
    </row>
    <row r="30" spans="1:379" s="1176" customFormat="1" ht="27" customHeight="1" thickBot="1">
      <c r="A30" s="4551" t="s">
        <v>1152</v>
      </c>
      <c r="B30" s="5154">
        <v>838800</v>
      </c>
      <c r="C30" s="5154">
        <v>976000</v>
      </c>
      <c r="D30" s="5154"/>
      <c r="E30" s="5154"/>
      <c r="F30" s="5154">
        <v>56071</v>
      </c>
      <c r="G30" s="5154">
        <v>133110</v>
      </c>
      <c r="H30" s="5154"/>
      <c r="I30" s="5154"/>
      <c r="J30" s="5154"/>
      <c r="K30" s="5154"/>
      <c r="L30" s="5154"/>
      <c r="M30" s="5154">
        <v>141029</v>
      </c>
      <c r="N30" s="5154"/>
      <c r="O30" s="5154">
        <v>960145</v>
      </c>
      <c r="P30" s="5154">
        <v>0</v>
      </c>
      <c r="Q30" s="5154">
        <v>88248</v>
      </c>
      <c r="R30" s="5154"/>
      <c r="S30" s="5154"/>
      <c r="T30" s="5154"/>
      <c r="U30" s="5154">
        <v>3858980</v>
      </c>
      <c r="V30" s="5154">
        <v>217454</v>
      </c>
      <c r="W30" s="5154"/>
      <c r="X30" s="5154"/>
      <c r="Y30" s="5154">
        <v>5146000</v>
      </c>
      <c r="Z30" s="5154"/>
      <c r="AA30" s="5154"/>
      <c r="AB30" s="5154"/>
      <c r="AC30" s="5154"/>
      <c r="AD30" s="5154"/>
      <c r="AE30" s="5154"/>
      <c r="AF30" s="5154">
        <v>1973546</v>
      </c>
      <c r="AG30" s="5154">
        <v>159696</v>
      </c>
      <c r="AH30" s="5154">
        <v>3462000</v>
      </c>
      <c r="AI30" s="5154">
        <v>5778000</v>
      </c>
      <c r="AJ30" s="5154">
        <v>4327900</v>
      </c>
      <c r="AK30" s="5154">
        <v>149280</v>
      </c>
      <c r="AL30" s="5154">
        <v>3072740</v>
      </c>
      <c r="AM30" s="5154"/>
      <c r="AN30" s="5154"/>
      <c r="AO30" s="5154"/>
      <c r="AP30" s="5154">
        <v>4190750</v>
      </c>
      <c r="AQ30" s="5154">
        <v>5166000</v>
      </c>
      <c r="AR30" s="5154">
        <v>1186560</v>
      </c>
      <c r="AS30" s="5154">
        <v>248960</v>
      </c>
      <c r="AT30" s="5154">
        <v>1013000</v>
      </c>
      <c r="AU30" s="5154"/>
      <c r="AV30" s="5154"/>
      <c r="AW30" s="5154">
        <v>1520352</v>
      </c>
      <c r="AX30" s="5154">
        <v>1867200</v>
      </c>
      <c r="AY30" s="5154"/>
      <c r="AZ30" s="5154"/>
      <c r="BA30" s="5154">
        <v>4518080</v>
      </c>
      <c r="BB30" s="5154">
        <v>420000</v>
      </c>
      <c r="BC30" s="5154"/>
      <c r="BD30" s="5154">
        <v>252540</v>
      </c>
      <c r="BE30" s="5154">
        <v>211200</v>
      </c>
      <c r="BF30" s="5154">
        <v>1169400</v>
      </c>
      <c r="BG30" s="5154">
        <v>523896</v>
      </c>
      <c r="BH30" s="5154">
        <v>7324500</v>
      </c>
      <c r="BI30" s="5154">
        <v>7415900</v>
      </c>
      <c r="BJ30" s="5154">
        <v>720579</v>
      </c>
      <c r="BK30" s="5154">
        <v>515040</v>
      </c>
      <c r="BL30" s="5154">
        <v>457440</v>
      </c>
      <c r="BM30" s="5154">
        <v>408816</v>
      </c>
      <c r="BN30" s="5154">
        <v>484596</v>
      </c>
      <c r="BO30" s="5154">
        <v>1943040</v>
      </c>
      <c r="BP30" s="5154">
        <v>364320</v>
      </c>
      <c r="BQ30" s="5154">
        <v>483408</v>
      </c>
      <c r="BR30" s="5154">
        <v>245340</v>
      </c>
      <c r="BS30" s="5154">
        <v>698400</v>
      </c>
      <c r="BT30" s="5154">
        <v>239680</v>
      </c>
      <c r="BU30" s="5154">
        <v>600000</v>
      </c>
      <c r="BV30" s="5154">
        <v>197100</v>
      </c>
      <c r="BW30" s="5154">
        <v>568000</v>
      </c>
      <c r="BX30" s="5154">
        <v>839200</v>
      </c>
      <c r="BY30" s="5154"/>
      <c r="BZ30" s="5154">
        <v>102600</v>
      </c>
      <c r="CA30" s="5154">
        <v>373800</v>
      </c>
      <c r="CB30" s="5154">
        <v>3034080</v>
      </c>
      <c r="CC30" s="5154"/>
      <c r="CD30" s="5154">
        <v>108480</v>
      </c>
      <c r="CE30" s="5154">
        <v>63840</v>
      </c>
      <c r="CF30" s="5154">
        <v>0</v>
      </c>
      <c r="CG30" s="5154">
        <v>180552</v>
      </c>
      <c r="CH30" s="5154">
        <v>2010000</v>
      </c>
      <c r="CI30" s="5154">
        <v>27600</v>
      </c>
      <c r="CJ30" s="5154">
        <v>1347607</v>
      </c>
      <c r="CK30" s="5154">
        <v>2154463</v>
      </c>
      <c r="CL30" s="5154"/>
      <c r="CM30" s="5154"/>
      <c r="CN30" s="5154"/>
      <c r="CO30" s="5154">
        <v>126484</v>
      </c>
      <c r="CP30" s="5154"/>
      <c r="CQ30" s="5154"/>
      <c r="CR30" s="5154">
        <v>1228800</v>
      </c>
      <c r="CS30" s="5154"/>
      <c r="CT30" s="5154"/>
      <c r="CU30" s="5154">
        <v>334560</v>
      </c>
      <c r="CV30" s="5154"/>
      <c r="CW30" s="5154">
        <v>1255256</v>
      </c>
      <c r="CX30" s="5154">
        <v>1256544</v>
      </c>
      <c r="CY30" s="5154">
        <v>342240</v>
      </c>
      <c r="CZ30" s="5154">
        <v>319680</v>
      </c>
      <c r="DA30" s="5154"/>
      <c r="DB30" s="5154"/>
      <c r="DC30" s="5154">
        <v>424788</v>
      </c>
      <c r="DD30" s="5154">
        <v>1151874</v>
      </c>
      <c r="DE30" s="5154">
        <v>3566045</v>
      </c>
      <c r="DF30" s="5154">
        <v>11900</v>
      </c>
      <c r="DG30" s="5154">
        <v>876600</v>
      </c>
      <c r="DH30" s="5154">
        <v>70596</v>
      </c>
      <c r="DI30" s="5154">
        <v>40738</v>
      </c>
      <c r="DJ30" s="5154">
        <v>4092000</v>
      </c>
      <c r="DK30" s="5154">
        <v>52983</v>
      </c>
      <c r="DL30" s="5154">
        <v>745488</v>
      </c>
      <c r="DM30" s="5154">
        <v>2079360</v>
      </c>
      <c r="DN30" s="5155">
        <v>493440</v>
      </c>
      <c r="DO30" s="5155">
        <v>3400654</v>
      </c>
      <c r="DP30" s="5154"/>
      <c r="DQ30" s="5154">
        <v>913200</v>
      </c>
      <c r="DR30" s="5154">
        <v>647345</v>
      </c>
      <c r="DS30" s="5154">
        <v>1582080</v>
      </c>
      <c r="DT30" s="5154">
        <v>2655873</v>
      </c>
      <c r="DU30" s="5154">
        <v>439920</v>
      </c>
      <c r="DV30" s="5154">
        <v>180071</v>
      </c>
      <c r="DW30" s="5156">
        <v>0</v>
      </c>
      <c r="DX30" s="5156">
        <v>385200</v>
      </c>
      <c r="DY30" s="5103">
        <f t="shared" si="6"/>
        <v>115209037</v>
      </c>
      <c r="DZ30" s="5157"/>
      <c r="EA30" s="5158"/>
      <c r="EB30" s="5158"/>
      <c r="EC30" s="5158"/>
      <c r="ED30" s="5158"/>
      <c r="EE30" s="5158"/>
      <c r="EF30" s="5158">
        <v>107520</v>
      </c>
      <c r="EG30" s="5158"/>
      <c r="EH30" s="5158">
        <v>791040</v>
      </c>
      <c r="EI30" s="5158">
        <v>445680</v>
      </c>
      <c r="EJ30" s="5158"/>
      <c r="EK30" s="5158">
        <v>42000</v>
      </c>
      <c r="EL30" s="5158">
        <v>5271224</v>
      </c>
      <c r="EM30" s="5158"/>
      <c r="EN30" s="5158">
        <v>68640</v>
      </c>
      <c r="EO30" s="5158"/>
      <c r="EP30" s="5158">
        <v>272637</v>
      </c>
      <c r="EQ30" s="5158">
        <v>2213104</v>
      </c>
      <c r="ER30" s="5158">
        <v>386400</v>
      </c>
      <c r="ES30" s="5158">
        <v>28800</v>
      </c>
      <c r="ET30" s="5158"/>
      <c r="EU30" s="5158"/>
      <c r="EV30" s="5158"/>
      <c r="EW30" s="5158">
        <v>44928</v>
      </c>
      <c r="EX30" s="5159">
        <v>12730909</v>
      </c>
      <c r="EY30" s="5158"/>
      <c r="EZ30" s="5158">
        <v>1840000</v>
      </c>
      <c r="FA30" s="5158"/>
      <c r="FB30" s="5158"/>
      <c r="FC30" s="5158"/>
      <c r="FD30" s="5158">
        <v>4844700</v>
      </c>
      <c r="FE30" s="5158"/>
      <c r="FF30" s="5158"/>
      <c r="FG30" s="5158">
        <v>178080</v>
      </c>
      <c r="FH30" s="5158">
        <v>26700</v>
      </c>
      <c r="FI30" s="5158"/>
      <c r="FJ30" s="5158"/>
      <c r="FK30" s="5158"/>
      <c r="FL30" s="5158"/>
      <c r="FM30" s="5158">
        <v>4567509</v>
      </c>
      <c r="FN30" s="5158"/>
      <c r="FO30" s="5158">
        <v>8896400</v>
      </c>
      <c r="FP30" s="5158"/>
      <c r="FQ30" s="5158">
        <v>29235</v>
      </c>
      <c r="FR30" s="5158">
        <v>519600</v>
      </c>
      <c r="FS30" s="5158"/>
      <c r="FT30" s="5158">
        <v>189126</v>
      </c>
      <c r="FU30" s="5160">
        <v>0</v>
      </c>
      <c r="FV30" s="5158">
        <v>117683</v>
      </c>
      <c r="FW30" s="5158">
        <v>87795</v>
      </c>
      <c r="FX30" s="5158"/>
      <c r="FY30" s="5158">
        <v>1150560</v>
      </c>
      <c r="FZ30" s="5158">
        <v>508540</v>
      </c>
      <c r="GA30" s="5158"/>
      <c r="GB30" s="5158">
        <v>1517856</v>
      </c>
      <c r="GC30" s="5158">
        <v>1937376</v>
      </c>
      <c r="GD30" s="5158"/>
      <c r="GE30" s="5158"/>
      <c r="GF30" s="5158">
        <v>2196240</v>
      </c>
      <c r="GG30" s="5161">
        <v>14577</v>
      </c>
      <c r="GH30" s="5162">
        <v>0</v>
      </c>
      <c r="GI30" s="5162"/>
      <c r="GJ30" s="5163">
        <f t="shared" si="7"/>
        <v>51024859</v>
      </c>
      <c r="GK30" s="5111">
        <f t="shared" si="8"/>
        <v>166233896</v>
      </c>
      <c r="GL30" s="4936" t="s">
        <v>1470</v>
      </c>
      <c r="GM30" s="4023" t="s">
        <v>1152</v>
      </c>
      <c r="GN30" s="1175"/>
    </row>
    <row r="31" spans="1:379" s="5" customFormat="1" ht="18">
      <c r="A31" s="20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582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841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3959"/>
      <c r="GM31" s="3017"/>
    </row>
    <row r="32" spans="1:379" s="19" customFormat="1" ht="51.75" customHeight="1">
      <c r="A32" s="18"/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7"/>
      <c r="AE32" s="157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57"/>
      <c r="AR32" s="157"/>
      <c r="AS32" s="157"/>
      <c r="AT32" s="157"/>
      <c r="AU32" s="157"/>
      <c r="AV32" s="157"/>
      <c r="AW32" s="157"/>
      <c r="AX32" s="157"/>
      <c r="AY32" s="157"/>
      <c r="AZ32" s="157"/>
      <c r="BA32" s="157"/>
      <c r="BB32" s="157"/>
      <c r="BC32" s="157"/>
      <c r="BD32" s="157"/>
      <c r="BE32" s="157"/>
      <c r="BF32" s="157"/>
      <c r="BG32" s="157"/>
      <c r="BH32" s="157"/>
      <c r="BI32" s="157"/>
      <c r="BJ32" s="157"/>
      <c r="BK32" s="157"/>
      <c r="BL32" s="157"/>
      <c r="BM32" s="157"/>
      <c r="BN32" s="157"/>
      <c r="BO32" s="157"/>
      <c r="BP32" s="157"/>
      <c r="BQ32" s="157"/>
      <c r="BR32" s="157"/>
      <c r="BS32" s="157"/>
      <c r="BT32" s="157"/>
      <c r="BU32" s="157"/>
      <c r="BV32" s="157"/>
      <c r="BW32" s="157"/>
      <c r="BX32" s="157"/>
      <c r="BY32" s="157"/>
      <c r="BZ32" s="157"/>
      <c r="CA32" s="157"/>
      <c r="CB32" s="157"/>
      <c r="CC32" s="157"/>
      <c r="CD32" s="157"/>
      <c r="CE32" s="157"/>
      <c r="CF32" s="157"/>
      <c r="CG32" s="157"/>
      <c r="CH32" s="157"/>
      <c r="CI32" s="157"/>
      <c r="CJ32" s="157"/>
      <c r="CK32" s="157"/>
      <c r="CL32" s="157"/>
      <c r="CM32" s="157"/>
      <c r="CN32" s="157"/>
      <c r="CO32" s="157"/>
      <c r="CP32" s="157"/>
      <c r="CQ32" s="157"/>
      <c r="CR32" s="157"/>
      <c r="CS32" s="157"/>
      <c r="CT32" s="157"/>
      <c r="CU32" s="157"/>
      <c r="CV32" s="157"/>
      <c r="CW32" s="157"/>
      <c r="CX32" s="157"/>
      <c r="CY32" s="157"/>
      <c r="CZ32" s="157"/>
      <c r="DA32" s="157"/>
      <c r="DB32" s="157"/>
      <c r="DC32" s="157"/>
      <c r="DD32" s="157"/>
      <c r="DE32" s="157"/>
      <c r="DF32" s="157"/>
      <c r="DG32" s="157"/>
      <c r="DH32" s="157"/>
      <c r="DI32" s="157"/>
      <c r="DJ32" s="157"/>
      <c r="DK32" s="157"/>
      <c r="DL32" s="157"/>
      <c r="DM32" s="157"/>
      <c r="DN32" s="157"/>
      <c r="DO32" s="157"/>
      <c r="DP32" s="157"/>
      <c r="DQ32" s="157"/>
      <c r="DR32" s="157"/>
      <c r="DS32" s="157"/>
      <c r="DT32" s="157"/>
      <c r="DU32" s="157"/>
      <c r="DV32" s="157"/>
      <c r="DW32" s="157"/>
      <c r="DX32" s="157"/>
      <c r="DY32" s="157"/>
      <c r="DZ32" s="157"/>
      <c r="EA32" s="157"/>
      <c r="EB32" s="157"/>
      <c r="EC32" s="157"/>
      <c r="ED32" s="157"/>
      <c r="EE32" s="157"/>
      <c r="EF32" s="157"/>
      <c r="EG32" s="157"/>
      <c r="EH32" s="157"/>
      <c r="EI32" s="157"/>
      <c r="EJ32" s="157"/>
      <c r="EK32" s="157"/>
      <c r="EL32" s="157"/>
      <c r="EM32" s="157"/>
      <c r="EN32" s="157"/>
      <c r="EO32" s="157"/>
      <c r="EP32" s="157"/>
      <c r="EQ32" s="157"/>
      <c r="ER32" s="157"/>
      <c r="ES32" s="157"/>
      <c r="ET32" s="157"/>
      <c r="EU32" s="157"/>
      <c r="EV32" s="157"/>
      <c r="EW32" s="157"/>
      <c r="EX32" s="157"/>
      <c r="EY32" s="157"/>
      <c r="EZ32" s="157"/>
      <c r="FA32" s="157"/>
      <c r="FB32" s="157"/>
      <c r="FC32" s="157"/>
      <c r="FD32" s="157"/>
      <c r="FE32" s="157"/>
      <c r="FF32" s="157"/>
      <c r="FG32" s="157"/>
      <c r="FH32" s="157"/>
      <c r="FI32" s="157"/>
      <c r="FJ32" s="157"/>
      <c r="FK32" s="157"/>
      <c r="FL32" s="157"/>
      <c r="FM32" s="157"/>
      <c r="FN32" s="157"/>
      <c r="FO32" s="157"/>
      <c r="FP32" s="157"/>
      <c r="FQ32" s="157"/>
      <c r="FR32" s="157"/>
      <c r="FS32" s="157"/>
      <c r="FT32" s="157"/>
      <c r="FU32" s="157"/>
      <c r="FV32" s="157"/>
      <c r="FW32" s="157"/>
      <c r="FX32" s="157"/>
      <c r="FY32" s="157"/>
      <c r="FZ32" s="157"/>
      <c r="GA32" s="157"/>
      <c r="GB32" s="157"/>
      <c r="GC32" s="157"/>
      <c r="GD32" s="157"/>
      <c r="GE32" s="157"/>
      <c r="GF32" s="157"/>
      <c r="GG32" s="157"/>
      <c r="GH32" s="157"/>
      <c r="GI32" s="157"/>
      <c r="GJ32" s="157"/>
      <c r="GK32" s="157"/>
      <c r="GL32" s="3960"/>
      <c r="GM32" s="3018"/>
    </row>
    <row r="33" spans="1:195" s="19" customFormat="1" ht="59.25" customHeight="1">
      <c r="A33" s="18"/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  <c r="AR33" s="157"/>
      <c r="AS33" s="157"/>
      <c r="AT33" s="157"/>
      <c r="AU33" s="157"/>
      <c r="AV33" s="157"/>
      <c r="AW33" s="157"/>
      <c r="AX33" s="157"/>
      <c r="AY33" s="157"/>
      <c r="AZ33" s="157"/>
      <c r="BA33" s="157"/>
      <c r="BB33" s="157"/>
      <c r="BC33" s="157"/>
      <c r="BD33" s="157"/>
      <c r="BE33" s="157"/>
      <c r="BF33" s="157"/>
      <c r="BG33" s="157"/>
      <c r="BH33" s="157"/>
      <c r="BI33" s="157"/>
      <c r="BJ33" s="157"/>
      <c r="BK33" s="157"/>
      <c r="BL33" s="157"/>
      <c r="BM33" s="157"/>
      <c r="BN33" s="157"/>
      <c r="BO33" s="157"/>
      <c r="BP33" s="157"/>
      <c r="BQ33" s="157"/>
      <c r="BR33" s="157"/>
      <c r="BS33" s="157"/>
      <c r="BT33" s="157"/>
      <c r="BU33" s="157"/>
      <c r="BV33" s="157"/>
      <c r="BW33" s="157"/>
      <c r="BX33" s="157"/>
      <c r="BY33" s="157"/>
      <c r="BZ33" s="157"/>
      <c r="CA33" s="157"/>
      <c r="CB33" s="157"/>
      <c r="CC33" s="157"/>
      <c r="CD33" s="157"/>
      <c r="CE33" s="157"/>
      <c r="CF33" s="157"/>
      <c r="CG33" s="157"/>
      <c r="CH33" s="157"/>
      <c r="CI33" s="157"/>
      <c r="CJ33" s="157"/>
      <c r="CK33" s="157"/>
      <c r="CL33" s="157"/>
      <c r="CM33" s="157"/>
      <c r="CN33" s="157"/>
      <c r="CO33" s="157"/>
      <c r="CP33" s="157"/>
      <c r="CQ33" s="157"/>
      <c r="CR33" s="157"/>
      <c r="CS33" s="157"/>
      <c r="CT33" s="157"/>
      <c r="CU33" s="157"/>
      <c r="CV33" s="157"/>
      <c r="CW33" s="157"/>
      <c r="CX33" s="157"/>
      <c r="CY33" s="157"/>
      <c r="CZ33" s="157"/>
      <c r="DA33" s="157"/>
      <c r="DB33" s="157"/>
      <c r="DC33" s="157"/>
      <c r="DD33" s="157"/>
      <c r="DE33" s="157"/>
      <c r="DF33" s="157"/>
      <c r="DG33" s="157"/>
      <c r="DH33" s="157"/>
      <c r="DI33" s="157"/>
      <c r="DJ33" s="157"/>
      <c r="DK33" s="157"/>
      <c r="DL33" s="157"/>
      <c r="DM33" s="157"/>
      <c r="DN33" s="157"/>
      <c r="DO33" s="157"/>
      <c r="DP33" s="157"/>
      <c r="DQ33" s="157"/>
      <c r="DR33" s="157"/>
      <c r="DS33" s="157"/>
      <c r="DT33" s="157"/>
      <c r="DU33" s="157"/>
      <c r="DV33" s="157"/>
      <c r="DW33" s="157"/>
      <c r="DX33" s="157"/>
      <c r="DY33" s="157"/>
      <c r="DZ33" s="157"/>
      <c r="EA33" s="157"/>
      <c r="EB33" s="157"/>
      <c r="EC33" s="157"/>
      <c r="ED33" s="157"/>
      <c r="EE33" s="157"/>
      <c r="EF33" s="157"/>
      <c r="EG33" s="157"/>
      <c r="EH33" s="157"/>
      <c r="EI33" s="157"/>
      <c r="EJ33" s="157"/>
      <c r="EK33" s="157"/>
      <c r="EL33" s="157"/>
      <c r="EM33" s="157"/>
      <c r="EN33" s="157"/>
      <c r="EO33" s="157"/>
      <c r="EP33" s="157"/>
      <c r="EQ33" s="157"/>
      <c r="ER33" s="157"/>
      <c r="ES33" s="157"/>
      <c r="ET33" s="157"/>
      <c r="EU33" s="157"/>
      <c r="EV33" s="157"/>
      <c r="EW33" s="157"/>
      <c r="EX33" s="157"/>
      <c r="EY33" s="157"/>
      <c r="EZ33" s="157"/>
      <c r="FA33" s="157"/>
      <c r="FB33" s="157"/>
      <c r="FC33" s="157"/>
      <c r="FD33" s="157"/>
      <c r="FE33" s="157"/>
      <c r="FF33" s="157"/>
      <c r="FG33" s="157"/>
      <c r="FH33" s="157"/>
      <c r="FI33" s="157"/>
      <c r="FJ33" s="157"/>
      <c r="FK33" s="157"/>
      <c r="FL33" s="157"/>
      <c r="FM33" s="157"/>
      <c r="FN33" s="1980"/>
      <c r="FO33" s="157"/>
      <c r="FP33" s="157"/>
      <c r="FQ33" s="157"/>
      <c r="FR33" s="157"/>
      <c r="FS33" s="157"/>
      <c r="FT33" s="157"/>
      <c r="FU33" s="157"/>
      <c r="FV33" s="157"/>
      <c r="FW33" s="157"/>
      <c r="FX33" s="157"/>
      <c r="FY33" s="157"/>
      <c r="FZ33" s="157"/>
      <c r="GA33" s="157"/>
      <c r="GB33" s="157"/>
      <c r="GC33" s="157"/>
      <c r="GD33" s="157"/>
      <c r="GE33" s="157"/>
      <c r="GF33" s="157"/>
      <c r="GG33" s="157"/>
      <c r="GH33" s="157"/>
      <c r="GI33" s="157"/>
      <c r="GJ33" s="157"/>
      <c r="GK33" s="157"/>
      <c r="GL33" s="157"/>
      <c r="GM33" s="3018"/>
    </row>
    <row r="34" spans="1:195" ht="81.75" customHeight="1">
      <c r="B34" s="143"/>
      <c r="C34" s="143"/>
      <c r="D34" s="143"/>
      <c r="E34" s="143"/>
      <c r="F34" s="143"/>
      <c r="H34" s="143"/>
      <c r="I34" s="143"/>
      <c r="J34" s="143"/>
      <c r="K34" s="143"/>
      <c r="L34" s="143"/>
      <c r="M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C34" s="143"/>
      <c r="AD34" s="143"/>
      <c r="AE34" s="143"/>
      <c r="AF34" s="143"/>
      <c r="AG34" s="143"/>
      <c r="AH34" s="143"/>
      <c r="AI34" s="143"/>
      <c r="AJ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Z34" s="143"/>
      <c r="BA34" s="143"/>
      <c r="BB34" s="143"/>
      <c r="BC34" s="143"/>
      <c r="BD34" s="143"/>
      <c r="BE34" s="143"/>
      <c r="BF34" s="143"/>
      <c r="BG34" s="143"/>
      <c r="BH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CC34" s="143"/>
      <c r="CD34" s="143"/>
      <c r="CE34" s="143"/>
      <c r="CF34" s="143"/>
      <c r="CG34" s="143"/>
      <c r="CL34" s="143"/>
      <c r="CM34" s="143"/>
      <c r="CN34" s="143"/>
      <c r="CO34" s="143"/>
      <c r="CP34" s="143"/>
      <c r="CQ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Y34" s="143"/>
      <c r="EA34" s="146"/>
      <c r="EB34" s="146"/>
      <c r="EC34" s="146"/>
      <c r="ED34" s="146"/>
      <c r="EE34" s="146"/>
      <c r="EF34" s="146"/>
      <c r="EG34" s="146"/>
      <c r="EH34" s="146"/>
      <c r="EI34" s="146"/>
      <c r="EJ34" s="146"/>
      <c r="EK34" s="146"/>
      <c r="EL34" s="146"/>
      <c r="EM34" s="146"/>
      <c r="EN34" s="146"/>
      <c r="EO34" s="146"/>
      <c r="EP34" s="146"/>
      <c r="EQ34" s="146"/>
      <c r="ER34" s="146"/>
      <c r="ES34" s="146"/>
      <c r="ET34" s="146"/>
      <c r="EU34" s="146"/>
      <c r="EV34" s="146"/>
      <c r="EW34" s="146"/>
      <c r="EX34" s="146"/>
      <c r="EY34" s="146"/>
      <c r="EZ34" s="146"/>
      <c r="FA34" s="146"/>
      <c r="FB34" s="146"/>
      <c r="FC34" s="146"/>
      <c r="FD34" s="146"/>
      <c r="FE34" s="146"/>
      <c r="FF34" s="146"/>
      <c r="FG34" s="146"/>
      <c r="FH34" s="146"/>
      <c r="FI34" s="146"/>
      <c r="FJ34" s="146"/>
      <c r="FK34" s="146"/>
      <c r="FL34" s="146"/>
      <c r="FM34" s="146"/>
      <c r="FN34" s="146"/>
      <c r="FO34" s="146"/>
      <c r="FP34" s="146"/>
      <c r="FQ34" s="146"/>
      <c r="FR34" s="146"/>
      <c r="FS34" s="146"/>
      <c r="FT34" s="146"/>
      <c r="FU34" s="146"/>
      <c r="FV34" s="146"/>
      <c r="FW34" s="146"/>
      <c r="FX34" s="146"/>
      <c r="FY34" s="146"/>
      <c r="FZ34" s="146"/>
      <c r="GA34" s="146"/>
      <c r="GB34" s="146"/>
      <c r="GC34" s="146"/>
      <c r="GD34" s="146"/>
      <c r="GE34" s="146"/>
      <c r="GF34" s="146"/>
      <c r="GG34" s="146"/>
      <c r="GH34" s="146"/>
      <c r="GI34" s="146"/>
      <c r="GJ34" s="145"/>
      <c r="GK34" s="16"/>
      <c r="GL34" s="145"/>
    </row>
    <row r="35" spans="1:195" ht="27" customHeight="1">
      <c r="B35" s="5200" t="s">
        <v>902</v>
      </c>
      <c r="C35" s="5201"/>
      <c r="D35" s="5202" t="s">
        <v>1481</v>
      </c>
      <c r="E35" s="5202"/>
      <c r="F35" s="143"/>
      <c r="H35" s="1628" t="s">
        <v>905</v>
      </c>
      <c r="I35" s="1628"/>
      <c r="J35" s="1628"/>
      <c r="K35" s="652"/>
      <c r="L35" s="652"/>
      <c r="M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C35" s="143"/>
      <c r="AD35" s="143"/>
      <c r="AE35" s="143"/>
      <c r="AF35" s="143"/>
      <c r="AG35" s="143"/>
      <c r="AH35" s="143"/>
      <c r="AI35" s="143"/>
      <c r="AJ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Z35" s="143"/>
      <c r="BA35" s="143"/>
      <c r="BB35" s="143"/>
      <c r="BC35" s="143"/>
      <c r="BD35" s="143"/>
      <c r="BE35" s="143"/>
      <c r="BF35" s="143"/>
      <c r="BG35" s="143"/>
      <c r="BH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CC35" s="143"/>
      <c r="CD35" s="143"/>
      <c r="CE35" s="143"/>
      <c r="CF35" s="143"/>
      <c r="CG35" s="143"/>
      <c r="CL35" s="143"/>
      <c r="CM35" s="143"/>
      <c r="CN35" s="143"/>
      <c r="CO35" s="143"/>
      <c r="CP35" s="143"/>
      <c r="CQ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Y35" s="143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677"/>
      <c r="GH35" s="1677"/>
      <c r="GI35" s="1677"/>
      <c r="GL35" s="143"/>
    </row>
    <row r="36" spans="1:195" s="143" customFormat="1" ht="21.75" customHeight="1">
      <c r="B36" s="5200" t="s">
        <v>806</v>
      </c>
      <c r="C36" s="5201"/>
      <c r="D36" s="5208" t="s">
        <v>28</v>
      </c>
      <c r="E36" s="5208"/>
      <c r="H36" s="1628" t="s">
        <v>906</v>
      </c>
      <c r="I36" s="1628"/>
      <c r="J36" s="1628"/>
      <c r="K36" s="652"/>
      <c r="L36" s="652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15"/>
      <c r="ES36" s="15"/>
      <c r="ET36" s="15"/>
      <c r="EU36" s="15"/>
      <c r="EV36" s="15"/>
      <c r="EW36" s="15"/>
      <c r="EX36" s="15"/>
      <c r="EY36" s="15"/>
      <c r="EZ36" s="15"/>
      <c r="FA36" s="15"/>
      <c r="FB36" s="15"/>
      <c r="FC36" s="15"/>
      <c r="FD36" s="15"/>
      <c r="FE36" s="15"/>
      <c r="FF36" s="15"/>
      <c r="FG36" s="15"/>
      <c r="FH36" s="15"/>
      <c r="FI36" s="15"/>
      <c r="FJ36" s="15"/>
      <c r="FK36" s="15"/>
      <c r="FL36" s="15"/>
      <c r="FM36" s="15"/>
      <c r="FN36" s="15"/>
      <c r="FO36" s="15"/>
      <c r="FP36" s="15"/>
      <c r="FQ36" s="15"/>
      <c r="FR36" s="15"/>
      <c r="FS36" s="15"/>
      <c r="FT36" s="15"/>
      <c r="FU36" s="15"/>
      <c r="FV36" s="15"/>
      <c r="FW36" s="15"/>
      <c r="FX36" s="15"/>
      <c r="FY36" s="15"/>
      <c r="FZ36" s="15"/>
      <c r="GA36" s="15"/>
      <c r="GB36" s="15"/>
      <c r="GC36" s="15"/>
      <c r="GD36" s="15"/>
      <c r="GE36" s="15"/>
      <c r="GF36" s="15"/>
      <c r="GG36" s="1677"/>
      <c r="GH36" s="1677"/>
      <c r="GI36" s="1677"/>
      <c r="GM36" s="994"/>
    </row>
    <row r="37" spans="1:195" ht="23.25" customHeight="1">
      <c r="A37" s="143"/>
      <c r="B37" s="5200" t="s">
        <v>901</v>
      </c>
      <c r="C37" s="5201"/>
      <c r="D37" s="5203" t="s">
        <v>21</v>
      </c>
      <c r="E37" s="5204"/>
      <c r="F37" s="143"/>
      <c r="H37" s="143"/>
      <c r="I37" s="143"/>
      <c r="J37" s="143"/>
      <c r="K37" s="5209"/>
      <c r="L37" s="5209"/>
      <c r="M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C37" s="143"/>
      <c r="AD37" s="143"/>
      <c r="AE37" s="143"/>
      <c r="AF37" s="143"/>
      <c r="AG37" s="143"/>
      <c r="AH37" s="143"/>
      <c r="AI37" s="143"/>
      <c r="AJ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Z37" s="143"/>
      <c r="BA37" s="143"/>
      <c r="BB37" s="143"/>
      <c r="BC37" s="143"/>
      <c r="BD37" s="143"/>
      <c r="BE37" s="143"/>
      <c r="BF37" s="143"/>
      <c r="BG37" s="143"/>
      <c r="BH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CC37" s="143"/>
      <c r="CD37" s="143"/>
      <c r="CE37" s="143"/>
      <c r="CF37" s="143"/>
      <c r="CG37" s="143"/>
      <c r="CL37" s="143"/>
      <c r="CM37" s="143"/>
      <c r="CN37" s="143"/>
      <c r="CO37" s="143"/>
      <c r="CP37" s="143"/>
      <c r="CQ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Y37" s="143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7"/>
      <c r="ES37" s="17"/>
      <c r="ET37" s="17"/>
      <c r="EU37" s="17"/>
      <c r="EV37" s="17"/>
      <c r="EW37" s="17"/>
      <c r="EX37" s="17"/>
      <c r="EY37" s="17"/>
      <c r="EZ37" s="17" t="s">
        <v>18</v>
      </c>
      <c r="FA37" s="17"/>
      <c r="FB37" s="17"/>
      <c r="FC37" s="17"/>
      <c r="FD37" s="17"/>
      <c r="FE37" s="17"/>
      <c r="FF37" s="17"/>
      <c r="FG37" s="17"/>
      <c r="FH37" s="18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L37" s="143"/>
    </row>
    <row r="38" spans="1:195" ht="30" customHeight="1">
      <c r="A38" s="143"/>
      <c r="B38" s="5214" t="s">
        <v>178</v>
      </c>
      <c r="C38" s="5215"/>
      <c r="D38" s="5205">
        <v>115</v>
      </c>
      <c r="E38" s="5205"/>
      <c r="F38" s="143"/>
      <c r="H38" s="143"/>
      <c r="I38" s="143"/>
      <c r="J38" s="143"/>
      <c r="K38" s="5209"/>
      <c r="L38" s="5209"/>
      <c r="M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C38" s="143"/>
      <c r="AD38" s="143"/>
      <c r="AE38" s="143"/>
      <c r="AF38" s="143"/>
      <c r="AG38" s="143"/>
      <c r="AH38" s="143"/>
      <c r="AI38" s="143"/>
      <c r="AJ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Z38" s="143"/>
      <c r="BA38" s="143"/>
      <c r="BB38" s="143"/>
      <c r="BC38" s="143"/>
      <c r="BD38" s="143"/>
      <c r="BE38" s="143"/>
      <c r="BF38" s="143"/>
      <c r="BG38" s="143"/>
      <c r="BH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CC38" s="143"/>
      <c r="CD38" s="143"/>
      <c r="CE38" s="143"/>
      <c r="CF38" s="143"/>
      <c r="CG38" s="143"/>
      <c r="CL38" s="143"/>
      <c r="CM38" s="143"/>
      <c r="CN38" s="143"/>
      <c r="CO38" s="143"/>
      <c r="CP38" s="143"/>
      <c r="CQ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Y38" s="143"/>
      <c r="EA38" s="143"/>
      <c r="EB38" s="143"/>
      <c r="EC38" s="143"/>
      <c r="ED38" s="143"/>
      <c r="EE38" s="143"/>
      <c r="EF38" s="143"/>
      <c r="EG38" s="143"/>
      <c r="EH38" s="143"/>
      <c r="EI38" s="143"/>
      <c r="EJ38" s="143"/>
      <c r="EK38" s="143"/>
      <c r="EL38" s="143"/>
      <c r="EM38" s="143"/>
      <c r="EN38" s="143"/>
      <c r="EO38" s="143"/>
      <c r="EQ38" s="143"/>
      <c r="GL38" s="143"/>
    </row>
    <row r="39" spans="1:195" s="143" customFormat="1" ht="22.5" customHeight="1">
      <c r="B39" s="5216"/>
      <c r="C39" s="5217"/>
      <c r="D39" s="5206"/>
      <c r="E39" s="5207"/>
      <c r="F39" s="3708" t="s">
        <v>1285</v>
      </c>
      <c r="K39" s="5209"/>
      <c r="L39" s="5209"/>
      <c r="GM39" s="994"/>
    </row>
    <row r="40" spans="1:195" ht="26.25" customHeight="1">
      <c r="B40" s="5200" t="s">
        <v>791</v>
      </c>
      <c r="C40" s="5201"/>
      <c r="D40" s="5206"/>
      <c r="E40" s="5207"/>
      <c r="F40" s="3708" t="s">
        <v>1285</v>
      </c>
      <c r="H40" s="143"/>
      <c r="I40" s="143"/>
      <c r="J40" s="143"/>
      <c r="K40" s="5209"/>
      <c r="L40" s="5209"/>
      <c r="M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C40" s="143"/>
      <c r="AD40" s="143"/>
      <c r="AE40" s="143"/>
      <c r="AF40" s="143"/>
      <c r="AG40" s="143"/>
      <c r="AH40" s="143"/>
      <c r="AI40" s="143"/>
      <c r="AJ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Z40" s="143"/>
      <c r="BA40" s="143"/>
      <c r="BB40" s="143"/>
      <c r="BC40" s="143"/>
      <c r="BD40" s="143"/>
      <c r="BE40" s="143"/>
      <c r="BF40" s="143"/>
      <c r="BG40" s="143"/>
      <c r="BH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CC40" s="143"/>
      <c r="CD40" s="143"/>
      <c r="CE40" s="143"/>
      <c r="CF40" s="143"/>
      <c r="CG40" s="143"/>
      <c r="CL40" s="143"/>
      <c r="CM40" s="143"/>
      <c r="CN40" s="143"/>
      <c r="CO40" s="143"/>
      <c r="CP40" s="143"/>
      <c r="CQ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Y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Q40" s="143"/>
      <c r="FJ40" s="160"/>
      <c r="FK40" s="160"/>
      <c r="FL40" s="160"/>
      <c r="FM40" s="160"/>
      <c r="FN40" s="160"/>
      <c r="FO40" s="160"/>
      <c r="FP40" s="160"/>
      <c r="FS40" s="161"/>
      <c r="GL40" s="143"/>
    </row>
    <row r="41" spans="1:195" ht="24.75" customHeight="1">
      <c r="B41" s="5200" t="s">
        <v>25</v>
      </c>
      <c r="C41" s="5201"/>
      <c r="D41" s="5205"/>
      <c r="E41" s="5205"/>
      <c r="F41" s="143"/>
      <c r="H41" s="143"/>
      <c r="I41" s="143"/>
      <c r="J41" s="143"/>
      <c r="K41" s="5209"/>
      <c r="L41" s="5209"/>
      <c r="M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C41" s="143"/>
      <c r="AD41" s="143"/>
      <c r="AE41" s="143"/>
      <c r="AF41" s="143"/>
      <c r="AG41" s="143"/>
      <c r="AH41" s="143"/>
      <c r="AI41" s="143"/>
      <c r="AJ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Z41" s="143"/>
      <c r="BA41" s="143"/>
      <c r="BB41" s="143"/>
      <c r="BC41" s="143"/>
      <c r="BD41" s="143"/>
      <c r="BE41" s="143"/>
      <c r="BF41" s="143"/>
      <c r="BG41" s="143"/>
      <c r="BH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CC41" s="143"/>
      <c r="CD41" s="143"/>
      <c r="CE41" s="143"/>
      <c r="CF41" s="143"/>
      <c r="CG41" s="143"/>
      <c r="CL41" s="143"/>
      <c r="CM41" s="143"/>
      <c r="CN41" s="143"/>
      <c r="CO41" s="143"/>
      <c r="CP41" s="143"/>
      <c r="CQ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Y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Q41" s="143"/>
    </row>
    <row r="42" spans="1:195" ht="25.5" customHeight="1">
      <c r="B42" s="5200" t="s">
        <v>903</v>
      </c>
      <c r="C42" s="5201"/>
      <c r="D42" s="5213" t="s">
        <v>6</v>
      </c>
      <c r="E42" s="5213"/>
      <c r="H42" s="996"/>
      <c r="K42" s="5210"/>
      <c r="L42" s="5210"/>
      <c r="R42" s="143"/>
      <c r="V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Q42" s="143"/>
    </row>
    <row r="43" spans="1:195" ht="27" customHeight="1">
      <c r="A43" s="156"/>
      <c r="B43" s="5200" t="s">
        <v>904</v>
      </c>
      <c r="C43" s="5201"/>
      <c r="D43" s="5211" t="s">
        <v>800</v>
      </c>
      <c r="E43" s="5212"/>
      <c r="H43" s="999"/>
      <c r="I43" s="1002"/>
      <c r="K43" s="5210"/>
      <c r="L43" s="5210"/>
      <c r="R43" s="143"/>
      <c r="S43" s="143"/>
      <c r="V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Q43" s="143"/>
    </row>
    <row r="44" spans="1:195" s="143" customFormat="1" ht="27" customHeight="1">
      <c r="A44" s="156"/>
      <c r="B44" s="5219" t="s">
        <v>1107</v>
      </c>
      <c r="C44" s="5220"/>
      <c r="D44" s="5211">
        <v>43089</v>
      </c>
      <c r="E44" s="5212"/>
      <c r="F44" s="1781" t="s">
        <v>942</v>
      </c>
      <c r="G44" s="996"/>
      <c r="H44" s="996"/>
      <c r="K44" s="995"/>
      <c r="L44" s="995"/>
      <c r="GM44" s="994"/>
    </row>
    <row r="45" spans="1:195" ht="24" customHeight="1">
      <c r="A45" s="179"/>
      <c r="B45" s="5221"/>
      <c r="C45" s="5221"/>
      <c r="D45" s="5222"/>
      <c r="E45" s="5222"/>
      <c r="R45" s="143"/>
      <c r="S45" s="143"/>
      <c r="V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Q45" s="143"/>
    </row>
    <row r="46" spans="1:195">
      <c r="A46" s="168"/>
      <c r="R46" s="143"/>
      <c r="S46" s="143"/>
      <c r="V46" s="143"/>
    </row>
    <row r="47" spans="1:195">
      <c r="A47" s="169"/>
      <c r="B47" s="5219" t="s">
        <v>832</v>
      </c>
      <c r="C47" s="5220"/>
      <c r="D47" s="5223"/>
      <c r="E47" s="5223"/>
      <c r="V47" s="143"/>
    </row>
    <row r="48" spans="1:195">
      <c r="V48" s="143"/>
    </row>
    <row r="49" spans="1:195">
      <c r="V49" s="143"/>
    </row>
    <row r="50" spans="1:195">
      <c r="V50" s="143"/>
      <c r="GD50" s="139"/>
    </row>
    <row r="51" spans="1:195">
      <c r="V51" s="143"/>
    </row>
    <row r="52" spans="1:195">
      <c r="A52" s="162"/>
      <c r="B52" s="162"/>
      <c r="C52" s="162"/>
      <c r="V52" s="143"/>
    </row>
    <row r="53" spans="1:195">
      <c r="A53" s="1153" t="s">
        <v>835</v>
      </c>
      <c r="B53" s="1153" t="s">
        <v>836</v>
      </c>
      <c r="C53" s="162"/>
      <c r="V53" s="143"/>
    </row>
    <row r="54" spans="1:195">
      <c r="A54" s="1153" t="s">
        <v>837</v>
      </c>
      <c r="B54" s="1153" t="s">
        <v>853</v>
      </c>
      <c r="C54" s="996" t="s">
        <v>839</v>
      </c>
      <c r="V54" s="143"/>
    </row>
    <row r="55" spans="1:195">
      <c r="J55" s="143"/>
      <c r="V55" s="5"/>
    </row>
    <row r="56" spans="1:195">
      <c r="V56" s="5"/>
    </row>
    <row r="57" spans="1:195" ht="44.25">
      <c r="V57" s="5"/>
      <c r="EA57" s="142"/>
      <c r="EB57" s="142"/>
      <c r="EC57" s="142"/>
      <c r="ED57" s="142"/>
      <c r="EE57" s="142"/>
      <c r="EF57" s="142"/>
      <c r="EG57" s="142"/>
      <c r="EH57" s="142"/>
      <c r="EI57" s="142"/>
      <c r="EJ57" s="142"/>
      <c r="EK57" s="142"/>
      <c r="EL57" s="142"/>
      <c r="EM57" s="142"/>
      <c r="EN57" s="142"/>
      <c r="EO57" s="142"/>
      <c r="EP57" s="142"/>
      <c r="EQ57" s="142"/>
      <c r="ER57" s="142"/>
      <c r="ES57" s="142"/>
      <c r="ET57" s="142"/>
      <c r="EU57" s="142"/>
      <c r="EV57" s="142"/>
      <c r="EW57" s="142"/>
      <c r="EX57" s="142"/>
      <c r="EY57" s="142"/>
      <c r="EZ57" s="142"/>
      <c r="FA57" s="142"/>
      <c r="FB57" s="142"/>
      <c r="FC57" s="142"/>
      <c r="FD57" s="142"/>
      <c r="FE57" s="142"/>
      <c r="FF57" s="142"/>
      <c r="FG57" s="142"/>
      <c r="FH57" s="142"/>
      <c r="FI57" s="142"/>
      <c r="FJ57" s="142"/>
      <c r="FK57" s="142"/>
      <c r="FL57" s="142"/>
      <c r="FM57" s="142"/>
      <c r="FN57" s="142"/>
      <c r="FO57" s="142"/>
      <c r="FP57" s="142"/>
      <c r="FQ57" s="142"/>
      <c r="FR57" s="142"/>
      <c r="FS57" s="142"/>
      <c r="FT57" s="142"/>
      <c r="FU57" s="142"/>
      <c r="FV57" s="142"/>
      <c r="FW57" s="142"/>
      <c r="FX57" s="142"/>
      <c r="FY57" s="142"/>
      <c r="FZ57" s="142"/>
      <c r="GA57" s="142"/>
      <c r="GB57" s="142"/>
      <c r="GC57" s="142"/>
      <c r="GD57" s="142"/>
      <c r="GE57" s="142"/>
      <c r="GF57" s="142"/>
      <c r="GG57" s="142"/>
      <c r="GH57" s="142"/>
      <c r="GI57" s="142"/>
    </row>
    <row r="58" spans="1:195">
      <c r="V58" s="5"/>
    </row>
    <row r="59" spans="1:195" s="145" customFormat="1">
      <c r="B59" s="146"/>
      <c r="C59" s="146"/>
      <c r="D59" s="146"/>
      <c r="E59" s="146"/>
      <c r="F59" s="147"/>
      <c r="G59" s="147"/>
      <c r="H59" s="148"/>
      <c r="I59" s="148"/>
      <c r="J59" s="146"/>
      <c r="K59" s="146"/>
      <c r="L59" s="149"/>
      <c r="M59" s="149"/>
      <c r="N59" s="149"/>
      <c r="O59" s="149"/>
      <c r="P59" s="149"/>
      <c r="Q59" s="149"/>
      <c r="R59" s="150"/>
      <c r="S59" s="150"/>
      <c r="T59" s="150"/>
      <c r="U59" s="151"/>
      <c r="V59" s="151"/>
      <c r="W59" s="146"/>
      <c r="X59" s="146"/>
      <c r="Y59" s="146"/>
      <c r="Z59" s="146"/>
      <c r="AA59" s="146"/>
      <c r="AB59" s="146"/>
      <c r="AC59" s="146"/>
      <c r="AD59" s="147"/>
      <c r="AE59" s="147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  <c r="BA59" s="146"/>
      <c r="BB59" s="146"/>
      <c r="BC59" s="146"/>
      <c r="BD59" s="146"/>
      <c r="BE59" s="146"/>
      <c r="BF59" s="146"/>
      <c r="BG59" s="146"/>
      <c r="BH59" s="146"/>
      <c r="BI59" s="146"/>
      <c r="BJ59" s="146"/>
      <c r="BK59" s="146"/>
      <c r="BL59" s="146"/>
      <c r="BM59" s="146"/>
      <c r="BN59" s="146"/>
      <c r="BO59" s="146"/>
      <c r="BP59" s="146"/>
      <c r="BQ59" s="146"/>
      <c r="BR59" s="146"/>
      <c r="BS59" s="146"/>
      <c r="BT59" s="146"/>
      <c r="BU59" s="146"/>
      <c r="BV59" s="146"/>
      <c r="BW59" s="146"/>
      <c r="BX59" s="146"/>
      <c r="BY59" s="146"/>
      <c r="BZ59" s="146"/>
      <c r="CA59" s="146"/>
      <c r="CB59" s="146"/>
      <c r="CC59" s="152"/>
      <c r="CD59" s="147"/>
      <c r="CE59" s="146"/>
      <c r="CF59" s="153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  <c r="DR59" s="147"/>
      <c r="DS59" s="147"/>
      <c r="DT59" s="147"/>
      <c r="DU59" s="147"/>
      <c r="DV59" s="147"/>
      <c r="DW59" s="147"/>
      <c r="DX59" s="147"/>
      <c r="EA59" s="3"/>
      <c r="EB59" s="3"/>
      <c r="EC59" s="3"/>
      <c r="ED59" s="3"/>
      <c r="EE59" s="3"/>
      <c r="EF59" s="3"/>
      <c r="EG59" s="130"/>
      <c r="EH59" s="130"/>
      <c r="EI59" s="3"/>
      <c r="EJ59" s="3"/>
      <c r="EK59" s="3"/>
      <c r="EL59" s="3"/>
      <c r="EM59" s="3"/>
      <c r="EN59" s="3"/>
      <c r="EO59" s="3"/>
      <c r="EP59" s="143"/>
      <c r="EQ59" s="3"/>
      <c r="ER59" s="3"/>
      <c r="ES59" s="14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143"/>
      <c r="FL59" s="143"/>
      <c r="FM59" s="143"/>
      <c r="FN59" s="143"/>
      <c r="FO59" s="143"/>
      <c r="FP59" s="14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143"/>
      <c r="GD59" s="3"/>
      <c r="GE59" s="3"/>
      <c r="GF59" s="3"/>
      <c r="GG59" s="3"/>
      <c r="GH59" s="3"/>
      <c r="GI59" s="143"/>
      <c r="GM59" s="3019"/>
    </row>
    <row r="60" spans="1:195" s="145" customFormat="1" ht="44.25">
      <c r="B60" s="155"/>
      <c r="C60" s="155"/>
      <c r="D60" s="155"/>
      <c r="E60" s="155"/>
      <c r="F60" s="155"/>
      <c r="G60" s="155"/>
      <c r="H60" s="155"/>
      <c r="I60" s="155"/>
      <c r="J60" s="155"/>
      <c r="K60" s="155"/>
      <c r="L60" s="155"/>
      <c r="M60" s="155"/>
      <c r="N60" s="155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BA60" s="155"/>
      <c r="BB60" s="155"/>
      <c r="BC60" s="155"/>
      <c r="BD60" s="155"/>
      <c r="BE60" s="155"/>
      <c r="BF60" s="155"/>
      <c r="BG60" s="155"/>
      <c r="BH60" s="155"/>
      <c r="BI60" s="155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5"/>
      <c r="BX60" s="155"/>
      <c r="BY60" s="155"/>
      <c r="BZ60" s="155"/>
      <c r="CA60" s="155"/>
      <c r="CB60" s="155"/>
      <c r="CC60" s="155"/>
      <c r="CD60" s="155"/>
      <c r="CE60" s="155"/>
      <c r="CF60" s="155"/>
      <c r="CG60" s="155"/>
      <c r="CH60" s="155"/>
      <c r="CI60" s="155"/>
      <c r="CJ60" s="155"/>
      <c r="CK60" s="155"/>
      <c r="CL60" s="155"/>
      <c r="CM60" s="155"/>
      <c r="CN60" s="155"/>
      <c r="CO60" s="155"/>
      <c r="CP60" s="155"/>
      <c r="CQ60" s="155"/>
      <c r="CR60" s="155"/>
      <c r="CS60" s="155"/>
      <c r="CT60" s="155"/>
      <c r="CU60" s="155"/>
      <c r="CV60" s="155"/>
      <c r="CW60" s="155"/>
      <c r="CX60" s="155"/>
      <c r="CY60" s="155"/>
      <c r="CZ60" s="155"/>
      <c r="DA60" s="155"/>
      <c r="DB60" s="155"/>
      <c r="DC60" s="155"/>
      <c r="DD60" s="155"/>
      <c r="DE60" s="155"/>
      <c r="DF60" s="155"/>
      <c r="DG60" s="155"/>
      <c r="DH60" s="155"/>
      <c r="DI60" s="155"/>
      <c r="DJ60" s="155"/>
      <c r="DK60" s="155"/>
      <c r="DL60" s="155"/>
      <c r="DM60" s="155"/>
      <c r="DN60" s="155"/>
      <c r="DO60" s="155"/>
      <c r="DP60" s="155"/>
      <c r="DQ60" s="155"/>
      <c r="DR60" s="155"/>
      <c r="DS60" s="155"/>
      <c r="DT60" s="155"/>
      <c r="DU60" s="155"/>
      <c r="DV60" s="155"/>
      <c r="DW60" s="155"/>
      <c r="DX60" s="155"/>
      <c r="EA60" s="3"/>
      <c r="EB60" s="3"/>
      <c r="EC60" s="3"/>
      <c r="ED60" s="3"/>
      <c r="EE60" s="3"/>
      <c r="EF60" s="3"/>
      <c r="EG60" s="130"/>
      <c r="EH60" s="130"/>
      <c r="EI60" s="3"/>
      <c r="EJ60" s="3"/>
      <c r="EK60" s="3"/>
      <c r="EL60" s="3"/>
      <c r="EM60" s="3"/>
      <c r="EN60" s="3"/>
      <c r="EO60" s="3"/>
      <c r="EP60" s="143"/>
      <c r="EQ60" s="3"/>
      <c r="ER60" s="3"/>
      <c r="ES60" s="14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143"/>
      <c r="FL60" s="143"/>
      <c r="FM60" s="143"/>
      <c r="FN60" s="143"/>
      <c r="FO60" s="143"/>
      <c r="FP60" s="14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143"/>
      <c r="GD60" s="3"/>
      <c r="GE60" s="3"/>
      <c r="GF60" s="3"/>
      <c r="GG60" s="3"/>
      <c r="GH60" s="3"/>
      <c r="GI60" s="143"/>
      <c r="GM60" s="3019"/>
    </row>
    <row r="61" spans="1:195" ht="28.5" customHeight="1">
      <c r="B61" s="998" t="s">
        <v>177</v>
      </c>
      <c r="C61" s="444" t="s">
        <v>790</v>
      </c>
      <c r="D61" s="998" t="s">
        <v>758</v>
      </c>
    </row>
    <row r="62" spans="1:195" ht="12" customHeight="1">
      <c r="B62" s="997"/>
      <c r="C62" s="445"/>
      <c r="D62" s="997"/>
      <c r="E62" s="143"/>
      <c r="F62" s="143"/>
      <c r="H62" s="143"/>
      <c r="I62" s="143"/>
      <c r="J62" s="143"/>
      <c r="K62" s="143"/>
      <c r="L62" s="143"/>
      <c r="M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C62" s="143"/>
      <c r="AD62" s="143"/>
      <c r="AE62" s="143"/>
      <c r="AF62" s="143"/>
      <c r="AG62" s="143"/>
      <c r="AH62" s="143"/>
      <c r="AI62" s="143"/>
      <c r="AJ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Z62" s="143"/>
      <c r="BA62" s="143"/>
      <c r="BB62" s="143"/>
      <c r="BC62" s="143"/>
      <c r="BD62" s="143"/>
      <c r="BE62" s="143"/>
      <c r="BF62" s="143"/>
      <c r="BG62" s="143"/>
      <c r="BH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CC62" s="143"/>
      <c r="CD62" s="143"/>
      <c r="CE62" s="143"/>
      <c r="CF62" s="143"/>
      <c r="CG62" s="143"/>
      <c r="CL62" s="143"/>
      <c r="CM62" s="143"/>
      <c r="CN62" s="143"/>
      <c r="CO62" s="143"/>
      <c r="CP62" s="143"/>
      <c r="CQ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Y62" s="143"/>
      <c r="EA62" s="145"/>
      <c r="EB62" s="145"/>
      <c r="EC62" s="145"/>
      <c r="ED62" s="145"/>
      <c r="EE62" s="145"/>
      <c r="EF62" s="145"/>
      <c r="EG62" s="154"/>
      <c r="EH62" s="154"/>
      <c r="EI62" s="145"/>
      <c r="EJ62" s="145"/>
      <c r="EK62" s="145"/>
      <c r="EL62" s="145"/>
      <c r="EM62" s="145"/>
      <c r="EN62" s="145"/>
      <c r="EO62" s="145"/>
      <c r="EP62" s="145"/>
      <c r="EQ62" s="145"/>
      <c r="ER62" s="145"/>
      <c r="ES62" s="145"/>
      <c r="ET62" s="145"/>
      <c r="EU62" s="145"/>
      <c r="EV62" s="145"/>
      <c r="EW62" s="145"/>
      <c r="EX62" s="145"/>
      <c r="EY62" s="145"/>
      <c r="EZ62" s="145"/>
      <c r="FA62" s="145"/>
      <c r="FB62" s="145"/>
      <c r="FC62" s="145"/>
      <c r="FD62" s="145"/>
      <c r="FE62" s="145"/>
      <c r="FF62" s="145"/>
      <c r="FG62" s="145"/>
      <c r="FH62" s="145"/>
      <c r="FI62" s="145"/>
      <c r="FJ62" s="145"/>
      <c r="FK62" s="145"/>
      <c r="FL62" s="145"/>
      <c r="FM62" s="145"/>
      <c r="FN62" s="145"/>
      <c r="FO62" s="145"/>
      <c r="FP62" s="145"/>
      <c r="FQ62" s="145"/>
      <c r="FR62" s="145"/>
      <c r="FS62" s="145"/>
      <c r="FT62" s="145"/>
      <c r="FU62" s="145"/>
      <c r="FV62" s="145"/>
      <c r="FW62" s="145"/>
      <c r="FX62" s="145"/>
      <c r="FY62" s="145"/>
      <c r="FZ62" s="145"/>
      <c r="GA62" s="145"/>
      <c r="GB62" s="145"/>
      <c r="GC62" s="145"/>
      <c r="GD62" s="145"/>
      <c r="GE62" s="145"/>
      <c r="GF62" s="145"/>
      <c r="GG62" s="145"/>
      <c r="GH62" s="145"/>
      <c r="GI62" s="145"/>
      <c r="GJ62" s="143"/>
      <c r="GK62" s="143"/>
    </row>
    <row r="63" spans="1:195" ht="26.25" customHeight="1">
      <c r="B63" s="997" t="s">
        <v>801</v>
      </c>
      <c r="C63" s="997" t="s">
        <v>27</v>
      </c>
      <c r="D63" s="997" t="s">
        <v>10</v>
      </c>
      <c r="EA63" s="145"/>
      <c r="EB63" s="145"/>
      <c r="EC63" s="145"/>
      <c r="ED63" s="145"/>
      <c r="EE63" s="145"/>
      <c r="EF63" s="145"/>
      <c r="EG63" s="154"/>
      <c r="EH63" s="154"/>
      <c r="EI63" s="145"/>
      <c r="EJ63" s="145"/>
      <c r="EK63" s="145"/>
      <c r="EL63" s="145"/>
      <c r="EM63" s="145"/>
      <c r="EN63" s="145"/>
      <c r="EO63" s="145"/>
      <c r="EP63" s="145"/>
      <c r="EQ63" s="145"/>
      <c r="ER63" s="145"/>
      <c r="ES63" s="145"/>
      <c r="ET63" s="145"/>
      <c r="EU63" s="145"/>
      <c r="EV63" s="145"/>
      <c r="EW63" s="145"/>
      <c r="EX63" s="145"/>
      <c r="EY63" s="145"/>
      <c r="EZ63" s="145"/>
      <c r="FA63" s="145"/>
      <c r="FB63" s="145"/>
      <c r="FC63" s="145"/>
      <c r="FD63" s="145"/>
      <c r="FE63" s="145"/>
      <c r="FF63" s="145"/>
      <c r="FG63" s="145"/>
      <c r="FH63" s="145"/>
      <c r="FI63" s="145"/>
      <c r="FJ63" s="145"/>
      <c r="FK63" s="145"/>
      <c r="FL63" s="145"/>
      <c r="FM63" s="145"/>
      <c r="FN63" s="145"/>
      <c r="FO63" s="145"/>
      <c r="FP63" s="145"/>
      <c r="FQ63" s="145"/>
      <c r="FR63" s="145"/>
      <c r="FS63" s="145"/>
      <c r="FT63" s="145"/>
      <c r="FU63" s="145"/>
      <c r="FV63" s="145"/>
      <c r="FW63" s="145"/>
      <c r="FX63" s="145"/>
      <c r="FY63" s="145"/>
      <c r="FZ63" s="145"/>
      <c r="GA63" s="145"/>
      <c r="GB63" s="145"/>
      <c r="GC63" s="145"/>
      <c r="GD63" s="145"/>
      <c r="GE63" s="145"/>
      <c r="GF63" s="145"/>
      <c r="GG63" s="145"/>
      <c r="GH63" s="145"/>
      <c r="GI63" s="145"/>
    </row>
    <row r="64" spans="1:195" ht="29.25" customHeight="1">
      <c r="B64" s="997" t="s">
        <v>800</v>
      </c>
      <c r="C64" s="997" t="s">
        <v>22</v>
      </c>
      <c r="D64" s="997" t="s">
        <v>914</v>
      </c>
    </row>
    <row r="65" spans="1:206">
      <c r="B65" s="997" t="s">
        <v>808</v>
      </c>
      <c r="C65" s="997" t="s">
        <v>21</v>
      </c>
      <c r="D65" s="997" t="s">
        <v>5</v>
      </c>
    </row>
    <row r="66" spans="1:206">
      <c r="B66" s="997"/>
      <c r="C66" s="997" t="s">
        <v>109</v>
      </c>
      <c r="D66" s="997" t="s">
        <v>55</v>
      </c>
    </row>
    <row r="67" spans="1:206">
      <c r="B67" s="997"/>
      <c r="C67" s="997" t="s">
        <v>175</v>
      </c>
      <c r="D67" s="997" t="s">
        <v>913</v>
      </c>
    </row>
    <row r="68" spans="1:206">
      <c r="B68" s="997"/>
      <c r="C68" s="997" t="s">
        <v>802</v>
      </c>
      <c r="D68" s="997" t="s">
        <v>106</v>
      </c>
    </row>
    <row r="69" spans="1:206">
      <c r="B69" s="997"/>
      <c r="C69" s="997" t="s">
        <v>803</v>
      </c>
      <c r="D69" s="997" t="s">
        <v>4</v>
      </c>
    </row>
    <row r="70" spans="1:206">
      <c r="B70" s="997"/>
      <c r="C70" s="997" t="s">
        <v>45</v>
      </c>
      <c r="D70" s="997" t="s">
        <v>56</v>
      </c>
    </row>
    <row r="71" spans="1:206">
      <c r="B71" s="997"/>
      <c r="C71" s="997" t="s">
        <v>804</v>
      </c>
      <c r="D71" s="997" t="s">
        <v>6</v>
      </c>
    </row>
    <row r="76" spans="1:206">
      <c r="A76" s="4250">
        <v>0.8125</v>
      </c>
      <c r="B76" s="4251"/>
      <c r="C76" s="4251">
        <v>70</v>
      </c>
      <c r="D76" s="4251">
        <v>105</v>
      </c>
      <c r="E76" s="4251"/>
      <c r="F76" s="4251">
        <v>25</v>
      </c>
      <c r="G76" s="4251"/>
      <c r="H76" s="4251">
        <v>204</v>
      </c>
      <c r="I76" s="4251"/>
      <c r="J76" s="4251"/>
      <c r="K76" s="4251"/>
      <c r="L76" s="4251"/>
      <c r="M76" s="4251">
        <v>85</v>
      </c>
      <c r="N76" s="4251"/>
      <c r="O76" s="4251"/>
      <c r="P76" s="4251">
        <v>168</v>
      </c>
      <c r="Q76" s="4251">
        <v>42</v>
      </c>
      <c r="R76" s="4251"/>
      <c r="S76" s="4251">
        <v>180</v>
      </c>
      <c r="T76" s="4251"/>
      <c r="U76" s="4251">
        <v>272</v>
      </c>
      <c r="V76" s="4251">
        <v>8</v>
      </c>
      <c r="W76" s="4251"/>
      <c r="X76" s="4251"/>
      <c r="Y76" s="4251"/>
      <c r="Z76" s="4251">
        <v>110</v>
      </c>
      <c r="AA76" s="4251"/>
      <c r="AB76" s="4251"/>
      <c r="AC76" s="4251"/>
      <c r="AD76" s="4251">
        <v>80</v>
      </c>
      <c r="AE76" s="4251">
        <v>80</v>
      </c>
      <c r="AF76" s="4251"/>
      <c r="AG76" s="4251">
        <v>26</v>
      </c>
      <c r="AH76" s="4251">
        <v>210</v>
      </c>
      <c r="AI76" s="4251">
        <v>290</v>
      </c>
      <c r="AJ76" s="4251">
        <v>275</v>
      </c>
      <c r="AK76" s="4251">
        <v>40</v>
      </c>
      <c r="AL76" s="4251"/>
      <c r="AM76" s="4251"/>
      <c r="AN76" s="4251"/>
      <c r="AO76" s="4251">
        <v>332</v>
      </c>
      <c r="AP76" s="4251">
        <v>300</v>
      </c>
      <c r="AQ76" s="4251"/>
      <c r="AR76" s="4251">
        <v>103</v>
      </c>
      <c r="AS76" s="4251"/>
      <c r="AT76" s="4251">
        <v>43</v>
      </c>
      <c r="AU76" s="4251">
        <v>42</v>
      </c>
      <c r="AV76" s="4251">
        <v>177</v>
      </c>
      <c r="AW76" s="4251"/>
      <c r="AX76" s="4251">
        <v>77</v>
      </c>
      <c r="AY76" s="4251"/>
      <c r="AZ76" s="4251"/>
      <c r="BA76" s="4251"/>
      <c r="BB76" s="4251">
        <v>18</v>
      </c>
      <c r="BC76" s="4251"/>
      <c r="BD76" s="4251">
        <v>8</v>
      </c>
      <c r="BE76" s="4251"/>
      <c r="BF76" s="4251">
        <v>53</v>
      </c>
      <c r="BG76" s="4251">
        <v>16</v>
      </c>
      <c r="BH76" s="4251">
        <v>315</v>
      </c>
      <c r="BI76" s="4251">
        <v>391</v>
      </c>
      <c r="BJ76" s="4251">
        <v>55</v>
      </c>
      <c r="BK76" s="4251">
        <v>24</v>
      </c>
      <c r="BL76" s="4251">
        <v>18</v>
      </c>
      <c r="BM76" s="4251">
        <v>22</v>
      </c>
      <c r="BN76" s="4251">
        <v>20</v>
      </c>
      <c r="BO76" s="4251">
        <v>178</v>
      </c>
      <c r="BP76" s="4251">
        <v>9</v>
      </c>
      <c r="BQ76" s="4251">
        <v>19</v>
      </c>
      <c r="BR76" s="4251">
        <v>11</v>
      </c>
      <c r="BS76" s="4251">
        <v>33</v>
      </c>
      <c r="BT76" s="4251">
        <v>12</v>
      </c>
      <c r="BU76" s="4251">
        <v>25</v>
      </c>
      <c r="BV76" s="4251">
        <v>28</v>
      </c>
      <c r="BW76" s="4251">
        <v>33</v>
      </c>
      <c r="BX76" s="4251">
        <v>33</v>
      </c>
      <c r="BY76" s="4251">
        <v>95</v>
      </c>
      <c r="BZ76" s="4251">
        <v>114</v>
      </c>
      <c r="CA76" s="4251">
        <v>113</v>
      </c>
      <c r="CB76" s="4251">
        <v>144</v>
      </c>
      <c r="CC76" s="4251">
        <v>100</v>
      </c>
      <c r="CD76" s="4251">
        <v>50</v>
      </c>
      <c r="CE76" s="4251">
        <v>150</v>
      </c>
      <c r="CF76" s="4251">
        <v>16</v>
      </c>
      <c r="CG76" s="4251">
        <v>43</v>
      </c>
      <c r="CH76" s="4251">
        <v>90</v>
      </c>
      <c r="CI76" s="4251"/>
      <c r="CJ76" s="4251"/>
      <c r="CK76" s="4251"/>
      <c r="CL76" s="4251">
        <v>97</v>
      </c>
      <c r="CM76" s="4251"/>
      <c r="CN76" s="4251"/>
      <c r="CO76" s="4251">
        <v>60</v>
      </c>
      <c r="CP76" s="4251">
        <v>270</v>
      </c>
      <c r="CQ76" s="4251">
        <v>100</v>
      </c>
      <c r="CR76" s="4251">
        <v>104</v>
      </c>
      <c r="CS76" s="4251"/>
      <c r="CT76" s="4251"/>
      <c r="CU76" s="4251">
        <v>100</v>
      </c>
      <c r="CV76" s="4251"/>
      <c r="CW76" s="4251"/>
      <c r="CX76" s="4251">
        <v>102</v>
      </c>
      <c r="CY76" s="4251">
        <v>44</v>
      </c>
      <c r="CZ76" s="4251">
        <v>56</v>
      </c>
      <c r="DA76" s="4251">
        <v>49</v>
      </c>
      <c r="DB76" s="4251"/>
      <c r="DC76" s="4251">
        <v>55</v>
      </c>
      <c r="DD76" s="4251">
        <v>55</v>
      </c>
      <c r="DE76" s="4251">
        <v>163</v>
      </c>
      <c r="DF76" s="4251"/>
      <c r="DG76" s="4251">
        <v>54</v>
      </c>
      <c r="DH76" s="4251">
        <v>206</v>
      </c>
      <c r="DI76" s="4251">
        <v>98</v>
      </c>
      <c r="DJ76" s="4251">
        <v>194</v>
      </c>
      <c r="DK76" s="4251">
        <v>99</v>
      </c>
      <c r="DL76" s="4251">
        <v>132</v>
      </c>
      <c r="DM76" s="4251">
        <v>100</v>
      </c>
      <c r="DN76" s="4251">
        <v>120</v>
      </c>
      <c r="DO76" s="4251"/>
      <c r="DP76" s="4251">
        <v>239</v>
      </c>
      <c r="DQ76" s="4251">
        <v>115</v>
      </c>
      <c r="DR76" s="4251">
        <v>214</v>
      </c>
      <c r="DS76" s="4251">
        <v>100</v>
      </c>
      <c r="DT76" s="4251"/>
      <c r="DU76" s="4251">
        <v>37</v>
      </c>
      <c r="DV76" s="4251"/>
      <c r="DW76" s="4251"/>
      <c r="DX76" s="4251"/>
      <c r="DY76" s="4252">
        <f>SUM(B24:DV24)</f>
        <v>5388</v>
      </c>
      <c r="DZ76" s="4251"/>
      <c r="EA76" s="4251"/>
      <c r="EB76" s="4251"/>
      <c r="EC76" s="4251">
        <v>83</v>
      </c>
      <c r="ED76" s="4251"/>
      <c r="EE76" s="4251"/>
      <c r="EF76" s="4251"/>
      <c r="EG76" s="4253"/>
      <c r="EH76" s="4253">
        <v>94</v>
      </c>
      <c r="EI76" s="4251"/>
      <c r="EJ76" s="4251"/>
      <c r="EK76" s="4251"/>
      <c r="EL76" s="4251">
        <v>15</v>
      </c>
      <c r="EM76" s="4251"/>
      <c r="EN76" s="4251">
        <v>64</v>
      </c>
      <c r="EO76" s="4251"/>
      <c r="EP76" s="4251">
        <v>97</v>
      </c>
      <c r="EQ76" s="4251">
        <v>68</v>
      </c>
      <c r="ER76" s="4251">
        <v>28</v>
      </c>
      <c r="ES76" s="4251">
        <v>97</v>
      </c>
      <c r="ET76" s="4251">
        <v>32</v>
      </c>
      <c r="EU76" s="4251"/>
      <c r="EV76" s="4251"/>
      <c r="EW76" s="4251"/>
      <c r="EX76" s="4251">
        <v>711</v>
      </c>
      <c r="EY76" s="4251">
        <v>365</v>
      </c>
      <c r="EZ76" s="4251">
        <v>610</v>
      </c>
      <c r="FA76" s="4251"/>
      <c r="FB76" s="4251"/>
      <c r="FC76" s="4251"/>
      <c r="FD76" s="4251">
        <v>150</v>
      </c>
      <c r="FE76" s="4251"/>
      <c r="FF76" s="4251"/>
      <c r="FG76" s="4251">
        <v>50</v>
      </c>
      <c r="FH76" s="4251"/>
      <c r="FI76" s="4251"/>
      <c r="FJ76" s="4251"/>
      <c r="FK76" s="4251">
        <v>183</v>
      </c>
      <c r="FL76" s="4251"/>
      <c r="FM76" s="4251">
        <v>196</v>
      </c>
      <c r="FN76" s="4251"/>
      <c r="FO76" s="4251">
        <v>419</v>
      </c>
      <c r="FP76" s="4251"/>
      <c r="FQ76" s="4251">
        <v>36</v>
      </c>
      <c r="FR76" s="4251">
        <v>21</v>
      </c>
      <c r="FS76" s="4251"/>
      <c r="FT76" s="4251">
        <v>11</v>
      </c>
      <c r="FU76" s="4251">
        <v>0</v>
      </c>
      <c r="FV76" s="4251">
        <v>43</v>
      </c>
      <c r="FW76" s="4251">
        <v>32</v>
      </c>
      <c r="FX76" s="4251">
        <v>23</v>
      </c>
      <c r="FY76" s="4251">
        <v>52</v>
      </c>
      <c r="FZ76" s="4251">
        <v>100</v>
      </c>
      <c r="GA76" s="4251">
        <v>200</v>
      </c>
      <c r="GB76" s="4251">
        <v>94</v>
      </c>
      <c r="GC76" s="4251">
        <v>113</v>
      </c>
      <c r="GD76" s="4251">
        <v>0</v>
      </c>
      <c r="GE76" s="4251"/>
      <c r="GF76" s="4251">
        <v>113</v>
      </c>
      <c r="GG76" s="4251"/>
      <c r="GH76" s="4251"/>
      <c r="GI76" s="4251"/>
      <c r="GJ76" s="4254">
        <f>SUM(DZ24:GI24)</f>
        <v>2775</v>
      </c>
      <c r="GK76" s="4252">
        <f>SUM(B24:DV24)+SUM(DZ24:GI24)</f>
        <v>8163</v>
      </c>
    </row>
    <row r="77" spans="1:206">
      <c r="B77" s="139">
        <f t="shared" ref="B77:BM77" si="9">B76-B17</f>
        <v>0</v>
      </c>
      <c r="C77" s="139">
        <f t="shared" si="9"/>
        <v>70</v>
      </c>
      <c r="D77" s="139">
        <f t="shared" si="9"/>
        <v>105</v>
      </c>
      <c r="E77" s="139">
        <f t="shared" si="9"/>
        <v>0</v>
      </c>
      <c r="F77" s="139">
        <f t="shared" si="9"/>
        <v>25</v>
      </c>
      <c r="G77" s="139">
        <f t="shared" si="9"/>
        <v>0</v>
      </c>
      <c r="H77" s="139">
        <f t="shared" si="9"/>
        <v>204</v>
      </c>
      <c r="I77" s="139">
        <f t="shared" si="9"/>
        <v>0</v>
      </c>
      <c r="J77" s="139">
        <f t="shared" si="9"/>
        <v>0</v>
      </c>
      <c r="K77" s="139">
        <f t="shared" si="9"/>
        <v>0</v>
      </c>
      <c r="L77" s="139">
        <f t="shared" si="9"/>
        <v>0</v>
      </c>
      <c r="M77" s="139">
        <f t="shared" si="9"/>
        <v>85</v>
      </c>
      <c r="N77" s="139">
        <f t="shared" si="9"/>
        <v>0</v>
      </c>
      <c r="O77" s="139">
        <f t="shared" si="9"/>
        <v>0</v>
      </c>
      <c r="P77" s="139">
        <f t="shared" si="9"/>
        <v>168</v>
      </c>
      <c r="Q77" s="139">
        <f t="shared" si="9"/>
        <v>42</v>
      </c>
      <c r="R77" s="139">
        <f t="shared" si="9"/>
        <v>0</v>
      </c>
      <c r="S77" s="139">
        <f t="shared" si="9"/>
        <v>180</v>
      </c>
      <c r="T77" s="139">
        <f t="shared" si="9"/>
        <v>0</v>
      </c>
      <c r="U77" s="139">
        <f t="shared" si="9"/>
        <v>272</v>
      </c>
      <c r="V77" s="139">
        <f t="shared" si="9"/>
        <v>8</v>
      </c>
      <c r="W77" s="139">
        <f t="shared" si="9"/>
        <v>0</v>
      </c>
      <c r="X77" s="139">
        <f t="shared" si="9"/>
        <v>0</v>
      </c>
      <c r="Y77" s="139">
        <f t="shared" si="9"/>
        <v>0</v>
      </c>
      <c r="Z77" s="139">
        <f t="shared" si="9"/>
        <v>110</v>
      </c>
      <c r="AA77" s="139">
        <f t="shared" si="9"/>
        <v>0</v>
      </c>
      <c r="AB77" s="139">
        <f t="shared" si="9"/>
        <v>0</v>
      </c>
      <c r="AC77" s="139">
        <f t="shared" si="9"/>
        <v>0</v>
      </c>
      <c r="AD77" s="139">
        <f t="shared" si="9"/>
        <v>80</v>
      </c>
      <c r="AE77" s="139">
        <f t="shared" si="9"/>
        <v>80</v>
      </c>
      <c r="AF77" s="139">
        <f t="shared" si="9"/>
        <v>0</v>
      </c>
      <c r="AG77" s="139">
        <f t="shared" si="9"/>
        <v>26</v>
      </c>
      <c r="AH77" s="139">
        <f t="shared" si="9"/>
        <v>210</v>
      </c>
      <c r="AI77" s="139">
        <f t="shared" si="9"/>
        <v>290</v>
      </c>
      <c r="AJ77" s="139">
        <f t="shared" si="9"/>
        <v>275</v>
      </c>
      <c r="AK77" s="139">
        <f t="shared" si="9"/>
        <v>40</v>
      </c>
      <c r="AL77" s="139">
        <f t="shared" si="9"/>
        <v>0</v>
      </c>
      <c r="AM77" s="139">
        <f t="shared" si="9"/>
        <v>0</v>
      </c>
      <c r="AN77" s="139">
        <f t="shared" si="9"/>
        <v>0</v>
      </c>
      <c r="AO77" s="139">
        <f t="shared" si="9"/>
        <v>332</v>
      </c>
      <c r="AP77" s="139">
        <f t="shared" si="9"/>
        <v>300</v>
      </c>
      <c r="AQ77" s="139">
        <f t="shared" si="9"/>
        <v>0</v>
      </c>
      <c r="AR77" s="139">
        <f t="shared" si="9"/>
        <v>103</v>
      </c>
      <c r="AS77" s="139">
        <f t="shared" si="9"/>
        <v>0</v>
      </c>
      <c r="AT77" s="139">
        <f t="shared" si="9"/>
        <v>43</v>
      </c>
      <c r="AU77" s="139">
        <f t="shared" si="9"/>
        <v>42</v>
      </c>
      <c r="AV77" s="139">
        <f t="shared" si="9"/>
        <v>177</v>
      </c>
      <c r="AW77" s="139">
        <f t="shared" si="9"/>
        <v>0</v>
      </c>
      <c r="AX77" s="139">
        <f t="shared" si="9"/>
        <v>77</v>
      </c>
      <c r="AY77" s="139">
        <f t="shared" si="9"/>
        <v>0</v>
      </c>
      <c r="AZ77" s="139">
        <f t="shared" si="9"/>
        <v>0</v>
      </c>
      <c r="BA77" s="139">
        <f t="shared" si="9"/>
        <v>0</v>
      </c>
      <c r="BB77" s="139">
        <f t="shared" si="9"/>
        <v>18</v>
      </c>
      <c r="BC77" s="139">
        <f t="shared" si="9"/>
        <v>0</v>
      </c>
      <c r="BD77" s="139">
        <f t="shared" si="9"/>
        <v>8</v>
      </c>
      <c r="BE77" s="139">
        <f t="shared" si="9"/>
        <v>0</v>
      </c>
      <c r="BF77" s="139">
        <f t="shared" si="9"/>
        <v>53</v>
      </c>
      <c r="BG77" s="139">
        <f t="shared" si="9"/>
        <v>16</v>
      </c>
      <c r="BH77" s="139">
        <f t="shared" si="9"/>
        <v>315</v>
      </c>
      <c r="BI77" s="139">
        <f t="shared" si="9"/>
        <v>391</v>
      </c>
      <c r="BJ77" s="139">
        <f t="shared" si="9"/>
        <v>55</v>
      </c>
      <c r="BK77" s="139">
        <f t="shared" si="9"/>
        <v>24</v>
      </c>
      <c r="BL77" s="139">
        <f t="shared" si="9"/>
        <v>18</v>
      </c>
      <c r="BM77" s="139">
        <f t="shared" si="9"/>
        <v>22</v>
      </c>
      <c r="BN77" s="139">
        <f t="shared" ref="BN77:EA77" si="10">BN76-BN17</f>
        <v>20</v>
      </c>
      <c r="BO77" s="139">
        <f t="shared" si="10"/>
        <v>178</v>
      </c>
      <c r="BP77" s="139">
        <f t="shared" si="10"/>
        <v>9</v>
      </c>
      <c r="BQ77" s="139">
        <f t="shared" si="10"/>
        <v>19</v>
      </c>
      <c r="BR77" s="139">
        <f t="shared" si="10"/>
        <v>11</v>
      </c>
      <c r="BS77" s="139">
        <f t="shared" si="10"/>
        <v>33</v>
      </c>
      <c r="BT77" s="139">
        <f t="shared" si="10"/>
        <v>12</v>
      </c>
      <c r="BU77" s="139">
        <f t="shared" si="10"/>
        <v>25</v>
      </c>
      <c r="BV77" s="139">
        <f t="shared" si="10"/>
        <v>28</v>
      </c>
      <c r="BW77" s="139">
        <f t="shared" si="10"/>
        <v>33</v>
      </c>
      <c r="BX77" s="139">
        <f t="shared" si="10"/>
        <v>33</v>
      </c>
      <c r="BY77" s="139">
        <f t="shared" si="10"/>
        <v>95</v>
      </c>
      <c r="BZ77" s="139">
        <f t="shared" si="10"/>
        <v>114</v>
      </c>
      <c r="CA77" s="139">
        <f t="shared" si="10"/>
        <v>113</v>
      </c>
      <c r="CB77" s="139">
        <f t="shared" si="10"/>
        <v>144</v>
      </c>
      <c r="CC77" s="139">
        <f t="shared" si="10"/>
        <v>100</v>
      </c>
      <c r="CD77" s="139">
        <f t="shared" si="10"/>
        <v>50</v>
      </c>
      <c r="CE77" s="139">
        <f t="shared" si="10"/>
        <v>150</v>
      </c>
      <c r="CF77" s="139">
        <f t="shared" si="10"/>
        <v>16</v>
      </c>
      <c r="CG77" s="139">
        <f t="shared" si="10"/>
        <v>43</v>
      </c>
      <c r="CH77" s="139">
        <f t="shared" si="10"/>
        <v>90</v>
      </c>
      <c r="CI77" s="139">
        <f t="shared" si="10"/>
        <v>0</v>
      </c>
      <c r="CJ77" s="139">
        <f t="shared" si="10"/>
        <v>0</v>
      </c>
      <c r="CK77" s="139">
        <f t="shared" si="10"/>
        <v>0</v>
      </c>
      <c r="CL77" s="139">
        <f t="shared" si="10"/>
        <v>97</v>
      </c>
      <c r="CM77" s="139">
        <f t="shared" si="10"/>
        <v>0</v>
      </c>
      <c r="CN77" s="139">
        <f t="shared" si="10"/>
        <v>0</v>
      </c>
      <c r="CO77" s="139">
        <f t="shared" si="10"/>
        <v>60</v>
      </c>
      <c r="CP77" s="139">
        <f t="shared" si="10"/>
        <v>270</v>
      </c>
      <c r="CQ77" s="139">
        <f t="shared" si="10"/>
        <v>100</v>
      </c>
      <c r="CR77" s="139">
        <f t="shared" si="10"/>
        <v>104</v>
      </c>
      <c r="CS77" s="139">
        <f t="shared" si="10"/>
        <v>0</v>
      </c>
      <c r="CT77" s="139">
        <f t="shared" si="10"/>
        <v>0</v>
      </c>
      <c r="CU77" s="139">
        <f t="shared" si="10"/>
        <v>100</v>
      </c>
      <c r="CV77" s="139">
        <f t="shared" si="10"/>
        <v>0</v>
      </c>
      <c r="CW77" s="139">
        <f t="shared" si="10"/>
        <v>0</v>
      </c>
      <c r="CX77" s="139">
        <f t="shared" si="10"/>
        <v>102</v>
      </c>
      <c r="CY77" s="139">
        <f t="shared" si="10"/>
        <v>44</v>
      </c>
      <c r="CZ77" s="139">
        <f t="shared" si="10"/>
        <v>56</v>
      </c>
      <c r="DA77" s="139">
        <f t="shared" si="10"/>
        <v>49</v>
      </c>
      <c r="DB77" s="139">
        <f t="shared" si="10"/>
        <v>0</v>
      </c>
      <c r="DC77" s="139">
        <f t="shared" si="10"/>
        <v>55</v>
      </c>
      <c r="DD77" s="139">
        <f t="shared" si="10"/>
        <v>55</v>
      </c>
      <c r="DE77" s="139">
        <f t="shared" si="10"/>
        <v>163</v>
      </c>
      <c r="DF77" s="139">
        <f t="shared" si="10"/>
        <v>0</v>
      </c>
      <c r="DG77" s="139">
        <f t="shared" si="10"/>
        <v>54</v>
      </c>
      <c r="DH77" s="139">
        <f t="shared" si="10"/>
        <v>206</v>
      </c>
      <c r="DI77" s="139">
        <f t="shared" si="10"/>
        <v>98</v>
      </c>
      <c r="DJ77" s="139">
        <f t="shared" si="10"/>
        <v>194</v>
      </c>
      <c r="DK77" s="139">
        <f t="shared" si="10"/>
        <v>99</v>
      </c>
      <c r="DL77" s="139">
        <f t="shared" si="10"/>
        <v>132</v>
      </c>
      <c r="DM77" s="139">
        <f t="shared" si="10"/>
        <v>100</v>
      </c>
      <c r="DN77" s="139">
        <f t="shared" si="10"/>
        <v>120</v>
      </c>
      <c r="DO77" s="139">
        <f t="shared" si="10"/>
        <v>0</v>
      </c>
      <c r="DP77" s="139">
        <f t="shared" si="10"/>
        <v>239</v>
      </c>
      <c r="DQ77" s="139">
        <f t="shared" si="10"/>
        <v>115</v>
      </c>
      <c r="DR77" s="139">
        <f t="shared" si="10"/>
        <v>214</v>
      </c>
      <c r="DS77" s="139">
        <f t="shared" si="10"/>
        <v>100</v>
      </c>
      <c r="DT77" s="139">
        <f t="shared" si="10"/>
        <v>0</v>
      </c>
      <c r="DU77" s="139">
        <f t="shared" si="10"/>
        <v>37</v>
      </c>
      <c r="DV77" s="139">
        <f t="shared" si="10"/>
        <v>0</v>
      </c>
      <c r="DW77" s="139"/>
      <c r="DX77" s="139"/>
      <c r="DY77" s="139">
        <f t="shared" si="10"/>
        <v>5388</v>
      </c>
      <c r="DZ77" s="139">
        <f t="shared" si="10"/>
        <v>0</v>
      </c>
      <c r="EA77" s="139">
        <f t="shared" si="10"/>
        <v>0</v>
      </c>
      <c r="EB77" s="139">
        <f t="shared" ref="EB77:GM77" si="11">EB76-EB17</f>
        <v>0</v>
      </c>
      <c r="EC77" s="139">
        <f t="shared" si="11"/>
        <v>83</v>
      </c>
      <c r="ED77" s="139">
        <f t="shared" si="11"/>
        <v>0</v>
      </c>
      <c r="EE77" s="139">
        <f t="shared" si="11"/>
        <v>0</v>
      </c>
      <c r="EF77" s="139">
        <f t="shared" si="11"/>
        <v>0</v>
      </c>
      <c r="EG77" s="4255">
        <f t="shared" si="11"/>
        <v>0</v>
      </c>
      <c r="EH77" s="4255">
        <f t="shared" si="11"/>
        <v>94</v>
      </c>
      <c r="EI77" s="139">
        <f t="shared" si="11"/>
        <v>0</v>
      </c>
      <c r="EJ77" s="139">
        <f t="shared" si="11"/>
        <v>0</v>
      </c>
      <c r="EK77" s="139">
        <f t="shared" si="11"/>
        <v>0</v>
      </c>
      <c r="EL77" s="139">
        <f t="shared" si="11"/>
        <v>15</v>
      </c>
      <c r="EM77" s="139">
        <f t="shared" si="11"/>
        <v>0</v>
      </c>
      <c r="EN77" s="139">
        <f t="shared" si="11"/>
        <v>64</v>
      </c>
      <c r="EO77" s="139">
        <f t="shared" si="11"/>
        <v>0</v>
      </c>
      <c r="EP77" s="139">
        <f t="shared" si="11"/>
        <v>97</v>
      </c>
      <c r="EQ77" s="139">
        <f t="shared" si="11"/>
        <v>68</v>
      </c>
      <c r="ER77" s="139">
        <f t="shared" si="11"/>
        <v>28</v>
      </c>
      <c r="ES77" s="139">
        <f t="shared" si="11"/>
        <v>97</v>
      </c>
      <c r="ET77" s="139">
        <f t="shared" si="11"/>
        <v>32</v>
      </c>
      <c r="EU77" s="139">
        <f t="shared" si="11"/>
        <v>0</v>
      </c>
      <c r="EV77" s="139">
        <f t="shared" si="11"/>
        <v>0</v>
      </c>
      <c r="EW77" s="139">
        <f t="shared" si="11"/>
        <v>0</v>
      </c>
      <c r="EX77" s="139">
        <f t="shared" si="11"/>
        <v>711</v>
      </c>
      <c r="EY77" s="139">
        <f t="shared" si="11"/>
        <v>365</v>
      </c>
      <c r="EZ77" s="139">
        <f t="shared" si="11"/>
        <v>610</v>
      </c>
      <c r="FA77" s="139">
        <f t="shared" si="11"/>
        <v>0</v>
      </c>
      <c r="FB77" s="139">
        <f t="shared" si="11"/>
        <v>0</v>
      </c>
      <c r="FC77" s="139">
        <f t="shared" si="11"/>
        <v>0</v>
      </c>
      <c r="FD77" s="139">
        <f t="shared" si="11"/>
        <v>150</v>
      </c>
      <c r="FE77" s="139">
        <f t="shared" si="11"/>
        <v>0</v>
      </c>
      <c r="FF77" s="139">
        <f t="shared" si="11"/>
        <v>0</v>
      </c>
      <c r="FG77" s="139">
        <f t="shared" si="11"/>
        <v>50</v>
      </c>
      <c r="FH77" s="139">
        <f t="shared" si="11"/>
        <v>0</v>
      </c>
      <c r="FI77" s="139">
        <f t="shared" si="11"/>
        <v>0</v>
      </c>
      <c r="FJ77" s="139">
        <f t="shared" si="11"/>
        <v>0</v>
      </c>
      <c r="FK77" s="139">
        <f t="shared" si="11"/>
        <v>183</v>
      </c>
      <c r="FL77" s="139">
        <f t="shared" si="11"/>
        <v>0</v>
      </c>
      <c r="FM77" s="139">
        <f t="shared" si="11"/>
        <v>196</v>
      </c>
      <c r="FN77" s="139">
        <f t="shared" si="11"/>
        <v>0</v>
      </c>
      <c r="FO77" s="139">
        <f t="shared" si="11"/>
        <v>419</v>
      </c>
      <c r="FP77" s="139">
        <f t="shared" si="11"/>
        <v>0</v>
      </c>
      <c r="FQ77" s="139">
        <f t="shared" si="11"/>
        <v>36</v>
      </c>
      <c r="FR77" s="139">
        <f t="shared" si="11"/>
        <v>21</v>
      </c>
      <c r="FS77" s="139">
        <f t="shared" si="11"/>
        <v>0</v>
      </c>
      <c r="FT77" s="139">
        <f t="shared" si="11"/>
        <v>11</v>
      </c>
      <c r="FU77" s="139">
        <f t="shared" si="11"/>
        <v>0</v>
      </c>
      <c r="FV77" s="139">
        <f t="shared" si="11"/>
        <v>43</v>
      </c>
      <c r="FW77" s="139">
        <f t="shared" si="11"/>
        <v>32</v>
      </c>
      <c r="FX77" s="139">
        <f t="shared" si="11"/>
        <v>23</v>
      </c>
      <c r="FY77" s="139">
        <f t="shared" si="11"/>
        <v>52</v>
      </c>
      <c r="FZ77" s="139">
        <f t="shared" si="11"/>
        <v>100</v>
      </c>
      <c r="GA77" s="139">
        <f t="shared" si="11"/>
        <v>200</v>
      </c>
      <c r="GB77" s="139">
        <f t="shared" si="11"/>
        <v>94</v>
      </c>
      <c r="GC77" s="139">
        <f t="shared" si="11"/>
        <v>113</v>
      </c>
      <c r="GD77" s="139">
        <f t="shared" si="11"/>
        <v>0</v>
      </c>
      <c r="GE77" s="139">
        <f t="shared" si="11"/>
        <v>0</v>
      </c>
      <c r="GF77" s="139">
        <f t="shared" si="11"/>
        <v>113</v>
      </c>
      <c r="GG77" s="139">
        <f t="shared" si="11"/>
        <v>0</v>
      </c>
      <c r="GH77" s="139">
        <f t="shared" si="11"/>
        <v>0</v>
      </c>
      <c r="GI77" s="139">
        <f t="shared" si="11"/>
        <v>0</v>
      </c>
      <c r="GJ77" s="139">
        <f t="shared" si="11"/>
        <v>2775</v>
      </c>
      <c r="GK77" s="139">
        <f t="shared" si="11"/>
        <v>8163</v>
      </c>
      <c r="GL77" s="139">
        <f t="shared" si="11"/>
        <v>-97.41</v>
      </c>
      <c r="GM77" s="4256">
        <f t="shared" si="11"/>
        <v>-0.58333333333333337</v>
      </c>
      <c r="GN77" s="139">
        <f t="shared" ref="GN77:GX77" si="12">GN76-GN17</f>
        <v>0</v>
      </c>
      <c r="GO77" s="139">
        <f t="shared" si="12"/>
        <v>0</v>
      </c>
      <c r="GP77" s="139">
        <f t="shared" si="12"/>
        <v>0</v>
      </c>
      <c r="GQ77" s="139">
        <f t="shared" si="12"/>
        <v>0</v>
      </c>
      <c r="GR77" s="139">
        <f t="shared" si="12"/>
        <v>0</v>
      </c>
      <c r="GS77" s="139">
        <f t="shared" si="12"/>
        <v>0</v>
      </c>
      <c r="GT77" s="139">
        <f t="shared" si="12"/>
        <v>0</v>
      </c>
      <c r="GU77" s="139">
        <f t="shared" si="12"/>
        <v>0</v>
      </c>
      <c r="GV77" s="139">
        <f t="shared" si="12"/>
        <v>0</v>
      </c>
      <c r="GW77" s="139">
        <f t="shared" si="12"/>
        <v>0</v>
      </c>
      <c r="GX77" s="139">
        <f t="shared" si="12"/>
        <v>0</v>
      </c>
    </row>
    <row r="83" spans="137:195">
      <c r="GD83" s="177"/>
    </row>
    <row r="86" spans="137:195" s="143" customFormat="1">
      <c r="EG86" s="130"/>
      <c r="EH86" s="130"/>
      <c r="GM86" s="994"/>
    </row>
    <row r="91" spans="137:195" s="143" customFormat="1">
      <c r="EG91" s="130"/>
      <c r="EH91" s="130"/>
      <c r="GM91" s="994"/>
    </row>
    <row r="92" spans="137:195" s="143" customFormat="1">
      <c r="EG92" s="130"/>
      <c r="EH92" s="130"/>
      <c r="GM92" s="994"/>
    </row>
    <row r="93" spans="137:195" s="143" customFormat="1">
      <c r="EG93" s="130"/>
      <c r="EH93" s="130"/>
      <c r="GM93" s="994"/>
    </row>
    <row r="94" spans="137:195" s="143" customFormat="1">
      <c r="EG94" s="130"/>
      <c r="EH94" s="130"/>
      <c r="GM94" s="994"/>
    </row>
    <row r="95" spans="137:195" s="143" customFormat="1">
      <c r="EG95" s="130"/>
      <c r="EH95" s="130"/>
      <c r="GM95" s="994"/>
    </row>
    <row r="96" spans="137:195" s="143" customFormat="1">
      <c r="EG96" s="130"/>
      <c r="EH96" s="130"/>
      <c r="GM96" s="994"/>
    </row>
    <row r="106" spans="1:195">
      <c r="D106" s="994"/>
    </row>
    <row r="107" spans="1:195">
      <c r="A107" s="983"/>
      <c r="B107" s="5218"/>
      <c r="C107" s="5218"/>
      <c r="D107" s="5218"/>
      <c r="E107" s="5218"/>
      <c r="F107" s="5218"/>
      <c r="G107" s="1637"/>
    </row>
    <row r="108" spans="1:195">
      <c r="A108" s="181"/>
      <c r="B108" s="5218"/>
      <c r="C108" s="5218"/>
      <c r="D108" s="5218"/>
      <c r="E108" s="5218"/>
      <c r="F108" s="5218"/>
      <c r="G108" s="1637"/>
    </row>
    <row r="109" spans="1:195" s="143" customFormat="1">
      <c r="EG109" s="130"/>
      <c r="EH109" s="130"/>
      <c r="GM109" s="994"/>
    </row>
    <row r="128" spans="137:195" s="143" customFormat="1">
      <c r="EG128" s="130"/>
      <c r="EH128" s="130"/>
      <c r="GM128" s="994"/>
    </row>
    <row r="209" spans="1:2">
      <c r="A209" s="983"/>
      <c r="B209" s="983"/>
    </row>
    <row r="210" spans="1:2">
      <c r="A210" s="983"/>
      <c r="B210" s="983">
        <v>1</v>
      </c>
    </row>
  </sheetData>
  <customSheetViews>
    <customSheetView guid="{7C71EF2A-5ADA-494C-8F58-DDA71753DD90}" scale="80" showPageBreaks="1">
      <pane xSplit="1" ySplit="3" topLeftCell="DI4" activePane="bottomRight" state="frozen"/>
      <selection pane="bottomRight" activeCell="DQ3" sqref="DQ3:GA30"/>
      <rowBreaks count="1" manualBreakCount="1">
        <brk id="34" max="16383" man="1"/>
      </rowBreaks>
      <colBreaks count="1" manualBreakCount="1">
        <brk id="18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"/>
    </customSheetView>
    <customSheetView guid="{B91C2E87-5EDA-40AE-AC27-0E2C17E803CE}" showPageBreaks="1" printArea="1">
      <pane xSplit="1" ySplit="3" topLeftCell="CE4" activePane="bottomRight" state="frozen"/>
      <selection pane="bottomRight" activeCell="CH14" sqref="CH14"/>
      <rowBreaks count="1" manualBreakCount="1">
        <brk id="34" max="16383" man="1"/>
      </rowBreaks>
      <colBreaks count="1" manualBreakCount="1">
        <brk id="18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2"/>
    </customSheetView>
    <customSheetView guid="{23F4DC00-BC97-4745-AA5C-F05D469CB1EF}" scale="80" showPageBreaks="1" printArea="1" topLeftCell="A3">
      <pane xSplit="1" ySplit="4" topLeftCell="DH19" activePane="bottomRight" state="frozen"/>
      <selection pane="bottomRight" activeCell="DK27" sqref="DK27"/>
      <rowBreaks count="1" manualBreakCount="1">
        <brk id="33" max="16383" man="1"/>
      </rowBreaks>
      <colBreaks count="1" manualBreakCount="1">
        <brk id="177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3"/>
    </customSheetView>
    <customSheetView guid="{4593F3EE-0998-4E0E-994A-E02D6BAF3A4B}" scale="61" showPageBreaks="1" printArea="1" topLeftCell="A3">
      <pane xSplit="1" ySplit="3" topLeftCell="B6" activePane="bottomRight" state="frozen"/>
      <selection pane="bottomRight" activeCell="D15" sqref="D15"/>
      <rowBreaks count="1" manualBreakCount="1">
        <brk id="34" max="16383" man="1"/>
      </rowBreaks>
      <colBreaks count="1" manualBreakCount="1">
        <brk id="17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4"/>
    </customSheetView>
    <customSheetView guid="{917057C8-5E5F-4164-B84C-85103677A2E5}" scale="90">
      <pane xSplit="1" ySplit="2" topLeftCell="AI4" activePane="bottomRight" state="frozen"/>
      <selection pane="bottomRight" activeCell="AM8" sqref="AM8"/>
      <rowBreaks count="1" manualBreakCount="1">
        <brk id="34" max="16383" man="1"/>
      </rowBreaks>
      <colBreaks count="1" manualBreakCount="1">
        <brk id="18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5"/>
    </customSheetView>
    <customSheetView guid="{5A803268-F6C5-4035-B3E1-A94CB9AA8994}" scale="80" showPageBreaks="1" printArea="1" hiddenRows="1">
      <pane xSplit="1" ySplit="3" topLeftCell="R20" activePane="bottomRight" state="frozen"/>
      <selection pane="bottomRight" activeCell="FU25" sqref="FU25"/>
      <rowBreaks count="1" manualBreakCount="1">
        <brk id="32" max="16383" man="1"/>
      </rowBreaks>
      <colBreaks count="1" manualBreakCount="1">
        <brk id="176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6"/>
    </customSheetView>
    <customSheetView guid="{751D391F-C74F-4B53-B5B5-25E01AC12EA4}" scale="66">
      <pane xSplit="1" ySplit="3" topLeftCell="B29" activePane="bottomRight" state="frozen"/>
      <selection pane="bottomRight" activeCell="D37" sqref="D37:E37"/>
      <rowBreaks count="1" manualBreakCount="1">
        <brk id="35" max="16383" man="1"/>
      </rowBreaks>
      <colBreaks count="1" manualBreakCount="1">
        <brk id="19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7"/>
    </customSheetView>
    <customSheetView guid="{D1D1E152-95AB-45D3-AC07-4EC0834D3E0C}" scale="71">
      <pane xSplit="1" ySplit="3" topLeftCell="B4" activePane="bottomRight" state="frozen"/>
      <selection pane="bottomRight" activeCell="B14" sqref="B14:GL14"/>
      <rowBreaks count="1" manualBreakCount="1">
        <brk id="35" max="16383" man="1"/>
      </rowBreaks>
      <colBreaks count="1" manualBreakCount="1">
        <brk id="19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8"/>
    </customSheetView>
    <customSheetView guid="{4DB6C640-CE65-4513-9E5A-F6CDD1F4B8AF}">
      <pane xSplit="1" ySplit="3" topLeftCell="FB4" activePane="bottomRight" state="frozen"/>
      <selection pane="bottomRight" activeCell="DX1" sqref="DX1:DX1048576"/>
      <rowBreaks count="1" manualBreakCount="1">
        <brk id="35" max="16383" man="1"/>
      </rowBreaks>
      <colBreaks count="1" manualBreakCount="1">
        <brk id="191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9"/>
    </customSheetView>
    <customSheetView guid="{C3348F62-02F2-4500-9BF2-19F2DEA57A8D}" showPageBreaks="1">
      <pane xSplit="1" ySplit="3" topLeftCell="CB34" activePane="bottomRight" state="frozen"/>
      <selection pane="bottomRight" activeCell="CC38" sqref="CC38"/>
      <rowBreaks count="1" manualBreakCount="1">
        <brk id="35" max="16383" man="1"/>
      </rowBreaks>
      <colBreaks count="1" manualBreakCount="1">
        <brk id="19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0"/>
    </customSheetView>
  </customSheetViews>
  <mergeCells count="32">
    <mergeCell ref="B107:F107"/>
    <mergeCell ref="B108:F108"/>
    <mergeCell ref="B44:C44"/>
    <mergeCell ref="D44:E44"/>
    <mergeCell ref="B45:C45"/>
    <mergeCell ref="D45:E45"/>
    <mergeCell ref="B47:C47"/>
    <mergeCell ref="D47:E47"/>
    <mergeCell ref="K37:L37"/>
    <mergeCell ref="K38:L38"/>
    <mergeCell ref="K39:L39"/>
    <mergeCell ref="B38:C39"/>
    <mergeCell ref="D39:E39"/>
    <mergeCell ref="K40:L40"/>
    <mergeCell ref="K41:L41"/>
    <mergeCell ref="K42:L42"/>
    <mergeCell ref="D43:E43"/>
    <mergeCell ref="K43:L43"/>
    <mergeCell ref="D42:E42"/>
    <mergeCell ref="B43:C43"/>
    <mergeCell ref="D35:E35"/>
    <mergeCell ref="D37:E37"/>
    <mergeCell ref="D38:E38"/>
    <mergeCell ref="D40:E40"/>
    <mergeCell ref="D41:E41"/>
    <mergeCell ref="D36:E36"/>
    <mergeCell ref="B35:C35"/>
    <mergeCell ref="B37:C37"/>
    <mergeCell ref="B40:C40"/>
    <mergeCell ref="B41:C41"/>
    <mergeCell ref="B42:C42"/>
    <mergeCell ref="B36:C36"/>
  </mergeCells>
  <dataValidations disablePrompts="1" xWindow="462" yWindow="207" count="4">
    <dataValidation type="list" allowBlank="1" showInputMessage="1" showErrorMessage="1" sqref="D43:E43">
      <formula1>$B$63:$B$65</formula1>
    </dataValidation>
    <dataValidation type="list" allowBlank="1" showInputMessage="1" showErrorMessage="1" sqref="D37:E37">
      <formula1>$C$63:$C$71</formula1>
    </dataValidation>
    <dataValidation type="list" allowBlank="1" showInputMessage="1" showErrorMessage="1" sqref="D42:E42">
      <formula1>$D$63:$D$71</formula1>
    </dataValidation>
    <dataValidation allowBlank="1" showInputMessage="1" showErrorMessage="1" prompt="precision" sqref="AL3"/>
  </dataValidations>
  <printOptions horizontalCentered="1" verticalCentered="1"/>
  <pageMargins left="0.2" right="0.2" top="0.75" bottom="0.75" header="0.3" footer="0.3"/>
  <pageSetup paperSize="9" scale="40" orientation="landscape" r:id="rId11"/>
  <rowBreaks count="1" manualBreakCount="1">
    <brk id="35" max="16383" man="1"/>
  </rowBreaks>
  <colBreaks count="1" manualBreakCount="1">
    <brk id="190" max="1048575" man="1"/>
  </colBreaks>
  <legacyDrawing r:id="rId12"/>
  <controls>
    <control shapeId="2062" r:id="rId13" name="CBox_Insert"/>
    <control shapeId="2061" r:id="rId14" name="CBoxLocal"/>
    <control shapeId="2058" r:id="rId15" name="CBtnCreateMorningReport"/>
    <control shapeId="2057" r:id="rId16" name="CBtnCreateDailyReport"/>
    <control shapeId="2056" r:id="rId17" name="CBtDeleteFromReport"/>
    <control shapeId="2055" r:id="rId18" name="CBtnAddToReport"/>
    <control shapeId="2054" r:id="rId19" name="CBtnDeleteMachine"/>
    <control shapeId="2053" r:id="rId20" name="CBtnAddMachine"/>
    <control shapeId="2049" r:id="rId21" name="CBtnTransferData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B050"/>
  </sheetPr>
  <dimension ref="A1:EA124"/>
  <sheetViews>
    <sheetView zoomScale="70" zoomScaleNormal="70" workbookViewId="0">
      <selection activeCell="L12" sqref="L12"/>
    </sheetView>
  </sheetViews>
  <sheetFormatPr defaultColWidth="9.140625" defaultRowHeight="23.25"/>
  <cols>
    <col min="1" max="1" width="36.28515625" style="98" customWidth="1"/>
    <col min="2" max="2" width="13.7109375" style="3620" customWidth="1"/>
    <col min="3" max="3" width="23.5703125" style="1398" customWidth="1"/>
    <col min="4" max="4" width="21.7109375" style="1398" customWidth="1"/>
    <col min="5" max="5" width="21.140625" style="1398" customWidth="1"/>
    <col min="6" max="6" width="22.28515625" style="1398" customWidth="1"/>
    <col min="7" max="7" width="18" style="1398" customWidth="1"/>
    <col min="8" max="8" width="15.42578125" style="1398" customWidth="1"/>
    <col min="9" max="10" width="15.7109375" style="1398" customWidth="1"/>
    <col min="11" max="11" width="17" style="1398" customWidth="1"/>
    <col min="12" max="12" width="26.5703125" style="1398" customWidth="1"/>
    <col min="13" max="13" width="18" style="98" customWidth="1"/>
    <col min="14" max="14" width="24.140625" style="103" customWidth="1"/>
    <col min="15" max="15" width="20.140625" style="98" customWidth="1"/>
    <col min="16" max="17" width="19.140625" style="98" customWidth="1"/>
    <col min="18" max="18" width="20.42578125" style="98" customWidth="1"/>
    <col min="19" max="19" width="20.85546875" style="98" customWidth="1"/>
    <col min="20" max="20" width="16" style="98" customWidth="1"/>
    <col min="21" max="21" width="24.85546875" style="98" customWidth="1"/>
    <col min="22" max="22" width="19.7109375" style="98" bestFit="1" customWidth="1"/>
    <col min="23" max="23" width="11" style="98" bestFit="1" customWidth="1"/>
    <col min="24" max="24" width="14.42578125" style="98" bestFit="1" customWidth="1"/>
    <col min="25" max="27" width="10.7109375" style="98" bestFit="1" customWidth="1"/>
    <col min="28" max="28" width="14.42578125" style="98" bestFit="1" customWidth="1"/>
    <col min="29" max="16384" width="9.140625" style="98"/>
  </cols>
  <sheetData>
    <row r="1" spans="1:21" ht="13.5" customHeight="1" thickBot="1">
      <c r="A1" s="94"/>
      <c r="B1" s="1393"/>
      <c r="C1" s="1393"/>
      <c r="D1" s="1393"/>
      <c r="E1" s="1393" t="s">
        <v>18</v>
      </c>
      <c r="F1" s="1393"/>
      <c r="G1" s="1393"/>
      <c r="H1" s="1393"/>
      <c r="I1" s="1393"/>
      <c r="J1" s="1393"/>
      <c r="K1" s="1393"/>
      <c r="L1" s="1394"/>
      <c r="M1" s="96"/>
      <c r="N1" s="949"/>
      <c r="Q1" s="189"/>
    </row>
    <row r="2" spans="1:21" ht="30" customHeight="1" thickBot="1">
      <c r="A2" s="94"/>
      <c r="B2" s="3616" t="s">
        <v>19</v>
      </c>
      <c r="C2" s="5226">
        <f>GEntry!A2</f>
        <v>43107</v>
      </c>
      <c r="D2" s="5227"/>
      <c r="E2" s="5228"/>
      <c r="F2" s="1395" t="s">
        <v>18</v>
      </c>
      <c r="G2" s="1396"/>
      <c r="H2" s="1395"/>
      <c r="I2" s="1395"/>
      <c r="J2" s="1396"/>
      <c r="K2" s="1395"/>
      <c r="L2" s="1394"/>
      <c r="M2" s="96"/>
      <c r="N2" s="949"/>
      <c r="Q2" s="93"/>
      <c r="R2" s="93"/>
    </row>
    <row r="3" spans="1:21" ht="24" thickBot="1">
      <c r="A3" s="94"/>
      <c r="B3" s="1397"/>
      <c r="C3" s="1395"/>
      <c r="D3" s="1395"/>
      <c r="E3" s="1395"/>
      <c r="F3" s="1395"/>
      <c r="G3" s="1395"/>
      <c r="H3" s="1395"/>
      <c r="I3" s="1395"/>
      <c r="J3" s="1395"/>
      <c r="K3" s="1395"/>
      <c r="L3" s="1394"/>
      <c r="M3" s="96"/>
      <c r="N3" s="949"/>
      <c r="O3" s="1034" t="s">
        <v>107</v>
      </c>
      <c r="Q3" s="93"/>
      <c r="R3" s="93"/>
    </row>
    <row r="4" spans="1:21" s="93" customFormat="1" ht="21.75" customHeight="1" thickBot="1">
      <c r="A4" s="101"/>
      <c r="B4" s="5224" t="s">
        <v>20</v>
      </c>
      <c r="C4" s="3572"/>
      <c r="D4" s="3573"/>
      <c r="E4" s="3573"/>
      <c r="F4" s="3573"/>
      <c r="G4" s="3573" t="s">
        <v>14</v>
      </c>
      <c r="H4" s="3573"/>
      <c r="I4" s="3573"/>
      <c r="J4" s="3573"/>
      <c r="K4" s="3573"/>
      <c r="L4" s="3574"/>
      <c r="M4" s="5229" t="s">
        <v>26</v>
      </c>
      <c r="N4" s="950"/>
      <c r="O4" s="1035" t="s">
        <v>108</v>
      </c>
    </row>
    <row r="5" spans="1:21" s="172" customFormat="1" ht="27.75" customHeight="1" thickBot="1">
      <c r="A5" s="171"/>
      <c r="B5" s="5225"/>
      <c r="C5" s="3575" t="s">
        <v>27</v>
      </c>
      <c r="D5" s="3576" t="s">
        <v>21</v>
      </c>
      <c r="E5" s="3576" t="s">
        <v>22</v>
      </c>
      <c r="F5" s="3577" t="s">
        <v>23</v>
      </c>
      <c r="G5" s="3577" t="s">
        <v>45</v>
      </c>
      <c r="H5" s="3577" t="s">
        <v>175</v>
      </c>
      <c r="I5" s="3577" t="s">
        <v>109</v>
      </c>
      <c r="J5" s="3578" t="s">
        <v>129</v>
      </c>
      <c r="K5" s="3578" t="s">
        <v>130</v>
      </c>
      <c r="L5" s="3579" t="s">
        <v>12</v>
      </c>
      <c r="M5" s="5230"/>
      <c r="N5" s="950"/>
      <c r="O5" s="953" t="s">
        <v>12</v>
      </c>
      <c r="P5" s="93"/>
      <c r="Q5" s="93"/>
      <c r="R5" s="93"/>
    </row>
    <row r="6" spans="1:21" ht="39.75" customHeight="1">
      <c r="A6" s="94"/>
      <c r="B6" s="4660">
        <v>4.1666666666666602E-2</v>
      </c>
      <c r="C6" s="4661">
        <f>Master!N14+Master!B14+Master!C14+Master!D14+Master!E14+Master!F14+Master!G14+Master!H14 +Master!I14+Master!J14+Master!L14+Master!M14+Master!R14+Master!S14+Master!T14+Master!AE14+Master!AF14+Master!AG14+Master!AH14+Master!AI14+Master!AK14+Master!AN14+Master!AO14+Master!AQ14+Master!AS14+Master!AU14+Master!BB14+Master!BC14 +Master!BD14+Master!BE14+Master!BF14+Master!BG14+Master!BH14+Master!BI14+Master!BJ14+Master!BK14+Master!BL14+Master!BM14 +Master!BN14+Master!BO14+Master!BP14+Master!BS14+Master!BT14+Master!BU14+Master!BV14+Master!BX14+Master!BZ14+Master!CB14+Master!CC14+Master!CD14+Master!CE14+Master!CF14+Master!CG14+Master!CH14+Master!CI14+Master!CJ14+Master!CK14+Master!CL14+Master!CM14+Master!CN14+Master!CO14+Master!CP14+Master!CQ14+Master!EA14+Master!EJ14+Master!EK14  +Master!EN14+Master!EO14+Master!EX14+Master!EY14+Master!EZ14+Master!FF14+Master!FJ14+Master!FL14+Master!FH14+Master!FN14+Master!DC14+Master!DN14+Master!FX14+Master!DS14</f>
        <v>4064</v>
      </c>
      <c r="D6" s="4662">
        <f>Master!K14+Master!O14+Master!P14+Master!Q14+Master!U14+Master!V14+Master!W14+Master!X14+Master!Y14+Master!AA14+Master!AB14+Master!AC14+Master!AD14+Master!AJ14+Master!AP14+Master!AV14+Master!AW14+Master!AX14+Master!AY14+Master!AZ14+Master!BA14+Master!BQ14+Master!BR14+Master!BY14+Master!EB14+Master!EC14+Master!EG14+Master!EH14+Master!EI14+Master!EL14+Master!EP14+Master!EQ14+Master!ER14+Master!ES14+Master!ET14+Master!EU14+Master!EV14+Master!EW14+Master!CS14+Master!CV14+Master!CX14+Master!FO14+Master!CZ14+Master!DA14+Master!DB14+Master!DD14+Master!FQ14+Master!FR14+Master!DE14+Master!DF14+Master!DH14+Master!FS14+Master!DI14+Master!DJ14+Master!FV14+Master!DK14+Master!DL14+Master!DM14+Master!DO14+Master!DQ14+Master!FZ14+Master!DR14+Master!DT14+Master!DV14+Master!DW14+Master!GC14</f>
        <v>1036</v>
      </c>
      <c r="E6" s="4663">
        <f>Master!Z14+Master!AR14+Master!DZ14+Master!ED14+Master!EM14+Master!FD14+Master!FE14+Master!FG14+Master!AT14+Master!CR14+Master!FK14+Master!CT14+Master!CU14+Master!FM14+Master!CW14+Master!FI14+Master!FP14+Master!FT14+Master!FY14</f>
        <v>0</v>
      </c>
      <c r="F6" s="4664">
        <f t="shared" ref="F6:F7" si="0">D6+E6</f>
        <v>1036</v>
      </c>
      <c r="G6" s="4664">
        <f>Master!FA14+Master!FB14+Master!FC14+Master!FW14</f>
        <v>499</v>
      </c>
      <c r="H6" s="4664">
        <f>Master!CA14+Master!CY14+Master!DG14+Master!FU14+Master!DP14+Master!DU14+Master!GA14+Master!GB14</f>
        <v>0</v>
      </c>
      <c r="I6" s="4664">
        <f>Master!AL14+Master!AM14</f>
        <v>80</v>
      </c>
      <c r="J6" s="4664">
        <f>Master!BW14</f>
        <v>65</v>
      </c>
      <c r="K6" s="4665">
        <f>Master!DY14</f>
        <v>469</v>
      </c>
      <c r="L6" s="4666">
        <f>C6+F6+G6+H6+I6+J6+K6</f>
        <v>6213</v>
      </c>
      <c r="M6" s="3580"/>
      <c r="N6" s="951"/>
      <c r="O6" s="1581">
        <f xml:space="preserve"> Master!Z14+Master!AC14+Master!AD14+Master!AE14+Master!AF14+Master!AG14+Master!AH14+Master!AI14+Master!AJ14</f>
        <v>167</v>
      </c>
      <c r="P6" s="93"/>
      <c r="Q6" s="93"/>
      <c r="R6" s="93"/>
      <c r="S6" s="1835"/>
    </row>
    <row r="7" spans="1:21" ht="39.75" customHeight="1">
      <c r="A7" s="94"/>
      <c r="B7" s="4667">
        <v>8.3333333333333301E-2</v>
      </c>
      <c r="C7" s="4661">
        <f>Master!N15+Master!B15+Master!C15+Master!D15+Master!E15+Master!F15+Master!G15+Master!H15 +Master!I15+Master!J15+Master!L15+Master!M15+Master!R15+Master!S15+Master!T15+Master!AE15+Master!AF15+Master!AG15+Master!AH15+Master!AI15+Master!AK15+Master!AN15+Master!AO15+Master!AQ15+Master!AS15+Master!AU15+Master!BB15+Master!BC15 +Master!BD15+Master!BE15+Master!BF15+Master!BG15+Master!BH15+Master!BI15+Master!BJ15+Master!BK15+Master!BL15+Master!BM15 +Master!BN15+Master!BO15+Master!BP15+Master!BS15+Master!BT15+Master!BU15+Master!BV15+Master!BX15+Master!BZ15+Master!CB15+Master!CC15+Master!CD15+Master!CE15+Master!CF15+Master!CG15+Master!CH15+Master!CI15+Master!CJ15+Master!CK15+Master!CL15+Master!CM15+Master!CN15+Master!CO15+Master!CP15+Master!CQ15+Master!EA15+Master!EJ15+Master!EK15  +Master!EN15+Master!EO15+Master!EX15+Master!EY15+Master!EZ15+Master!FF15+Master!FJ15+Master!FL15+Master!FH15+Master!FN15+Master!DC15+Master!DN15+Master!FX15+Master!DS15</f>
        <v>4029</v>
      </c>
      <c r="D7" s="4662">
        <f>Master!K15+Master!O15+Master!P15+Master!Q15+Master!U15+Master!V15+Master!W15+Master!X15+Master!Y15+Master!AA15+Master!AB15+Master!AC15+Master!AD15+Master!AJ15+Master!AP15+Master!AV15+Master!AW15+Master!AX15+Master!AY15+Master!AZ15+Master!BA15+Master!BQ15+Master!BR15+Master!BY15+Master!EB15+Master!EC15+Master!EG15+Master!EH15+Master!EI15+Master!EL15+Master!EP15+Master!EQ15+Master!ER15+Master!ES15+Master!ET15+Master!EU15+Master!EV15+Master!EW15+Master!CS15+Master!CV15+Master!CX15+Master!FO15+Master!CZ15+Master!DA15+Master!DB15+Master!DD15+Master!FQ15+Master!FR15+Master!DE15+Master!DF15+Master!DH15+Master!FS15+Master!DI15+Master!DJ15+Master!FV15+Master!DK15+Master!DL15+Master!DM15+Master!DO15+Master!DQ15+Master!FZ15+Master!DR15+Master!DT15+Master!DV15+Master!DW15+Master!GC15</f>
        <v>697</v>
      </c>
      <c r="E7" s="4663">
        <f>Master!Z15+Master!AR15+Master!DZ15+Master!ED15+Master!EM15+Master!FD15+Master!FE15+Master!FG15+Master!AT15+Master!CR15+Master!FK15+Master!CT15+Master!CU15+Master!FM15+Master!CW15+Master!FI15+Master!FP15+Master!FT15+Master!FY15</f>
        <v>0</v>
      </c>
      <c r="F7" s="4664">
        <f t="shared" si="0"/>
        <v>697</v>
      </c>
      <c r="G7" s="4664">
        <f>Master!FA15+Master!FB15+Master!FC15+Master!FW15</f>
        <v>499</v>
      </c>
      <c r="H7" s="4664">
        <f>Master!CA15+Master!CY15+Master!DG15+Master!FU15+Master!DP15+Master!DU15+Master!GA15+Master!GB15</f>
        <v>0</v>
      </c>
      <c r="I7" s="4664">
        <f>Master!AL15+Master!AM15</f>
        <v>77</v>
      </c>
      <c r="J7" s="4664">
        <f>Master!BW15</f>
        <v>64</v>
      </c>
      <c r="K7" s="4665">
        <f>Master!DY15</f>
        <v>422</v>
      </c>
      <c r="L7" s="4666">
        <f t="shared" ref="L7:L9" si="1">C7+F7+G7+H7+I7+J7+K7</f>
        <v>5788</v>
      </c>
      <c r="M7" s="3581"/>
      <c r="N7" s="951"/>
      <c r="O7" s="1581">
        <f xml:space="preserve"> Master!Z15+Master!AC15+Master!AD15+Master!AE15+Master!AF15+Master!AG15+Master!AH15+Master!AI15+Master!AJ15</f>
        <v>149</v>
      </c>
      <c r="P7" s="93"/>
      <c r="Q7" s="93"/>
      <c r="R7" s="93"/>
      <c r="S7" s="93"/>
    </row>
    <row r="8" spans="1:21" ht="39.75" customHeight="1">
      <c r="A8" s="94"/>
      <c r="B8" s="4667">
        <v>0.125</v>
      </c>
      <c r="C8" s="4661">
        <f>Master!N16+Master!B16+Master!C16+Master!D16+Master!E16+Master!F16+Master!G16+Master!H16 +Master!I16+Master!J16+Master!L16+Master!M16+Master!R16+Master!S16+Master!T16+Master!AE16+Master!AF16+Master!AG16+Master!AH16+Master!AI16+Master!AK16+Master!AN16+Master!AO16+Master!AQ16+Master!AS16+Master!AU16+Master!BB16+Master!BC16 +Master!BD16+Master!BE16+Master!BF16+Master!BG16+Master!BH16+Master!BI16+Master!BJ16+Master!BK16+Master!BL16+Master!BM16 +Master!BN16+Master!BO16+Master!BP16+Master!BS16+Master!BT16+Master!BU16+Master!BV16+Master!BX16+Master!BZ16+Master!CB16+Master!CC16+Master!CD16+Master!CE16+Master!CF16+Master!CG16+Master!CH16+Master!CI16+Master!CJ16+Master!CK16+Master!CL16+Master!CM16+Master!CN16+Master!CO16+Master!CP16+Master!CQ16+Master!EA16+Master!EJ16+Master!EK16  +Master!EN16+Master!EO16+Master!EX16+Master!EY16+Master!EZ16+Master!FF16+Master!FJ16+Master!FL16+Master!FH16+Master!FN16+Master!DC16+Master!DN16+Master!FX16+Master!DS16</f>
        <v>4077</v>
      </c>
      <c r="D8" s="4662">
        <f>Master!K16+Master!O16+Master!P16+Master!Q16+Master!U16+Master!V16+Master!W16+Master!X16+Master!Y16+Master!AA16+Master!AB16+Master!AC16+Master!AD16+Master!AJ16+Master!AP16+Master!AV16+Master!AW16+Master!AX16+Master!AY16+Master!AZ16+Master!BA16+Master!BQ16+Master!BR16+Master!BY16+Master!EB16+Master!EC16+Master!EG16+Master!EH16+Master!EI16+Master!EL16+Master!EP16+Master!EQ16+Master!ER16+Master!ES16+Master!ET16+Master!EU16+Master!EV16+Master!EW16+Master!CS16+Master!CV16+Master!CX16+Master!FO16+Master!CZ16+Master!DA16+Master!DB16+Master!DD16+Master!FQ16+Master!FR16+Master!DE16+Master!DF16+Master!DH16+Master!FS16+Master!DI16+Master!DJ16+Master!FV16+Master!DK16+Master!DL16+Master!DM16+Master!DO16+Master!DQ16+Master!FZ16+Master!DR16+Master!DT16+Master!DV16+Master!DW16+Master!GC16</f>
        <v>519</v>
      </c>
      <c r="E8" s="4663">
        <f>Master!Z16+Master!AR16+Master!DZ16+Master!ED16+Master!EM16+Master!FD16+Master!FE16+Master!FG16+Master!AT16+Master!CR16+Master!FK16+Master!CT16+Master!CU16+Master!FM16+Master!CW16+Master!FI16+Master!FP16+Master!FT16+Master!FY16</f>
        <v>0</v>
      </c>
      <c r="F8" s="4664">
        <f>D8+E8</f>
        <v>519</v>
      </c>
      <c r="G8" s="4664">
        <f>Master!FA16+Master!FB16+Master!FC16+Master!FW16</f>
        <v>499</v>
      </c>
      <c r="H8" s="4664">
        <f>Master!CA16+Master!CY16+Master!DG16+Master!FU16+Master!DP16+Master!DU16+Master!GA16+Master!GB16</f>
        <v>0</v>
      </c>
      <c r="I8" s="4664">
        <f>Master!AL16+Master!AM16</f>
        <v>78</v>
      </c>
      <c r="J8" s="4664">
        <f>Master!BW16</f>
        <v>61</v>
      </c>
      <c r="K8" s="4668">
        <f>Master!DY16</f>
        <v>422</v>
      </c>
      <c r="L8" s="4666">
        <f t="shared" si="1"/>
        <v>5656</v>
      </c>
      <c r="M8" s="3581"/>
      <c r="N8" s="951"/>
      <c r="O8" s="1581">
        <f xml:space="preserve"> Master!Z16+Master!AC16+Master!AD16+Master!AE16+Master!AF16+Master!AG16+Master!AH16+Master!AI16+Master!AJ16</f>
        <v>131</v>
      </c>
      <c r="P8" s="93"/>
      <c r="Q8" s="93"/>
      <c r="R8" s="93"/>
      <c r="S8" s="93"/>
    </row>
    <row r="9" spans="1:21" ht="39.75" customHeight="1" thickBot="1">
      <c r="A9" s="94"/>
      <c r="B9" s="4667">
        <v>0.16666666666666699</v>
      </c>
      <c r="C9" s="4661">
        <f>Master!N17+Master!B17+Master!C17+Master!D17+Master!E17+Master!F17+Master!G17+Master!H17 +Master!I17+Master!J17+Master!L17+Master!M17+Master!R17+Master!S17+Master!T17+Master!AE17+Master!AF17+Master!AG17+Master!AH17+Master!AI17+Master!AK17+Master!AN17+Master!AO17+Master!AQ17+Master!AS17+Master!AU17+Master!BB17+Master!BC17 +Master!BD17+Master!BE17+Master!BF17+Master!BG17+Master!BH17+Master!BI17+Master!BJ17+Master!BK17+Master!BL17+Master!BM17 +Master!BN17+Master!BO17+Master!BP17+Master!BS17+Master!BT17+Master!BU17+Master!BV17+Master!BX17+Master!BZ17+Master!CB17+Master!CC17+Master!CD17+Master!CE17+Master!CF17+Master!CG17+Master!CH17+Master!CI17+Master!CJ17+Master!CK17+Master!CL17+Master!CM17+Master!CN17+Master!CO17+Master!CP17+Master!CQ17+Master!EA17+Master!EJ17+Master!EK17  +Master!EN17+Master!EO17+Master!EX17+Master!EY17+Master!EZ17+Master!FF17+Master!FJ17+Master!FL17+Master!FH17+Master!FN17+Master!DC17+Master!DN17+Master!FX17+Master!DS17</f>
        <v>3983</v>
      </c>
      <c r="D9" s="4662">
        <f>Master!K17+Master!O17+Master!P17+Master!Q17+Master!U17+Master!V17+Master!W17+Master!X17+Master!Y17+Master!AA17+Master!AB17+Master!AC17+Master!AD17+Master!AJ17+Master!AP17+Master!AV17+Master!AW17+Master!AX17+Master!AY17+Master!AZ17+Master!BA17+Master!BQ17+Master!BR17+Master!BY17+Master!EB17+Master!EC17+Master!EG17+Master!EH17+Master!EI17+Master!EL17+Master!EP17+Master!EQ17+Master!ER17+Master!ES17+Master!ET17+Master!EU17+Master!EV17+Master!EW17+Master!CS17+Master!CV17+Master!CX17+Master!FO17+Master!CZ17+Master!DA17+Master!DB17+Master!DD17+Master!FQ17+Master!FR17+Master!DE17+Master!DF17+Master!DH17+Master!FS17+Master!DI17+Master!DJ17+Master!FV17+Master!DK17+Master!DL17+Master!DM17+Master!DO17+Master!DQ17+Master!FZ17+Master!DR17+Master!DT17+Master!DV17+Master!DW17+Master!GC17</f>
        <v>461</v>
      </c>
      <c r="E9" s="4663">
        <f>Master!Z17+Master!AR17+Master!DZ17+Master!ED17+Master!EM17+Master!FD17+Master!FE17+Master!FG17+Master!AT17+Master!CR17+Master!FK17+Master!CT17+Master!CU17+Master!FM17+Master!CW17+Master!FI17+Master!FP17+Master!FT17+Master!FY17</f>
        <v>0</v>
      </c>
      <c r="F9" s="4664">
        <f>D9+E9</f>
        <v>461</v>
      </c>
      <c r="G9" s="4664">
        <f>Master!FA17+Master!FB17+Master!FC17+Master!FW17</f>
        <v>499</v>
      </c>
      <c r="H9" s="4664">
        <f>Master!CA17+Master!CY17+Master!DG17+Master!FU17+Master!DP17+Master!DU17+Master!GA17+Master!GB17</f>
        <v>0</v>
      </c>
      <c r="I9" s="4664">
        <f>Master!AL17+Master!AM17</f>
        <v>83</v>
      </c>
      <c r="J9" s="4664">
        <f>Master!BW17</f>
        <v>61</v>
      </c>
      <c r="K9" s="4665">
        <f>Master!DY17</f>
        <v>423</v>
      </c>
      <c r="L9" s="4666">
        <f t="shared" si="1"/>
        <v>5510</v>
      </c>
      <c r="M9" s="3581"/>
      <c r="N9" s="951"/>
      <c r="O9" s="1581">
        <f xml:space="preserve"> Master!Z17+Master!AC17+Master!AD17+Master!AE17+Master!AF17+Master!AG17+Master!AH17+Master!AI17+Master!AJ17</f>
        <v>131</v>
      </c>
      <c r="P9" s="93"/>
      <c r="Q9" s="93"/>
      <c r="R9" s="93"/>
      <c r="S9" s="93"/>
      <c r="U9" s="4715"/>
    </row>
    <row r="10" spans="1:21" ht="39.75" customHeight="1">
      <c r="A10" s="94"/>
      <c r="B10" s="4669">
        <v>0.20833333333333401</v>
      </c>
      <c r="C10" s="4661">
        <f>Master!N18+Master!B18+Master!C18+Master!D18+Master!E18+Master!F18+Master!G18+Master!H18 +Master!I18+Master!J18+Master!L18+Master!M18+Master!R18+Master!S18+Master!T18+Master!AE18+Master!AF18+Master!AG18+Master!AH18+Master!AI18+Master!AK18+Master!AN18+Master!AO18+Master!AQ18+Master!AS18+Master!AU18+Master!BB18+Master!BC18 +Master!BD18+Master!BE18+Master!BF18+Master!BG18+Master!BH18+Master!BI18+Master!BJ18+Master!BK18+Master!BL18+Master!BM18 +Master!BN18+Master!BO18+Master!BP18+Master!BS18+Master!BT18+Master!BU18+Master!BV18+Master!BX18+Master!BZ18+Master!CB18+Master!CC18+Master!CD18+Master!CE18+Master!CF18+Master!CG18+Master!CH18+Master!CI18+Master!CJ18+Master!CK18+Master!CL18+Master!CM18+Master!CN18+Master!CO18+Master!CP18+Master!CQ18+Master!EA18+Master!EJ18+Master!EK18  +Master!EN18+Master!EO18+Master!EX18+Master!EY18+Master!EZ18+Master!FF18+Master!FJ18+Master!FL18+Master!FH18+Master!FN18+Master!DC18+Master!DN18+Master!FX18+Master!DS18</f>
        <v>3950</v>
      </c>
      <c r="D10" s="4662">
        <f>Master!K18+Master!O18+Master!P18+Master!Q18+Master!U18+Master!V18+Master!W18+Master!X18+Master!Y18+Master!AA18+Master!AB18+Master!AC18+Master!AD18+Master!AJ18+Master!AP18+Master!AV18+Master!AW18+Master!AX18+Master!AY18+Master!AZ18+Master!BA18+Master!BQ18+Master!BR18+Master!BY18+Master!EB18+Master!EC18+Master!EG18+Master!EH18+Master!EI18+Master!EL18+Master!EP18+Master!EQ18+Master!ER18+Master!ES18+Master!ET18+Master!EU18+Master!EV18+Master!EW18+Master!CS18+Master!CV18+Master!CX18+Master!FO18+Master!CZ18+Master!DA18+Master!DB18+Master!DD18+Master!FQ18+Master!FR18+Master!DE18+Master!DF18+Master!DH18+Master!FS18+Master!DI18+Master!DJ18+Master!FV18+Master!DK18+Master!DL18+Master!DM18+Master!DO18+Master!DQ18+Master!FZ18+Master!DR18+Master!DT18+Master!DV18+Master!DW18+Master!GC18</f>
        <v>461</v>
      </c>
      <c r="E10" s="4663">
        <f>Master!Z18+Master!AR18+Master!DZ18+Master!ED18+Master!EM18+Master!FD18+Master!FE18+Master!FG18+Master!AT18+Master!CR18+Master!FK18+Master!CT18+Master!CU18+Master!FM18+Master!CW18+Master!FI18+Master!FP18+Master!FT18+Master!FY18</f>
        <v>0</v>
      </c>
      <c r="F10" s="4664">
        <f>D10+E10</f>
        <v>461</v>
      </c>
      <c r="G10" s="4664">
        <f>Master!FA18+Master!FB18+Master!FC18+Master!FW18</f>
        <v>499</v>
      </c>
      <c r="H10" s="4664">
        <f>Master!CA18+Master!CY18+Master!DG18+Master!FU18+Master!DP18+Master!DU18+Master!GA18+Master!GB18</f>
        <v>0</v>
      </c>
      <c r="I10" s="4664">
        <f>Master!AL18+Master!AM18</f>
        <v>78</v>
      </c>
      <c r="J10" s="4664">
        <f>Master!BW18</f>
        <v>65</v>
      </c>
      <c r="K10" s="4665">
        <f>Master!DY18</f>
        <v>422</v>
      </c>
      <c r="L10" s="4666">
        <f t="shared" ref="L10" si="2">C10+F10+G10+H10+I10+J10+K10</f>
        <v>5475</v>
      </c>
      <c r="M10" s="3581"/>
      <c r="N10" s="1229" t="s">
        <v>131</v>
      </c>
      <c r="O10" s="1581">
        <f xml:space="preserve"> Master!Z18+Master!AC18+Master!AD18+Master!AE18+Master!AF18+Master!AG18+Master!AH18+Master!AI18+Master!AJ18</f>
        <v>131</v>
      </c>
      <c r="P10" s="93"/>
      <c r="Q10" s="93"/>
      <c r="R10" s="93"/>
      <c r="S10" s="93"/>
    </row>
    <row r="11" spans="1:21" ht="39.75" customHeight="1" thickBot="1">
      <c r="A11" s="94"/>
      <c r="B11" s="5067">
        <v>0.250000000000001</v>
      </c>
      <c r="C11" s="4661">
        <f>Master!N19+Master!B19+Master!C19+Master!D19+Master!E19+Master!F19+Master!G19+Master!H19 +Master!I19+Master!J19+Master!L19+Master!M19+Master!R19+Master!S19+Master!T19+Master!AE19+Master!AF19+Master!AG19+Master!AH19+Master!AI19+Master!AK19+Master!AN19+Master!AO19+Master!AQ19+Master!AS19+Master!AU19+Master!BB19+Master!BC19 +Master!BD19+Master!BE19+Master!BF19+Master!BG19+Master!BH19+Master!BI19+Master!BJ19+Master!BK19+Master!BL19+Master!BM19 +Master!BN19+Master!BO19+Master!BP19+Master!BS19+Master!BT19+Master!BU19+Master!BV19+Master!BX19+Master!BZ19+Master!CB19+Master!CC19+Master!CD19+Master!CE19+Master!CF19+Master!CG19+Master!CH19+Master!CI19+Master!CJ19+Master!CK19+Master!CL19+Master!CM19+Master!CN19+Master!CO19+Master!CP19+Master!CQ19+Master!EA19+Master!EJ19+Master!EK19  +Master!EN19+Master!EO19+Master!EX19+Master!EY19+Master!EZ19+Master!FF19+Master!FJ19+Master!FL19+Master!FH19+Master!FN19+Master!DC19+Master!DN19+Master!FX19+Master!DS19</f>
        <v>4032</v>
      </c>
      <c r="D11" s="4662">
        <f>Master!K19+Master!O19+Master!P19+Master!Q19+Master!U19+Master!V19+Master!W19+Master!X19+Master!Y19+Master!AA19+Master!AB19+Master!AC19+Master!AD19+Master!AJ19+Master!AP19+Master!AV19+Master!AW19+Master!AX19+Master!AY19+Master!AZ19+Master!BA19+Master!BQ19+Master!BR19+Master!BY19+Master!EB19+Master!EC19+Master!EG19+Master!EH19+Master!EI19+Master!EL19+Master!EP19+Master!EQ19+Master!ER19+Master!ES19+Master!ET19+Master!EU19+Master!EV19+Master!EW19+Master!CS19+Master!CV19+Master!CX19+Master!FO19+Master!CZ19+Master!DA19+Master!DB19+Master!DD19+Master!FQ19+Master!FR19+Master!DE19+Master!DF19+Master!DH19+Master!FS19+Master!DI19+Master!DJ19+Master!FV19+Master!DK19+Master!DL19+Master!DM19+Master!DO19+Master!DQ19+Master!FZ19+Master!DR19+Master!DT19+Master!DV19+Master!DW19+Master!GC19</f>
        <v>656</v>
      </c>
      <c r="E11" s="4663">
        <f>Master!Z19+Master!AR19+Master!DZ19+Master!ED19+Master!EM19+Master!FD19+Master!FE19+Master!FG19+Master!AT19+Master!CR19+Master!FK19+Master!CT19+Master!CU19+Master!FM19+Master!CW19+Master!FI19+Master!FP19+Master!FT19+Master!FY19</f>
        <v>0</v>
      </c>
      <c r="F11" s="4664">
        <f>D11+E11</f>
        <v>656</v>
      </c>
      <c r="G11" s="4664">
        <f>Master!FA19+Master!FB19+Master!FC19+Master!FW19</f>
        <v>499</v>
      </c>
      <c r="H11" s="4664">
        <f>Master!CA19+Master!CY19+Master!DG19+Master!FU19+Master!DP19+Master!DU19+Master!GA19+Master!GB19</f>
        <v>0</v>
      </c>
      <c r="I11" s="4664">
        <f>Master!AL19+Master!AM19</f>
        <v>86</v>
      </c>
      <c r="J11" s="4664">
        <f>Master!BW19</f>
        <v>66</v>
      </c>
      <c r="K11" s="4665">
        <f>Master!DY19</f>
        <v>423</v>
      </c>
      <c r="L11" s="4666">
        <f>C11+F11+G11+H11+I11+J11+K11</f>
        <v>5762</v>
      </c>
      <c r="M11" s="3581"/>
      <c r="N11" s="1230">
        <f>MIN(L6:L12)</f>
        <v>5475</v>
      </c>
      <c r="O11" s="1581">
        <f xml:space="preserve"> Master!Z19+Master!AC19+Master!AD19+Master!AE19+Master!AF19+Master!AG19+Master!AH19+Master!AI19+Master!AJ19</f>
        <v>149</v>
      </c>
      <c r="P11" s="93"/>
      <c r="Q11" s="93"/>
      <c r="R11" s="93"/>
      <c r="S11" s="4881"/>
      <c r="T11" s="4935"/>
      <c r="U11" s="3400"/>
    </row>
    <row r="12" spans="1:21" ht="39.75" customHeight="1">
      <c r="A12" s="94"/>
      <c r="B12" s="4669">
        <v>0.29166666666666669</v>
      </c>
      <c r="C12" s="4661">
        <f>Master!N20+Master!B20+Master!C20+Master!D20+Master!E20+Master!F20+Master!G20+Master!H20 +Master!I20+Master!J20+Master!L20+Master!M20+Master!R20+Master!S20+Master!T20+Master!AE20+Master!AF20+Master!AG20+Master!AH20+Master!AI20+Master!AK20+Master!AN20+Master!AO20+Master!AQ20+Master!AS20+Master!AU20+Master!BB20+Master!BC20 +Master!BD20+Master!BE20+Master!BF20+Master!BG20+Master!BH20+Master!BI20+Master!BJ20+Master!BK20+Master!BL20+Master!BM20 +Master!BN20+Master!BO20+Master!BP20+Master!BS20+Master!BT20+Master!BU20+Master!BV20+Master!BX20+Master!BZ20+Master!CB20+Master!CC20+Master!CD20+Master!CE20+Master!CF20+Master!CG20+Master!CH20+Master!CI20+Master!CJ20+Master!CK20+Master!CL20+Master!CM20+Master!CN20+Master!CO20+Master!CP20+Master!CQ20+Master!EA20+Master!EJ20+Master!EK20  +Master!EN20+Master!EO20+Master!EX20+Master!EY20+Master!EZ20+Master!FF20+Master!FJ20+Master!FL20+Master!FH20+Master!FN20+Master!DC20+Master!DN20+Master!FX20+Master!DS20</f>
        <v>4000</v>
      </c>
      <c r="D12" s="4662">
        <f>Master!K20+Master!O20+Master!P20+Master!Q20+Master!U20+Master!V20+Master!W20+Master!X20+Master!Y20+Master!AA20+Master!AB20+Master!AC20+Master!AD20+Master!AJ20+Master!AP20+Master!AV20+Master!AW20+Master!AX20+Master!AY20+Master!AZ20+Master!BA20+Master!BQ20+Master!BR20+Master!BY20+Master!EB20+Master!EC20+Master!EG20+Master!EH20+Master!EI20+Master!EL20+Master!EP20+Master!EQ20+Master!ER20+Master!ES20+Master!ET20+Master!EU20+Master!EV20+Master!EW20+Master!CS20+Master!CV20+Master!CX20+Master!FO20+Master!CZ20+Master!DA20+Master!DB20+Master!DD20+Master!FQ20+Master!FR20+Master!DE20+Master!DF20+Master!DH20+Master!FS20+Master!DI20+Master!DJ20+Master!FV20+Master!DK20+Master!DL20+Master!DM20+Master!DO20+Master!DQ20+Master!FZ20+Master!DR20+Master!DT20+Master!DV20+Master!DW20+Master!GC20</f>
        <v>1144</v>
      </c>
      <c r="E12" s="4663">
        <f>Master!Z20+Master!AR20+Master!DZ20+Master!ED20+Master!EM20+Master!FD20+Master!FE20+Master!FG20+Master!AT20+Master!CR20+Master!FK20+Master!CT20+Master!CU20+Master!FM20+Master!CW20+Master!FI20+Master!FP20+Master!FT20+Master!FY20</f>
        <v>0</v>
      </c>
      <c r="F12" s="4664">
        <f>D12+E12</f>
        <v>1144</v>
      </c>
      <c r="G12" s="4664">
        <f>Master!FA20+Master!FB20+Master!FC20+Master!FW20</f>
        <v>499</v>
      </c>
      <c r="H12" s="4664">
        <f>Master!CA20+Master!CY20+Master!DG20+Master!FU20+Master!DP20+Master!DU20+Master!GA20+Master!GB20</f>
        <v>3</v>
      </c>
      <c r="I12" s="4664">
        <f>Master!AL20+Master!AM20</f>
        <v>86</v>
      </c>
      <c r="J12" s="4664">
        <f>Master!BW20</f>
        <v>66</v>
      </c>
      <c r="K12" s="4665">
        <f>Master!DY20</f>
        <v>468</v>
      </c>
      <c r="L12" s="4666">
        <f>C12+F12+G12+H12+I12+J12+K12</f>
        <v>6266</v>
      </c>
      <c r="M12" s="3581"/>
      <c r="N12" s="1536"/>
      <c r="O12" s="1581">
        <f xml:space="preserve"> Master!Z20+Master!AC20+Master!AD20+Master!AE20+Master!AF20+Master!AG20+Master!AH20+Master!AI20+Master!AJ20</f>
        <v>187</v>
      </c>
      <c r="P12" s="93"/>
      <c r="Q12" s="93"/>
      <c r="R12" s="93"/>
      <c r="S12" s="93"/>
      <c r="U12" s="3400"/>
    </row>
    <row r="13" spans="1:21" ht="39.75" customHeight="1">
      <c r="A13" s="94" t="s">
        <v>375</v>
      </c>
      <c r="B13" s="4670">
        <v>0.33333333333333331</v>
      </c>
      <c r="C13" s="4671">
        <f>Master!N21+Master!B21+Master!C21+Master!D21+Master!E21+Master!F21+Master!G21+Master!H21 +Master!I21+Master!J21+Master!L21+Master!M21+Master!R21+Master!S21+Master!T21+Master!AE21+Master!AF21+Master!AG21+Master!AH21+Master!AI21+Master!AK21+Master!AN21+Master!AO21+Master!AQ21+Master!AS21+Master!AU21+Master!BB21+Master!BC21 +Master!BD21+Master!BE21+Master!BF21+Master!BG21+Master!BH21+Master!BI21+Master!BJ21+Master!BK21+Master!BL21+Master!BM21 +Master!BN21+Master!BO21+Master!BP21+Master!BS21+Master!BT21+Master!BU21+Master!BV21+Master!BX21+Master!BZ21+Master!CB21+Master!CC21+Master!CD21+Master!CE21+Master!CF21+Master!CG21+Master!CH21+Master!CI21+Master!CJ21+Master!CK21+Master!CL21+Master!CM21+Master!CN21+Master!CO21+Master!CP21+Master!CQ21+Master!EA21+Master!EJ21+Master!EK21  +Master!EN21+Master!EO21+Master!EX21+Master!EY21+Master!EZ21+Master!FF21+Master!FJ21+Master!FL21+Master!FH21+Master!FN21+Master!DC21+Master!DN21+Master!FX21+Master!DS21</f>
        <v>3865</v>
      </c>
      <c r="D13" s="4978">
        <f>Master!K21+Master!O21+Master!P21+Master!Q21+Master!U21+Master!V21+Master!W21+Master!X21+Master!Y21+Master!AA21+Master!AB21+Master!AC21+Master!AD21+Master!AJ21+Master!AP21+Master!AV21+Master!AW21+Master!AX21+Master!AY21+Master!AZ21+Master!BA21+Master!BQ21+Master!BR21+Master!BY21+Master!EB21+Master!EC21+Master!EG21+Master!EH21+Master!EI21+Master!EL21+Master!EP21+Master!EQ21+Master!ER21+Master!ES21+Master!ET21+Master!EU21+Master!EV21+Master!EW21+Master!CS21+Master!CV21+Master!CX21+Master!FO21+Master!CZ21+Master!DA21+Master!DB21+Master!DD21+Master!FQ21+Master!FR21+Master!DE21+Master!DF21+Master!DH21+Master!FS21+Master!DI21+Master!DJ21+Master!FV21+Master!DK21+Master!DL21+Master!DM21+Master!DO21+Master!DQ21+Master!FZ21+Master!DR21+Master!DT21+Master!DV21+Master!DW21+Master!GC21</f>
        <v>1601</v>
      </c>
      <c r="E13" s="4672">
        <f>Master!Z21+Master!AR21+Master!DZ21+Master!ED21+Master!EM21+Master!FD21+Master!FE21+Master!FG21+Master!AT21+Master!CR21+Master!FK21+Master!CT21+Master!CU21+Master!FM21+Master!CW21+Master!FI21+Master!FP21+Master!FT21+Master!FY21</f>
        <v>0</v>
      </c>
      <c r="F13" s="4673">
        <f t="shared" ref="F13:F14" si="3">D13+E13</f>
        <v>1601</v>
      </c>
      <c r="G13" s="4673">
        <f>Master!FA21+Master!FB21+Master!FC21+Master!FW21</f>
        <v>499</v>
      </c>
      <c r="H13" s="4673">
        <f>Master!CA21+Master!CY21+Master!DG21+Master!FU21+Master!DP21+Master!DU21+Master!GA21+Master!GB21</f>
        <v>43</v>
      </c>
      <c r="I13" s="4674">
        <f>Master!AL21+Master!AM21</f>
        <v>80</v>
      </c>
      <c r="J13" s="4673">
        <f>Master!BW21</f>
        <v>67</v>
      </c>
      <c r="K13" s="4675">
        <f>Master!DY21</f>
        <v>657</v>
      </c>
      <c r="L13" s="4676">
        <f>C13+F13+G13+H13+I13+J13+K13</f>
        <v>6812</v>
      </c>
      <c r="M13" s="3581"/>
      <c r="N13" s="1534"/>
      <c r="O13" s="1581">
        <f xml:space="preserve"> Master!Z21+Master!AC21+Master!AD21+Master!AE21+Master!AF21+Master!AG21+Master!AH21+Master!AI21+Master!AJ21</f>
        <v>162</v>
      </c>
      <c r="P13" s="93"/>
      <c r="Q13" s="93"/>
      <c r="R13" s="93"/>
      <c r="S13" s="93"/>
      <c r="U13" s="3400"/>
    </row>
    <row r="14" spans="1:21" ht="39.75" customHeight="1">
      <c r="A14" s="94"/>
      <c r="B14" s="4670">
        <v>0.375</v>
      </c>
      <c r="C14" s="4671">
        <f>Master!N22+Master!B22+Master!C22+Master!D22+Master!E22+Master!F22+Master!G22+Master!H22 +Master!I22+Master!J22+Master!L22+Master!M22+Master!R22+Master!S22+Master!T22+Master!AE22+Master!AF22+Master!AG22+Master!AH22+Master!AI22+Master!AK22+Master!AN22+Master!AO22+Master!AQ22+Master!AS22+Master!AU22+Master!BB22+Master!BC22 +Master!BD22+Master!BE22+Master!BF22+Master!BG22+Master!BH22+Master!BI22+Master!BJ22+Master!BK22+Master!BL22+Master!BM22 +Master!BN22+Master!BO22+Master!BP22+Master!BS22+Master!BT22+Master!BU22+Master!BV22+Master!BX22+Master!BZ22+Master!CB22+Master!CC22+Master!CD22+Master!CE22+Master!CF22+Master!CG22+Master!CH22+Master!CI22+Master!CJ22+Master!CK22+Master!CL22+Master!CM22+Master!CN22+Master!CO22+Master!CP22+Master!CQ22+Master!EA22+Master!EJ22+Master!EK22  +Master!EN22+Master!EO22+Master!EX22+Master!EY22+Master!EZ22+Master!FF22+Master!FJ22+Master!FL22+Master!FH22+Master!FN22+Master!DC22+Master!DN22+Master!FX22+Master!DS22</f>
        <v>3655</v>
      </c>
      <c r="D14" s="4979">
        <f>Master!K22+Master!O22+Master!P22+Master!Q22+Master!U22+Master!V22+Master!W22+Master!X22+Master!Y22+Master!AA22+Master!AB22+Master!AC22+Master!AD22+Master!AJ22+Master!AP22+Master!AV22+Master!AW22+Master!AX22+Master!AY22+Master!AZ22+Master!BA22+Master!BQ22+Master!BR22+Master!BY22+Master!EB22+Master!EC22+Master!EG22+Master!EH22+Master!EI22+Master!EL22+Master!EP22+Master!EQ22+Master!ER22+Master!ES22+Master!ET22+Master!EU22+Master!EV22+Master!EW22+Master!CS22+Master!CV22+Master!CX22+Master!FO22+Master!CZ22+Master!DA22+Master!DB22+Master!DD22+Master!FQ22+Master!FR22+Master!DE22+Master!DF22+Master!DH22+Master!FS22+Master!DI22+Master!DJ22+Master!FV22+Master!DK22+Master!DL22+Master!DM22+Master!DO22+Master!DQ22+Master!FZ22+Master!DR22+Master!DT22+Master!DV22+Master!DW22+Master!GC22</f>
        <v>1847</v>
      </c>
      <c r="E14" s="4677">
        <f>Master!Z22+Master!AR22+Master!DZ22+Master!ED22+Master!EM22+Master!FD22+Master!FE22+Master!FG22+Master!AT22+Master!CR22+Master!FK22+Master!CT22+Master!CU22+Master!FM22+Master!CW22+Master!FI22+Master!FP22+Master!FT22+Master!FY22</f>
        <v>0</v>
      </c>
      <c r="F14" s="4678">
        <f t="shared" si="3"/>
        <v>1847</v>
      </c>
      <c r="G14" s="4678">
        <f>Master!FA22+Master!FB22+Master!FC22+Master!FW22</f>
        <v>449</v>
      </c>
      <c r="H14" s="4678">
        <f>Master!CA22+Master!CY22+Master!DG22+Master!FU22+Master!DP22+Master!DU22+Master!GA22+Master!GB22</f>
        <v>100</v>
      </c>
      <c r="I14" s="4678">
        <f>Master!AL22+Master!AM22</f>
        <v>74</v>
      </c>
      <c r="J14" s="4678">
        <f>Master!BW22</f>
        <v>61</v>
      </c>
      <c r="K14" s="4679">
        <f>Master!DY22</f>
        <v>657</v>
      </c>
      <c r="L14" s="4680">
        <f t="shared" ref="L14" si="4">C14+F14+G14+H14+I14+J14+K14</f>
        <v>6843</v>
      </c>
      <c r="M14" s="3581"/>
      <c r="N14" s="951" t="s">
        <v>18</v>
      </c>
      <c r="O14" s="1581">
        <f xml:space="preserve"> Master!Z22+Master!AC22+Master!AD22+Master!AE22+Master!AF22+Master!AG22+Master!AH22+Master!AI22+Master!AJ22</f>
        <v>122</v>
      </c>
      <c r="P14" s="93"/>
      <c r="Q14" s="93"/>
      <c r="R14" s="93"/>
      <c r="S14" s="93"/>
      <c r="U14" s="3400"/>
    </row>
    <row r="15" spans="1:21" ht="39.75" customHeight="1" thickBot="1">
      <c r="A15" s="94"/>
      <c r="B15" s="4670">
        <v>0.41666666666666669</v>
      </c>
      <c r="C15" s="4677">
        <f>Master!N23+Master!B23+Master!C23+Master!D23+Master!E23+Master!F23+Master!G23+Master!H23 +Master!I23+Master!J23+Master!L23+Master!M23+Master!R23+Master!S23+Master!T23+Master!AE23+Master!AF23+Master!AG23+Master!AH23+Master!AI23+Master!AK23+Master!AN23+Master!AO23+Master!AQ23+Master!AS23+Master!AU23+Master!BB23+Master!BC23 +Master!BD23+Master!BE23+Master!BF23+Master!BG23+Master!BH23+Master!BI23+Master!BJ23+Master!BK23+Master!BL23+Master!BM23 +Master!BN23+Master!BO23+Master!BP23+Master!BS23+Master!BT23+Master!BU23+Master!BV23+Master!BX23+Master!BZ23+Master!CB23+Master!CC23+Master!CD23+Master!CE23+Master!CF23+Master!CG23+Master!CH23+Master!CI23+Master!CJ23+Master!CK23+Master!CL23+Master!CM23+Master!CN23+Master!CO23+Master!CP23+Master!CQ23+Master!EA23+Master!EJ23+Master!EK23  +Master!EN23+Master!EO23+Master!EX23+Master!EY23+Master!EZ23+Master!FF23+Master!FJ23+Master!FL23+Master!FH23+Master!FN23+Master!DC23+Master!DN23+Master!FX23+Master!DS23</f>
        <v>3635</v>
      </c>
      <c r="D15" s="4979">
        <f>Master!K23+Master!O23+Master!P23+Master!Q23+Master!U23+Master!V23+Master!W23+Master!X23+Master!Y23+Master!AA23+Master!AB23+Master!AC23+Master!AD23+Master!AJ23+Master!AP23+Master!AV23+Master!AW23+Master!AX23+Master!AY23+Master!AZ23+Master!BA23+Master!BQ23+Master!BR23+Master!BY23+Master!EB23+Master!EC23+Master!EG23+Master!EH23+Master!EI23+Master!EL23+Master!EP23+Master!EQ23+Master!ER23+Master!ES23+Master!ET23+Master!EU23+Master!EV23+Master!EW23+Master!CS23+Master!CV23+Master!CX23+Master!FO23+Master!CZ23+Master!DA23+Master!DB23+Master!DD23+Master!FQ23+Master!FR23+Master!DE23+Master!DF23+Master!DH23+Master!FS23+Master!DI23+Master!DJ23+Master!FV23+Master!DK23+Master!DL23+Master!DM23+Master!DO23+Master!DQ23+Master!FZ23+Master!DR23+Master!DT23+Master!DV23+Master!DW23+Master!GC23</f>
        <v>1679</v>
      </c>
      <c r="E15" s="4677">
        <f>Master!Z23+Master!AR23+Master!DZ23+Master!ED23+Master!EM23+Master!FD23+Master!FE23+Master!FG23+Master!AT23+Master!CR23+Master!FK23+Master!CT23+Master!CU23+Master!FM23+Master!CW23+Master!FI23+Master!FP23+Master!FT23+Master!FY23</f>
        <v>0</v>
      </c>
      <c r="F15" s="4678">
        <f t="shared" ref="F15:F21" si="5">D15+E15</f>
        <v>1679</v>
      </c>
      <c r="G15" s="4678">
        <f>Master!FA23+Master!FB23+Master!FC23+Master!FW23</f>
        <v>450</v>
      </c>
      <c r="H15" s="4678">
        <f>Master!CA23+Master!CY23+Master!DG23+Master!FU23+Master!DP23+Master!DU23+Master!GA23+Master!GB23</f>
        <v>144</v>
      </c>
      <c r="I15" s="4678">
        <f>Master!AL23+Master!AM23</f>
        <v>40</v>
      </c>
      <c r="J15" s="4678">
        <f>Master!BW23</f>
        <v>63</v>
      </c>
      <c r="K15" s="4679">
        <f>Master!DY23</f>
        <v>656</v>
      </c>
      <c r="L15" s="4680">
        <f>C15+F15+G15+H15+I15+J15+K15</f>
        <v>6667</v>
      </c>
      <c r="M15" s="3581"/>
      <c r="N15" s="951"/>
      <c r="O15" s="1581">
        <f xml:space="preserve"> Master!Z23+Master!AC23+Master!AD23+Master!AE23+Master!AF23+Master!AG23+Master!AH23+Master!AI23+Master!AJ23</f>
        <v>134</v>
      </c>
      <c r="P15" s="93"/>
      <c r="Q15" s="93"/>
      <c r="R15" s="93"/>
      <c r="S15" s="93"/>
      <c r="U15" s="3401"/>
    </row>
    <row r="16" spans="1:21" ht="39.75" customHeight="1">
      <c r="A16" s="94"/>
      <c r="B16" s="4670">
        <v>0.45833333333333331</v>
      </c>
      <c r="C16" s="4677">
        <f>Master!N24+Master!B24+Master!C24+Master!D24+Master!E24+Master!F24+Master!G24+Master!H24 +Master!I24+Master!J24+Master!L24+Master!M24+Master!R24+Master!S24+Master!T24+Master!AE24+Master!AF24+Master!AG24+Master!AH24+Master!AI24+Master!AK24+Master!AN24+Master!AO24+Master!AQ24+Master!AS24+Master!AU24+Master!BB24+Master!BC24 +Master!BD24+Master!BE24+Master!BF24+Master!BG24+Master!BH24+Master!BI24+Master!BJ24+Master!BK24+Master!BL24+Master!BM24 +Master!BN24+Master!BO24+Master!BP24+Master!BS24+Master!BT24+Master!BU24+Master!BV24+Master!BX24+Master!BZ24+Master!CB24+Master!CC24+Master!CD24+Master!CE24+Master!CF24+Master!CG24+Master!CH24+Master!CI24+Master!CJ24+Master!CK24+Master!CL24+Master!CM24+Master!CN24+Master!CO24+Master!CP24+Master!CQ24+Master!EA24+Master!EJ24+Master!EK24  +Master!EN24+Master!EO24+Master!EX24+Master!EY24+Master!EZ24+Master!FF24+Master!FJ24+Master!FL24+Master!FH24+Master!FN24+Master!DC24+Master!DN24+Master!FX24+Master!DS24</f>
        <v>3755</v>
      </c>
      <c r="D16" s="4979">
        <f>Master!K24+Master!O24+Master!P24+Master!Q24+Master!U24+Master!V24+Master!W24+Master!X24+Master!Y24+Master!AA24+Master!AB24+Master!AC24+Master!AD24+Master!AJ24+Master!AP24+Master!AV24+Master!AW24+Master!AX24+Master!AY24+Master!AZ24+Master!BA24+Master!BQ24+Master!BR24+Master!BY24+Master!EB24+Master!EC24+Master!EG24+Master!EH24+Master!EI24+Master!EL24+Master!EP24+Master!EQ24+Master!ER24+Master!ES24+Master!ET24+Master!EU24+Master!EV24+Master!EW24+Master!CS24+Master!CV24+Master!CX24+Master!FO24+Master!CZ24+Master!DA24+Master!DB24+Master!DD24+Master!FQ24+Master!FR24+Master!DE24+Master!DF24+Master!DH24+Master!FS24+Master!DI24+Master!DJ24+Master!FV24+Master!DK24+Master!DL24+Master!DM24+Master!DO24+Master!DQ24+Master!FZ24+Master!DR24+Master!DT24+Master!DV24+Master!DW24+Master!GC24</f>
        <v>1811</v>
      </c>
      <c r="E16" s="4677">
        <f>Master!Z24+Master!AR24+Master!DZ24+Master!ED24+Master!EM24+Master!FD24+Master!FE24+Master!FG24+Master!AT24+Master!CR24+Master!FK24+Master!CT24+Master!CU24+Master!FM24+Master!CW24+Master!FI24+Master!FP24+Master!FT24+Master!FY24</f>
        <v>0</v>
      </c>
      <c r="F16" s="4678">
        <f t="shared" si="5"/>
        <v>1811</v>
      </c>
      <c r="G16" s="4678">
        <f>Master!FA24+Master!FB24+Master!FC24+Master!FW24</f>
        <v>450</v>
      </c>
      <c r="H16" s="4678">
        <f>Master!CA24+Master!CY24+Master!DG24+Master!FU24+Master!DP24+Master!DU24+Master!GA24+Master!GB24</f>
        <v>172</v>
      </c>
      <c r="I16" s="4678">
        <f>Master!AL24+Master!AM24</f>
        <v>80</v>
      </c>
      <c r="J16" s="4678">
        <f>Master!BW24</f>
        <v>64</v>
      </c>
      <c r="K16" s="4679">
        <f>Master!DY24</f>
        <v>655</v>
      </c>
      <c r="L16" s="4680">
        <f>C16+F16+G16+H16+I16+J16+K16</f>
        <v>6987</v>
      </c>
      <c r="M16" s="3581"/>
      <c r="N16" s="1229" t="s">
        <v>857</v>
      </c>
      <c r="O16" s="1581">
        <f xml:space="preserve"> Master!Z24+Master!AC24+Master!AD24+Master!AE24+Master!AF24+Master!AG24+Master!AH24+Master!AI24+Master!AJ24</f>
        <v>148</v>
      </c>
      <c r="P16" s="93"/>
      <c r="Q16" s="93"/>
      <c r="R16" s="93"/>
      <c r="S16" s="93"/>
      <c r="U16" s="3400"/>
    </row>
    <row r="17" spans="1:131" ht="39.75" customHeight="1" thickBot="1">
      <c r="A17" s="94"/>
      <c r="B17" s="4670">
        <v>0.5</v>
      </c>
      <c r="C17" s="4677">
        <f>Master!N25+Master!B25+Master!C25+Master!D25+Master!E25+Master!F25+Master!G25+Master!H25 +Master!I25+Master!J25+Master!L25+Master!M25+Master!R25+Master!S25+Master!T25+Master!AE25+Master!AF25+Master!AG25+Master!AH25+Master!AI25+Master!AK25+Master!AN25+Master!AO25+Master!AQ25+Master!AS25+Master!AU25+Master!BB25+Master!BC25 +Master!BD25+Master!BE25+Master!BF25+Master!BG25+Master!BH25+Master!BI25+Master!BJ25+Master!BK25+Master!BL25+Master!BM25 +Master!BN25+Master!BO25+Master!BP25+Master!BS25+Master!BT25+Master!BU25+Master!BV25+Master!BX25+Master!BZ25+Master!CB25+Master!CC25+Master!CD25+Master!CE25+Master!CF25+Master!CG25+Master!CH25+Master!CI25+Master!CJ25+Master!CK25+Master!CL25+Master!CM25+Master!CN25+Master!CO25+Master!CP25+Master!CQ25+Master!EA25+Master!EJ25+Master!EK25  +Master!EN25+Master!EO25+Master!EX25+Master!EY25+Master!EZ25+Master!FF25+Master!FJ25+Master!FL25+Master!FH25+Master!FN25+Master!DC25+Master!DN25+Master!FX25+Master!DS25</f>
        <v>0</v>
      </c>
      <c r="D17" s="4979">
        <f>Master!K25+Master!O25+Master!P25+Master!Q25+Master!U25+Master!V25+Master!W25+Master!X25+Master!Y25+Master!AA25+Master!AB25+Master!AC25+Master!AD25+Master!AJ25+Master!AP25+Master!AV25+Master!AW25+Master!AX25+Master!AY25+Master!AZ25+Master!BA25+Master!BQ25+Master!BR25+Master!BY25+Master!EB25+Master!EC25+Master!EG25+Master!EH25+Master!EI25+Master!EL25+Master!EP25+Master!EQ25+Master!ER25+Master!ES25+Master!ET25+Master!EU25+Master!EV25+Master!EW25+Master!CS25+Master!CV25+Master!CX25+Master!FO25+Master!CZ25+Master!DA25+Master!DB25+Master!DD25+Master!FQ25+Master!FR25+Master!DE25+Master!DF25+Master!DH25+Master!FS25+Master!DI25+Master!DJ25+Master!FV25+Master!DK25+Master!DL25+Master!DM25+Master!DO25+Master!DQ25+Master!FZ25+Master!DR25+Master!DT25+Master!DV25+Master!DW25+Master!GC25</f>
        <v>0</v>
      </c>
      <c r="E17" s="4677">
        <f>Master!Z25+Master!AR25+Master!DZ25+Master!ED25+Master!EM25+Master!FD25+Master!FE25+Master!FG25+Master!AT25+Master!CR25+Master!FK25+Master!CT25+Master!CU25+Master!FM25+Master!CW25+Master!FI25+Master!FP25+Master!FT25+Master!FY25</f>
        <v>0</v>
      </c>
      <c r="F17" s="4678">
        <f>D17+E17</f>
        <v>0</v>
      </c>
      <c r="G17" s="4678">
        <f>Master!FA25+Master!FB25+Master!FC25+Master!FW25</f>
        <v>0</v>
      </c>
      <c r="H17" s="4678">
        <f>Master!CA25+Master!CY25+Master!DG25+Master!FU25+Master!DP25+Master!DU25+Master!GA25+Master!GB25</f>
        <v>0</v>
      </c>
      <c r="I17" s="4678">
        <f>Master!AL25+Master!AM25</f>
        <v>0</v>
      </c>
      <c r="J17" s="4678">
        <f>Master!BW25</f>
        <v>0</v>
      </c>
      <c r="K17" s="4679">
        <f>Master!DY25</f>
        <v>0</v>
      </c>
      <c r="L17" s="4680">
        <f>C17+F17+G17+H17+I17+J17+K17</f>
        <v>0</v>
      </c>
      <c r="M17" s="3581"/>
      <c r="N17" s="1230">
        <f>MAX(L14:L17)</f>
        <v>6987</v>
      </c>
      <c r="O17" s="1581">
        <f xml:space="preserve"> Master!Z25+Master!AC25+Master!AD25+Master!AE25+Master!AF25+Master!AG25+Master!AH25+Master!AI25+Master!AJ25</f>
        <v>0</v>
      </c>
      <c r="P17" s="93"/>
      <c r="Q17" s="93"/>
      <c r="R17" s="93"/>
      <c r="S17" s="93"/>
    </row>
    <row r="18" spans="1:131" ht="39.75" customHeight="1">
      <c r="A18" s="178"/>
      <c r="B18" s="4670">
        <v>0.54166666666666696</v>
      </c>
      <c r="C18" s="4677">
        <f>Master!N26+Master!B26+Master!C26+Master!D26+Master!E26+Master!F26+Master!G26+Master!H26 +Master!I26+Master!J26+Master!L26+Master!M26+Master!R26+Master!S26+Master!T26+Master!AE26+Master!AF26+Master!AG26+Master!AH26+Master!AI26+Master!AK26+Master!AN26+Master!AO26+Master!AQ26+Master!AS26+Master!AU26+Master!BB26+Master!BC26 +Master!BD26+Master!BE26+Master!BF26+Master!BG26+Master!BH26+Master!BI26+Master!BJ26+Master!BK26+Master!BL26+Master!BM26 +Master!BN26+Master!BO26+Master!BP26+Master!BS26+Master!BT26+Master!BU26+Master!BV26+Master!BX26+Master!BZ26+Master!CB26+Master!CC26+Master!CD26+Master!CE26+Master!CF26+Master!CG26+Master!CH26+Master!CI26+Master!CJ26+Master!CK26+Master!CL26+Master!CM26+Master!CN26+Master!CO26+Master!CP26+Master!CQ26+Master!EA26+Master!EJ26+Master!EK26  +Master!EN26+Master!EO26+Master!EX26+Master!EY26+Master!EZ26+Master!FF26+Master!FJ26+Master!FL26+Master!FH26+Master!FN26+Master!DC26+Master!DN26+Master!FX26+Master!DS26</f>
        <v>0</v>
      </c>
      <c r="D18" s="4979">
        <f>Master!K26+Master!O26+Master!P26+Master!Q26+Master!U26+Master!V26+Master!W26+Master!X26+Master!Y26+Master!AA26+Master!AB26+Master!AC26+Master!AD26+Master!AJ26+Master!AP26+Master!AV26+Master!AW26+Master!AX26+Master!AY26+Master!AZ26+Master!BA26+Master!BQ26+Master!BR26+Master!BY26+Master!EB26+Master!EC26+Master!EG26+Master!EH26+Master!EI26+Master!EL26+Master!EP26+Master!EQ26+Master!ER26+Master!ES26+Master!ET26+Master!EU26+Master!EV26+Master!EW26+Master!CS26+Master!CV26+Master!CX26+Master!FO26+Master!CZ26+Master!DA26+Master!DB26+Master!DD26+Master!FQ26+Master!FR26+Master!DE26+Master!DF26+Master!DH26+Master!FS26+Master!DI26+Master!DJ26+Master!FV26+Master!DK26+Master!DL26+Master!DM26+Master!DO26+Master!DQ26+Master!FZ26+Master!DR26+Master!DT26+Master!DV26+Master!DW26+Master!GC26</f>
        <v>0</v>
      </c>
      <c r="E18" s="4677">
        <f>Master!Z26+Master!AR26+Master!DZ26+Master!ED26+Master!EM26+Master!FD26+Master!FE26+Master!FG26+Master!AT26+Master!CR26+Master!FK26+Master!CT26+Master!CU26+Master!FM26+Master!CW26+Master!FI26+Master!FP26+Master!FT26+Master!FY26</f>
        <v>0</v>
      </c>
      <c r="F18" s="4678">
        <f>D18+E18</f>
        <v>0</v>
      </c>
      <c r="G18" s="4678">
        <f>Master!FA26+Master!FB26+Master!FC26+Master!FW26</f>
        <v>0</v>
      </c>
      <c r="H18" s="4678">
        <f>Master!CA26+Master!CY26+Master!DG26+Master!FU26+Master!DP26+Master!DU26+Master!GA26+Master!GB26</f>
        <v>0</v>
      </c>
      <c r="I18" s="4678">
        <f>Master!AL26+Master!AM26</f>
        <v>0</v>
      </c>
      <c r="J18" s="4678">
        <f>Master!BW26</f>
        <v>0</v>
      </c>
      <c r="K18" s="4679">
        <f>Master!DY26</f>
        <v>0</v>
      </c>
      <c r="L18" s="4680">
        <f t="shared" ref="L18" si="6">C18+F18+G18+H18+I18+J18+K18</f>
        <v>0</v>
      </c>
      <c r="M18" s="3752"/>
      <c r="N18" s="951"/>
      <c r="O18" s="1581">
        <f xml:space="preserve"> Master!Z26+Master!AC26+Master!AD26+Master!AE26+Master!AF26+Master!AG26+Master!AH26+Master!AI26+Master!AJ26</f>
        <v>0</v>
      </c>
      <c r="P18" s="93"/>
      <c r="Q18" s="93"/>
      <c r="R18" s="93"/>
      <c r="S18" s="93"/>
      <c r="T18" s="4818"/>
      <c r="U18" s="4818"/>
    </row>
    <row r="19" spans="1:131" ht="39.75" customHeight="1">
      <c r="A19" s="94"/>
      <c r="B19" s="4681">
        <v>0.58333333333333337</v>
      </c>
      <c r="C19" s="4682">
        <f>Master!N27+Master!B27+Master!C27+Master!D27+Master!E27+Master!F27+Master!G27+Master!H27 +Master!I27+Master!J27+Master!L27+Master!M27+Master!R27+Master!S27+Master!T27+Master!AE27+Master!AF27+Master!AG27+Master!AH27+Master!AI27+Master!AK27+Master!AN27+Master!AO27+Master!AQ27+Master!AS27+Master!AU27+Master!BB27+Master!BC27 +Master!BD27+Master!BE27+Master!BF27+Master!BG27+Master!BH27+Master!BI27+Master!BJ27+Master!BK27+Master!BL27+Master!BM27 +Master!BN27+Master!BO27+Master!BP27+Master!BS27+Master!BT27+Master!BU27+Master!BV27+Master!BX27+Master!BZ27+Master!CB27+Master!CC27+Master!CD27+Master!CE27+Master!CF27+Master!CG27+Master!CH27+Master!CI27+Master!CJ27+Master!CK27+Master!CL27+Master!CM27+Master!CN27+Master!CO27+Master!CP27+Master!CQ27+Master!EA27+Master!EJ27+Master!EK27  +Master!EN27+Master!EO27+Master!EX27+Master!EY27+Master!EZ27+Master!FF27+Master!FJ27+Master!FL27+Master!FH27+Master!FN27+Master!DC27+Master!DN27+Master!FX27+Master!DS27</f>
        <v>0</v>
      </c>
      <c r="D19" s="4683">
        <f>Master!K27+Master!O27+Master!P27+Master!Q27+Master!U27+Master!V27+Master!W27+Master!X27+Master!Y27+Master!AA27+Master!AB27+Master!AC27+Master!AD27+Master!AJ27+Master!AP27+Master!AV27+Master!AW27+Master!AX27+Master!AY27+Master!AZ27+Master!BA27+Master!BQ27+Master!BR27+Master!BY27+Master!EB27+Master!EC27+Master!EG27+Master!EH27+Master!EI27+Master!EL27+Master!EP27+Master!EQ27+Master!ER27+Master!ES27+Master!ET27+Master!EU27+Master!EV27+Master!EW27+Master!CS27+Master!CV27+Master!CX27+Master!FO27+Master!CZ27+Master!DA27+Master!DB27+Master!DD27+Master!FQ27+Master!FR27+Master!DE27+Master!DF27+Master!DH27+Master!FS27+Master!DI27+Master!DJ27+Master!FV27+Master!DK27+Master!DL27+Master!DM27+Master!DO27+Master!DQ27+Master!FZ27+Master!DR27+Master!DT27+Master!DV27+Master!DW27+Master!GC27</f>
        <v>0</v>
      </c>
      <c r="E19" s="4684">
        <f>Master!Z27+Master!AR27+Master!DZ27+Master!ED27+Master!EM27+Master!FD27+Master!FE27+Master!FG27+Master!AT27+Master!CR27+Master!FK27+Master!CT27+Master!CU27+Master!FM27+Master!CW27+Master!FI27+Master!FP27+Master!FT27+Master!FY27</f>
        <v>0</v>
      </c>
      <c r="F19" s="4685">
        <f t="shared" si="5"/>
        <v>0</v>
      </c>
      <c r="G19" s="4685">
        <f>Master!FA27+Master!FB27+Master!FC27+Master!FW27</f>
        <v>0</v>
      </c>
      <c r="H19" s="4685">
        <f>Master!CA27+Master!CY27+Master!DG27+Master!FU27+Master!DP27+Master!DU27+Master!GA27+Master!GB27</f>
        <v>0</v>
      </c>
      <c r="I19" s="4685">
        <f>Master!AL27+Master!AM27</f>
        <v>0</v>
      </c>
      <c r="J19" s="4685">
        <f>Master!BW27</f>
        <v>0</v>
      </c>
      <c r="K19" s="4686">
        <f>Master!DY27</f>
        <v>0</v>
      </c>
      <c r="L19" s="4687">
        <f t="shared" ref="L19:L29" si="7">C19+F19+G19+H19+I19+J19+K19</f>
        <v>0</v>
      </c>
      <c r="M19" s="3581"/>
      <c r="N19" s="951"/>
      <c r="O19" s="1581">
        <f xml:space="preserve"> Master!Z27+Master!AC27+Master!AD27+Master!AE27+Master!AF27+Master!AG27+Master!AH27+Master!AI27+Master!AJ27</f>
        <v>0</v>
      </c>
      <c r="P19" s="93"/>
      <c r="Q19" s="93"/>
      <c r="R19" s="93"/>
      <c r="S19" s="93"/>
      <c r="T19" s="4818"/>
      <c r="U19" s="4818"/>
    </row>
    <row r="20" spans="1:131" ht="37.5" customHeight="1">
      <c r="A20" s="94" t="s">
        <v>169</v>
      </c>
      <c r="B20" s="4681">
        <v>0.625000000000003</v>
      </c>
      <c r="C20" s="4682">
        <f>Master!N28+Master!B28+Master!C28+Master!D28+Master!E28+Master!F28+Master!G28+Master!H28 +Master!I28+Master!J28+Master!L28+Master!M28+Master!R28+Master!S28+Master!T28+Master!AE28+Master!AF28+Master!AG28+Master!AH28+Master!AI28+Master!AK28+Master!AN28+Master!AO28+Master!AQ28+Master!AS28+Master!AU28+Master!BB28+Master!BC28 +Master!BD28+Master!BE28+Master!BF28+Master!BG28+Master!BH28+Master!BI28+Master!BJ28+Master!BK28+Master!BL28+Master!BM28 +Master!BN28+Master!BO28+Master!BP28+Master!BS28+Master!BT28+Master!BU28+Master!BV28+Master!BX28+Master!BZ28+Master!CB28+Master!CC28+Master!CD28+Master!CE28+Master!CF28+Master!CG28+Master!CH28+Master!CI28+Master!CJ28+Master!CK28+Master!CL28+Master!CM28+Master!CN28+Master!CO28+Master!CP28+Master!CQ28+Master!EA28+Master!EJ28+Master!EK28  +Master!EN28+Master!EO28+Master!EX28+Master!EY28+Master!EZ28+Master!FF28+Master!FJ28+Master!FL28+Master!FH28+Master!FN28+Master!DC28+Master!DN28+Master!FX28+Master!DS28</f>
        <v>0</v>
      </c>
      <c r="D20" s="4683">
        <f>Master!K28+Master!O28+Master!P28+Master!Q28+Master!U28+Master!V28+Master!W28+Master!X28+Master!Y28+Master!AA28+Master!AB28+Master!AC28+Master!AD28+Master!AJ28+Master!AP28+Master!AV28+Master!AW28+Master!AX28+Master!AY28+Master!AZ28+Master!BA28+Master!BQ28+Master!BR28+Master!BY28+Master!EB28+Master!EC28+Master!EG28+Master!EH28+Master!EI28+Master!EL28+Master!EP28+Master!EQ28+Master!ER28+Master!ES28+Master!ET28+Master!EU28+Master!EV28+Master!EW28+Master!CS28+Master!CV28+Master!CX28+Master!FO28+Master!CZ28+Master!DA28+Master!DB28+Master!DD28+Master!FQ28+Master!FR28+Master!DE28+Master!DF28+Master!DH28+Master!FS28+Master!DI28+Master!DJ28+Master!FV28+Master!DK28+Master!DL28+Master!DM28+Master!DO28+Master!DQ28+Master!FZ28+Master!DR28+Master!DT28+Master!DV28+Master!DW28+Master!GC28</f>
        <v>0</v>
      </c>
      <c r="E20" s="4684">
        <f>Master!Z28+Master!AR28+Master!DZ28+Master!ED28+Master!EM28+Master!FD28+Master!FE28+Master!FG28+Master!AT28+Master!CR28+Master!FK28+Master!CT28+Master!CU28+Master!FM28+Master!CW28+Master!FI28+Master!FP28+Master!FT28+Master!FY28</f>
        <v>0</v>
      </c>
      <c r="F20" s="4685">
        <f t="shared" si="5"/>
        <v>0</v>
      </c>
      <c r="G20" s="4685">
        <f>Master!FA28+Master!FB28+Master!FC28+Master!FW28</f>
        <v>0</v>
      </c>
      <c r="H20" s="4685">
        <f>Master!CA28+Master!CY28+Master!DG28+Master!FU28+Master!DP28+Master!DU28+Master!GA28+Master!GB28</f>
        <v>0</v>
      </c>
      <c r="I20" s="4685">
        <f>Master!AL28+Master!AM28</f>
        <v>0</v>
      </c>
      <c r="J20" s="4685">
        <f>Master!BW28</f>
        <v>0</v>
      </c>
      <c r="K20" s="4686">
        <f>Master!DY28</f>
        <v>0</v>
      </c>
      <c r="L20" s="4687">
        <f t="shared" si="7"/>
        <v>0</v>
      </c>
      <c r="M20" s="3581"/>
      <c r="N20" s="951"/>
      <c r="O20" s="1581">
        <f xml:space="preserve"> Master!Z28+Master!AC28+Master!AD28+Master!AE28+Master!AF28+Master!AG28+Master!AH28+Master!AI28+Master!AJ28</f>
        <v>0</v>
      </c>
      <c r="P20" s="93"/>
      <c r="Q20" s="5079"/>
      <c r="R20" s="93"/>
      <c r="S20" s="93"/>
      <c r="T20" s="4818"/>
      <c r="U20" s="4818"/>
    </row>
    <row r="21" spans="1:131" ht="39.75" customHeight="1">
      <c r="A21" s="94"/>
      <c r="B21" s="4681">
        <v>0.66666666666666996</v>
      </c>
      <c r="C21" s="4682">
        <f>Master!N29+Master!B29+Master!C29+Master!D29+Master!E29+Master!F29+Master!G29+Master!H29 +Master!I29+Master!J29+Master!L29+Master!M29+Master!R29+Master!S29+Master!T29+Master!AE29+Master!AF29+Master!AG29+Master!AH29+Master!AI29+Master!AK29+Master!AN29+Master!AO29+Master!AQ29+Master!AS29+Master!AU29+Master!BB29+Master!BC29 +Master!BD29+Master!BE29+Master!BF29+Master!BG29+Master!BH29+Master!BI29+Master!BJ29+Master!BK29+Master!BL29+Master!BM29 +Master!BN29+Master!BO29+Master!BP29+Master!BS29+Master!BT29+Master!BU29+Master!BV29+Master!BX29+Master!BZ29+Master!CB29+Master!CC29+Master!CD29+Master!CE29+Master!CF29+Master!CG29+Master!CH29+Master!CI29+Master!CJ29+Master!CK29+Master!CL29+Master!CM29+Master!CN29+Master!CO29+Master!CP29+Master!CQ29+Master!EA29+Master!EJ29+Master!EK29  +Master!EN29+Master!EO29+Master!EX29+Master!EY29+Master!EZ29+Master!FF29+Master!FJ29+Master!FL29+Master!FH29+Master!FN29+Master!DC29+Master!DN29+Master!FX29+Master!DS29</f>
        <v>0</v>
      </c>
      <c r="D21" s="4683">
        <f>Master!K29+Master!O29+Master!P29+Master!Q29+Master!U29+Master!V29+Master!W29+Master!X29+Master!Y29+Master!AA29+Master!AB29+Master!AC29+Master!AD29+Master!AJ29+Master!AP29+Master!AV29+Master!AW29+Master!AX29+Master!AY29+Master!AZ29+Master!BA29+Master!BQ29+Master!BR29+Master!BY29+Master!EB29+Master!EC29+Master!EG29+Master!EH29+Master!EI29+Master!EL29+Master!EP29+Master!EQ29+Master!ER29+Master!ES29+Master!ET29+Master!EU29+Master!EV29+Master!EW29+Master!CS29+Master!CV29+Master!CX29+Master!FO29+Master!CZ29+Master!DA29+Master!DB29+Master!DD29+Master!FQ29+Master!FR29+Master!DE29+Master!DF29+Master!DH29+Master!FS29+Master!DI29+Master!DJ29+Master!FV29+Master!DK29+Master!DL29+Master!DM29+Master!DO29+Master!DQ29+Master!FZ29+Master!DR29+Master!DT29+Master!DV29+Master!DW29+Master!GC29</f>
        <v>0</v>
      </c>
      <c r="E21" s="4684">
        <f>Master!Z29+Master!AR29+Master!DZ29+Master!ED29+Master!EM29+Master!FD29+Master!FE29+Master!FG29+Master!AT29+Master!CR29+Master!FK29+Master!CT29+Master!CU29+Master!FM29+Master!CW29+Master!FI29+Master!FP29+Master!FT29+Master!FY29</f>
        <v>0</v>
      </c>
      <c r="F21" s="4685">
        <f t="shared" si="5"/>
        <v>0</v>
      </c>
      <c r="G21" s="4685">
        <f>Master!FA29+Master!FB29+Master!FC29+Master!FW29</f>
        <v>0</v>
      </c>
      <c r="H21" s="4685">
        <f>Master!CA29+Master!CY29+Master!DG29+Master!FU29+Master!DP29+Master!DU29+Master!GA29+Master!GB29</f>
        <v>0</v>
      </c>
      <c r="I21" s="4685">
        <f>Master!AL29+Master!AM29</f>
        <v>0</v>
      </c>
      <c r="J21" s="4685">
        <f>Master!BW29</f>
        <v>0</v>
      </c>
      <c r="K21" s="4686">
        <f>Master!DY29</f>
        <v>0</v>
      </c>
      <c r="L21" s="4687">
        <f>C21+F21+G21+H21+I21+J21+K21</f>
        <v>0</v>
      </c>
      <c r="M21" s="3581"/>
      <c r="N21" s="951"/>
      <c r="O21" s="1581">
        <f xml:space="preserve"> Master!Z29+Master!AC29+Master!AD29+Master!AE29+Master!AF29+Master!AG29+Master!AH29+Master!AI29+Master!AJ29</f>
        <v>0</v>
      </c>
      <c r="P21" s="93"/>
      <c r="Q21" s="93"/>
      <c r="R21" s="93"/>
      <c r="S21" s="93"/>
      <c r="T21" s="4818"/>
      <c r="U21" s="4818"/>
      <c r="EA21" s="98">
        <v>0</v>
      </c>
    </row>
    <row r="22" spans="1:131" ht="39.75" customHeight="1">
      <c r="A22" s="94"/>
      <c r="B22" s="4681">
        <v>0.70833333333333337</v>
      </c>
      <c r="C22" s="4682">
        <f>Master!N30+Master!B30+Master!C30+Master!D30+Master!E30+Master!F30+Master!G30+Master!H30 +Master!I30+Master!J30+Master!L30+Master!M30+Master!R30+Master!S30+Master!T30+Master!AE30+Master!AF30+Master!AG30+Master!AH30+Master!AI30+Master!AK30+Master!AN30+Master!AO30+Master!AQ30+Master!AS30+Master!AU30+Master!BB30+Master!BC30 +Master!BD30+Master!BE30+Master!BF30+Master!BG30+Master!BH30+Master!BI30+Master!BJ30+Master!BK30+Master!BL30+Master!BM30 +Master!BN30+Master!BO30+Master!BP30+Master!BS30+Master!BT30+Master!BU30+Master!BV30+Master!BX30+Master!BZ30+Master!CB30+Master!CC30+Master!CD30+Master!CE30+Master!CF30+Master!CG30+Master!CH30+Master!CI30+Master!CJ30+Master!CK30+Master!CL30+Master!CM30+Master!CN30+Master!CO30+Master!CP30+Master!CQ30+Master!EA30+Master!EJ30+Master!EK30  +Master!EN30+Master!EO30+Master!EX30+Master!EY30+Master!EZ30+Master!FF30+Master!FJ30+Master!FL30+Master!FH30+Master!FN30+Master!DC30+Master!DN30+Master!FX30+Master!DS30</f>
        <v>0</v>
      </c>
      <c r="D22" s="4683">
        <f>Master!K30+Master!O30+Master!P30+Master!Q30+Master!U30+Master!V30+Master!W30+Master!X30+Master!Y30+Master!AA30+Master!AB30+Master!AC30+Master!AD30+Master!AJ30+Master!AP30+Master!AV30+Master!AW30+Master!AX30+Master!AY30+Master!AZ30+Master!BA30+Master!BQ30+Master!BR30+Master!BY30+Master!EB30+Master!EC30+Master!EG30+Master!EH30+Master!EI30+Master!EL30+Master!EP30+Master!EQ30+Master!ER30+Master!ES30+Master!ET30+Master!EU30+Master!EV30+Master!EW30+Master!CS30+Master!CV30+Master!CX30+Master!FO30+Master!CZ30+Master!DA30+Master!DB30+Master!DD30+Master!FQ30+Master!FR30+Master!DE30+Master!DF30+Master!DH30+Master!FS30+Master!DI30+Master!DJ30+Master!FV30+Master!DK30+Master!DL30+Master!DM30+Master!DO30+Master!DQ30+Master!FZ30+Master!DR30+Master!DT30+Master!DV30+Master!DW30+Master!GC30</f>
        <v>0</v>
      </c>
      <c r="E22" s="4684">
        <f>Master!Z30+Master!AR30+Master!DZ30+Master!ED30+Master!EM30+Master!FD30+Master!FE30+Master!FG30+Master!AT30+Master!CR30+Master!FK30+Master!CT30+Master!CU30+Master!FM30+Master!CW30+Master!FI30+Master!FP30+Master!FT30+Master!FY30</f>
        <v>0</v>
      </c>
      <c r="F22" s="4685">
        <f t="shared" ref="F22:F25" si="8">D22+E22</f>
        <v>0</v>
      </c>
      <c r="G22" s="4685">
        <f>Master!FA30+Master!FB30+Master!FC30+Master!FW30</f>
        <v>0</v>
      </c>
      <c r="H22" s="4685">
        <f>Master!CA30+Master!CY30+Master!DG30+Master!FU30+Master!DP30+Master!DU30+Master!GA30+Master!GB30</f>
        <v>0</v>
      </c>
      <c r="I22" s="4685">
        <f>Master!AL30+Master!AM30</f>
        <v>0</v>
      </c>
      <c r="J22" s="4685">
        <f>Master!BW30</f>
        <v>0</v>
      </c>
      <c r="K22" s="4686">
        <f>Master!DY30</f>
        <v>0</v>
      </c>
      <c r="L22" s="4687">
        <f t="shared" si="7"/>
        <v>0</v>
      </c>
      <c r="M22" s="3581"/>
      <c r="N22" s="951"/>
      <c r="O22" s="1581">
        <f xml:space="preserve"> Master!Z30+Master!AC30+Master!AD30+Master!AE30+Master!AF30+Master!AG30+Master!AH30+Master!AI30+Master!AJ30</f>
        <v>0</v>
      </c>
      <c r="P22" s="93"/>
      <c r="Q22" s="93"/>
      <c r="R22" s="93"/>
      <c r="S22" s="93"/>
    </row>
    <row r="23" spans="1:131" ht="39.75" customHeight="1">
      <c r="A23" s="94"/>
      <c r="B23" s="4681">
        <v>0.75</v>
      </c>
      <c r="C23" s="4682">
        <f>Master!N31+Master!B31+Master!C31+Master!D31+Master!E31+Master!F31+Master!G31+Master!H31 +Master!I31+Master!J31+Master!L31+Master!M31+Master!R31+Master!S31+Master!T31+Master!AE31+Master!AF31+Master!AG31+Master!AH31+Master!AI31+Master!AK31+Master!AN31+Master!AO31+Master!AQ31+Master!AS31+Master!AU31+Master!BB31+Master!BC31 +Master!BD31+Master!BE31+Master!BF31+Master!BG31+Master!BH31+Master!BI31+Master!BJ31+Master!BK31+Master!BL31+Master!BM31 +Master!BN31+Master!BO31+Master!BP31+Master!BS31+Master!BT31+Master!BU31+Master!BV31+Master!BX31+Master!BZ31+Master!CB31+Master!CC31+Master!CD31+Master!CE31+Master!CF31+Master!CG31+Master!CH31+Master!CI31+Master!CJ31+Master!CK31+Master!CL31+Master!CM31+Master!CN31+Master!CO31+Master!CP31+Master!CQ31+Master!EA31+Master!EJ31+Master!EK31  +Master!EN31+Master!EO31+Master!EX31+Master!EY31+Master!EZ31+Master!FF31+Master!FJ31+Master!FL31+Master!FH31+Master!FN31+Master!DC31+Master!DN31+Master!FX31+Master!DS31</f>
        <v>0</v>
      </c>
      <c r="D23" s="4683">
        <f>Master!K31+Master!O31+Master!P31+Master!Q31+Master!U31+Master!V31+Master!W31+Master!X31+Master!Y31+Master!AA31+Master!AB31+Master!AC31+Master!AD31+Master!AJ31+Master!AP31+Master!AV31+Master!AW31+Master!AX31+Master!AY31+Master!AZ31+Master!BA31+Master!BQ31+Master!BR31+Master!BY31+Master!EB31+Master!EC31+Master!EG31+Master!EH31+Master!EI31+Master!EL31+Master!EP31+Master!EQ31+Master!ER31+Master!ES31+Master!ET31+Master!EU31+Master!EV31+Master!EW31+Master!CS31+Master!CV31+Master!CX31+Master!FO31+Master!CZ31+Master!DA31+Master!DB31+Master!DD31+Master!FQ31+Master!FR31+Master!DE31+Master!DF31+Master!DH31+Master!FS31+Master!DI31+Master!DJ31+Master!FV31+Master!DK31+Master!DL31+Master!DM31+Master!DO31+Master!DQ31+Master!FZ31+Master!DR31+Master!DT31+Master!DV31+Master!DW31+Master!GC31</f>
        <v>0</v>
      </c>
      <c r="E23" s="4684">
        <f>Master!Z31+Master!AR31+Master!DZ31+Master!ED31+Master!EM31+Master!FD31+Master!FE31+Master!FG31+Master!AT31+Master!CR31+Master!FK31+Master!CT31+Master!CU31+Master!FM31+Master!CW31+Master!FI31+Master!FP31+Master!FT31+Master!FY31</f>
        <v>0</v>
      </c>
      <c r="F23" s="4685">
        <f>D23+E23</f>
        <v>0</v>
      </c>
      <c r="G23" s="4685">
        <f>Master!FA31+Master!FB31+Master!FC31+Master!FW31</f>
        <v>0</v>
      </c>
      <c r="H23" s="4685">
        <f>Master!CA31+Master!CY31+Master!DG31+Master!FU31+Master!DP31+Master!DU31+Master!GA31+Master!GB31</f>
        <v>0</v>
      </c>
      <c r="I23" s="4685">
        <f>Master!AL31+Master!AM31</f>
        <v>0</v>
      </c>
      <c r="J23" s="4685">
        <f>Master!BW31</f>
        <v>0</v>
      </c>
      <c r="K23" s="4686">
        <f>Master!DY31</f>
        <v>0</v>
      </c>
      <c r="L23" s="4687">
        <f t="shared" si="7"/>
        <v>0</v>
      </c>
      <c r="M23" s="3581"/>
      <c r="N23" s="951"/>
      <c r="O23" s="1581">
        <f xml:space="preserve"> Master!Z31+Master!AC31+Master!AD31+Master!AE31+Master!AF31+Master!AG31+Master!AH31+Master!AI31+Master!AJ31</f>
        <v>0</v>
      </c>
      <c r="P23" s="93"/>
      <c r="Q23" s="93"/>
      <c r="R23" s="93"/>
      <c r="S23" s="93"/>
    </row>
    <row r="24" spans="1:131" ht="1.5" hidden="1" customHeight="1">
      <c r="A24" s="94"/>
      <c r="B24" s="4681">
        <v>0.77083333333333337</v>
      </c>
      <c r="C24" s="4682">
        <f>Master!N32+Master!B32+Master!C32+Master!D32+Master!E32+Master!F32+Master!G32+Master!H32 +Master!I32+Master!J32+Master!L32+Master!M32+Master!R32+Master!S32+Master!T32+Master!AE32+Master!AF32+Master!AG32+Master!AH32+Master!AI32+Master!AK32+Master!AN32+Master!AO32+Master!AQ32+Master!AS32+Master!AU32+Master!BB32+Master!BC32 +Master!BD32+Master!BE32+Master!BF32+Master!BG32+Master!BH32+Master!BI32+Master!BJ32+Master!BK32+Master!BL32+Master!BM32 +Master!BN32+Master!BO32+Master!BP32+Master!BS32+Master!BT32+Master!BU32+Master!BV32+Master!BX32+Master!BZ32+Master!CB32+Master!CC32+Master!CD32+Master!CE32+Master!CF32+Master!CG32+Master!CH32+Master!CI32+Master!CJ32+Master!CK32+Master!CL32+Master!CM32+Master!CN32+Master!CO32+Master!CP32+Master!CQ32+Master!EA32+Master!EJ32+Master!EK32  +Master!EN32+Master!EO32+Master!EX32+Master!EY32+Master!EZ32+Master!FF32+Master!FJ32+Master!FL32+Master!FH32+Master!FN32+Master!DC32+Master!DN32+Master!FX32+Master!DS32</f>
        <v>0</v>
      </c>
      <c r="D24" s="4683">
        <f>Master!K32+Master!O32+Master!P32+Master!Q32+Master!U32+Master!V32+Master!W32+Master!X32+Master!Y32+Master!AA32+Master!AB32+Master!AC32+Master!AD32+Master!AJ32+Master!AP32+Master!AV32+Master!AW32+Master!AX32+Master!AY32+Master!AZ32+Master!BA32+Master!BQ32+Master!BR32+Master!BY32+Master!EB32+Master!EC32+Master!EG32+Master!EH32+Master!EI32+Master!EL32+Master!EP32+Master!EQ32+Master!ER32+Master!ES32+Master!ET32+Master!EU32+Master!EV32+Master!EW32+Master!CS32+Master!CV32+Master!CX32+Master!FO32+Master!CZ32+Master!DA32+Master!DB32+Master!DD32+Master!FQ32+Master!FR32+Master!DE32+Master!DF32+Master!DH32+Master!FS32+Master!DI32+Master!DJ32+Master!FV32+Master!DK32+Master!DL32+Master!DM32+Master!DO32+Master!DQ32+Master!FZ32+Master!DR32+Master!DT32+Master!DV32+Master!DW32+Master!GC32</f>
        <v>0</v>
      </c>
      <c r="E24" s="4684">
        <f>Master!Z32+Master!AR32+Master!DZ32+Master!ED32+Master!EM32+Master!FD32+Master!FE32+Master!FG32+Master!AT32+Master!CR32+Master!FK32+Master!CT32+Master!CU32+Master!FM32+Master!CW32+Master!FI32+Master!FP32+Master!FT32+Master!FY32</f>
        <v>0</v>
      </c>
      <c r="F24" s="4685">
        <f>D24+E24</f>
        <v>0</v>
      </c>
      <c r="G24" s="4685">
        <f>Master!FA32+Master!FB32+Master!FC32+Master!FW32</f>
        <v>0</v>
      </c>
      <c r="H24" s="4685">
        <f>Master!CA32+Master!CY32+Master!DG32+Master!FU32+Master!DP32+Master!DU32+Master!GA32+Master!GB32</f>
        <v>0</v>
      </c>
      <c r="I24" s="4685">
        <f>Master!AL32+Master!AM32</f>
        <v>0</v>
      </c>
      <c r="J24" s="4685">
        <f>Master!BW32</f>
        <v>0</v>
      </c>
      <c r="K24" s="4686">
        <f>Master!DY32</f>
        <v>0</v>
      </c>
      <c r="L24" s="4687">
        <f t="shared" si="7"/>
        <v>0</v>
      </c>
      <c r="M24" s="3581"/>
      <c r="N24" s="951"/>
      <c r="O24" s="1581">
        <f xml:space="preserve"> Master!Z32+Master!AC32+Master!AD32+Master!AE32+Master!AF32+Master!AG32+Master!AH32+Master!AI32+Master!AJ32</f>
        <v>0</v>
      </c>
      <c r="P24" s="93"/>
      <c r="Q24" s="93"/>
      <c r="R24" s="93"/>
      <c r="S24" s="93"/>
    </row>
    <row r="25" spans="1:131" ht="39.75" customHeight="1">
      <c r="A25" s="4822"/>
      <c r="B25" s="4681">
        <v>0.79166666666666663</v>
      </c>
      <c r="C25" s="4682">
        <f>Master!N33+Master!B33+Master!C33+Master!D33+Master!E33+Master!F33+Master!G33+Master!H33 +Master!I33+Master!J33+Master!L33+Master!M33+Master!R33+Master!S33+Master!T33+Master!AE33+Master!AF33+Master!AG33+Master!AH33+Master!AI33+Master!AK33+Master!AN33+Master!AO33+Master!AQ33+Master!AS33+Master!AU33+Master!BB33+Master!BC33 +Master!BD33+Master!BE33+Master!BF33+Master!BG33+Master!BH33+Master!BI33+Master!BJ33+Master!BK33+Master!BL33+Master!BM33 +Master!BN33+Master!BO33+Master!BP33+Master!BS33+Master!BT33+Master!BU33+Master!BV33+Master!BX33+Master!BZ33+Master!CB33+Master!CC33+Master!CD33+Master!CE33+Master!CF33+Master!CG33+Master!CH33+Master!CI33+Master!CJ33+Master!CK33+Master!CL33+Master!CM33+Master!CN33+Master!CO33+Master!CP33+Master!CQ33+Master!EA33+Master!EJ33+Master!EK33  +Master!EN33+Master!EO33+Master!EX33+Master!EY33+Master!EZ33+Master!FF33+Master!FJ33+Master!FL33+Master!FH33+Master!FN33+Master!DC33+Master!DN33+Master!FX33+Master!DS33</f>
        <v>3896</v>
      </c>
      <c r="D25" s="4683">
        <f>Master!K33+Master!O33+Master!P33+Master!Q33+Master!U33+Master!V33+Master!W33+Master!X33+Master!Y33+Master!AA33+Master!AB33+Master!AC33+Master!AD33+Master!AJ33+Master!AP33+Master!AV33+Master!AW33+Master!AX33+Master!AY33+Master!AZ33+Master!BA33+Master!BQ33+Master!BR33+Master!BY33+Master!EB33+Master!EC33+Master!EG33+Master!EH33+Master!EI33+Master!EL33+Master!EP33+Master!EQ33+Master!ER33+Master!ES33+Master!ET33+Master!EU33+Master!EV33+Master!EW33+Master!CS33+Master!CV33+Master!CX33+Master!FO33+Master!CZ33+Master!DA33+Master!DB33+Master!DD33+Master!FQ33+Master!FR33+Master!DE33+Master!DF33+Master!DH33+Master!FS33+Master!DI33+Master!DJ33+Master!FV33+Master!DK33+Master!DL33+Master!DM33+Master!DO33+Master!DQ33+Master!FZ33+Master!DR33+Master!DT33+Master!DV33+Master!DW33+Master!GC33</f>
        <v>3064</v>
      </c>
      <c r="E25" s="4684">
        <f>Master!Z33+Master!AR33+Master!DZ33+Master!ED33+Master!EM33+Master!FD33+Master!FE33+Master!FG33+Master!AT33+Master!CR33+Master!FK33+Master!CT33+Master!CU33+Master!FM33+Master!CW33+Master!FI33+Master!FP33+Master!FT33+Master!FY33</f>
        <v>50</v>
      </c>
      <c r="F25" s="4685">
        <f t="shared" si="8"/>
        <v>3114</v>
      </c>
      <c r="G25" s="4685">
        <f>Master!FA33+Master!FB33+Master!FC33+Master!FW33</f>
        <v>269</v>
      </c>
      <c r="H25" s="4685">
        <f>Master!CA33+Master!CY33+Master!DG33+Master!FU33+Master!DP33+Master!DU33+Master!GA33+Master!GB33</f>
        <v>0</v>
      </c>
      <c r="I25" s="4685">
        <f>Master!AL33+Master!AM33</f>
        <v>77</v>
      </c>
      <c r="J25" s="4685">
        <f>Master!BW33</f>
        <v>86</v>
      </c>
      <c r="K25" s="4686">
        <f>Master!DY33</f>
        <v>656</v>
      </c>
      <c r="L25" s="4687">
        <f>C25+F25+G25+H25+I25+J25+K25</f>
        <v>8098</v>
      </c>
      <c r="M25" s="3581"/>
      <c r="N25" s="951"/>
      <c r="O25" s="1581">
        <f xml:space="preserve"> Master!Z33+Master!AC33+Master!AD33+Master!AE33+Master!AF33+Master!AG33+Master!AH33+Master!AI33+Master!AJ33</f>
        <v>229</v>
      </c>
      <c r="P25" s="93"/>
      <c r="Q25" s="93"/>
      <c r="R25" s="93" t="s">
        <v>18</v>
      </c>
      <c r="S25" s="93"/>
    </row>
    <row r="26" spans="1:131" ht="39.75" customHeight="1" thickBot="1">
      <c r="A26" s="94"/>
      <c r="B26" s="4681">
        <v>0.8125</v>
      </c>
      <c r="C26" s="4682">
        <f>Master!N34+Master!B34+Master!C34+Master!D34+Master!E34+Master!F34+Master!G34+Master!H34 +Master!I34+Master!J34+Master!L34+Master!M34+Master!R34+Master!S34+Master!T34+Master!AE34+Master!AF34+Master!AG34+Master!AH34+Master!AI34+Master!AK34+Master!AN34+Master!AO34+Master!AQ34+Master!AS34+Master!AU34+Master!BB34+Master!BC34 +Master!BD34+Master!BE34+Master!BF34+Master!BG34+Master!BH34+Master!BI34+Master!BJ34+Master!BK34+Master!BL34+Master!BM34 +Master!BN34+Master!BO34+Master!BP34+Master!BS34+Master!BT34+Master!BU34+Master!BV34+Master!BX34+Master!BZ34+Master!CB34+Master!CC34+Master!CD34+Master!CE34+Master!CF34+Master!CG34+Master!CH34+Master!CI34+Master!CJ34+Master!CK34+Master!CL34+Master!CM34+Master!CN34+Master!CO34+Master!CP34+Master!CQ34+Master!EA34+Master!EJ34+Master!EK34  +Master!EN34+Master!EO34+Master!EX34+Master!EY34+Master!EZ34+Master!FF34+Master!FJ34+Master!FL34+Master!FH34+Master!FN34+Master!DC34+Master!DN34+Master!FX34+Master!DS34</f>
        <v>3950</v>
      </c>
      <c r="D26" s="4683">
        <f>Master!K34+Master!O34+Master!P34+Master!Q34+Master!U34+Master!V34+Master!W34+Master!X34+Master!Y34+Master!AA34+Master!AB34+Master!AC34+Master!AD34+Master!AJ34+Master!AP34+Master!AV34+Master!AW34+Master!AX34+Master!AY34+Master!AZ34+Master!BA34+Master!BQ34+Master!BR34+Master!BY34+Master!EB34+Master!EC34+Master!EG34+Master!EH34+Master!EI34+Master!EL34+Master!EP34+Master!EQ34+Master!ER34+Master!ES34+Master!ET34+Master!EU34+Master!EV34+Master!EW34+Master!CS34+Master!CV34+Master!CX34+Master!FO34+Master!CZ34+Master!DA34+Master!DB34+Master!DD34+Master!FQ34+Master!FR34+Master!DE34+Master!DF34+Master!DH34+Master!FS34+Master!DI34+Master!DJ34+Master!FV34+Master!DK34+Master!DL34+Master!DM34+Master!DO34+Master!DQ34+Master!FZ34+Master!DR34+Master!DT34+Master!DV34+Master!DW34+Master!GC34</f>
        <v>3055</v>
      </c>
      <c r="E26" s="4684">
        <f>Master!Z34+Master!AR34+Master!DZ34+Master!ED34+Master!EM34+Master!FD34+Master!FE34+Master!FG34+Master!AT34+Master!CR34+Master!FK34+Master!CT34+Master!CU34+Master!FM34+Master!CW34+Master!FI34+Master!FP34+Master!FT34+Master!FY34</f>
        <v>0</v>
      </c>
      <c r="F26" s="4685">
        <f>D26+E26</f>
        <v>3055</v>
      </c>
      <c r="G26" s="4685">
        <f>Master!FA34+Master!FB34+Master!FC34+Master!FW34</f>
        <v>389</v>
      </c>
      <c r="H26" s="4685">
        <f>Master!CA34+Master!CY34+Master!DG34+Master!FU34+Master!DP34+Master!DU34+Master!GA34+Master!GB34</f>
        <v>0</v>
      </c>
      <c r="I26" s="4685">
        <f>Master!AL34+Master!AM34</f>
        <v>78</v>
      </c>
      <c r="J26" s="4685">
        <f>Master!BW34</f>
        <v>88</v>
      </c>
      <c r="K26" s="4686">
        <f>Master!DY34</f>
        <v>658</v>
      </c>
      <c r="L26" s="4687">
        <f t="shared" si="7"/>
        <v>8218</v>
      </c>
      <c r="M26" s="3581"/>
      <c r="O26" s="1581">
        <f xml:space="preserve"> Master!Z34+Master!AC34+Master!AD34+Master!AE34+Master!AF34+Master!AG34+Master!AH34+Master!AI34+Master!AJ34</f>
        <v>214</v>
      </c>
      <c r="P26" s="93"/>
      <c r="Q26" s="4296"/>
      <c r="S26" s="93"/>
    </row>
    <row r="27" spans="1:131" ht="39.75" customHeight="1">
      <c r="A27" s="94"/>
      <c r="B27" s="4681">
        <v>0.83333333333333337</v>
      </c>
      <c r="C27" s="4682">
        <f>Master!N35+Master!B35+Master!C35+Master!D35+Master!E35+Master!F35+Master!G35+Master!H35 +Master!I35+Master!J35+Master!L35+Master!M35+Master!R35+Master!S35+Master!T35+Master!AE35+Master!AF35+Master!AG35+Master!AH35+Master!AI35+Master!AK35+Master!AN35+Master!AO35+Master!AQ35+Master!AS35+Master!AU35+Master!BB35+Master!BC35 +Master!BD35+Master!BE35+Master!BF35+Master!BG35+Master!BH35+Master!BI35+Master!BJ35+Master!BK35+Master!BL35+Master!BM35 +Master!BN35+Master!BO35+Master!BP35+Master!BS35+Master!BT35+Master!BU35+Master!BV35+Master!BX35+Master!BZ35+Master!CB35+Master!CC35+Master!CD35+Master!CE35+Master!CF35+Master!CG35+Master!CH35+Master!CI35+Master!CJ35+Master!CK35+Master!CL35+Master!CM35+Master!CN35+Master!CO35+Master!CP35+Master!CQ35+Master!EA35+Master!EJ35+Master!EK35  +Master!EN35+Master!EO35+Master!EX35+Master!EY35+Master!EZ35+Master!FF35+Master!FJ35+Master!FL35+Master!FH35+Master!FN35+Master!DC35+Master!DN35+Master!FX35+Master!DS35</f>
        <v>4002</v>
      </c>
      <c r="D27" s="4683">
        <f>Master!K35+Master!O35+Master!P35+Master!Q35+Master!U35+Master!V35+Master!W35+Master!X35+Master!Y35+Master!AA35+Master!AB35+Master!AC35+Master!AD35+Master!AJ35+Master!AP35+Master!AV35+Master!AW35+Master!AX35+Master!AY35+Master!AZ35+Master!BA35+Master!BQ35+Master!BR35+Master!BY35+Master!EB35+Master!EC35+Master!EG35+Master!EH35+Master!EI35+Master!EL35+Master!EP35+Master!EQ35+Master!ER35+Master!ES35+Master!ET35+Master!EU35+Master!EV35+Master!EW35+Master!CS35+Master!CV35+Master!CX35+Master!FO35+Master!CZ35+Master!DA35+Master!DB35+Master!DD35+Master!FQ35+Master!FR35+Master!DE35+Master!DF35+Master!DH35+Master!FS35+Master!DI35+Master!DJ35+Master!FV35+Master!DK35+Master!DL35+Master!DM35+Master!DO35+Master!DQ35+Master!FZ35+Master!DR35+Master!DT35+Master!DV35+Master!DW35+Master!GC35</f>
        <v>2930</v>
      </c>
      <c r="E27" s="4684">
        <f>Master!Z35+Master!AR35+Master!DZ35+Master!ED35+Master!EM35+Master!FD35+Master!FE35+Master!FG35+Master!AT35+Master!CR35+Master!FK35+Master!CT35+Master!CU35+Master!FM35+Master!CW35+Master!FI35+Master!FP35+Master!FT35+Master!FY35</f>
        <v>0</v>
      </c>
      <c r="F27" s="4685">
        <f>D27+E27</f>
        <v>2930</v>
      </c>
      <c r="G27" s="4685">
        <f>Master!FA35+Master!FB35+Master!FC35+Master!FW35</f>
        <v>409</v>
      </c>
      <c r="H27" s="4685">
        <f>Master!CA35+Master!CY35+Master!DG35+Master!FU35+Master!DP35+Master!DU35+Master!GA35+Master!GB35</f>
        <v>0</v>
      </c>
      <c r="I27" s="4685">
        <f>Master!AL35+Master!AM35</f>
        <v>79</v>
      </c>
      <c r="J27" s="4685">
        <f>Master!BW35</f>
        <v>86</v>
      </c>
      <c r="K27" s="4686">
        <f>Master!DY35</f>
        <v>657</v>
      </c>
      <c r="L27" s="4687">
        <f>C27+F27+G27+H27+I27+J27+K27</f>
        <v>8163</v>
      </c>
      <c r="M27" s="3581"/>
      <c r="N27" s="1229" t="s">
        <v>858</v>
      </c>
      <c r="O27" s="1581">
        <f xml:space="preserve"> Master!Z35+Master!AC35+Master!AD35+Master!AE35+Master!AF35+Master!AG35+Master!AH35+Master!AI35+Master!AJ35</f>
        <v>214</v>
      </c>
      <c r="P27" s="93"/>
      <c r="Q27" s="93"/>
      <c r="R27" s="93"/>
      <c r="S27" s="93"/>
    </row>
    <row r="28" spans="1:131" ht="39.75" customHeight="1" thickBot="1">
      <c r="A28" s="94"/>
      <c r="B28" s="4681">
        <v>0.875</v>
      </c>
      <c r="C28" s="4682">
        <f>Master!N36+Master!B36+Master!C36+Master!D36+Master!E36+Master!F36+Master!G36+Master!H36 +Master!I36+Master!J36+Master!L36+Master!M36+Master!R36+Master!S36+Master!T36+Master!AE36+Master!AF36+Master!AG36+Master!AH36+Master!AI36+Master!AK36+Master!AN36+Master!AO36+Master!AQ36+Master!AS36+Master!AU36+Master!BB36+Master!BC36 +Master!BD36+Master!BE36+Master!BF36+Master!BG36+Master!BH36+Master!BI36+Master!BJ36+Master!BK36+Master!BL36+Master!BM36 +Master!BN36+Master!BO36+Master!BP36+Master!BS36+Master!BT36+Master!BU36+Master!BV36+Master!BX36+Master!BZ36+Master!CB36+Master!CC36+Master!CD36+Master!CE36+Master!CF36+Master!CG36+Master!CH36+Master!CI36+Master!CJ36+Master!CK36+Master!CL36+Master!CM36+Master!CN36+Master!CO36+Master!CP36+Master!CQ36+Master!EA36+Master!EJ36+Master!EK36  +Master!EN36+Master!EO36+Master!EX36+Master!EY36+Master!EZ36+Master!FF36+Master!FJ36+Master!FL36+Master!FH36+Master!FN36+Master!DC36+Master!DN36+Master!FX36+Master!DS36</f>
        <v>4162</v>
      </c>
      <c r="D28" s="4683">
        <f>Master!K36+Master!O36+Master!P36+Master!Q36+Master!U36+Master!V36+Master!W36+Master!X36+Master!Y36+Master!AA36+Master!AB36+Master!AC36+Master!AD36+Master!AJ36+Master!AP36+Master!AV36+Master!AW36+Master!AX36+Master!AY36+Master!AZ36+Master!BA36+Master!BQ36+Master!BR36+Master!BY36+Master!EB36+Master!EC36+Master!EG36+Master!EH36+Master!EI36+Master!EL36+Master!EP36+Master!EQ36+Master!ER36+Master!ES36+Master!ET36+Master!EU36+Master!EV36+Master!EW36+Master!CS36+Master!CV36+Master!CX36+Master!FO36+Master!CZ36+Master!DA36+Master!DB36+Master!DD36+Master!FQ36+Master!FR36+Master!DE36+Master!DF36+Master!DH36+Master!FS36+Master!DI36+Master!DJ36+Master!FV36+Master!DK36+Master!DL36+Master!DM36+Master!DO36+Master!DQ36+Master!FZ36+Master!DR36+Master!DT36+Master!DV36+Master!DW36+Master!GC36</f>
        <v>2522</v>
      </c>
      <c r="E28" s="4684">
        <f>Master!Z36+Master!AR36+Master!DZ36+Master!ED36+Master!EM36+Master!FD36+Master!FE36+Master!FG36+Master!AT36+Master!CR36+Master!FK36+Master!CT36+Master!CU36+Master!FM36+Master!CW36+Master!FI36+Master!FP36+Master!FT36+Master!FY36</f>
        <v>0</v>
      </c>
      <c r="F28" s="4685">
        <f t="shared" ref="F28:F29" si="9">D28+E28</f>
        <v>2522</v>
      </c>
      <c r="G28" s="4685">
        <f>Master!FA36+Master!FB36+Master!FC36+Master!FW36</f>
        <v>480</v>
      </c>
      <c r="H28" s="4685">
        <f>Master!CA36+Master!CY36+Master!DG36+Master!FU36+Master!DP36+Master!DU36+Master!GA36+Master!GB36</f>
        <v>0</v>
      </c>
      <c r="I28" s="4685">
        <f>Master!AL36+Master!AM36</f>
        <v>86</v>
      </c>
      <c r="J28" s="4685">
        <f>Master!BW36</f>
        <v>86</v>
      </c>
      <c r="K28" s="4686">
        <f>Master!DY36</f>
        <v>657</v>
      </c>
      <c r="L28" s="4687">
        <f t="shared" si="7"/>
        <v>7993</v>
      </c>
      <c r="M28" s="3581"/>
      <c r="N28" s="1230">
        <f>MAX(L23:L28)</f>
        <v>8218</v>
      </c>
      <c r="O28" s="1581">
        <f xml:space="preserve"> Master!Z36+Master!AC36+Master!AD36+Master!AE36+Master!AF36+Master!AG36+Master!AH36+Master!AI36+Master!AJ36</f>
        <v>189</v>
      </c>
      <c r="P28" s="93"/>
      <c r="Q28" s="93"/>
      <c r="R28" s="93"/>
      <c r="S28" s="4881"/>
    </row>
    <row r="29" spans="1:131" ht="39.75" customHeight="1">
      <c r="A29" s="94"/>
      <c r="B29" s="4688">
        <v>0.91666666666666663</v>
      </c>
      <c r="C29" s="4694">
        <f>Master!N37+Master!B37+Master!C37+Master!D37+Master!E37+Master!F37+Master!G37+Master!H37 +Master!I37+Master!J37+Master!L37+Master!M37+Master!R37+Master!S37+Master!T37+Master!AE37+Master!AF37+Master!AG37+Master!AH37+Master!AI37+Master!AK37+Master!AN37+Master!AO37+Master!AQ37+Master!AS37+Master!AU37+Master!BB37+Master!BC37 +Master!BD37+Master!BE37+Master!BF37+Master!BG37+Master!BH37+Master!BI37+Master!BJ37+Master!BK37+Master!BL37+Master!BM37 +Master!BN37+Master!BO37+Master!BP37+Master!BS37+Master!BT37+Master!BU37+Master!BV37+Master!BX37+Master!BZ37+Master!CB37+Master!CC37+Master!CD37+Master!CE37+Master!CF37+Master!CG37+Master!CH37+Master!CI37+Master!CJ37+Master!CK37+Master!CL37+Master!CM37+Master!CN37+Master!CO37+Master!CP37+Master!CQ37+Master!EA37+Master!EJ37+Master!EK37  +Master!EN37+Master!EO37+Master!EX37+Master!EY37+Master!EZ37+Master!FF37+Master!FJ37+Master!FL37+Master!FH37+Master!FN37+Master!DC37+Master!DN37+Master!FX37+Master!DS37</f>
        <v>4087</v>
      </c>
      <c r="D29" s="4689">
        <f>Master!K37+Master!O37+Master!P37+Master!Q37+Master!U37+Master!V37+Master!W37+Master!X37+Master!Y37+Master!AA37+Master!AB37+Master!AC37+Master!AD37+Master!AJ37+Master!AP37+Master!AV37+Master!AW37+Master!AX37+Master!AY37+Master!AZ37+Master!BA37+Master!BQ37+Master!BR37+Master!BY37+Master!EB37+Master!EC37+Master!EG37+Master!EH37+Master!EI37+Master!EL37+Master!EP37+Master!EQ37+Master!ER37+Master!ES37+Master!ET37+Master!EU37+Master!EV37+Master!EW37+Master!CS37+Master!CV37+Master!CX37+Master!FO37+Master!CZ37+Master!DA37+Master!DB37+Master!DD37+Master!FQ37+Master!FR37+Master!DE37+Master!DF37+Master!DH37+Master!FS37+Master!DI37+Master!DJ37+Master!FV37+Master!DK37+Master!DL37+Master!DM37+Master!DO37+Master!DQ37+Master!FZ37+Master!DR37+Master!DT37+Master!DV37+Master!DW37+Master!GC37</f>
        <v>2265</v>
      </c>
      <c r="E29" s="4690">
        <f>Master!Z37+Master!AR37+Master!DZ37+Master!ED37+Master!EM37+Master!FD37+Master!FE37+Master!FG37+Master!AT37+Master!CR37+Master!FK37+Master!CT37+Master!CU37+Master!FM37+Master!CW37+Master!FI37+Master!FP37+Master!FT37+Master!FY37</f>
        <v>0</v>
      </c>
      <c r="F29" s="4691">
        <f t="shared" si="9"/>
        <v>2265</v>
      </c>
      <c r="G29" s="4691">
        <f>Master!FA37+Master!FB37+Master!FC37+Master!FW37</f>
        <v>579</v>
      </c>
      <c r="H29" s="4691">
        <f>Master!CA37+Master!CY37+Master!DG37+Master!FU37+Master!DP37+Master!DU37+Master!GA37+Master!GB37</f>
        <v>0</v>
      </c>
      <c r="I29" s="4691">
        <f>Master!AL37+Master!AM37</f>
        <v>86</v>
      </c>
      <c r="J29" s="4691">
        <f>Master!BW37</f>
        <v>84</v>
      </c>
      <c r="K29" s="4692">
        <f>Master!DY37</f>
        <v>658</v>
      </c>
      <c r="L29" s="4693">
        <f t="shared" si="7"/>
        <v>7759</v>
      </c>
      <c r="M29" s="3581"/>
      <c r="N29" s="1535"/>
      <c r="O29" s="1581">
        <f xml:space="preserve"> Master!Z37+Master!AC37+Master!AD37+Master!AE37+Master!AF37+Master!AG37+Master!AH37+Master!AI37+Master!AJ37</f>
        <v>189</v>
      </c>
      <c r="P29" s="93"/>
      <c r="R29" s="93"/>
    </row>
    <row r="30" spans="1:131" ht="39.75" customHeight="1">
      <c r="A30" s="94"/>
      <c r="B30" s="4688">
        <v>0.95833333333333337</v>
      </c>
      <c r="C30" s="4694">
        <f>Master!N38+Master!B38+Master!C38+Master!D38+Master!E38+Master!F38+Master!G38+Master!H38 +Master!I38+Master!J38+Master!L38+Master!M38+Master!R38+Master!S38+Master!T38+Master!AE38+Master!AF38+Master!AG38+Master!AH38+Master!AI38+Master!AK38+Master!AN38+Master!AO38+Master!AQ38+Master!AS38+Master!AU38+Master!BB38+Master!BC38 +Master!BD38+Master!BE38+Master!BF38+Master!BG38+Master!BH38+Master!BI38+Master!BJ38+Master!BK38+Master!BL38+Master!BM38 +Master!BN38+Master!BO38+Master!BP38+Master!BS38+Master!BT38+Master!BU38+Master!BV38+Master!BX38+Master!BZ38+Master!CB38+Master!CC38+Master!CD38+Master!CE38+Master!CF38+Master!CG38+Master!CH38+Master!CI38+Master!CJ38+Master!CK38+Master!CL38+Master!CM38+Master!CN38+Master!CO38+Master!CP38+Master!CQ38+Master!EA38+Master!EJ38+Master!EK38  +Master!EN38+Master!EO38+Master!EX38+Master!EY38+Master!EZ38+Master!FF38+Master!FJ38+Master!FL38+Master!FH38+Master!FN38+Master!DC38+Master!DN38+Master!FX38+Master!DS38</f>
        <v>4035</v>
      </c>
      <c r="D30" s="4689">
        <f>Master!K38+Master!O38+Master!P38+Master!Q38+Master!U38+Master!V38+Master!W38+Master!X38+Master!Y38+Master!AA38+Master!AB38+Master!AC38+Master!AD38+Master!AJ38+Master!AP38+Master!AV38+Master!AW38+Master!AX38+Master!AY38+Master!AZ38+Master!BA38+Master!BQ38+Master!BR38+Master!BY38+Master!EB38+Master!EC38+Master!EG38+Master!EH38+Master!EI38+Master!EL38+Master!EP38+Master!EQ38+Master!ER38+Master!ES38+Master!ET38+Master!EU38+Master!EV38+Master!EW38+Master!CS38+Master!CV38+Master!CX38+Master!FO38+Master!CZ38+Master!DA38+Master!DB38+Master!DD38+Master!FQ38+Master!FR38+Master!DE38+Master!DF38+Master!DH38+Master!FS38+Master!DI38+Master!DJ38+Master!FV38+Master!DK38+Master!DL38+Master!DM38+Master!DO38+Master!DQ38+Master!FZ38+Master!DR38+Master!DT38+Master!DV38+Master!DW38+Master!GC38</f>
        <v>1865</v>
      </c>
      <c r="E30" s="4690">
        <f>Master!Z38+Master!AR38+Master!DZ38+Master!ED38+Master!EM38+Master!FD38+Master!FE38+Master!FG38+Master!AT38+Master!CR38+Master!FK38+Master!CT38+Master!CU38+Master!FM38+Master!CW38+Master!FI38+Master!FP38+Master!FT38+Master!FY38</f>
        <v>0</v>
      </c>
      <c r="F30" s="4691">
        <f t="shared" ref="F30:F31" si="10">D30+E30</f>
        <v>1865</v>
      </c>
      <c r="G30" s="4691">
        <f>Master!FA38+Master!FB38+Master!FC38+Master!FW38</f>
        <v>569</v>
      </c>
      <c r="H30" s="4691">
        <f>Master!CA38+Master!CY38+Master!DG38+Master!FU38+Master!DP38+Master!DU38+Master!GA38+Master!GB38</f>
        <v>0</v>
      </c>
      <c r="I30" s="4691">
        <f>Master!AL38+Master!AM38</f>
        <v>77</v>
      </c>
      <c r="J30" s="4691">
        <f>Master!BW38</f>
        <v>76</v>
      </c>
      <c r="K30" s="4692">
        <f>Master!DY38</f>
        <v>610</v>
      </c>
      <c r="L30" s="4693">
        <f>C30+F30+G30+H30+I30+J30+K30</f>
        <v>7232</v>
      </c>
      <c r="M30" s="3581"/>
      <c r="N30" s="951"/>
      <c r="O30" s="1581">
        <f xml:space="preserve"> Master!Z38+Master!AC38+Master!AD38+Master!AE38+Master!AF38+Master!AG38+Master!AH38+Master!AI38+Master!AJ38</f>
        <v>189</v>
      </c>
      <c r="P30" s="93"/>
      <c r="Q30" s="93">
        <f>330-65</f>
        <v>265</v>
      </c>
      <c r="R30" s="93"/>
      <c r="S30" s="93"/>
    </row>
    <row r="31" spans="1:131" ht="39.75" customHeight="1" thickBot="1">
      <c r="A31" s="94"/>
      <c r="B31" s="4695" t="s">
        <v>24</v>
      </c>
      <c r="C31" s="4694">
        <f>Master!N39+Master!B39+Master!C39+Master!D39+Master!E39+Master!F39+Master!G39+Master!H39 +Master!I39+Master!J39+Master!L39+Master!M39+Master!R39+Master!S39+Master!T39+Master!AE39+Master!AF39+Master!AG39+Master!AH39+Master!AI39+Master!AK39+Master!AN39+Master!AO39+Master!AQ39+Master!AS39+Master!AU39+Master!BB39+Master!BC39 +Master!BD39+Master!BE39+Master!BF39+Master!BG39+Master!BH39+Master!BI39+Master!BJ39+Master!BK39+Master!BL39+Master!BM39 +Master!BN39+Master!BO39+Master!BP39+Master!BS39+Master!BT39+Master!BU39+Master!BV39+Master!BX39+Master!BZ39+Master!CB39+Master!CC39+Master!CD39+Master!CE39+Master!CF39+Master!CG39+Master!CH39+Master!CI39+Master!CJ39+Master!CK39+Master!CL39+Master!CM39+Master!CN39+Master!CO39+Master!CP39+Master!CQ39+Master!EA39+Master!EJ39+Master!EK39  +Master!EN39+Master!EO39+Master!EX39+Master!EY39+Master!EZ39+Master!FF39+Master!FJ39+Master!FL39+Master!FH39+Master!FN39+Master!DC39+Master!DN39+Master!FX39+Master!DS39</f>
        <v>4042</v>
      </c>
      <c r="D31" s="4696">
        <f>Master!K39+Master!O39+Master!P39+Master!Q39+Master!U39+Master!V39+Master!W39+Master!X39+Master!Y39+Master!AA39+Master!AB39+Master!AC39+Master!AD39+Master!AJ39+Master!AP39+Master!AV39+Master!AW39+Master!AX39+Master!AY39+Master!AZ39+Master!BA39+Master!BQ39+Master!BR39+Master!BY39+Master!EB39+Master!EC39+Master!EG39+Master!EH39+Master!EI39+Master!EL39+Master!EP39+Master!EQ39+Master!ER39+Master!ES39+Master!ET39+Master!EU39+Master!EV39+Master!EW39+Master!CS39+Master!CV39+Master!CX39+Master!FO39+Master!CZ39+Master!DA39+Master!DB39+Master!DD39+Master!FQ39+Master!FR39+Master!DE39+Master!DF39+Master!DH39+Master!FS39+Master!DI39+Master!DJ39+Master!FV39+Master!DK39+Master!DL39+Master!DM39+Master!DO39+Master!DQ39+Master!FZ39+Master!DR39+Master!DT39+Master!DV39+Master!DW39+Master!GC39</f>
        <v>1501</v>
      </c>
      <c r="E31" s="4690">
        <f>Master!Z39+Master!AR39+Master!DZ39+Master!ED39+Master!EM39+Master!FD39+Master!FE39+Master!FG39+Master!AT39+Master!CR39+Master!FK39+Master!CT39+Master!CU39+Master!FM39+Master!CW39+Master!FI39+Master!FP39+Master!FT39+Master!FY39</f>
        <v>0</v>
      </c>
      <c r="F31" s="4691">
        <f t="shared" si="10"/>
        <v>1501</v>
      </c>
      <c r="G31" s="4697">
        <f>Master!FA39+Master!FB39+Master!FC39+Master!FW39</f>
        <v>519</v>
      </c>
      <c r="H31" s="4691">
        <f>Master!CA39+Master!CY39+Master!DG39+Master!FU39+Master!DP39+Master!DU39+Master!GA39+Master!GB39</f>
        <v>0</v>
      </c>
      <c r="I31" s="4697">
        <f>Master!AL39+Master!AM39</f>
        <v>75</v>
      </c>
      <c r="J31" s="4697">
        <f>Master!BW39</f>
        <v>71</v>
      </c>
      <c r="K31" s="4698">
        <f>Master!DY39</f>
        <v>469</v>
      </c>
      <c r="L31" s="4693">
        <f>C31+F31+G31+H31+I31+J31+K31</f>
        <v>6677</v>
      </c>
      <c r="M31" s="3582"/>
      <c r="N31" s="951" t="s">
        <v>169</v>
      </c>
      <c r="O31" s="1581">
        <f xml:space="preserve"> Master!Z39+Master!AC39+Master!AD39+Master!AE39+Master!AF39+Master!AG39+Master!AH39+Master!AI39+Master!AJ39</f>
        <v>189</v>
      </c>
      <c r="P31" s="93"/>
      <c r="Q31" s="93"/>
      <c r="R31" s="93"/>
      <c r="S31" s="4934" t="s">
        <v>1471</v>
      </c>
    </row>
    <row r="32" spans="1:131" s="137" customFormat="1" ht="39.75" customHeight="1" thickBot="1">
      <c r="B32" s="3583" t="s">
        <v>15</v>
      </c>
      <c r="C32" s="3584">
        <f>Master!N40+Master!B40+Master!C40+Master!D40+Master!E40+Master!F40+Master!G40+Master!H40 +Master!I40+Master!J40+Master!L40+Master!M40+Master!R40+Master!S40+Master!T40+Master!AE40+Master!AF40+Master!AG40+Master!AH40+Master!AI40+Master!AK40+Master!AN40+Master!AO40+Master!AQ40+Master!AS40+Master!AU40+Master!BB40+Master!BC40 +Master!BD40+Master!BE40+Master!BF40+Master!BG40+Master!BH40+Master!BI40+Master!BJ40+Master!BK40+Master!BL40+Master!BM40 +Master!BN40+Master!BO40+Master!BP40+Master!BS40+Master!BT40+Master!BU40+Master!BV40+Master!BX40+Master!BZ40+Master!CB40+Master!CC40+Master!CD40+Master!CE40+Master!CF40+Master!CG40+Master!CH40+Master!CI40+Master!CJ40+Master!CK40+Master!CL40+Master!CM40+Master!CN40+Master!CO40+Master!CP40+Master!CQ40+Master!EA40+Master!EJ40+Master!EK40  +Master!EN40+Master!EO40+Master!EX40+Master!EY40+Master!EZ40+Master!FF40+Master!FJ40+Master!FL40+Master!FH40+Master!FN40+Master!DC40+Master!DN40+Master!FX40+Master!DS40</f>
        <v>93789595</v>
      </c>
      <c r="D32" s="3585">
        <f>Master!K40+Master!O40+Master!P40+Master!Q40+Master!U40+Master!V40+Master!W40+Master!X40+Master!Y40+Master!AA40+Master!AB40+Master!AC40+Master!AD40+Master!AJ40+Master!AP40+Master!AV40+Master!AW40+Master!AX40+Master!AY40+Master!AZ40+Master!BA40+Master!BQ40+Master!BR40+Master!BY40+Master!EB40+Master!EC40+Master!EG40+Master!EH40+Master!EI40+Master!EL40+Master!EP40+Master!EQ40+Master!ER40+Master!ES40+Master!ET40+Master!EU40+Master!EV40+Master!EW40+Master!CS40+Master!CV40+Master!CX40+Master!FO40+Master!CZ40+Master!DA40+Master!DB40+Master!DD40+Master!FQ40+Master!FR40+Master!DE40+Master!DF40+Master!DH40+Master!FS40+Master!DI40+Master!DJ40+Master!FV40+Master!DK40+Master!DL40+Master!DM40+Master!DO40+Master!DQ40+Master!FZ40+Master!DR40+Master!DT40+Master!DV40+Master!DW40+Master!GC40</f>
        <v>47989137</v>
      </c>
      <c r="E32" s="4467">
        <f>Master!Z40+Master!AR40+Master!DZ40+Master!ED40+Master!EM40+Master!FD40+Master!FE40+Master!FG40+Master!AT40+Master!CR40+Master!FK40+Master!CT40+Master!CU40+Master!FM40+Master!CW40+Master!FI40+Master!FP40+Master!FT40+Master!FY40</f>
        <v>193117</v>
      </c>
      <c r="F32" s="3585">
        <f>D32+E32</f>
        <v>48182254</v>
      </c>
      <c r="G32" s="3585">
        <f>Master!FA40+Master!FB40+Master!FC40+Master!FW40</f>
        <v>6684700</v>
      </c>
      <c r="H32" s="3585">
        <f>Master!CA40+Master!CY40+Master!DG40+Master!FU40+Master!DP40+Master!DU40+Master!GA40+Master!GB40</f>
        <v>1088598</v>
      </c>
      <c r="I32" s="3585">
        <f>Master!AL40+Master!AM40</f>
        <v>1814800</v>
      </c>
      <c r="J32" s="3585">
        <f>Master!BW40</f>
        <v>1943040</v>
      </c>
      <c r="K32" s="4337">
        <f>Master!DY40</f>
        <v>12730909</v>
      </c>
      <c r="L32" s="4281">
        <f>C32+F32+G32+H32+I32+J32+K32</f>
        <v>166233896</v>
      </c>
      <c r="M32" s="3586"/>
      <c r="N32" s="952"/>
      <c r="P32" s="93"/>
      <c r="Q32" s="93" t="s">
        <v>154</v>
      </c>
      <c r="R32" s="93"/>
      <c r="S32" s="4938">
        <f>L32</f>
        <v>166233896</v>
      </c>
      <c r="T32" s="4939">
        <f>AVERAGE(L6:L31)</f>
        <v>4696.8846153846152</v>
      </c>
    </row>
    <row r="33" spans="1:28" s="137" customFormat="1" ht="39.75" customHeight="1">
      <c r="B33" s="1150"/>
      <c r="C33" s="4926"/>
      <c r="D33" s="951"/>
      <c r="E33" s="4927"/>
      <c r="F33" s="951"/>
      <c r="G33" s="951"/>
      <c r="H33" s="951"/>
      <c r="I33" s="951"/>
      <c r="J33" s="951"/>
      <c r="K33" s="952"/>
      <c r="L33" s="4928"/>
      <c r="M33" s="4929"/>
      <c r="N33" s="952"/>
      <c r="P33" s="93"/>
      <c r="Q33" s="93"/>
      <c r="R33" s="93"/>
      <c r="S33" s="5010">
        <f>YesterdayFWise!L32</f>
        <v>166233896</v>
      </c>
      <c r="T33" s="5011">
        <f>AVERAGE(YesterdayFWise!L6:L31)</f>
        <v>6528.3846153846152</v>
      </c>
    </row>
    <row r="34" spans="1:28" s="137" customFormat="1" ht="39.75" customHeight="1">
      <c r="B34" s="1150"/>
      <c r="C34" s="4926"/>
      <c r="D34" s="951"/>
      <c r="E34" s="4927"/>
      <c r="F34" s="951"/>
      <c r="G34" s="951"/>
      <c r="H34" s="951"/>
      <c r="I34" s="951"/>
      <c r="J34" s="951"/>
      <c r="K34" s="952"/>
      <c r="L34" s="4928"/>
      <c r="M34" s="4929"/>
      <c r="N34" s="952"/>
      <c r="P34" s="93"/>
      <c r="Q34" s="93"/>
      <c r="R34" s="93"/>
      <c r="S34" s="5010">
        <f>Generation!AC195</f>
        <v>166233896</v>
      </c>
    </row>
    <row r="35" spans="1:28" ht="27.75" customHeight="1">
      <c r="B35" s="3619"/>
      <c r="P35" s="93"/>
      <c r="Q35" s="93"/>
      <c r="R35" s="93"/>
      <c r="S35" s="93"/>
    </row>
    <row r="36" spans="1:28" ht="26.25">
      <c r="B36" s="4958" t="s">
        <v>945</v>
      </c>
      <c r="C36" s="4973">
        <v>42498</v>
      </c>
      <c r="D36" s="4959">
        <v>12892</v>
      </c>
      <c r="E36" s="4960">
        <v>0.875</v>
      </c>
      <c r="K36" s="1398" t="s">
        <v>18</v>
      </c>
      <c r="L36" s="1753"/>
      <c r="P36" s="93"/>
      <c r="Q36" s="93"/>
      <c r="R36" s="93"/>
      <c r="S36" s="93"/>
    </row>
    <row r="37" spans="1:28" s="1819" customFormat="1" ht="31.5">
      <c r="B37" s="4961" t="s">
        <v>1335</v>
      </c>
      <c r="C37" s="4974">
        <v>43072</v>
      </c>
      <c r="D37" s="4962">
        <v>13377</v>
      </c>
      <c r="E37" s="4963">
        <v>0.875</v>
      </c>
      <c r="N37" s="1820"/>
      <c r="O37" s="1821"/>
      <c r="S37" s="1822"/>
    </row>
    <row r="38" spans="1:28" ht="27.75" customHeight="1">
      <c r="B38" s="4961" t="s">
        <v>1335</v>
      </c>
      <c r="C38" s="4974" t="s">
        <v>1336</v>
      </c>
      <c r="D38" s="4964">
        <v>13380</v>
      </c>
      <c r="E38" s="4965">
        <v>0.875</v>
      </c>
      <c r="F38" s="1399"/>
      <c r="H38" s="1820"/>
      <c r="I38" s="1820"/>
      <c r="J38" s="1820"/>
    </row>
    <row r="39" spans="1:28" ht="31.5">
      <c r="A39" s="3804"/>
      <c r="B39" s="4966" t="s">
        <v>1335</v>
      </c>
      <c r="C39" s="4975" t="s">
        <v>1338</v>
      </c>
      <c r="D39" s="4967">
        <v>13520</v>
      </c>
      <c r="E39" s="4968">
        <v>0.875</v>
      </c>
      <c r="H39" s="1820"/>
      <c r="I39" s="4537"/>
      <c r="J39" s="1820"/>
      <c r="N39" s="4357"/>
      <c r="O39" s="4358"/>
      <c r="P39" s="4359"/>
      <c r="S39" s="4926"/>
      <c r="T39" s="4930"/>
      <c r="U39" s="4930"/>
      <c r="V39" s="3538"/>
      <c r="W39" s="3538"/>
      <c r="X39" s="4931"/>
      <c r="Y39" s="3538"/>
      <c r="Z39" s="3538"/>
      <c r="AA39" s="3538"/>
      <c r="AB39" s="4931"/>
    </row>
    <row r="40" spans="1:28" ht="31.5">
      <c r="B40" s="4966" t="s">
        <v>1335</v>
      </c>
      <c r="C40" s="4976" t="s">
        <v>1340</v>
      </c>
      <c r="D40" s="4969">
        <v>13777</v>
      </c>
      <c r="E40" s="4968">
        <v>0.875</v>
      </c>
      <c r="H40" s="1820"/>
      <c r="I40" s="1820"/>
      <c r="J40" s="1820"/>
      <c r="N40" s="4360"/>
      <c r="O40" s="4358"/>
      <c r="P40" s="4361"/>
      <c r="S40" s="4926"/>
      <c r="T40" s="4930"/>
      <c r="U40" s="4930"/>
      <c r="V40" s="3538"/>
      <c r="W40" s="3538"/>
      <c r="X40" s="4931"/>
      <c r="Y40" s="3538"/>
      <c r="Z40" s="3538"/>
      <c r="AA40" s="3538"/>
      <c r="AB40" s="4931"/>
    </row>
    <row r="41" spans="1:28" ht="31.5">
      <c r="B41" s="4970" t="s">
        <v>1335</v>
      </c>
      <c r="C41" s="4977" t="s">
        <v>1341</v>
      </c>
      <c r="D41" s="4971">
        <v>13792</v>
      </c>
      <c r="E41" s="4972">
        <v>0.83333333333333337</v>
      </c>
      <c r="I41" s="4372"/>
      <c r="S41" s="4926"/>
      <c r="T41" s="4930"/>
      <c r="U41" s="4930"/>
      <c r="V41" s="3538"/>
      <c r="W41" s="3538"/>
      <c r="X41" s="4931"/>
      <c r="Y41" s="3538"/>
      <c r="Z41" s="3538"/>
      <c r="AA41" s="3538"/>
      <c r="AB41" s="4931"/>
    </row>
    <row r="42" spans="1:28" ht="27.75">
      <c r="S42" s="4926"/>
      <c r="T42" s="4930"/>
      <c r="U42" s="4930"/>
      <c r="V42" s="3538"/>
      <c r="W42" s="3538"/>
      <c r="X42" s="4931"/>
      <c r="Y42" s="3538"/>
      <c r="Z42" s="3538"/>
      <c r="AA42" s="3538"/>
      <c r="AB42" s="4931"/>
    </row>
    <row r="43" spans="1:28" ht="27.75">
      <c r="S43" s="4926"/>
      <c r="T43" s="4930"/>
      <c r="U43" s="4930"/>
      <c r="V43" s="3538"/>
      <c r="W43" s="3538"/>
      <c r="X43" s="4931"/>
      <c r="Y43" s="3538"/>
      <c r="Z43" s="3538"/>
      <c r="AA43" s="3538"/>
      <c r="AB43" s="4931"/>
    </row>
    <row r="44" spans="1:28" ht="27.75">
      <c r="A44" s="140"/>
      <c r="S44" s="4926"/>
      <c r="T44" s="4930"/>
      <c r="U44" s="4930"/>
      <c r="V44" s="3538"/>
      <c r="W44" s="3538"/>
      <c r="X44" s="4931"/>
      <c r="Y44" s="3538"/>
      <c r="Z44" s="3538"/>
      <c r="AA44" s="3538"/>
      <c r="AB44" s="4931"/>
    </row>
    <row r="45" spans="1:28" ht="27.75">
      <c r="S45" s="4926"/>
      <c r="T45" s="4930"/>
      <c r="U45" s="4930"/>
      <c r="V45" s="3538"/>
      <c r="W45" s="3538"/>
      <c r="X45" s="4931"/>
      <c r="Y45" s="3538"/>
      <c r="Z45" s="3538"/>
      <c r="AA45" s="3538"/>
      <c r="AB45" s="4931"/>
    </row>
    <row r="46" spans="1:28" ht="27.75">
      <c r="S46" s="4926"/>
      <c r="T46" s="4930"/>
      <c r="U46" s="4930"/>
      <c r="V46" s="3538"/>
      <c r="W46" s="3538"/>
      <c r="X46" s="4931"/>
      <c r="Y46" s="3538"/>
      <c r="Z46" s="3538"/>
      <c r="AA46" s="3538"/>
      <c r="AB46" s="4931"/>
    </row>
    <row r="47" spans="1:28" ht="27.75">
      <c r="S47" s="4926"/>
      <c r="T47" s="4930"/>
      <c r="U47" s="4930"/>
      <c r="V47" s="3538"/>
      <c r="W47" s="3538"/>
      <c r="X47" s="4931"/>
      <c r="Y47" s="3538"/>
      <c r="Z47" s="3538"/>
      <c r="AA47" s="3538"/>
      <c r="AB47" s="4931"/>
    </row>
    <row r="48" spans="1:28" ht="27.75">
      <c r="S48" s="4926"/>
      <c r="T48" s="4930"/>
      <c r="U48" s="4930"/>
      <c r="V48" s="3538"/>
      <c r="W48" s="3538"/>
      <c r="X48" s="4931"/>
      <c r="Y48" s="3538"/>
      <c r="Z48" s="3538"/>
      <c r="AA48" s="3538"/>
      <c r="AB48" s="4931"/>
    </row>
    <row r="49" spans="6:28" ht="27.75">
      <c r="S49" s="4926"/>
      <c r="T49" s="4930"/>
      <c r="U49" s="4930"/>
      <c r="V49" s="3538"/>
      <c r="W49" s="3538"/>
      <c r="X49" s="4931"/>
      <c r="Y49" s="3538"/>
      <c r="Z49" s="3538"/>
      <c r="AA49" s="3538"/>
      <c r="AB49" s="4931"/>
    </row>
    <row r="50" spans="6:28" ht="27.75">
      <c r="S50" s="4926"/>
      <c r="T50" s="4930"/>
      <c r="U50" s="4930"/>
      <c r="V50" s="3538"/>
      <c r="W50" s="3538"/>
      <c r="X50" s="4931"/>
      <c r="Y50" s="3538"/>
      <c r="Z50" s="3538"/>
      <c r="AA50" s="3538"/>
      <c r="AB50" s="4931"/>
    </row>
    <row r="51" spans="6:28" ht="27.75">
      <c r="S51" s="4926"/>
      <c r="T51" s="4930"/>
      <c r="U51" s="4930"/>
      <c r="V51" s="3538"/>
      <c r="W51" s="3538"/>
      <c r="X51" s="4931"/>
      <c r="Y51" s="3538"/>
      <c r="Z51" s="3538"/>
      <c r="AA51" s="3538"/>
      <c r="AB51" s="4931"/>
    </row>
    <row r="52" spans="6:28" ht="27.75">
      <c r="F52" s="3709"/>
      <c r="S52" s="4926"/>
      <c r="T52" s="4930"/>
      <c r="U52" s="4930"/>
      <c r="V52" s="3538"/>
      <c r="W52" s="3538"/>
      <c r="X52" s="4931"/>
      <c r="Y52" s="3538"/>
      <c r="Z52" s="3538"/>
      <c r="AA52" s="3538"/>
      <c r="AB52" s="4931"/>
    </row>
    <row r="53" spans="6:28" ht="27.75">
      <c r="S53" s="4926"/>
      <c r="T53" s="4930"/>
      <c r="U53" s="4930"/>
      <c r="V53" s="3538"/>
      <c r="W53" s="3538"/>
      <c r="X53" s="4931"/>
      <c r="Y53" s="3538"/>
      <c r="Z53" s="3538"/>
      <c r="AA53" s="3538"/>
      <c r="AB53" s="4931"/>
    </row>
    <row r="54" spans="6:28" ht="27.75">
      <c r="S54" s="4926"/>
      <c r="T54" s="4930"/>
      <c r="U54" s="4930"/>
      <c r="V54" s="3538"/>
      <c r="W54" s="3538"/>
      <c r="X54" s="4931"/>
      <c r="Y54" s="3538"/>
      <c r="Z54" s="3538"/>
      <c r="AA54" s="3538"/>
      <c r="AB54" s="4932"/>
    </row>
    <row r="55" spans="6:28" ht="27.75">
      <c r="S55" s="4926"/>
      <c r="T55" s="4930"/>
      <c r="U55" s="4930"/>
      <c r="V55" s="3538"/>
      <c r="W55" s="3538"/>
      <c r="X55" s="4931"/>
      <c r="Y55" s="3538"/>
      <c r="Z55" s="3538"/>
      <c r="AA55" s="3538"/>
      <c r="AB55" s="4931"/>
    </row>
    <row r="56" spans="6:28" ht="27.75">
      <c r="S56" s="4926"/>
      <c r="T56" s="4930"/>
      <c r="U56" s="4930"/>
      <c r="V56" s="3538"/>
      <c r="W56" s="3538"/>
      <c r="X56" s="4931"/>
      <c r="Y56" s="3538"/>
      <c r="Z56" s="3538"/>
      <c r="AA56" s="3538"/>
      <c r="AB56" s="4931"/>
    </row>
    <row r="57" spans="6:28" ht="27.75">
      <c r="S57" s="4926"/>
      <c r="T57" s="4930"/>
      <c r="U57" s="4930"/>
      <c r="V57" s="3538"/>
      <c r="W57" s="3538"/>
      <c r="X57" s="4931"/>
      <c r="Y57" s="3538"/>
      <c r="Z57" s="3538"/>
      <c r="AA57" s="3538"/>
      <c r="AB57" s="4931"/>
    </row>
    <row r="58" spans="6:28" ht="27.75">
      <c r="S58" s="4926"/>
      <c r="T58" s="4930"/>
      <c r="U58" s="4930"/>
      <c r="V58" s="3538"/>
      <c r="W58" s="3538"/>
      <c r="X58" s="4931"/>
      <c r="Y58" s="3538"/>
      <c r="Z58" s="3538"/>
      <c r="AA58" s="3538"/>
      <c r="AB58" s="4931"/>
    </row>
    <row r="59" spans="6:28" ht="27.75">
      <c r="S59" s="4926"/>
      <c r="T59" s="4930"/>
      <c r="U59" s="4930"/>
      <c r="V59" s="3538"/>
      <c r="W59" s="3538"/>
      <c r="X59" s="4931"/>
      <c r="Y59" s="3538"/>
      <c r="Z59" s="3538"/>
      <c r="AA59" s="3538"/>
      <c r="AB59" s="4931"/>
    </row>
    <row r="60" spans="6:28" ht="27.75">
      <c r="S60" s="3538"/>
      <c r="T60" s="4930"/>
      <c r="U60" s="4930"/>
      <c r="V60" s="3538"/>
      <c r="W60" s="3538"/>
      <c r="X60" s="4931"/>
      <c r="Y60" s="3538"/>
      <c r="Z60" s="3538"/>
      <c r="AA60" s="3538"/>
      <c r="AB60" s="4931"/>
    </row>
    <row r="61" spans="6:28" ht="27.75">
      <c r="S61" s="4930"/>
      <c r="T61" s="4930"/>
      <c r="U61" s="4930"/>
      <c r="V61" s="3538"/>
      <c r="W61" s="3538"/>
      <c r="X61" s="4931"/>
      <c r="Y61" s="3538"/>
      <c r="Z61" s="3538"/>
      <c r="AA61" s="3538"/>
      <c r="AB61" s="4931"/>
    </row>
    <row r="62" spans="6:28" ht="27.75">
      <c r="S62" s="4926"/>
      <c r="T62" s="4930"/>
      <c r="U62" s="4930"/>
      <c r="V62" s="3538"/>
      <c r="W62" s="3538"/>
      <c r="X62" s="4931"/>
      <c r="Y62" s="3538"/>
      <c r="Z62" s="3538"/>
      <c r="AA62" s="3538"/>
      <c r="AB62" s="4931"/>
    </row>
    <row r="63" spans="6:28" ht="27.75">
      <c r="S63" s="4926"/>
      <c r="T63" s="4930"/>
      <c r="U63" s="4930"/>
      <c r="V63" s="3538"/>
      <c r="W63" s="3538"/>
      <c r="X63" s="4931"/>
      <c r="Y63" s="3538"/>
      <c r="Z63" s="3538"/>
      <c r="AA63" s="3538"/>
      <c r="AB63" s="4931"/>
    </row>
    <row r="64" spans="6:28" ht="27.75">
      <c r="S64" s="4926"/>
      <c r="T64" s="951"/>
      <c r="U64" s="4933"/>
      <c r="V64" s="951"/>
      <c r="W64" s="951"/>
      <c r="X64" s="951"/>
      <c r="Y64" s="951"/>
      <c r="Z64" s="951"/>
      <c r="AA64" s="951"/>
      <c r="AB64" s="1047"/>
    </row>
    <row r="75" spans="1:1">
      <c r="A75" s="1390"/>
    </row>
    <row r="76" spans="1:1">
      <c r="A76" s="1390"/>
    </row>
    <row r="77" spans="1:1">
      <c r="A77" s="1390"/>
    </row>
    <row r="78" spans="1:1">
      <c r="A78" s="1390"/>
    </row>
    <row r="79" spans="1:1">
      <c r="A79" s="1390"/>
    </row>
    <row r="80" spans="1:1">
      <c r="A80" s="1390"/>
    </row>
    <row r="81" spans="1:10">
      <c r="A81" s="1390"/>
    </row>
    <row r="82" spans="1:10">
      <c r="A82" s="1390"/>
    </row>
    <row r="83" spans="1:10">
      <c r="A83" s="1390"/>
    </row>
    <row r="96" spans="1:10">
      <c r="A96" s="173"/>
      <c r="B96" s="3621"/>
      <c r="C96" s="1400"/>
      <c r="D96" s="1400"/>
      <c r="E96" s="1400"/>
      <c r="F96" s="1400"/>
      <c r="G96" s="1400"/>
      <c r="H96" s="1400"/>
      <c r="I96" s="1400"/>
      <c r="J96" s="1400"/>
    </row>
    <row r="97" spans="1:10">
      <c r="A97" s="173"/>
      <c r="B97" s="3621"/>
      <c r="C97" s="1400"/>
      <c r="D97" s="1400"/>
      <c r="E97" s="1400"/>
      <c r="F97" s="1400"/>
      <c r="G97" s="1400"/>
      <c r="H97" s="1400"/>
      <c r="I97" s="1400"/>
      <c r="J97" s="1400"/>
    </row>
    <row r="98" spans="1:10">
      <c r="A98" s="173"/>
      <c r="B98" s="3621"/>
      <c r="C98" s="1400"/>
      <c r="D98" s="1400"/>
      <c r="E98" s="1400"/>
      <c r="F98" s="1400"/>
      <c r="G98" s="1400"/>
      <c r="H98" s="1400"/>
      <c r="I98" s="1400"/>
      <c r="J98" s="1400"/>
    </row>
    <row r="99" spans="1:10">
      <c r="A99" s="174"/>
      <c r="B99" s="3621"/>
      <c r="C99" s="1400"/>
      <c r="D99" s="1400"/>
      <c r="E99" s="1400"/>
      <c r="F99" s="1400"/>
      <c r="G99" s="1400"/>
      <c r="H99" s="1400"/>
      <c r="I99" s="1400"/>
      <c r="J99" s="1400"/>
    </row>
    <row r="100" spans="1:10">
      <c r="A100" s="175"/>
      <c r="B100" s="3621"/>
      <c r="C100" s="1400"/>
      <c r="D100" s="1400"/>
      <c r="E100" s="1400"/>
      <c r="F100" s="1400"/>
      <c r="G100" s="1400"/>
      <c r="H100" s="1400"/>
      <c r="I100" s="1400"/>
      <c r="J100" s="1400"/>
    </row>
    <row r="101" spans="1:10">
      <c r="A101" s="176"/>
      <c r="B101" s="3621"/>
      <c r="C101" s="1400"/>
      <c r="D101" s="1400"/>
      <c r="E101" s="1400"/>
      <c r="F101" s="1400"/>
      <c r="G101" s="1400"/>
      <c r="H101" s="1400"/>
      <c r="I101" s="1400"/>
      <c r="J101" s="1400"/>
    </row>
    <row r="102" spans="1:10">
      <c r="A102" s="173"/>
      <c r="B102" s="3621" t="s">
        <v>863</v>
      </c>
      <c r="C102" s="1400"/>
      <c r="D102" s="1400"/>
      <c r="E102" s="1400"/>
      <c r="F102" s="1400"/>
      <c r="G102" s="1400"/>
      <c r="H102" s="1400"/>
      <c r="I102" s="1400"/>
      <c r="J102" s="1400"/>
    </row>
    <row r="103" spans="1:10">
      <c r="A103" s="173"/>
      <c r="B103" s="3621"/>
      <c r="C103" s="1400"/>
      <c r="D103" s="1400"/>
      <c r="E103" s="1400"/>
      <c r="F103" s="1400"/>
      <c r="G103" s="1400"/>
      <c r="H103" s="1400"/>
      <c r="I103" s="1400"/>
      <c r="J103" s="1400"/>
    </row>
    <row r="104" spans="1:10">
      <c r="A104" s="173"/>
      <c r="B104" s="3621"/>
      <c r="C104" s="1400"/>
      <c r="D104" s="1400"/>
      <c r="E104" s="1400"/>
      <c r="F104" s="1400"/>
      <c r="G104" s="1400"/>
      <c r="H104" s="1400"/>
      <c r="I104" s="1400"/>
      <c r="J104" s="1400"/>
    </row>
    <row r="105" spans="1:10">
      <c r="A105" s="173"/>
      <c r="B105" s="3621"/>
      <c r="C105" s="1400"/>
      <c r="D105" s="1400"/>
      <c r="E105" s="1400"/>
      <c r="F105" s="1400"/>
      <c r="G105" s="1400"/>
      <c r="H105" s="1400"/>
      <c r="I105" s="1400"/>
      <c r="J105" s="1400"/>
    </row>
    <row r="106" spans="1:10">
      <c r="A106" s="173"/>
      <c r="B106" s="3621"/>
      <c r="C106" s="1400"/>
      <c r="D106" s="1400"/>
      <c r="E106" s="1400"/>
      <c r="F106" s="1400"/>
      <c r="G106" s="1400"/>
      <c r="H106" s="1400"/>
      <c r="I106" s="1400"/>
      <c r="J106" s="1400"/>
    </row>
    <row r="107" spans="1:10">
      <c r="A107" s="173"/>
      <c r="B107" s="3621"/>
      <c r="C107" s="1400"/>
      <c r="D107" s="1400"/>
      <c r="E107" s="1400"/>
      <c r="F107" s="1400"/>
      <c r="G107" s="1400"/>
      <c r="H107" s="1400"/>
      <c r="I107" s="1400"/>
      <c r="J107" s="1400"/>
    </row>
    <row r="108" spans="1:10">
      <c r="A108" s="173"/>
      <c r="B108" s="3621"/>
      <c r="C108" s="1400"/>
      <c r="D108" s="1400"/>
      <c r="E108" s="1400"/>
      <c r="F108" s="1400"/>
      <c r="G108" s="1400"/>
      <c r="H108" s="1400"/>
      <c r="I108" s="1400"/>
      <c r="J108" s="1400"/>
    </row>
    <row r="109" spans="1:10">
      <c r="A109" s="173"/>
      <c r="B109" s="3621"/>
      <c r="C109" s="1400"/>
      <c r="D109" s="1400"/>
      <c r="E109" s="1400"/>
      <c r="F109" s="1400"/>
      <c r="G109" s="1400"/>
      <c r="H109" s="1400"/>
      <c r="I109" s="1400"/>
      <c r="J109" s="1400"/>
    </row>
    <row r="110" spans="1:10">
      <c r="A110" s="173"/>
      <c r="B110" s="3621"/>
      <c r="C110" s="1400"/>
      <c r="D110" s="1400"/>
      <c r="E110" s="1400"/>
      <c r="F110" s="1400"/>
      <c r="G110" s="1400"/>
      <c r="H110" s="1400"/>
      <c r="I110" s="1400"/>
      <c r="J110" s="1400"/>
    </row>
    <row r="111" spans="1:10">
      <c r="A111" s="173"/>
      <c r="B111" s="3621"/>
      <c r="C111" s="1400"/>
      <c r="D111" s="1400"/>
      <c r="E111" s="1400"/>
      <c r="F111" s="1400"/>
      <c r="G111" s="1400"/>
      <c r="H111" s="1400"/>
      <c r="I111" s="1400"/>
      <c r="J111" s="1400"/>
    </row>
    <row r="112" spans="1:10">
      <c r="A112" s="173"/>
      <c r="B112" s="3621"/>
      <c r="C112" s="1400"/>
      <c r="D112" s="1400"/>
      <c r="E112" s="1400"/>
      <c r="F112" s="1400"/>
      <c r="G112" s="1400"/>
      <c r="H112" s="1400"/>
      <c r="I112" s="1400"/>
      <c r="J112" s="1400"/>
    </row>
    <row r="113" spans="1:10">
      <c r="A113" s="173"/>
      <c r="B113" s="3621"/>
      <c r="C113" s="1400"/>
      <c r="D113" s="1400"/>
      <c r="E113" s="1400"/>
      <c r="F113" s="1400"/>
      <c r="G113" s="1400"/>
      <c r="H113" s="1400"/>
      <c r="I113" s="1400"/>
      <c r="J113" s="1400"/>
    </row>
    <row r="114" spans="1:10">
      <c r="A114" s="173"/>
      <c r="B114" s="3621"/>
      <c r="C114" s="1400"/>
      <c r="D114" s="1400"/>
      <c r="E114" s="1400"/>
      <c r="F114" s="1400"/>
      <c r="G114" s="1400"/>
      <c r="H114" s="1400"/>
      <c r="I114" s="1400"/>
      <c r="J114" s="1400"/>
    </row>
    <row r="115" spans="1:10">
      <c r="A115" s="173"/>
      <c r="B115" s="3621"/>
      <c r="C115" s="1400"/>
      <c r="D115" s="1400"/>
      <c r="E115" s="1400"/>
      <c r="F115" s="1400"/>
      <c r="G115" s="1400"/>
      <c r="H115" s="1400"/>
      <c r="I115" s="1400"/>
      <c r="J115" s="1400"/>
    </row>
    <row r="116" spans="1:10">
      <c r="A116" s="173"/>
      <c r="B116" s="3621"/>
      <c r="C116" s="1400"/>
      <c r="D116" s="1400"/>
      <c r="E116" s="1400"/>
      <c r="F116" s="1400"/>
      <c r="G116" s="1400"/>
      <c r="H116" s="1400"/>
      <c r="I116" s="1400"/>
      <c r="J116" s="1400"/>
    </row>
    <row r="117" spans="1:10">
      <c r="A117" s="173"/>
      <c r="B117" s="3621"/>
      <c r="C117" s="1400"/>
      <c r="D117" s="1400"/>
      <c r="E117" s="1400"/>
      <c r="F117" s="1400"/>
      <c r="G117" s="1400"/>
      <c r="H117" s="1400"/>
      <c r="I117" s="1400"/>
      <c r="J117" s="1400"/>
    </row>
    <row r="118" spans="1:10">
      <c r="A118" s="173"/>
      <c r="B118" s="3621"/>
      <c r="C118" s="1400"/>
      <c r="D118" s="1400"/>
      <c r="E118" s="1400"/>
      <c r="F118" s="1400"/>
      <c r="G118" s="1400"/>
      <c r="H118" s="1400"/>
      <c r="I118" s="1400"/>
      <c r="J118" s="1400"/>
    </row>
    <row r="119" spans="1:10">
      <c r="A119" s="173"/>
      <c r="B119" s="3621"/>
      <c r="C119" s="1400"/>
      <c r="D119" s="1400"/>
      <c r="E119" s="1400"/>
      <c r="F119" s="1400"/>
      <c r="G119" s="1400"/>
      <c r="H119" s="1400"/>
      <c r="I119" s="1400"/>
      <c r="J119" s="1400"/>
    </row>
    <row r="120" spans="1:10">
      <c r="A120" s="173"/>
      <c r="B120" s="3621"/>
      <c r="C120" s="1400"/>
      <c r="D120" s="1400"/>
      <c r="E120" s="1400"/>
      <c r="F120" s="1400"/>
      <c r="G120" s="1400"/>
      <c r="H120" s="1400"/>
      <c r="I120" s="1400"/>
      <c r="J120" s="1400"/>
    </row>
    <row r="121" spans="1:10">
      <c r="A121" s="173"/>
      <c r="B121" s="3621"/>
      <c r="C121" s="1400"/>
      <c r="D121" s="1400"/>
      <c r="E121" s="1400"/>
      <c r="F121" s="1400"/>
      <c r="G121" s="1400"/>
      <c r="H121" s="1400"/>
      <c r="I121" s="1400"/>
      <c r="J121" s="1400"/>
    </row>
    <row r="122" spans="1:10">
      <c r="A122" s="173"/>
      <c r="B122" s="3621"/>
      <c r="C122" s="1400"/>
      <c r="D122" s="1400"/>
      <c r="E122" s="1400"/>
      <c r="F122" s="1400"/>
      <c r="G122" s="1400"/>
      <c r="H122" s="1400"/>
      <c r="I122" s="1400"/>
      <c r="J122" s="1400"/>
    </row>
    <row r="123" spans="1:10">
      <c r="A123" s="173"/>
      <c r="B123" s="3621"/>
      <c r="C123" s="1400"/>
      <c r="D123" s="1400"/>
      <c r="E123" s="1400"/>
      <c r="F123" s="1400"/>
      <c r="G123" s="1400"/>
      <c r="H123" s="1400"/>
      <c r="I123" s="1400"/>
      <c r="J123" s="1400"/>
    </row>
    <row r="124" spans="1:10">
      <c r="A124" s="173"/>
      <c r="B124" s="3621"/>
      <c r="C124" s="1400"/>
      <c r="D124" s="1400"/>
      <c r="E124" s="1400"/>
      <c r="F124" s="1400"/>
      <c r="G124" s="1400"/>
      <c r="H124" s="1400"/>
      <c r="I124" s="1400"/>
      <c r="J124" s="1400"/>
    </row>
  </sheetData>
  <customSheetViews>
    <customSheetView guid="{7C71EF2A-5ADA-494C-8F58-DDA71753DD90}" scale="70" showPageBreaks="1" printArea="1" hiddenRows="1">
      <pane xSplit="2" ySplit="5" topLeftCell="C6" activePane="bottomRight" state="frozen"/>
      <selection pane="bottomRight" activeCell="O6" sqref="O6:R31"/>
      <pageMargins left="0.17" right="0.17" top="1" bottom="0.75" header="0.3" footer="0.3"/>
      <printOptions horizontalCentered="1"/>
      <pageSetup paperSize="9" scale="41" orientation="portrait" horizontalDpi="4294967295" verticalDpi="4294967295" r:id="rId1"/>
    </customSheetView>
    <customSheetView guid="{B91C2E87-5EDA-40AE-AC27-0E2C17E803CE}" scale="69" showPageBreaks="1" printArea="1" hiddenRows="1" topLeftCell="A7">
      <selection activeCell="L17" sqref="L17"/>
      <pageMargins left="0.25" right="0.23" top="1" bottom="0.75" header="0.3" footer="0.3"/>
      <printOptions horizontalCentered="1"/>
      <pageSetup paperSize="9" scale="47" orientation="portrait" r:id="rId2"/>
    </customSheetView>
    <customSheetView guid="{23F4DC00-BC97-4745-AA5C-F05D469CB1EF}" scale="70" showPageBreaks="1" printArea="1" hiddenRows="1">
      <pane xSplit="1" ySplit="3" topLeftCell="B4" activePane="bottomRight" state="frozen"/>
      <selection pane="bottomRight" activeCell="F17" sqref="F17"/>
      <pageMargins left="0.75" right="6.6666666666666697E-3" top="1" bottom="0.75" header="0.3" footer="0.3"/>
      <printOptions horizontalCentered="1"/>
      <pageSetup paperSize="9" scale="50" orientation="portrait" r:id="rId3"/>
    </customSheetView>
    <customSheetView guid="{4593F3EE-0998-4E0E-994A-E02D6BAF3A4B}" scale="70" showPageBreaks="1" printArea="1" hiddenRows="1">
      <pane xSplit="1" ySplit="4" topLeftCell="B5" activePane="bottomRight" state="frozen"/>
      <selection pane="bottomRight" activeCell="L28" sqref="L28"/>
      <pageMargins left="0.25" right="0.23" top="1" bottom="0.75" header="0.3" footer="0.3"/>
      <printOptions horizontalCentered="1"/>
      <pageSetup paperSize="9" scale="47" orientation="portrait" r:id="rId4"/>
    </customSheetView>
    <customSheetView guid="{917057C8-5E5F-4164-B84C-85103677A2E5}" scale="70">
      <pane xSplit="2" ySplit="3" topLeftCell="C6" activePane="bottomRight" state="frozen"/>
      <selection pane="bottomRight" activeCell="O6" sqref="O6:R31"/>
      <pageMargins left="0.25" right="0.23" top="1" bottom="0.75" header="0.3" footer="0.3"/>
      <printOptions horizontalCentered="1"/>
      <pageSetup paperSize="9" scale="46" orientation="portrait" r:id="rId5"/>
    </customSheetView>
    <customSheetView guid="{5A803268-F6C5-4035-B3E1-A94CB9AA8994}" scale="70" showPageBreaks="1" printArea="1" hiddenRows="1" topLeftCell="A4">
      <pane ySplit="2" topLeftCell="A9" activePane="bottomLeft" state="frozen"/>
      <selection pane="bottomLeft" activeCell="L18" sqref="L18"/>
      <pageMargins left="0.75" right="6.6666666666666697E-3" top="1" bottom="0.75" header="0.3" footer="0.3"/>
      <printOptions horizontalCentered="1"/>
      <pageSetup paperSize="9" scale="63" orientation="portrait" r:id="rId6"/>
    </customSheetView>
    <customSheetView guid="{751D391F-C74F-4B53-B5B5-25E01AC12EA4}" scale="70" hiddenRows="1" topLeftCell="B13">
      <selection activeCell="K33" sqref="K33"/>
      <pageMargins left="0.17" right="0.17" top="1" bottom="0.75" header="0.3" footer="0.3"/>
      <printOptions horizontalCentered="1"/>
      <pageSetup paperSize="9" scale="45" orientation="portrait" horizontalDpi="4294967295" verticalDpi="4294967295" r:id="rId7"/>
    </customSheetView>
    <customSheetView guid="{D1D1E152-95AB-45D3-AC07-4EC0834D3E0C}" scale="70" showPageBreaks="1" printArea="1" hiddenRows="1" topLeftCell="B1">
      <pane xSplit="1" ySplit="5" topLeftCell="C6" activePane="bottomRight" state="frozen"/>
      <selection pane="bottomRight" activeCell="O6" sqref="O6:R31"/>
      <pageMargins left="0.17" right="0.17" top="1" bottom="0.75" header="0.3" footer="0.3"/>
      <printOptions horizontalCentered="1"/>
      <pageSetup paperSize="9" scale="45" orientation="portrait" horizontalDpi="4294967295" verticalDpi="4294967295" r:id="rId8"/>
    </customSheetView>
    <customSheetView guid="{4DB6C640-CE65-4513-9E5A-F6CDD1F4B8AF}" scale="110" showPageBreaks="1" topLeftCell="D7">
      <selection activeCell="A89" sqref="A89:XFD89"/>
      <pageMargins left="0.17" right="0.17" top="1" bottom="0.75" header="0.3" footer="0.3"/>
      <printOptions horizontalCentered="1"/>
      <pageSetup paperSize="9" scale="45" orientation="portrait" horizontalDpi="4294967295" verticalDpi="4294967295" r:id="rId9"/>
    </customSheetView>
    <customSheetView guid="{C3348F62-02F2-4500-9BF2-19F2DEA57A8D}" scale="70" showPageBreaks="1" printArea="1" hiddenRows="1">
      <selection activeCell="L12" sqref="L12"/>
      <pageMargins left="0.17" right="0.17" top="1" bottom="0.75" header="0.3" footer="0.3"/>
      <printOptions horizontalCentered="1"/>
      <pageSetup paperSize="9" scale="45" orientation="portrait" horizontalDpi="4294967295" verticalDpi="4294967295" r:id="rId10"/>
    </customSheetView>
  </customSheetViews>
  <mergeCells count="3">
    <mergeCell ref="B4:B5"/>
    <mergeCell ref="C2:E2"/>
    <mergeCell ref="M4:M5"/>
  </mergeCells>
  <printOptions horizontalCentered="1"/>
  <pageMargins left="0.17" right="0.17" top="1" bottom="0.75" header="0.3" footer="0.3"/>
  <pageSetup paperSize="9" scale="45" orientation="portrait" horizontalDpi="4294967295" verticalDpi="4294967295" r:id="rId1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7"/>
  <dimension ref="A1:GD29"/>
  <sheetViews>
    <sheetView topLeftCell="E1" zoomScaleNormal="93" workbookViewId="0">
      <pane ySplit="1" topLeftCell="A2" activePane="bottomLeft" state="frozen"/>
      <selection activeCell="E1" sqref="E1"/>
      <selection pane="bottomLeft" activeCell="L22" sqref="L22"/>
    </sheetView>
  </sheetViews>
  <sheetFormatPr defaultColWidth="21.42578125" defaultRowHeight="15"/>
  <sheetData>
    <row r="1" spans="1:186" ht="25.5" customHeight="1" thickBot="1">
      <c r="A1" s="3263">
        <v>42590</v>
      </c>
      <c r="B1" s="3266"/>
      <c r="C1" s="3264" t="s">
        <v>1214</v>
      </c>
      <c r="D1" s="3266"/>
      <c r="E1" s="3266"/>
      <c r="F1" s="3266"/>
      <c r="G1" s="3266"/>
      <c r="H1" s="3266"/>
      <c r="I1" s="3266"/>
      <c r="J1" s="3267"/>
      <c r="K1" s="3268"/>
      <c r="L1" s="3268"/>
      <c r="M1" s="3268"/>
      <c r="N1" s="3268"/>
      <c r="O1" s="3268"/>
      <c r="P1" s="3268"/>
      <c r="Q1" s="3268"/>
      <c r="R1" s="3268"/>
      <c r="S1" s="3268"/>
      <c r="T1" s="3268"/>
      <c r="U1" s="3268"/>
      <c r="V1" s="3269"/>
      <c r="W1" s="3270"/>
      <c r="X1" s="3271"/>
      <c r="Y1" s="3272"/>
      <c r="Z1" s="3272"/>
      <c r="AA1" s="3273"/>
      <c r="AB1" s="3274"/>
      <c r="AC1" s="3274"/>
      <c r="AD1" s="3270"/>
      <c r="AE1" s="3270"/>
      <c r="AF1" s="3271"/>
      <c r="AG1" s="3271"/>
      <c r="AH1" s="3271"/>
      <c r="AI1" s="3271"/>
      <c r="AJ1" s="3271"/>
      <c r="AK1" s="3271"/>
      <c r="AL1" s="3271"/>
      <c r="AM1" s="3271"/>
      <c r="AN1" s="3271"/>
      <c r="AO1" s="3274"/>
      <c r="AP1" s="3274"/>
      <c r="AQ1" s="3274"/>
      <c r="AR1" s="3274"/>
      <c r="AS1" s="3274"/>
      <c r="AT1" s="3274"/>
      <c r="AU1" s="3274"/>
      <c r="AV1" s="3274"/>
      <c r="AW1" s="3274"/>
      <c r="AX1" s="3274"/>
      <c r="AY1" s="3274"/>
      <c r="AZ1" s="3270"/>
      <c r="BA1" s="3270"/>
      <c r="BB1" s="3270"/>
      <c r="BC1" s="3270"/>
      <c r="BD1" s="3270"/>
      <c r="BE1" s="3270"/>
      <c r="BF1" s="3270"/>
      <c r="BG1" s="3270"/>
      <c r="BH1" s="3270"/>
      <c r="BI1" s="3270"/>
      <c r="BJ1" s="3270"/>
      <c r="BK1" s="3270"/>
      <c r="BL1" s="3270"/>
      <c r="BM1" s="3270"/>
      <c r="BN1" s="3270"/>
      <c r="BO1" s="3270"/>
      <c r="BP1" s="3271"/>
      <c r="BQ1" s="3275"/>
      <c r="BR1" s="3275"/>
      <c r="BS1" s="3275"/>
      <c r="BT1" s="3275"/>
      <c r="BU1" s="3275"/>
      <c r="BV1" s="3276"/>
      <c r="BW1" s="3276"/>
      <c r="BX1" s="3276"/>
      <c r="BY1" s="3274"/>
      <c r="BZ1" s="3274"/>
      <c r="CA1" s="3274"/>
      <c r="CB1" s="3274"/>
      <c r="CC1" s="3274"/>
      <c r="CD1" s="3274"/>
      <c r="CE1" s="3274"/>
      <c r="CF1" s="3274"/>
      <c r="CG1" s="3274"/>
      <c r="CH1" s="3274"/>
      <c r="CI1" s="3274"/>
      <c r="CJ1" s="3274"/>
      <c r="CK1" s="3274"/>
      <c r="CL1" s="3274"/>
      <c r="CM1" s="3274"/>
      <c r="CN1" s="3274"/>
      <c r="CO1" s="3274"/>
      <c r="CP1" s="3274"/>
      <c r="CQ1" s="3274"/>
      <c r="CR1" s="3274"/>
      <c r="CS1" s="3274"/>
      <c r="CT1" s="3274"/>
      <c r="CU1" s="3274"/>
      <c r="CV1" s="3274"/>
      <c r="CW1" s="3274"/>
      <c r="CX1" s="3274"/>
      <c r="CY1" s="3274"/>
      <c r="CZ1" s="3274"/>
      <c r="DA1" s="3274"/>
      <c r="DB1" s="3274"/>
      <c r="DC1" s="3274"/>
      <c r="DD1" s="3274"/>
      <c r="DE1" s="3274"/>
      <c r="DF1" s="3274"/>
      <c r="DG1" s="3274"/>
      <c r="DH1" s="3274"/>
      <c r="DI1" s="3274"/>
      <c r="DJ1" s="3274"/>
      <c r="DK1" s="3274"/>
      <c r="DL1" s="3274"/>
      <c r="DM1" s="3274"/>
      <c r="DN1" s="3274"/>
      <c r="DO1" s="3274"/>
      <c r="DP1" s="3274"/>
      <c r="DQ1" s="3277"/>
      <c r="DR1" s="3277"/>
      <c r="DS1" s="3270"/>
      <c r="DT1" s="3271"/>
      <c r="DU1" s="3271"/>
      <c r="DV1" s="3271"/>
      <c r="DW1" s="3271"/>
      <c r="DX1" s="3271"/>
      <c r="DY1" s="3278"/>
      <c r="DZ1" s="3278"/>
      <c r="EA1" s="3274"/>
      <c r="EB1" s="3274"/>
      <c r="EC1" s="3274"/>
      <c r="ED1" s="3274"/>
      <c r="EE1" s="3274"/>
      <c r="EF1" s="3274"/>
      <c r="EG1" s="3274"/>
      <c r="EH1" s="3274"/>
      <c r="EI1" s="3274"/>
      <c r="EJ1" s="3274"/>
      <c r="EK1" s="3274"/>
      <c r="EL1" s="3274"/>
      <c r="EM1" s="3274"/>
      <c r="EN1" s="3274"/>
      <c r="EO1" s="3274"/>
      <c r="EP1" s="3274"/>
      <c r="EQ1" s="3274"/>
      <c r="ER1" s="3274"/>
      <c r="ES1" s="3274"/>
      <c r="ET1" s="3274"/>
      <c r="EU1" s="3274"/>
      <c r="EV1" s="3279"/>
      <c r="EW1" s="3279"/>
      <c r="EX1" s="3279"/>
      <c r="EY1" s="3274"/>
      <c r="EZ1" s="3274"/>
      <c r="FA1" s="3274"/>
      <c r="FB1" s="3274"/>
      <c r="FC1" s="3274"/>
      <c r="FD1" s="3274"/>
      <c r="FE1" s="3274"/>
      <c r="FF1" s="3274"/>
      <c r="FG1" s="3274"/>
      <c r="FH1" s="3274"/>
      <c r="FI1" s="3274"/>
      <c r="FJ1" s="3274"/>
      <c r="FK1" s="3274"/>
      <c r="FL1" s="3274"/>
      <c r="FM1" s="3274"/>
      <c r="FN1" s="3280"/>
      <c r="FO1" s="3280"/>
      <c r="FP1" s="3281"/>
      <c r="FQ1" s="3281"/>
      <c r="FR1" s="3281"/>
      <c r="FS1" s="3281"/>
      <c r="FT1" s="3281"/>
      <c r="FU1" s="3281"/>
      <c r="FV1" s="3281"/>
      <c r="FW1" s="3281"/>
      <c r="FX1" s="3281"/>
      <c r="FY1" s="3281"/>
      <c r="FZ1" s="3281"/>
      <c r="GA1" s="3281"/>
      <c r="GB1" s="3282"/>
    </row>
    <row r="2" spans="1:186" s="3232" customFormat="1" ht="32.25" customHeight="1" thickBot="1">
      <c r="A2" s="3258" t="s">
        <v>0</v>
      </c>
      <c r="B2" s="1924" t="s">
        <v>980</v>
      </c>
      <c r="C2" s="3265" t="s">
        <v>981</v>
      </c>
      <c r="D2" s="1924" t="s">
        <v>982</v>
      </c>
      <c r="E2" s="1924" t="s">
        <v>983</v>
      </c>
      <c r="F2" s="1924" t="s">
        <v>984</v>
      </c>
      <c r="G2" s="1924" t="s">
        <v>1039</v>
      </c>
      <c r="H2" s="1924" t="s">
        <v>985</v>
      </c>
      <c r="I2" s="1924" t="s">
        <v>986</v>
      </c>
      <c r="J2" s="1924" t="s">
        <v>1217</v>
      </c>
      <c r="K2" s="1924" t="s">
        <v>988</v>
      </c>
      <c r="L2" s="1924" t="s">
        <v>990</v>
      </c>
      <c r="M2" s="1924" t="s">
        <v>989</v>
      </c>
      <c r="N2" s="1924" t="s">
        <v>1045</v>
      </c>
      <c r="O2" s="1924" t="s">
        <v>1033</v>
      </c>
      <c r="P2" s="1924" t="s">
        <v>1007</v>
      </c>
      <c r="Q2" s="1924" t="s">
        <v>967</v>
      </c>
      <c r="R2" s="1924" t="s">
        <v>968</v>
      </c>
      <c r="S2" s="1924" t="s">
        <v>966</v>
      </c>
      <c r="T2" s="1924" t="s">
        <v>1034</v>
      </c>
      <c r="U2" s="1924" t="s">
        <v>1001</v>
      </c>
      <c r="V2" s="1924" t="s">
        <v>954</v>
      </c>
      <c r="W2" s="1924" t="s">
        <v>955</v>
      </c>
      <c r="X2" s="1924" t="s">
        <v>956</v>
      </c>
      <c r="Y2" s="1924" t="s">
        <v>957</v>
      </c>
      <c r="Z2" s="1924" t="s">
        <v>958</v>
      </c>
      <c r="AA2" s="1924" t="s">
        <v>1216</v>
      </c>
      <c r="AB2" s="1924" t="s">
        <v>995</v>
      </c>
      <c r="AC2" s="1924" t="s">
        <v>996</v>
      </c>
      <c r="AD2" s="1924" t="s">
        <v>997</v>
      </c>
      <c r="AE2" s="1924"/>
      <c r="AF2" s="1924" t="s">
        <v>1003</v>
      </c>
      <c r="AG2" s="1924" t="s">
        <v>1000</v>
      </c>
      <c r="AH2" s="1924" t="s">
        <v>999</v>
      </c>
      <c r="AI2" s="1924" t="s">
        <v>998</v>
      </c>
      <c r="AJ2" s="1924" t="s">
        <v>1004</v>
      </c>
      <c r="AK2" s="1924" t="s">
        <v>1002</v>
      </c>
      <c r="AL2" s="1924" t="s">
        <v>1092</v>
      </c>
      <c r="AM2" s="1924" t="s">
        <v>1091</v>
      </c>
      <c r="AN2" s="1924" t="s">
        <v>157</v>
      </c>
      <c r="AO2" s="1924" t="s">
        <v>962</v>
      </c>
      <c r="AP2" s="1924" t="s">
        <v>961</v>
      </c>
      <c r="AQ2" s="1924" t="s">
        <v>1014</v>
      </c>
      <c r="AR2" s="1924" t="s">
        <v>1215</v>
      </c>
      <c r="AS2" s="1924" t="s">
        <v>1017</v>
      </c>
      <c r="AT2" s="1924" t="s">
        <v>1018</v>
      </c>
      <c r="AU2" s="1924" t="s">
        <v>1022</v>
      </c>
      <c r="AV2" s="1924" t="s">
        <v>1023</v>
      </c>
      <c r="AW2" s="1924" t="s">
        <v>1024</v>
      </c>
      <c r="AX2" s="1924" t="s">
        <v>1025</v>
      </c>
      <c r="AY2" s="1924" t="s">
        <v>1026</v>
      </c>
      <c r="AZ2" s="1924" t="s">
        <v>1027</v>
      </c>
      <c r="BA2" s="1924" t="s">
        <v>1028</v>
      </c>
      <c r="BB2" s="1924" t="s">
        <v>1029</v>
      </c>
      <c r="BC2" s="1924" t="s">
        <v>1032</v>
      </c>
      <c r="BD2" s="1924" t="s">
        <v>1019</v>
      </c>
      <c r="BE2" s="1924" t="s">
        <v>1031</v>
      </c>
      <c r="BF2" s="1924" t="s">
        <v>1030</v>
      </c>
      <c r="BG2" s="1924" t="s">
        <v>976</v>
      </c>
      <c r="BH2" s="1924" t="s">
        <v>1097</v>
      </c>
      <c r="BI2" s="1924" t="s">
        <v>994</v>
      </c>
      <c r="BJ2" s="1924" t="s">
        <v>977</v>
      </c>
      <c r="BK2" s="1924" t="s">
        <v>1015</v>
      </c>
      <c r="BL2" s="3259" t="s">
        <v>1013</v>
      </c>
      <c r="BM2" s="1924" t="s">
        <v>161</v>
      </c>
      <c r="BN2" s="1924" t="s">
        <v>1009</v>
      </c>
      <c r="BO2" s="1924" t="s">
        <v>1010</v>
      </c>
      <c r="BP2" s="1924" t="s">
        <v>1011</v>
      </c>
      <c r="BQ2" s="1924" t="s">
        <v>1012</v>
      </c>
      <c r="BR2" s="1924" t="s">
        <v>260</v>
      </c>
      <c r="BS2" s="1924" t="s">
        <v>261</v>
      </c>
      <c r="BT2" s="1924" t="s">
        <v>1094</v>
      </c>
      <c r="BU2" s="1924" t="s">
        <v>1095</v>
      </c>
      <c r="BV2" s="1924" t="s">
        <v>959</v>
      </c>
      <c r="BW2" s="1924" t="s">
        <v>1179</v>
      </c>
      <c r="BX2" s="1924" t="s">
        <v>1185</v>
      </c>
      <c r="BY2" s="1924" t="s">
        <v>943</v>
      </c>
      <c r="BZ2" s="1924" t="s">
        <v>969</v>
      </c>
      <c r="CA2" s="1924" t="s">
        <v>978</v>
      </c>
      <c r="CB2" s="1924" t="s">
        <v>970</v>
      </c>
      <c r="CC2" s="1924" t="s">
        <v>1098</v>
      </c>
      <c r="CD2" s="1924" t="s">
        <v>1008</v>
      </c>
      <c r="CE2" s="1924" t="s">
        <v>1044</v>
      </c>
      <c r="CF2" s="1924" t="s">
        <v>1046</v>
      </c>
      <c r="CG2" s="1924" t="s">
        <v>1139</v>
      </c>
      <c r="CH2" s="1924" t="s">
        <v>1147</v>
      </c>
      <c r="CI2" s="1924"/>
      <c r="CJ2" s="1924" t="s">
        <v>964</v>
      </c>
      <c r="CK2" s="1924" t="s">
        <v>159</v>
      </c>
      <c r="CL2" s="1924" t="s">
        <v>730</v>
      </c>
      <c r="CM2" s="1924" t="s">
        <v>974</v>
      </c>
      <c r="CN2" s="1924" t="s">
        <v>116</v>
      </c>
      <c r="CO2" s="1924" t="s">
        <v>963</v>
      </c>
      <c r="CP2" s="1924" t="s">
        <v>960</v>
      </c>
      <c r="CQ2" s="1924" t="s">
        <v>1005</v>
      </c>
      <c r="CR2" s="1924" t="s">
        <v>991</v>
      </c>
      <c r="CS2" s="1924" t="s">
        <v>1020</v>
      </c>
      <c r="CT2" s="1924" t="s">
        <v>1006</v>
      </c>
      <c r="CU2" s="1924" t="s">
        <v>975</v>
      </c>
      <c r="CV2" s="1924" t="s">
        <v>993</v>
      </c>
      <c r="CW2" s="1924" t="s">
        <v>992</v>
      </c>
      <c r="CX2" s="1924" t="s">
        <v>973</v>
      </c>
      <c r="CY2" s="1924" t="s">
        <v>971</v>
      </c>
      <c r="CZ2" s="1924" t="s">
        <v>965</v>
      </c>
      <c r="DA2" s="1924" t="s">
        <v>972</v>
      </c>
      <c r="DB2" s="1924" t="s">
        <v>1021</v>
      </c>
      <c r="DC2" s="1924" t="s">
        <v>1016</v>
      </c>
      <c r="DD2" s="1924" t="s">
        <v>1090</v>
      </c>
      <c r="DE2" s="1924" t="s">
        <v>1035</v>
      </c>
      <c r="DF2" s="1924" t="s">
        <v>1036</v>
      </c>
      <c r="DG2" s="1924" t="s">
        <v>1099</v>
      </c>
      <c r="DH2" s="1924" t="s">
        <v>1037</v>
      </c>
      <c r="DI2" s="1924" t="s">
        <v>1038</v>
      </c>
      <c r="DJ2" s="1924" t="s">
        <v>1040</v>
      </c>
      <c r="DK2" s="1924" t="s">
        <v>1041</v>
      </c>
      <c r="DL2" s="1924" t="s">
        <v>1042</v>
      </c>
      <c r="DM2" s="1924" t="s">
        <v>1157</v>
      </c>
      <c r="DN2" s="1924" t="s">
        <v>1043</v>
      </c>
      <c r="DO2" s="1924" t="s">
        <v>1047</v>
      </c>
      <c r="DP2" s="4034"/>
      <c r="DQ2" s="3260" t="s">
        <v>789</v>
      </c>
      <c r="DR2" s="1924"/>
      <c r="DS2" s="1924" t="s">
        <v>265</v>
      </c>
      <c r="DT2" s="1924" t="s">
        <v>1048</v>
      </c>
      <c r="DU2" s="1924" t="s">
        <v>1049</v>
      </c>
      <c r="DV2" s="1924"/>
      <c r="DW2" s="1924" t="s">
        <v>911</v>
      </c>
      <c r="DX2" s="1924" t="s">
        <v>1051</v>
      </c>
      <c r="DY2" s="1924" t="s">
        <v>1050</v>
      </c>
      <c r="DZ2" s="1924" t="s">
        <v>1083</v>
      </c>
      <c r="EA2" s="1924"/>
      <c r="EB2" s="1924"/>
      <c r="EC2" s="1924"/>
      <c r="ED2" s="1924"/>
      <c r="EE2" s="1924" t="s">
        <v>1055</v>
      </c>
      <c r="EF2" s="1924" t="s">
        <v>1056</v>
      </c>
      <c r="EG2" s="1924" t="s">
        <v>1079</v>
      </c>
      <c r="EH2" s="1924" t="s">
        <v>1053</v>
      </c>
      <c r="EI2" s="1924" t="s">
        <v>1057</v>
      </c>
      <c r="EJ2" s="1924" t="s">
        <v>1080</v>
      </c>
      <c r="EK2" s="1924" t="s">
        <v>1054</v>
      </c>
      <c r="EL2" s="1924" t="s">
        <v>1052</v>
      </c>
      <c r="EM2" s="1924" t="s">
        <v>1100</v>
      </c>
      <c r="EN2" s="1924" t="s">
        <v>1085</v>
      </c>
      <c r="EO2" s="3259" t="s">
        <v>886</v>
      </c>
      <c r="EP2" s="1924" t="s">
        <v>1188</v>
      </c>
      <c r="EQ2" s="1924" t="s">
        <v>1192</v>
      </c>
      <c r="ER2" s="1924"/>
      <c r="ES2" s="1924" t="s">
        <v>1070</v>
      </c>
      <c r="ET2" s="1924" t="s">
        <v>1071</v>
      </c>
      <c r="EU2" s="1924" t="s">
        <v>1072</v>
      </c>
      <c r="EV2" s="1924" t="s">
        <v>1059</v>
      </c>
      <c r="EW2" s="1924" t="s">
        <v>1058</v>
      </c>
      <c r="EX2" s="1924" t="s">
        <v>1060</v>
      </c>
      <c r="EY2" s="1924"/>
      <c r="EZ2" s="1924" t="s">
        <v>1075</v>
      </c>
      <c r="FA2" s="1924" t="s">
        <v>1076</v>
      </c>
      <c r="FB2" s="1924" t="s">
        <v>1077</v>
      </c>
      <c r="FC2" s="1924" t="s">
        <v>1078</v>
      </c>
      <c r="FD2" s="1924" t="s">
        <v>1081</v>
      </c>
      <c r="FE2" s="1924" t="s">
        <v>1082</v>
      </c>
      <c r="FF2" s="1924" t="s">
        <v>1108</v>
      </c>
      <c r="FG2" s="1924" t="s">
        <v>1105</v>
      </c>
      <c r="FH2" s="1924" t="s">
        <v>1061</v>
      </c>
      <c r="FI2" s="1924" t="s">
        <v>1067</v>
      </c>
      <c r="FJ2" s="1924" t="s">
        <v>1068</v>
      </c>
      <c r="FK2" s="1924" t="s">
        <v>1069</v>
      </c>
      <c r="FL2" s="1924" t="s">
        <v>1101</v>
      </c>
      <c r="FM2" s="1924" t="s">
        <v>1063</v>
      </c>
      <c r="FN2" s="1924" t="s">
        <v>1064</v>
      </c>
      <c r="FO2" s="1924" t="s">
        <v>1066</v>
      </c>
      <c r="FP2" s="1924" t="s">
        <v>1065</v>
      </c>
      <c r="FQ2" s="1924" t="s">
        <v>1062</v>
      </c>
      <c r="FR2" s="1924" t="s">
        <v>1084</v>
      </c>
      <c r="FS2" s="1924" t="s">
        <v>1162</v>
      </c>
      <c r="FT2" s="1924" t="s">
        <v>1159</v>
      </c>
      <c r="FU2" s="1924" t="s">
        <v>1073</v>
      </c>
      <c r="FV2" s="1924" t="s">
        <v>1074</v>
      </c>
      <c r="FW2" s="1924" t="s">
        <v>1086</v>
      </c>
      <c r="FX2" s="1924" t="s">
        <v>1111</v>
      </c>
      <c r="FY2" s="1924"/>
      <c r="FZ2" s="1924"/>
      <c r="GA2" s="3261" t="s">
        <v>788</v>
      </c>
      <c r="GB2" s="3262" t="s">
        <v>7</v>
      </c>
      <c r="GC2" s="3232" t="s">
        <v>823</v>
      </c>
      <c r="GD2" s="3232" t="s">
        <v>708</v>
      </c>
    </row>
    <row r="3" spans="1:186" ht="23.25">
      <c r="A3" s="1216">
        <v>4.1666666666666664E-2</v>
      </c>
      <c r="B3" s="3111"/>
      <c r="C3" s="3283"/>
      <c r="D3" s="3283"/>
      <c r="E3" s="3283"/>
      <c r="F3" s="3112"/>
      <c r="G3" s="3113"/>
      <c r="H3" s="3114"/>
      <c r="I3" s="3112"/>
      <c r="J3" s="3283"/>
      <c r="K3" s="3283"/>
      <c r="L3" s="3283"/>
      <c r="M3" s="3283"/>
      <c r="N3" s="3283"/>
      <c r="O3" s="3283"/>
      <c r="P3" s="3283"/>
      <c r="Q3" s="3283"/>
      <c r="R3" s="3283"/>
      <c r="S3" s="3283"/>
      <c r="T3" s="3283"/>
      <c r="U3" s="3283"/>
      <c r="V3" s="3283"/>
      <c r="W3" s="3283"/>
      <c r="X3" s="3283"/>
      <c r="Y3" s="3283"/>
      <c r="Z3" s="3283"/>
      <c r="AA3" s="3283"/>
      <c r="AB3" s="3287"/>
      <c r="AC3" s="3283"/>
      <c r="AD3" s="3283"/>
      <c r="AE3" s="3283"/>
      <c r="AF3" s="3283"/>
      <c r="AG3" s="3283"/>
      <c r="AH3" s="3283"/>
      <c r="AI3" s="3283"/>
      <c r="AJ3" s="3283"/>
      <c r="AK3" s="3283"/>
      <c r="AL3" s="3283"/>
      <c r="AM3" s="3283"/>
      <c r="AN3" s="3283"/>
      <c r="AO3" s="3283"/>
      <c r="AP3" s="3283"/>
      <c r="AQ3" s="3283"/>
      <c r="AR3" s="3283"/>
      <c r="AS3" s="3283"/>
      <c r="AT3" s="3283"/>
      <c r="AU3" s="3283"/>
      <c r="AV3" s="3283"/>
      <c r="AW3" s="3283"/>
      <c r="AX3" s="3283"/>
      <c r="AY3" s="3283"/>
      <c r="AZ3" s="3283"/>
      <c r="BA3" s="3283"/>
      <c r="BB3" s="3283"/>
      <c r="BC3" s="3283"/>
      <c r="BD3" s="3283"/>
      <c r="BE3" s="3283"/>
      <c r="BF3" s="3283"/>
      <c r="BG3" s="3283"/>
      <c r="BH3" s="3283"/>
      <c r="BI3" s="3283"/>
      <c r="BJ3" s="3283"/>
      <c r="BK3" s="3283"/>
      <c r="BL3" s="3291"/>
      <c r="BM3" s="3283"/>
      <c r="BN3" s="3283"/>
      <c r="BO3" s="3283"/>
      <c r="BP3" s="3283"/>
      <c r="BQ3" s="3283"/>
      <c r="BR3" s="3283"/>
      <c r="BS3" s="3283"/>
      <c r="BT3" s="3283"/>
      <c r="BU3" s="3283"/>
      <c r="BV3" s="3283"/>
      <c r="BW3" s="3283"/>
      <c r="BX3" s="3283"/>
      <c r="BY3" s="3320"/>
      <c r="BZ3" s="3287"/>
      <c r="CA3" s="3283"/>
      <c r="CB3" s="3287"/>
      <c r="CC3" s="3287"/>
      <c r="CD3" s="3287"/>
      <c r="CE3" s="3287"/>
      <c r="CF3" s="3321"/>
      <c r="CG3" s="3287"/>
      <c r="CH3" s="3287"/>
      <c r="CI3" s="3287"/>
      <c r="CJ3" s="3287"/>
      <c r="CK3" s="3287"/>
      <c r="CL3" s="3287"/>
      <c r="CM3" s="3287"/>
      <c r="CN3" s="3287"/>
      <c r="CO3" s="3287"/>
      <c r="CP3" s="3287"/>
      <c r="CQ3" s="3287"/>
      <c r="CR3" s="3287"/>
      <c r="CS3" s="3287"/>
      <c r="CT3" s="3287"/>
      <c r="CU3" s="3287"/>
      <c r="CV3" s="3287"/>
      <c r="CW3" s="3287"/>
      <c r="CX3" s="3287"/>
      <c r="CY3" s="3287"/>
      <c r="CZ3" s="3287"/>
      <c r="DA3" s="3287"/>
      <c r="DB3" s="3287"/>
      <c r="DC3" s="3320"/>
      <c r="DD3" s="3320"/>
      <c r="DE3" s="3287"/>
      <c r="DF3" s="3320"/>
      <c r="DG3" s="3320"/>
      <c r="DH3" s="3320"/>
      <c r="DI3" s="3320"/>
      <c r="DJ3" s="3320"/>
      <c r="DK3" s="3320"/>
      <c r="DL3" s="3320"/>
      <c r="DM3" s="3287"/>
      <c r="DN3" s="3287"/>
      <c r="DO3" s="3287"/>
      <c r="DP3" s="3287"/>
      <c r="DQ3" s="3054">
        <f t="shared" ref="DQ3:DQ28" si="0">SUM(B5:DW5)</f>
        <v>0</v>
      </c>
      <c r="DR3" s="3052"/>
      <c r="DS3" s="2959"/>
      <c r="DT3" s="2959"/>
      <c r="DU3" s="3318"/>
      <c r="DV3" s="2959"/>
      <c r="DW3" s="2959"/>
      <c r="DX3" s="2959"/>
      <c r="DY3" s="2959"/>
      <c r="DZ3" s="2959"/>
      <c r="EA3" s="2959"/>
      <c r="EB3" s="2959"/>
      <c r="EC3" s="2959"/>
      <c r="ED3" s="2959"/>
      <c r="EE3" s="3318"/>
      <c r="EF3" s="3318"/>
      <c r="EG3" s="3318"/>
      <c r="EH3" s="3318"/>
      <c r="EI3" s="3318"/>
      <c r="EJ3" s="3318"/>
      <c r="EK3" s="3318"/>
      <c r="EL3" s="3318"/>
      <c r="EM3" s="3318"/>
      <c r="EN3" s="3318"/>
      <c r="EO3" s="3292"/>
      <c r="EP3" s="3318"/>
      <c r="EQ3" s="3318"/>
      <c r="ER3" s="3318"/>
      <c r="ES3" s="3318"/>
      <c r="ET3" s="3318"/>
      <c r="EU3" s="3318"/>
      <c r="EV3" s="3115"/>
      <c r="EW3" s="3115"/>
      <c r="EX3" s="3115"/>
      <c r="EY3" s="3318"/>
      <c r="EZ3" s="3318"/>
      <c r="FA3" s="3318"/>
      <c r="FB3" s="3318"/>
      <c r="FC3" s="3318"/>
      <c r="FD3" s="3318"/>
      <c r="FE3" s="3318"/>
      <c r="FF3" s="3318"/>
      <c r="FG3" s="3318"/>
      <c r="FH3" s="3318"/>
      <c r="FI3" s="3318"/>
      <c r="FJ3" s="3318"/>
      <c r="FK3" s="3318"/>
      <c r="FL3" s="3318"/>
      <c r="FM3" s="3318"/>
      <c r="FN3" s="3318"/>
      <c r="FO3" s="3318"/>
      <c r="FP3" s="3318"/>
      <c r="FQ3" s="3318"/>
      <c r="FR3" s="3316"/>
      <c r="FS3" s="3316"/>
      <c r="FT3" s="3316"/>
      <c r="FU3" s="3316"/>
      <c r="FV3" s="3316"/>
      <c r="FW3" s="3316"/>
      <c r="FX3" s="3056"/>
      <c r="FY3" s="3055"/>
      <c r="FZ3" s="3055">
        <f t="shared" ref="FZ3:FZ20" si="1">SUM(DY5:GF5)</f>
        <v>0</v>
      </c>
      <c r="GA3" s="3060">
        <f t="shared" ref="GA3:GA20" si="2">SUM(B5:DY5)+SUM(DW5:GF5)</f>
        <v>0</v>
      </c>
      <c r="GB3" s="3053"/>
    </row>
    <row r="4" spans="1:186" ht="23.25">
      <c r="A4" s="1220">
        <v>8.3333333333333329E-2</v>
      </c>
      <c r="B4" s="3322"/>
      <c r="C4" s="3283"/>
      <c r="D4" s="3283"/>
      <c r="E4" s="3283"/>
      <c r="F4" s="3287"/>
      <c r="G4" s="3321"/>
      <c r="H4" s="3320"/>
      <c r="I4" s="3287"/>
      <c r="J4" s="3283"/>
      <c r="K4" s="3283"/>
      <c r="L4" s="3283"/>
      <c r="M4" s="3283"/>
      <c r="N4" s="3283"/>
      <c r="O4" s="3283"/>
      <c r="P4" s="3283"/>
      <c r="Q4" s="3283"/>
      <c r="R4" s="3283"/>
      <c r="S4" s="3283"/>
      <c r="T4" s="3283"/>
      <c r="U4" s="3283"/>
      <c r="V4" s="3283"/>
      <c r="W4" s="3283"/>
      <c r="X4" s="3283"/>
      <c r="Y4" s="3283"/>
      <c r="Z4" s="3283"/>
      <c r="AA4" s="3283"/>
      <c r="AB4" s="3287"/>
      <c r="AC4" s="3283"/>
      <c r="AD4" s="3283"/>
      <c r="AE4" s="3283"/>
      <c r="AF4" s="3283"/>
      <c r="AG4" s="3283"/>
      <c r="AH4" s="3283"/>
      <c r="AI4" s="3283"/>
      <c r="AJ4" s="3283"/>
      <c r="AK4" s="3283"/>
      <c r="AL4" s="3283"/>
      <c r="AM4" s="3283"/>
      <c r="AN4" s="3283"/>
      <c r="AO4" s="3283"/>
      <c r="AP4" s="3283"/>
      <c r="AQ4" s="3283"/>
      <c r="AR4" s="3283"/>
      <c r="AS4" s="3283"/>
      <c r="AT4" s="3283"/>
      <c r="AU4" s="3283"/>
      <c r="AV4" s="3283"/>
      <c r="AW4" s="3283"/>
      <c r="AX4" s="3283"/>
      <c r="AY4" s="3283"/>
      <c r="AZ4" s="3283"/>
      <c r="BA4" s="3283"/>
      <c r="BB4" s="3283"/>
      <c r="BC4" s="3283"/>
      <c r="BD4" s="3283"/>
      <c r="BE4" s="3283"/>
      <c r="BF4" s="3283"/>
      <c r="BG4" s="3283"/>
      <c r="BH4" s="3283"/>
      <c r="BI4" s="3283"/>
      <c r="BJ4" s="3283"/>
      <c r="BK4" s="3283"/>
      <c r="BL4" s="3291"/>
      <c r="BM4" s="3283"/>
      <c r="BN4" s="3283"/>
      <c r="BO4" s="3283"/>
      <c r="BP4" s="3283"/>
      <c r="BQ4" s="3283"/>
      <c r="BR4" s="3283"/>
      <c r="BS4" s="3283"/>
      <c r="BT4" s="3283"/>
      <c r="BU4" s="3283"/>
      <c r="BV4" s="3283"/>
      <c r="BW4" s="3283"/>
      <c r="BX4" s="3283"/>
      <c r="BY4" s="3320"/>
      <c r="BZ4" s="3287"/>
      <c r="CA4" s="3283"/>
      <c r="CB4" s="3287"/>
      <c r="CC4" s="3287"/>
      <c r="CD4" s="3287"/>
      <c r="CE4" s="3287"/>
      <c r="CF4" s="3321"/>
      <c r="CG4" s="3287"/>
      <c r="CH4" s="3287"/>
      <c r="CI4" s="3287"/>
      <c r="CJ4" s="3287"/>
      <c r="CK4" s="3287"/>
      <c r="CL4" s="3287"/>
      <c r="CM4" s="3287"/>
      <c r="CN4" s="3287"/>
      <c r="CO4" s="3287"/>
      <c r="CP4" s="3287"/>
      <c r="CQ4" s="3287"/>
      <c r="CR4" s="3287"/>
      <c r="CS4" s="3287"/>
      <c r="CT4" s="3287"/>
      <c r="CU4" s="3287"/>
      <c r="CV4" s="3287"/>
      <c r="CW4" s="3287"/>
      <c r="CX4" s="3287"/>
      <c r="CY4" s="3287"/>
      <c r="CZ4" s="3287"/>
      <c r="DA4" s="3287"/>
      <c r="DB4" s="3287"/>
      <c r="DC4" s="3320"/>
      <c r="DD4" s="3320"/>
      <c r="DE4" s="3287"/>
      <c r="DF4" s="3320"/>
      <c r="DG4" s="3320"/>
      <c r="DH4" s="3320"/>
      <c r="DI4" s="3320"/>
      <c r="DJ4" s="3320"/>
      <c r="DK4" s="3320"/>
      <c r="DL4" s="3320"/>
      <c r="DM4" s="3287"/>
      <c r="DN4" s="3287"/>
      <c r="DO4" s="3287"/>
      <c r="DP4" s="3287"/>
      <c r="DQ4" s="3054">
        <f t="shared" si="0"/>
        <v>0</v>
      </c>
      <c r="DR4" s="3052"/>
      <c r="DS4" s="2959"/>
      <c r="DT4" s="2959"/>
      <c r="DU4" s="3318"/>
      <c r="DV4" s="2959"/>
      <c r="DW4" s="2959"/>
      <c r="DX4" s="2959"/>
      <c r="DY4" s="2959"/>
      <c r="DZ4" s="2959"/>
      <c r="EA4" s="2959"/>
      <c r="EB4" s="2959"/>
      <c r="EC4" s="2959"/>
      <c r="ED4" s="2959"/>
      <c r="EE4" s="3318"/>
      <c r="EF4" s="3318"/>
      <c r="EG4" s="3318"/>
      <c r="EH4" s="3318"/>
      <c r="EI4" s="3318"/>
      <c r="EJ4" s="3318"/>
      <c r="EK4" s="3318"/>
      <c r="EL4" s="3318"/>
      <c r="EM4" s="3318"/>
      <c r="EN4" s="3318"/>
      <c r="EO4" s="3292"/>
      <c r="EP4" s="3318"/>
      <c r="EQ4" s="3318"/>
      <c r="ER4" s="3318"/>
      <c r="ES4" s="3318"/>
      <c r="ET4" s="3318"/>
      <c r="EU4" s="3318"/>
      <c r="EV4" s="3318"/>
      <c r="EW4" s="3318"/>
      <c r="EX4" s="3318"/>
      <c r="EY4" s="3318"/>
      <c r="EZ4" s="3318"/>
      <c r="FA4" s="3318"/>
      <c r="FB4" s="3318"/>
      <c r="FC4" s="3318"/>
      <c r="FD4" s="3318"/>
      <c r="FE4" s="3318"/>
      <c r="FF4" s="3318"/>
      <c r="FG4" s="3318"/>
      <c r="FH4" s="3318"/>
      <c r="FI4" s="3318"/>
      <c r="FJ4" s="3318"/>
      <c r="FK4" s="3318"/>
      <c r="FL4" s="3318"/>
      <c r="FM4" s="3318"/>
      <c r="FN4" s="3318"/>
      <c r="FO4" s="3318"/>
      <c r="FP4" s="3318"/>
      <c r="FQ4" s="3318"/>
      <c r="FR4" s="3316"/>
      <c r="FS4" s="3316"/>
      <c r="FT4" s="3316"/>
      <c r="FU4" s="3316"/>
      <c r="FV4" s="3316"/>
      <c r="FW4" s="3316"/>
      <c r="FX4" s="3056"/>
      <c r="FY4" s="3055"/>
      <c r="FZ4" s="3055">
        <f t="shared" si="1"/>
        <v>0</v>
      </c>
      <c r="GA4" s="3060">
        <f t="shared" si="2"/>
        <v>0</v>
      </c>
      <c r="GB4" s="3053"/>
    </row>
    <row r="5" spans="1:186" ht="23.25">
      <c r="A5" s="1220">
        <v>0.125</v>
      </c>
      <c r="B5" s="3322"/>
      <c r="C5" s="3283"/>
      <c r="D5" s="3283"/>
      <c r="E5" s="3283"/>
      <c r="F5" s="3287"/>
      <c r="G5" s="3321"/>
      <c r="H5" s="3320"/>
      <c r="I5" s="3287"/>
      <c r="J5" s="3283"/>
      <c r="K5" s="3283"/>
      <c r="L5" s="3283"/>
      <c r="M5" s="3283"/>
      <c r="N5" s="3283"/>
      <c r="O5" s="3283"/>
      <c r="P5" s="3283"/>
      <c r="Q5" s="3283"/>
      <c r="R5" s="3283"/>
      <c r="S5" s="3283"/>
      <c r="T5" s="3283"/>
      <c r="U5" s="3283"/>
      <c r="V5" s="3283"/>
      <c r="W5" s="3283"/>
      <c r="X5" s="3283"/>
      <c r="Y5" s="3283"/>
      <c r="Z5" s="3283"/>
      <c r="AA5" s="3283"/>
      <c r="AB5" s="3287"/>
      <c r="AC5" s="3283"/>
      <c r="AD5" s="3283"/>
      <c r="AE5" s="3283"/>
      <c r="AF5" s="3283"/>
      <c r="AG5" s="3283"/>
      <c r="AH5" s="3283"/>
      <c r="AI5" s="3283"/>
      <c r="AJ5" s="3283"/>
      <c r="AK5" s="3283"/>
      <c r="AL5" s="3283"/>
      <c r="AM5" s="3283"/>
      <c r="AN5" s="3283"/>
      <c r="AO5" s="3283"/>
      <c r="AP5" s="3283"/>
      <c r="AQ5" s="3283"/>
      <c r="AR5" s="3283"/>
      <c r="AS5" s="3283"/>
      <c r="AT5" s="3283"/>
      <c r="AU5" s="3283"/>
      <c r="AV5" s="3283"/>
      <c r="AW5" s="3283"/>
      <c r="AX5" s="3283"/>
      <c r="AY5" s="3283"/>
      <c r="AZ5" s="3283"/>
      <c r="BA5" s="3283"/>
      <c r="BB5" s="3283"/>
      <c r="BC5" s="3283"/>
      <c r="BD5" s="3283"/>
      <c r="BE5" s="3283"/>
      <c r="BF5" s="3283"/>
      <c r="BG5" s="3283"/>
      <c r="BH5" s="3283"/>
      <c r="BI5" s="3283"/>
      <c r="BJ5" s="3283"/>
      <c r="BK5" s="3283"/>
      <c r="BL5" s="3291"/>
      <c r="BM5" s="3283"/>
      <c r="BN5" s="3283"/>
      <c r="BO5" s="3283"/>
      <c r="BP5" s="3283"/>
      <c r="BQ5" s="3283"/>
      <c r="BR5" s="3283"/>
      <c r="BS5" s="3283"/>
      <c r="BT5" s="3283"/>
      <c r="BU5" s="3283"/>
      <c r="BV5" s="3283"/>
      <c r="BW5" s="3283"/>
      <c r="BX5" s="3283"/>
      <c r="BY5" s="3320"/>
      <c r="BZ5" s="3287"/>
      <c r="CA5" s="3283"/>
      <c r="CB5" s="3287"/>
      <c r="CC5" s="3287"/>
      <c r="CD5" s="3287"/>
      <c r="CE5" s="3287"/>
      <c r="CF5" s="3321"/>
      <c r="CG5" s="3287"/>
      <c r="CH5" s="3287"/>
      <c r="CI5" s="3287"/>
      <c r="CJ5" s="3287"/>
      <c r="CK5" s="3287"/>
      <c r="CL5" s="3287"/>
      <c r="CM5" s="3287"/>
      <c r="CN5" s="3287"/>
      <c r="CO5" s="3287"/>
      <c r="CP5" s="3287"/>
      <c r="CQ5" s="3287"/>
      <c r="CR5" s="3287"/>
      <c r="CS5" s="3287"/>
      <c r="CT5" s="3287"/>
      <c r="CU5" s="3287"/>
      <c r="CV5" s="3287"/>
      <c r="CW5" s="3287"/>
      <c r="CX5" s="3287"/>
      <c r="CY5" s="3287"/>
      <c r="CZ5" s="3287"/>
      <c r="DA5" s="3287"/>
      <c r="DB5" s="3287"/>
      <c r="DC5" s="3320"/>
      <c r="DD5" s="3320"/>
      <c r="DE5" s="3287"/>
      <c r="DF5" s="3320"/>
      <c r="DG5" s="3320"/>
      <c r="DH5" s="3320"/>
      <c r="DI5" s="3320"/>
      <c r="DJ5" s="3320"/>
      <c r="DK5" s="3320"/>
      <c r="DL5" s="3320"/>
      <c r="DM5" s="3287"/>
      <c r="DN5" s="3287"/>
      <c r="DO5" s="3287"/>
      <c r="DP5" s="3287"/>
      <c r="DQ5" s="3054">
        <f t="shared" si="0"/>
        <v>0</v>
      </c>
      <c r="DR5" s="3052"/>
      <c r="DS5" s="2959"/>
      <c r="DT5" s="2959"/>
      <c r="DU5" s="3318"/>
      <c r="DV5" s="2959"/>
      <c r="DW5" s="2959"/>
      <c r="DX5" s="2959"/>
      <c r="DY5" s="2959"/>
      <c r="DZ5" s="2959"/>
      <c r="EA5" s="2959"/>
      <c r="EB5" s="2959"/>
      <c r="EC5" s="2959"/>
      <c r="ED5" s="2959"/>
      <c r="EE5" s="3318"/>
      <c r="EF5" s="3318"/>
      <c r="EG5" s="3318"/>
      <c r="EH5" s="3318"/>
      <c r="EI5" s="3318"/>
      <c r="EJ5" s="3318"/>
      <c r="EK5" s="3318"/>
      <c r="EL5" s="3318"/>
      <c r="EM5" s="3318"/>
      <c r="EN5" s="3318"/>
      <c r="EO5" s="3292"/>
      <c r="EP5" s="3318"/>
      <c r="EQ5" s="3318"/>
      <c r="ER5" s="3318"/>
      <c r="ES5" s="3318"/>
      <c r="ET5" s="3318"/>
      <c r="EU5" s="3318"/>
      <c r="EV5" s="3318"/>
      <c r="EW5" s="3318"/>
      <c r="EX5" s="3318"/>
      <c r="EY5" s="3318"/>
      <c r="EZ5" s="3318"/>
      <c r="FA5" s="3318"/>
      <c r="FB5" s="3318"/>
      <c r="FC5" s="3318"/>
      <c r="FD5" s="3318"/>
      <c r="FE5" s="3318"/>
      <c r="FF5" s="3318"/>
      <c r="FG5" s="3318"/>
      <c r="FH5" s="3318"/>
      <c r="FI5" s="3318"/>
      <c r="FJ5" s="3318"/>
      <c r="FK5" s="3318"/>
      <c r="FL5" s="3318"/>
      <c r="FM5" s="3318"/>
      <c r="FN5" s="3318"/>
      <c r="FO5" s="3318"/>
      <c r="FP5" s="3318"/>
      <c r="FQ5" s="3318"/>
      <c r="FR5" s="3316"/>
      <c r="FS5" s="3316"/>
      <c r="FT5" s="3316"/>
      <c r="FU5" s="3316"/>
      <c r="FV5" s="3316"/>
      <c r="FW5" s="3316"/>
      <c r="FX5" s="3056"/>
      <c r="FY5" s="3055"/>
      <c r="FZ5" s="3055">
        <f t="shared" si="1"/>
        <v>0</v>
      </c>
      <c r="GA5" s="3060">
        <f t="shared" si="2"/>
        <v>0</v>
      </c>
      <c r="GB5" s="3053"/>
    </row>
    <row r="6" spans="1:186" ht="23.25">
      <c r="A6" s="1220">
        <v>0.16666666666666666</v>
      </c>
      <c r="B6" s="3322"/>
      <c r="C6" s="3283"/>
      <c r="D6" s="3283"/>
      <c r="E6" s="3283"/>
      <c r="F6" s="3287"/>
      <c r="G6" s="3321"/>
      <c r="H6" s="3320"/>
      <c r="I6" s="3287"/>
      <c r="J6" s="3283"/>
      <c r="K6" s="3283"/>
      <c r="L6" s="3283"/>
      <c r="M6" s="3283"/>
      <c r="N6" s="3283"/>
      <c r="O6" s="3283"/>
      <c r="P6" s="3283"/>
      <c r="Q6" s="3283"/>
      <c r="R6" s="3283"/>
      <c r="S6" s="3283"/>
      <c r="T6" s="3283"/>
      <c r="U6" s="3283"/>
      <c r="V6" s="3283"/>
      <c r="W6" s="3283"/>
      <c r="X6" s="3283"/>
      <c r="Y6" s="3283"/>
      <c r="Z6" s="3283"/>
      <c r="AA6" s="3283"/>
      <c r="AB6" s="3287"/>
      <c r="AC6" s="3283"/>
      <c r="AD6" s="3283"/>
      <c r="AE6" s="3283"/>
      <c r="AF6" s="3283"/>
      <c r="AG6" s="3283"/>
      <c r="AH6" s="3283"/>
      <c r="AI6" s="3283"/>
      <c r="AJ6" s="3283"/>
      <c r="AK6" s="3283"/>
      <c r="AL6" s="3283"/>
      <c r="AM6" s="3283"/>
      <c r="AN6" s="3283"/>
      <c r="AO6" s="3283"/>
      <c r="AP6" s="3283"/>
      <c r="AQ6" s="3283"/>
      <c r="AR6" s="3283"/>
      <c r="AS6" s="3283"/>
      <c r="AT6" s="3283"/>
      <c r="AU6" s="3283"/>
      <c r="AV6" s="3283"/>
      <c r="AW6" s="3283"/>
      <c r="AX6" s="3283"/>
      <c r="AY6" s="3283"/>
      <c r="AZ6" s="3283"/>
      <c r="BA6" s="3283"/>
      <c r="BB6" s="3283"/>
      <c r="BC6" s="3283"/>
      <c r="BD6" s="3283"/>
      <c r="BE6" s="3283"/>
      <c r="BF6" s="3283"/>
      <c r="BG6" s="3283"/>
      <c r="BH6" s="3283"/>
      <c r="BI6" s="3283"/>
      <c r="BJ6" s="3283"/>
      <c r="BK6" s="3283"/>
      <c r="BL6" s="3291"/>
      <c r="BM6" s="3283"/>
      <c r="BN6" s="3283"/>
      <c r="BO6" s="3283"/>
      <c r="BP6" s="3283"/>
      <c r="BQ6" s="3283"/>
      <c r="BR6" s="3283"/>
      <c r="BS6" s="3283"/>
      <c r="BT6" s="3283"/>
      <c r="BU6" s="3283"/>
      <c r="BV6" s="3283"/>
      <c r="BW6" s="3283"/>
      <c r="BX6" s="3283"/>
      <c r="BY6" s="3320"/>
      <c r="BZ6" s="3287"/>
      <c r="CA6" s="3283"/>
      <c r="CB6" s="3287"/>
      <c r="CC6" s="3287"/>
      <c r="CD6" s="3287"/>
      <c r="CE6" s="3287"/>
      <c r="CF6" s="3321"/>
      <c r="CG6" s="3287"/>
      <c r="CH6" s="3287"/>
      <c r="CI6" s="3287"/>
      <c r="CJ6" s="3287"/>
      <c r="CK6" s="3287"/>
      <c r="CL6" s="3287"/>
      <c r="CM6" s="3287"/>
      <c r="CN6" s="3287"/>
      <c r="CO6" s="3287"/>
      <c r="CP6" s="3287"/>
      <c r="CQ6" s="3287"/>
      <c r="CR6" s="3287"/>
      <c r="CS6" s="3287"/>
      <c r="CT6" s="3287"/>
      <c r="CU6" s="3287"/>
      <c r="CV6" s="3287"/>
      <c r="CW6" s="3287"/>
      <c r="CX6" s="3287"/>
      <c r="CY6" s="3287"/>
      <c r="CZ6" s="3287"/>
      <c r="DA6" s="3287"/>
      <c r="DB6" s="3287"/>
      <c r="DC6" s="3320"/>
      <c r="DD6" s="3320"/>
      <c r="DE6" s="3287"/>
      <c r="DF6" s="3320"/>
      <c r="DG6" s="3320"/>
      <c r="DH6" s="3320"/>
      <c r="DI6" s="3320"/>
      <c r="DJ6" s="3320"/>
      <c r="DK6" s="3320"/>
      <c r="DL6" s="3320"/>
      <c r="DM6" s="3287"/>
      <c r="DN6" s="3287"/>
      <c r="DO6" s="3287"/>
      <c r="DP6" s="3287"/>
      <c r="DQ6" s="3054">
        <f t="shared" si="0"/>
        <v>0</v>
      </c>
      <c r="DR6" s="3052"/>
      <c r="DS6" s="2959"/>
      <c r="DT6" s="2959"/>
      <c r="DU6" s="3318"/>
      <c r="DV6" s="2959"/>
      <c r="DW6" s="2959"/>
      <c r="DX6" s="2959"/>
      <c r="DY6" s="2959"/>
      <c r="DZ6" s="2959"/>
      <c r="EA6" s="2959"/>
      <c r="EB6" s="2959"/>
      <c r="EC6" s="2959"/>
      <c r="ED6" s="2959"/>
      <c r="EE6" s="3318"/>
      <c r="EF6" s="3318"/>
      <c r="EG6" s="3318"/>
      <c r="EH6" s="3318"/>
      <c r="EI6" s="3318"/>
      <c r="EJ6" s="3318"/>
      <c r="EK6" s="3318"/>
      <c r="EL6" s="3318"/>
      <c r="EM6" s="3318"/>
      <c r="EN6" s="3318"/>
      <c r="EO6" s="3292"/>
      <c r="EP6" s="3318"/>
      <c r="EQ6" s="3318"/>
      <c r="ER6" s="3318"/>
      <c r="ES6" s="3318"/>
      <c r="ET6" s="3318"/>
      <c r="EU6" s="3318"/>
      <c r="EV6" s="3318"/>
      <c r="EW6" s="3318"/>
      <c r="EX6" s="3318"/>
      <c r="EY6" s="3318"/>
      <c r="EZ6" s="3318"/>
      <c r="FA6" s="3318"/>
      <c r="FB6" s="3318"/>
      <c r="FC6" s="3318"/>
      <c r="FD6" s="3318"/>
      <c r="FE6" s="3318"/>
      <c r="FF6" s="3318"/>
      <c r="FG6" s="3318"/>
      <c r="FH6" s="3318"/>
      <c r="FI6" s="3318"/>
      <c r="FJ6" s="3318"/>
      <c r="FK6" s="3318"/>
      <c r="FL6" s="3318"/>
      <c r="FM6" s="3318"/>
      <c r="FN6" s="3318"/>
      <c r="FO6" s="3318"/>
      <c r="FP6" s="3318"/>
      <c r="FQ6" s="3318"/>
      <c r="FR6" s="3316"/>
      <c r="FS6" s="3316"/>
      <c r="FT6" s="3316"/>
      <c r="FU6" s="3316"/>
      <c r="FV6" s="3316"/>
      <c r="FW6" s="3316"/>
      <c r="FX6" s="3056"/>
      <c r="FY6" s="3055"/>
      <c r="FZ6" s="3055">
        <f t="shared" si="1"/>
        <v>0</v>
      </c>
      <c r="GA6" s="3060">
        <f t="shared" si="2"/>
        <v>0</v>
      </c>
      <c r="GB6" s="3053"/>
    </row>
    <row r="7" spans="1:186" ht="23.25">
      <c r="A7" s="1221">
        <v>0.20833333333333401</v>
      </c>
      <c r="B7" s="3322"/>
      <c r="C7" s="3283"/>
      <c r="D7" s="3283"/>
      <c r="E7" s="3283"/>
      <c r="F7" s="3287"/>
      <c r="G7" s="3287"/>
      <c r="H7" s="4029"/>
      <c r="I7" s="3287"/>
      <c r="J7" s="3283"/>
      <c r="K7" s="3283"/>
      <c r="L7" s="3283"/>
      <c r="M7" s="3283"/>
      <c r="N7" s="3283"/>
      <c r="O7" s="3283"/>
      <c r="P7" s="3283"/>
      <c r="Q7" s="3283"/>
      <c r="R7" s="3283"/>
      <c r="S7" s="3283"/>
      <c r="T7" s="3283"/>
      <c r="U7" s="3283"/>
      <c r="V7" s="3283"/>
      <c r="W7" s="3283"/>
      <c r="X7" s="3283"/>
      <c r="Y7" s="3283"/>
      <c r="Z7" s="3283"/>
      <c r="AA7" s="3283"/>
      <c r="AB7" s="3287"/>
      <c r="AC7" s="3283"/>
      <c r="AD7" s="3283"/>
      <c r="AE7" s="3283"/>
      <c r="AF7" s="3283"/>
      <c r="AG7" s="3283"/>
      <c r="AH7" s="3283"/>
      <c r="AI7" s="3283"/>
      <c r="AJ7" s="3283"/>
      <c r="AK7" s="3283"/>
      <c r="AL7" s="3283"/>
      <c r="AM7" s="3283"/>
      <c r="AN7" s="3283"/>
      <c r="AO7" s="3283"/>
      <c r="AP7" s="3283"/>
      <c r="AQ7" s="3283"/>
      <c r="AR7" s="3283"/>
      <c r="AS7" s="3283"/>
      <c r="AT7" s="3283"/>
      <c r="AU7" s="3283"/>
      <c r="AV7" s="3283"/>
      <c r="AW7" s="3283"/>
      <c r="AX7" s="3283"/>
      <c r="AY7" s="3283"/>
      <c r="AZ7" s="3283"/>
      <c r="BA7" s="3283"/>
      <c r="BB7" s="3283"/>
      <c r="BC7" s="3283"/>
      <c r="BD7" s="3283"/>
      <c r="BE7" s="3283"/>
      <c r="BF7" s="3283"/>
      <c r="BG7" s="3283"/>
      <c r="BH7" s="3283"/>
      <c r="BI7" s="3283"/>
      <c r="BJ7" s="3283"/>
      <c r="BK7" s="3283"/>
      <c r="BL7" s="3291"/>
      <c r="BM7" s="3283"/>
      <c r="BN7" s="3283"/>
      <c r="BO7" s="3283"/>
      <c r="BP7" s="3283"/>
      <c r="BQ7" s="3283"/>
      <c r="BR7" s="3283"/>
      <c r="BS7" s="3283"/>
      <c r="BT7" s="3283"/>
      <c r="BU7" s="3283"/>
      <c r="BV7" s="3283"/>
      <c r="BW7" s="3283"/>
      <c r="BX7" s="3283"/>
      <c r="BY7" s="3320"/>
      <c r="BZ7" s="3287"/>
      <c r="CA7" s="3283"/>
      <c r="CB7" s="3287"/>
      <c r="CC7" s="3287"/>
      <c r="CD7" s="3287"/>
      <c r="CE7" s="3287"/>
      <c r="CF7" s="3321"/>
      <c r="CG7" s="3287"/>
      <c r="CH7" s="3287"/>
      <c r="CI7" s="3287"/>
      <c r="CJ7" s="3287"/>
      <c r="CK7" s="3287"/>
      <c r="CL7" s="3287"/>
      <c r="CM7" s="3287"/>
      <c r="CN7" s="3287"/>
      <c r="CO7" s="3287"/>
      <c r="CP7" s="3287"/>
      <c r="CQ7" s="3287"/>
      <c r="CR7" s="3287"/>
      <c r="CS7" s="3287"/>
      <c r="CT7" s="3287"/>
      <c r="CU7" s="3287"/>
      <c r="CV7" s="3287"/>
      <c r="CW7" s="3287"/>
      <c r="CX7" s="3287"/>
      <c r="CY7" s="3287"/>
      <c r="CZ7" s="3287"/>
      <c r="DA7" s="3287"/>
      <c r="DB7" s="3287"/>
      <c r="DC7" s="3320"/>
      <c r="DD7" s="3320"/>
      <c r="DE7" s="3287"/>
      <c r="DF7" s="3320"/>
      <c r="DG7" s="3320"/>
      <c r="DH7" s="3320"/>
      <c r="DI7" s="3320"/>
      <c r="DJ7" s="3320"/>
      <c r="DK7" s="3320"/>
      <c r="DL7" s="3320"/>
      <c r="DM7" s="3287"/>
      <c r="DN7" s="3287"/>
      <c r="DO7" s="3287"/>
      <c r="DP7" s="3287"/>
      <c r="DQ7" s="3054">
        <f t="shared" si="0"/>
        <v>0</v>
      </c>
      <c r="DR7" s="3052"/>
      <c r="DS7" s="2959"/>
      <c r="DT7" s="2959"/>
      <c r="DU7" s="3318"/>
      <c r="DV7" s="2959"/>
      <c r="DW7" s="2959"/>
      <c r="DX7" s="2959"/>
      <c r="DY7" s="2959"/>
      <c r="DZ7" s="2959"/>
      <c r="EA7" s="2959"/>
      <c r="EB7" s="2959"/>
      <c r="EC7" s="2959"/>
      <c r="ED7" s="2959"/>
      <c r="EE7" s="3318"/>
      <c r="EF7" s="3318"/>
      <c r="EG7" s="3318"/>
      <c r="EH7" s="3318"/>
      <c r="EI7" s="3318"/>
      <c r="EJ7" s="3318"/>
      <c r="EK7" s="3318"/>
      <c r="EL7" s="3318"/>
      <c r="EM7" s="3318"/>
      <c r="EN7" s="3318"/>
      <c r="EO7" s="3292"/>
      <c r="EP7" s="3318"/>
      <c r="EQ7" s="3318"/>
      <c r="ER7" s="3318"/>
      <c r="ES7" s="3318"/>
      <c r="ET7" s="3318"/>
      <c r="EU7" s="3318"/>
      <c r="EV7" s="3318"/>
      <c r="EW7" s="3318"/>
      <c r="EX7" s="3318"/>
      <c r="EY7" s="3318"/>
      <c r="EZ7" s="3318"/>
      <c r="FA7" s="3318"/>
      <c r="FB7" s="3318"/>
      <c r="FC7" s="3318"/>
      <c r="FD7" s="3318"/>
      <c r="FE7" s="3318"/>
      <c r="FF7" s="3318"/>
      <c r="FG7" s="3318"/>
      <c r="FH7" s="3318"/>
      <c r="FI7" s="3318"/>
      <c r="FJ7" s="3318"/>
      <c r="FK7" s="3318"/>
      <c r="FL7" s="3318"/>
      <c r="FM7" s="3318"/>
      <c r="FN7" s="3318"/>
      <c r="FO7" s="3318"/>
      <c r="FP7" s="3318"/>
      <c r="FQ7" s="3318"/>
      <c r="FR7" s="3316"/>
      <c r="FS7" s="3316"/>
      <c r="FT7" s="3316"/>
      <c r="FU7" s="3316"/>
      <c r="FV7" s="3316"/>
      <c r="FW7" s="3316"/>
      <c r="FX7" s="3056"/>
      <c r="FY7" s="3055"/>
      <c r="FZ7" s="3055">
        <f t="shared" si="1"/>
        <v>0</v>
      </c>
      <c r="GA7" s="3060">
        <f t="shared" si="2"/>
        <v>0</v>
      </c>
      <c r="GB7" s="3053"/>
    </row>
    <row r="8" spans="1:186" ht="23.25">
      <c r="A8" s="1221">
        <v>0.25</v>
      </c>
      <c r="B8" s="3322"/>
      <c r="C8" s="3283"/>
      <c r="D8" s="3283"/>
      <c r="E8" s="3283"/>
      <c r="F8" s="3287"/>
      <c r="G8" s="3321"/>
      <c r="H8" s="3320"/>
      <c r="I8" s="3287"/>
      <c r="J8" s="3283"/>
      <c r="K8" s="3283"/>
      <c r="L8" s="3283"/>
      <c r="M8" s="3283"/>
      <c r="N8" s="3283"/>
      <c r="O8" s="3283"/>
      <c r="P8" s="3283"/>
      <c r="Q8" s="3283"/>
      <c r="R8" s="3283"/>
      <c r="S8" s="3283"/>
      <c r="T8" s="3283"/>
      <c r="U8" s="3283"/>
      <c r="V8" s="3283"/>
      <c r="W8" s="3283"/>
      <c r="X8" s="3283"/>
      <c r="Y8" s="3283"/>
      <c r="Z8" s="3283"/>
      <c r="AA8" s="3283"/>
      <c r="AB8" s="3287"/>
      <c r="AC8" s="3283"/>
      <c r="AD8" s="3283"/>
      <c r="AE8" s="3283"/>
      <c r="AF8" s="3283"/>
      <c r="AG8" s="3283"/>
      <c r="AH8" s="3283"/>
      <c r="AI8" s="3283"/>
      <c r="AJ8" s="3283"/>
      <c r="AK8" s="3283"/>
      <c r="AL8" s="3283"/>
      <c r="AM8" s="3283"/>
      <c r="AN8" s="3283"/>
      <c r="AO8" s="3283"/>
      <c r="AP8" s="3283"/>
      <c r="AQ8" s="3283"/>
      <c r="AR8" s="3283"/>
      <c r="AS8" s="3283"/>
      <c r="AT8" s="3283"/>
      <c r="AU8" s="3283"/>
      <c r="AV8" s="3283"/>
      <c r="AW8" s="3283"/>
      <c r="AX8" s="3283"/>
      <c r="AY8" s="3283"/>
      <c r="AZ8" s="3283"/>
      <c r="BA8" s="3283"/>
      <c r="BB8" s="3283"/>
      <c r="BC8" s="3283"/>
      <c r="BD8" s="3283"/>
      <c r="BE8" s="3283"/>
      <c r="BF8" s="3283"/>
      <c r="BG8" s="3283"/>
      <c r="BH8" s="3283"/>
      <c r="BI8" s="3283"/>
      <c r="BJ8" s="3283"/>
      <c r="BK8" s="3283"/>
      <c r="BL8" s="3291"/>
      <c r="BM8" s="3283"/>
      <c r="BN8" s="3283"/>
      <c r="BO8" s="3283"/>
      <c r="BP8" s="3283"/>
      <c r="BQ8" s="3283"/>
      <c r="BR8" s="3283"/>
      <c r="BS8" s="3283"/>
      <c r="BT8" s="3283"/>
      <c r="BU8" s="3283"/>
      <c r="BV8" s="3283"/>
      <c r="BW8" s="3283"/>
      <c r="BX8" s="3283"/>
      <c r="BY8" s="3320"/>
      <c r="BZ8" s="3287"/>
      <c r="CA8" s="3283"/>
      <c r="CB8" s="3287"/>
      <c r="CC8" s="3287"/>
      <c r="CD8" s="3287"/>
      <c r="CE8" s="3287"/>
      <c r="CF8" s="3321"/>
      <c r="CG8" s="3287"/>
      <c r="CH8" s="3287"/>
      <c r="CI8" s="3287"/>
      <c r="CJ8" s="3287"/>
      <c r="CK8" s="3287"/>
      <c r="CL8" s="3287"/>
      <c r="CM8" s="3287"/>
      <c r="CN8" s="3287"/>
      <c r="CO8" s="3287"/>
      <c r="CP8" s="3287"/>
      <c r="CQ8" s="3287"/>
      <c r="CR8" s="3287"/>
      <c r="CS8" s="3287"/>
      <c r="CT8" s="3287"/>
      <c r="CU8" s="3287"/>
      <c r="CV8" s="3287"/>
      <c r="CW8" s="3287"/>
      <c r="CX8" s="3287"/>
      <c r="CY8" s="3287"/>
      <c r="CZ8" s="3287"/>
      <c r="DA8" s="3287"/>
      <c r="DB8" s="3287"/>
      <c r="DC8" s="3320"/>
      <c r="DD8" s="3320"/>
      <c r="DE8" s="3287"/>
      <c r="DF8" s="3320"/>
      <c r="DG8" s="3320"/>
      <c r="DH8" s="3320"/>
      <c r="DI8" s="3320"/>
      <c r="DJ8" s="3320"/>
      <c r="DK8" s="3320"/>
      <c r="DL8" s="3320"/>
      <c r="DM8" s="3287"/>
      <c r="DN8" s="3287"/>
      <c r="DO8" s="3287"/>
      <c r="DP8" s="3287"/>
      <c r="DQ8" s="3054">
        <f t="shared" si="0"/>
        <v>0</v>
      </c>
      <c r="DR8" s="3052"/>
      <c r="DS8" s="2959"/>
      <c r="DT8" s="2959"/>
      <c r="DU8" s="3318"/>
      <c r="DV8" s="2959"/>
      <c r="DW8" s="2959"/>
      <c r="DX8" s="2959"/>
      <c r="DY8" s="2959"/>
      <c r="DZ8" s="2959"/>
      <c r="EA8" s="2959"/>
      <c r="EB8" s="2959"/>
      <c r="EC8" s="2959"/>
      <c r="ED8" s="2959"/>
      <c r="EE8" s="3318"/>
      <c r="EF8" s="3318"/>
      <c r="EG8" s="3318"/>
      <c r="EH8" s="3318"/>
      <c r="EI8" s="3318"/>
      <c r="EJ8" s="3318"/>
      <c r="EK8" s="3318"/>
      <c r="EL8" s="3318"/>
      <c r="EM8" s="3318"/>
      <c r="EN8" s="3318"/>
      <c r="EO8" s="3292"/>
      <c r="EP8" s="3318"/>
      <c r="EQ8" s="3318"/>
      <c r="ER8" s="3318"/>
      <c r="ES8" s="3318"/>
      <c r="ET8" s="3318"/>
      <c r="EU8" s="3318"/>
      <c r="EV8" s="3318"/>
      <c r="EW8" s="3318"/>
      <c r="EX8" s="3318"/>
      <c r="EY8" s="3318"/>
      <c r="EZ8" s="3318"/>
      <c r="FA8" s="3318"/>
      <c r="FB8" s="3318"/>
      <c r="FC8" s="3318"/>
      <c r="FD8" s="3318"/>
      <c r="FE8" s="3318"/>
      <c r="FF8" s="3318"/>
      <c r="FG8" s="3318"/>
      <c r="FH8" s="3318"/>
      <c r="FI8" s="3318"/>
      <c r="FJ8" s="3318"/>
      <c r="FK8" s="3318"/>
      <c r="FL8" s="3318"/>
      <c r="FM8" s="3318"/>
      <c r="FN8" s="3318"/>
      <c r="FO8" s="3318"/>
      <c r="FP8" s="3318"/>
      <c r="FQ8" s="3318"/>
      <c r="FR8" s="3316"/>
      <c r="FS8" s="3316"/>
      <c r="FT8" s="3316"/>
      <c r="FU8" s="3316"/>
      <c r="FV8" s="3316"/>
      <c r="FW8" s="3316"/>
      <c r="FX8" s="3056"/>
      <c r="FY8" s="3055"/>
      <c r="FZ8" s="3055">
        <f t="shared" si="1"/>
        <v>0</v>
      </c>
      <c r="GA8" s="3060">
        <f t="shared" si="2"/>
        <v>0</v>
      </c>
      <c r="GB8" s="3053"/>
    </row>
    <row r="9" spans="1:186" ht="23.25">
      <c r="A9" s="1221">
        <v>0.29166666666666669</v>
      </c>
      <c r="B9" s="3322"/>
      <c r="C9" s="3283"/>
      <c r="D9" s="3283"/>
      <c r="E9" s="3283"/>
      <c r="F9" s="3287"/>
      <c r="G9" s="3321"/>
      <c r="H9" s="3320"/>
      <c r="I9" s="3287"/>
      <c r="J9" s="3283"/>
      <c r="K9" s="3283"/>
      <c r="L9" s="3283"/>
      <c r="M9" s="3283"/>
      <c r="N9" s="3283"/>
      <c r="O9" s="3283"/>
      <c r="P9" s="3283"/>
      <c r="Q9" s="3283"/>
      <c r="R9" s="3283"/>
      <c r="S9" s="3283"/>
      <c r="T9" s="3283"/>
      <c r="U9" s="3283"/>
      <c r="V9" s="3283"/>
      <c r="W9" s="3283"/>
      <c r="X9" s="3283"/>
      <c r="Y9" s="3283"/>
      <c r="Z9" s="3283"/>
      <c r="AA9" s="3283"/>
      <c r="AB9" s="3287"/>
      <c r="AC9" s="3283"/>
      <c r="AD9" s="3283"/>
      <c r="AE9" s="3283"/>
      <c r="AF9" s="3283"/>
      <c r="AG9" s="3283"/>
      <c r="AH9" s="3283"/>
      <c r="AI9" s="3283"/>
      <c r="AJ9" s="3283"/>
      <c r="AK9" s="3283"/>
      <c r="AL9" s="3283"/>
      <c r="AM9" s="3283"/>
      <c r="AN9" s="3283"/>
      <c r="AO9" s="3283"/>
      <c r="AP9" s="3283"/>
      <c r="AQ9" s="3283"/>
      <c r="AR9" s="3283"/>
      <c r="AS9" s="3283"/>
      <c r="AT9" s="3283"/>
      <c r="AU9" s="3283"/>
      <c r="AV9" s="3283"/>
      <c r="AW9" s="3283"/>
      <c r="AX9" s="3283"/>
      <c r="AY9" s="3283"/>
      <c r="AZ9" s="3283"/>
      <c r="BA9" s="3283"/>
      <c r="BB9" s="3283"/>
      <c r="BC9" s="3283"/>
      <c r="BD9" s="3283"/>
      <c r="BE9" s="3283"/>
      <c r="BF9" s="3283"/>
      <c r="BG9" s="3283"/>
      <c r="BH9" s="3283"/>
      <c r="BI9" s="3283"/>
      <c r="BJ9" s="3283"/>
      <c r="BK9" s="3283"/>
      <c r="BL9" s="3291"/>
      <c r="BM9" s="3283"/>
      <c r="BN9" s="3283"/>
      <c r="BO9" s="3283"/>
      <c r="BP9" s="3283"/>
      <c r="BQ9" s="3283"/>
      <c r="BR9" s="3283"/>
      <c r="BS9" s="3283"/>
      <c r="BT9" s="3283"/>
      <c r="BU9" s="3283"/>
      <c r="BV9" s="3283"/>
      <c r="BW9" s="3283"/>
      <c r="BX9" s="3283"/>
      <c r="BY9" s="3320"/>
      <c r="BZ9" s="3287"/>
      <c r="CA9" s="3283"/>
      <c r="CB9" s="3287"/>
      <c r="CC9" s="3287"/>
      <c r="CD9" s="3287"/>
      <c r="CE9" s="3287"/>
      <c r="CF9" s="3321"/>
      <c r="CG9" s="3287"/>
      <c r="CH9" s="3287"/>
      <c r="CI9" s="3287"/>
      <c r="CJ9" s="3287"/>
      <c r="CK9" s="3287"/>
      <c r="CL9" s="3287"/>
      <c r="CM9" s="3287"/>
      <c r="CN9" s="3287"/>
      <c r="CO9" s="3287"/>
      <c r="CP9" s="3287"/>
      <c r="CQ9" s="3287"/>
      <c r="CR9" s="3287"/>
      <c r="CS9" s="3287"/>
      <c r="CT9" s="3287"/>
      <c r="CU9" s="3287"/>
      <c r="CV9" s="3287"/>
      <c r="CW9" s="3287"/>
      <c r="CX9" s="3287"/>
      <c r="CY9" s="3287"/>
      <c r="CZ9" s="3287"/>
      <c r="DA9" s="3287"/>
      <c r="DB9" s="3287"/>
      <c r="DC9" s="3320"/>
      <c r="DD9" s="3320"/>
      <c r="DE9" s="3320"/>
      <c r="DF9" s="3320"/>
      <c r="DG9" s="3320"/>
      <c r="DH9" s="3320"/>
      <c r="DI9" s="3320"/>
      <c r="DJ9" s="3320"/>
      <c r="DK9" s="3320"/>
      <c r="DL9" s="3320"/>
      <c r="DM9" s="3287"/>
      <c r="DN9" s="3287"/>
      <c r="DO9" s="3287"/>
      <c r="DP9" s="3287"/>
      <c r="DQ9" s="3054">
        <f t="shared" si="0"/>
        <v>0</v>
      </c>
      <c r="DR9" s="3052"/>
      <c r="DS9" s="2959"/>
      <c r="DT9" s="2959"/>
      <c r="DU9" s="3318"/>
      <c r="DV9" s="2959"/>
      <c r="DW9" s="2959"/>
      <c r="DX9" s="2959"/>
      <c r="DY9" s="2959"/>
      <c r="DZ9" s="2959"/>
      <c r="EA9" s="2959"/>
      <c r="EB9" s="2959"/>
      <c r="EC9" s="2959"/>
      <c r="ED9" s="2959"/>
      <c r="EE9" s="3318"/>
      <c r="EF9" s="3318"/>
      <c r="EG9" s="3318"/>
      <c r="EH9" s="3318"/>
      <c r="EI9" s="3318"/>
      <c r="EJ9" s="3318"/>
      <c r="EK9" s="3318"/>
      <c r="EL9" s="3318"/>
      <c r="EM9" s="3318"/>
      <c r="EN9" s="3318"/>
      <c r="EO9" s="3292"/>
      <c r="EP9" s="3318"/>
      <c r="EQ9" s="3318"/>
      <c r="ER9" s="3318"/>
      <c r="ES9" s="3318"/>
      <c r="ET9" s="3318"/>
      <c r="EU9" s="3318"/>
      <c r="EV9" s="3318"/>
      <c r="EW9" s="3318"/>
      <c r="EX9" s="3318"/>
      <c r="EY9" s="3318"/>
      <c r="EZ9" s="3318"/>
      <c r="FA9" s="3318"/>
      <c r="FB9" s="3318"/>
      <c r="FC9" s="3318"/>
      <c r="FD9" s="3318"/>
      <c r="FE9" s="3318"/>
      <c r="FF9" s="3318"/>
      <c r="FG9" s="3318"/>
      <c r="FH9" s="3318"/>
      <c r="FI9" s="3318"/>
      <c r="FJ9" s="3318"/>
      <c r="FK9" s="3318"/>
      <c r="FL9" s="3318"/>
      <c r="FM9" s="3318"/>
      <c r="FN9" s="3318"/>
      <c r="FO9" s="3318"/>
      <c r="FP9" s="3318"/>
      <c r="FQ9" s="3316"/>
      <c r="FR9" s="3316"/>
      <c r="FS9" s="3316"/>
      <c r="FT9" s="3316"/>
      <c r="FU9" s="3316"/>
      <c r="FV9" s="3316"/>
      <c r="FW9" s="3316"/>
      <c r="FX9" s="3056"/>
      <c r="FY9" s="3055"/>
      <c r="FZ9" s="3055">
        <f t="shared" si="1"/>
        <v>0</v>
      </c>
      <c r="GA9" s="3060">
        <f t="shared" si="2"/>
        <v>0</v>
      </c>
      <c r="GB9" s="3053"/>
    </row>
    <row r="10" spans="1:186" ht="23.25">
      <c r="A10" s="1222">
        <v>0.33333333333333331</v>
      </c>
      <c r="B10" s="3080"/>
      <c r="C10" s="3284"/>
      <c r="D10" s="3284"/>
      <c r="E10" s="3284"/>
      <c r="F10" s="3288"/>
      <c r="G10" s="3293"/>
      <c r="H10" s="3288"/>
      <c r="I10" s="3288"/>
      <c r="J10" s="3284"/>
      <c r="K10" s="3284"/>
      <c r="L10" s="3284"/>
      <c r="M10" s="3284"/>
      <c r="N10" s="3284"/>
      <c r="O10" s="3284"/>
      <c r="P10" s="3284"/>
      <c r="Q10" s="3284"/>
      <c r="R10" s="3284"/>
      <c r="S10" s="3284"/>
      <c r="T10" s="3284"/>
      <c r="U10" s="3284"/>
      <c r="V10" s="3284"/>
      <c r="W10" s="3284"/>
      <c r="X10" s="3284"/>
      <c r="Y10" s="3284"/>
      <c r="Z10" s="3284"/>
      <c r="AA10" s="3284"/>
      <c r="AB10" s="3284"/>
      <c r="AC10" s="3288"/>
      <c r="AD10" s="3284"/>
      <c r="AE10" s="3284"/>
      <c r="AF10" s="3284"/>
      <c r="AG10" s="3284"/>
      <c r="AH10" s="3284"/>
      <c r="AI10" s="3284"/>
      <c r="AJ10" s="3284"/>
      <c r="AK10" s="3284"/>
      <c r="AL10" s="3284"/>
      <c r="AM10" s="3284"/>
      <c r="AN10" s="3284"/>
      <c r="AO10" s="3284"/>
      <c r="AP10" s="3323"/>
      <c r="AQ10" s="3284"/>
      <c r="AR10" s="3284"/>
      <c r="AS10" s="3284"/>
      <c r="AT10" s="3284"/>
      <c r="AU10" s="3284"/>
      <c r="AV10" s="3284"/>
      <c r="AW10" s="3284"/>
      <c r="AX10" s="3284"/>
      <c r="AY10" s="3284"/>
      <c r="AZ10" s="3284"/>
      <c r="BA10" s="3284"/>
      <c r="BB10" s="3284"/>
      <c r="BC10" s="3284"/>
      <c r="BD10" s="3284"/>
      <c r="BE10" s="3284"/>
      <c r="BF10" s="3284"/>
      <c r="BG10" s="3284"/>
      <c r="BH10" s="3284"/>
      <c r="BI10" s="3284"/>
      <c r="BJ10" s="3284"/>
      <c r="BK10" s="3284"/>
      <c r="BL10" s="3291"/>
      <c r="BM10" s="3284"/>
      <c r="BN10" s="3284"/>
      <c r="BO10" s="3284"/>
      <c r="BP10" s="3284"/>
      <c r="BQ10" s="3284"/>
      <c r="BR10" s="3284"/>
      <c r="BS10" s="3284"/>
      <c r="BT10" s="3284"/>
      <c r="BU10" s="3284"/>
      <c r="BV10" s="3284"/>
      <c r="BW10" s="3284"/>
      <c r="BX10" s="3284"/>
      <c r="BY10" s="3284"/>
      <c r="BZ10" s="3294"/>
      <c r="CA10" s="3288"/>
      <c r="CB10" s="3284"/>
      <c r="CC10" s="3288"/>
      <c r="CD10" s="3288"/>
      <c r="CE10" s="3288"/>
      <c r="CF10" s="3293"/>
      <c r="CG10" s="3288"/>
      <c r="CH10" s="3288"/>
      <c r="CI10" s="3288"/>
      <c r="CJ10" s="3288"/>
      <c r="CK10" s="3288"/>
      <c r="CL10" s="3288"/>
      <c r="CM10" s="3288"/>
      <c r="CN10" s="3288"/>
      <c r="CO10" s="3288"/>
      <c r="CP10" s="3288"/>
      <c r="CQ10" s="3288"/>
      <c r="CR10" s="3288"/>
      <c r="CS10" s="3288"/>
      <c r="CT10" s="3288"/>
      <c r="CU10" s="3288"/>
      <c r="CV10" s="3288"/>
      <c r="CW10" s="3288"/>
      <c r="CX10" s="3288"/>
      <c r="CY10" s="3288"/>
      <c r="CZ10" s="3288"/>
      <c r="DA10" s="3288"/>
      <c r="DB10" s="3288"/>
      <c r="DC10" s="3295"/>
      <c r="DD10" s="3295"/>
      <c r="DE10" s="3295"/>
      <c r="DF10" s="3294"/>
      <c r="DG10" s="3294"/>
      <c r="DH10" s="3294"/>
      <c r="DI10" s="3294"/>
      <c r="DJ10" s="3294"/>
      <c r="DK10" s="3295"/>
      <c r="DL10" s="3294"/>
      <c r="DM10" s="3294"/>
      <c r="DN10" s="3294"/>
      <c r="DO10" s="3294"/>
      <c r="DP10" s="3294"/>
      <c r="DQ10" s="3054">
        <f t="shared" si="0"/>
        <v>0</v>
      </c>
      <c r="DR10" s="3057"/>
      <c r="DS10" s="3057"/>
      <c r="DT10" s="3057"/>
      <c r="DU10" s="3297"/>
      <c r="DV10" s="3058"/>
      <c r="DW10" s="3058"/>
      <c r="DX10" s="3058"/>
      <c r="DY10" s="3058"/>
      <c r="DZ10" s="3058"/>
      <c r="EA10" s="3058"/>
      <c r="EB10" s="3058"/>
      <c r="EC10" s="3058"/>
      <c r="ED10" s="3058"/>
      <c r="EE10" s="3297"/>
      <c r="EF10" s="3297"/>
      <c r="EG10" s="3297"/>
      <c r="EH10" s="3297"/>
      <c r="EI10" s="3297"/>
      <c r="EJ10" s="3297"/>
      <c r="EK10" s="3297"/>
      <c r="EL10" s="3297"/>
      <c r="EM10" s="3297"/>
      <c r="EN10" s="3297"/>
      <c r="EO10" s="3292"/>
      <c r="EP10" s="3297"/>
      <c r="EQ10" s="3297"/>
      <c r="ER10" s="3297"/>
      <c r="ES10" s="3297"/>
      <c r="ET10" s="3297"/>
      <c r="EU10" s="3297"/>
      <c r="EV10" s="3297"/>
      <c r="EW10" s="3297"/>
      <c r="EX10" s="3298"/>
      <c r="EY10" s="3297"/>
      <c r="EZ10" s="3297"/>
      <c r="FA10" s="3297"/>
      <c r="FB10" s="3297"/>
      <c r="FC10" s="3297"/>
      <c r="FD10" s="3297"/>
      <c r="FE10" s="3297"/>
      <c r="FF10" s="3297"/>
      <c r="FG10" s="3297"/>
      <c r="FH10" s="3297"/>
      <c r="FI10" s="3297"/>
      <c r="FJ10" s="3297"/>
      <c r="FK10" s="3297"/>
      <c r="FL10" s="3297"/>
      <c r="FM10" s="3297"/>
      <c r="FN10" s="3297"/>
      <c r="FO10" s="3297"/>
      <c r="FP10" s="3297"/>
      <c r="FQ10" s="3297"/>
      <c r="FR10" s="3297"/>
      <c r="FS10" s="3297"/>
      <c r="FT10" s="3297"/>
      <c r="FU10" s="3297"/>
      <c r="FV10" s="3297"/>
      <c r="FW10" s="3297"/>
      <c r="FX10" s="3059"/>
      <c r="FY10" s="3059"/>
      <c r="FZ10" s="3058">
        <f t="shared" si="1"/>
        <v>0</v>
      </c>
      <c r="GA10" s="3060">
        <f t="shared" si="2"/>
        <v>0</v>
      </c>
      <c r="GB10" s="3053"/>
    </row>
    <row r="11" spans="1:186" ht="23.25">
      <c r="A11" s="1222">
        <v>0.375</v>
      </c>
      <c r="B11" s="3080"/>
      <c r="C11" s="3284"/>
      <c r="D11" s="3284"/>
      <c r="E11" s="3284"/>
      <c r="F11" s="3288"/>
      <c r="G11" s="3293"/>
      <c r="H11" s="3288"/>
      <c r="I11" s="3288"/>
      <c r="J11" s="3284"/>
      <c r="K11" s="3284"/>
      <c r="L11" s="3284"/>
      <c r="M11" s="3284"/>
      <c r="N11" s="3284"/>
      <c r="O11" s="3284"/>
      <c r="P11" s="3284"/>
      <c r="Q11" s="3284"/>
      <c r="R11" s="3284"/>
      <c r="S11" s="3284"/>
      <c r="T11" s="3284"/>
      <c r="U11" s="3284"/>
      <c r="V11" s="3284"/>
      <c r="W11" s="3284"/>
      <c r="X11" s="3284"/>
      <c r="Y11" s="3284"/>
      <c r="Z11" s="3284"/>
      <c r="AA11" s="3284"/>
      <c r="AB11" s="3284"/>
      <c r="AC11" s="3288"/>
      <c r="AD11" s="3284"/>
      <c r="AE11" s="3284"/>
      <c r="AF11" s="3284"/>
      <c r="AG11" s="3284"/>
      <c r="AH11" s="3284"/>
      <c r="AI11" s="3284"/>
      <c r="AJ11" s="3284"/>
      <c r="AK11" s="3284"/>
      <c r="AL11" s="3284"/>
      <c r="AM11" s="3284"/>
      <c r="AN11" s="3284"/>
      <c r="AO11" s="3284"/>
      <c r="AP11" s="3284"/>
      <c r="AQ11" s="3284"/>
      <c r="AR11" s="3284"/>
      <c r="AS11" s="3284"/>
      <c r="AT11" s="3284"/>
      <c r="AU11" s="3284"/>
      <c r="AV11" s="3284"/>
      <c r="AW11" s="3284"/>
      <c r="AX11" s="3284"/>
      <c r="AY11" s="3284"/>
      <c r="AZ11" s="3284"/>
      <c r="BA11" s="3284"/>
      <c r="BB11" s="3284"/>
      <c r="BC11" s="3284"/>
      <c r="BD11" s="3284"/>
      <c r="BE11" s="3284"/>
      <c r="BF11" s="3284"/>
      <c r="BG11" s="3284"/>
      <c r="BH11" s="3284"/>
      <c r="BI11" s="3284"/>
      <c r="BJ11" s="3284"/>
      <c r="BK11" s="3284"/>
      <c r="BL11" s="3291"/>
      <c r="BM11" s="3284"/>
      <c r="BN11" s="3284"/>
      <c r="BO11" s="3284"/>
      <c r="BP11" s="3284"/>
      <c r="BQ11" s="3284"/>
      <c r="BR11" s="3284"/>
      <c r="BS11" s="3284"/>
      <c r="BT11" s="3284"/>
      <c r="BU11" s="3284"/>
      <c r="BV11" s="3284"/>
      <c r="BW11" s="3284"/>
      <c r="BX11" s="3284"/>
      <c r="BY11" s="3284"/>
      <c r="BZ11" s="3294"/>
      <c r="CA11" s="3288"/>
      <c r="CB11" s="3284"/>
      <c r="CC11" s="3288"/>
      <c r="CD11" s="3288"/>
      <c r="CE11" s="3288"/>
      <c r="CF11" s="3293"/>
      <c r="CG11" s="3288"/>
      <c r="CH11" s="3288"/>
      <c r="CI11" s="3288"/>
      <c r="CJ11" s="3288"/>
      <c r="CK11" s="3288"/>
      <c r="CL11" s="3288"/>
      <c r="CM11" s="3288"/>
      <c r="CN11" s="3288"/>
      <c r="CO11" s="3288"/>
      <c r="CP11" s="3288"/>
      <c r="CQ11" s="3288"/>
      <c r="CR11" s="3288"/>
      <c r="CS11" s="3288"/>
      <c r="CT11" s="3288"/>
      <c r="CU11" s="3288"/>
      <c r="CV11" s="3288"/>
      <c r="CW11" s="3288"/>
      <c r="CX11" s="3288"/>
      <c r="CY11" s="3288"/>
      <c r="CZ11" s="3288"/>
      <c r="DA11" s="3288"/>
      <c r="DB11" s="3288"/>
      <c r="DC11" s="3295"/>
      <c r="DD11" s="3295"/>
      <c r="DE11" s="3294"/>
      <c r="DF11" s="3294"/>
      <c r="DG11" s="3294"/>
      <c r="DH11" s="3294"/>
      <c r="DI11" s="3294"/>
      <c r="DJ11" s="3295"/>
      <c r="DK11" s="3294"/>
      <c r="DL11" s="3294"/>
      <c r="DM11" s="3294"/>
      <c r="DN11" s="3294"/>
      <c r="DO11" s="3288"/>
      <c r="DP11" s="3288"/>
      <c r="DQ11" s="3054">
        <f t="shared" si="0"/>
        <v>0</v>
      </c>
      <c r="DR11" s="3057"/>
      <c r="DS11" s="3057"/>
      <c r="DT11" s="3058"/>
      <c r="DU11" s="3297"/>
      <c r="DV11" s="3058"/>
      <c r="DW11" s="3058"/>
      <c r="DX11" s="3058"/>
      <c r="DY11" s="3058"/>
      <c r="DZ11" s="3058"/>
      <c r="EA11" s="3058"/>
      <c r="EB11" s="3058"/>
      <c r="EC11" s="3058"/>
      <c r="ED11" s="3058"/>
      <c r="EE11" s="3297"/>
      <c r="EF11" s="3299"/>
      <c r="EG11" s="3297"/>
      <c r="EH11" s="3297"/>
      <c r="EI11" s="3297"/>
      <c r="EJ11" s="3297"/>
      <c r="EK11" s="3297"/>
      <c r="EL11" s="3297"/>
      <c r="EM11" s="3297"/>
      <c r="EN11" s="3298"/>
      <c r="EO11" s="3292"/>
      <c r="EP11" s="3297"/>
      <c r="EQ11" s="3297"/>
      <c r="ER11" s="3297"/>
      <c r="ES11" s="3297"/>
      <c r="ET11" s="3297"/>
      <c r="EU11" s="3297"/>
      <c r="EV11" s="3297"/>
      <c r="EW11" s="3297"/>
      <c r="EX11" s="3297"/>
      <c r="EY11" s="3297"/>
      <c r="EZ11" s="3297"/>
      <c r="FA11" s="3297"/>
      <c r="FB11" s="3297"/>
      <c r="FC11" s="3297"/>
      <c r="FD11" s="3297"/>
      <c r="FE11" s="3297"/>
      <c r="FF11" s="3297"/>
      <c r="FG11" s="3297"/>
      <c r="FH11" s="3297"/>
      <c r="FI11" s="3297"/>
      <c r="FJ11" s="3297"/>
      <c r="FK11" s="3297"/>
      <c r="FL11" s="3297"/>
      <c r="FM11" s="3297"/>
      <c r="FN11" s="3297"/>
      <c r="FO11" s="3297"/>
      <c r="FP11" s="3297"/>
      <c r="FQ11" s="3297"/>
      <c r="FR11" s="3297"/>
      <c r="FS11" s="3297"/>
      <c r="FT11" s="3297"/>
      <c r="FU11" s="3297"/>
      <c r="FV11" s="3297"/>
      <c r="FW11" s="3297"/>
      <c r="FX11" s="3059"/>
      <c r="FY11" s="3058"/>
      <c r="FZ11" s="3066">
        <f t="shared" si="1"/>
        <v>0</v>
      </c>
      <c r="GA11" s="3060">
        <f t="shared" si="2"/>
        <v>0</v>
      </c>
      <c r="GB11" s="3053"/>
    </row>
    <row r="12" spans="1:186" ht="23.25">
      <c r="A12" s="1222">
        <v>0.41666666666666669</v>
      </c>
      <c r="B12" s="3080"/>
      <c r="C12" s="3284"/>
      <c r="D12" s="3284"/>
      <c r="E12" s="3284"/>
      <c r="F12" s="3288"/>
      <c r="G12" s="3293"/>
      <c r="H12" s="3288"/>
      <c r="I12" s="3288"/>
      <c r="J12" s="3284"/>
      <c r="K12" s="3284"/>
      <c r="L12" s="3284"/>
      <c r="M12" s="3284"/>
      <c r="N12" s="3284"/>
      <c r="O12" s="3284"/>
      <c r="P12" s="3284"/>
      <c r="Q12" s="3284"/>
      <c r="R12" s="3284"/>
      <c r="S12" s="3284"/>
      <c r="T12" s="3284"/>
      <c r="U12" s="3284"/>
      <c r="V12" s="3284"/>
      <c r="W12" s="3284"/>
      <c r="X12" s="3284"/>
      <c r="Y12" s="3284"/>
      <c r="Z12" s="3284"/>
      <c r="AA12" s="3284"/>
      <c r="AB12" s="3284"/>
      <c r="AC12" s="3288"/>
      <c r="AD12" s="3284"/>
      <c r="AE12" s="3284"/>
      <c r="AF12" s="3284"/>
      <c r="AG12" s="3284"/>
      <c r="AH12" s="3284"/>
      <c r="AI12" s="3284"/>
      <c r="AJ12" s="3284"/>
      <c r="AK12" s="3284"/>
      <c r="AL12" s="3284"/>
      <c r="AM12" s="3284"/>
      <c r="AN12" s="3284"/>
      <c r="AO12" s="3284"/>
      <c r="AP12" s="3284"/>
      <c r="AQ12" s="3284"/>
      <c r="AR12" s="3284"/>
      <c r="AS12" s="3284"/>
      <c r="AT12" s="3284"/>
      <c r="AU12" s="3284"/>
      <c r="AV12" s="3284"/>
      <c r="AW12" s="3284"/>
      <c r="AX12" s="3284"/>
      <c r="AY12" s="3284"/>
      <c r="AZ12" s="3284"/>
      <c r="BA12" s="3284"/>
      <c r="BB12" s="3284"/>
      <c r="BC12" s="3284"/>
      <c r="BD12" s="3284"/>
      <c r="BE12" s="3284"/>
      <c r="BF12" s="3284"/>
      <c r="BG12" s="3284"/>
      <c r="BH12" s="3284"/>
      <c r="BI12" s="3284"/>
      <c r="BJ12" s="3284"/>
      <c r="BK12" s="3284"/>
      <c r="BL12" s="3291"/>
      <c r="BM12" s="3284"/>
      <c r="BN12" s="3284"/>
      <c r="BO12" s="3284"/>
      <c r="BP12" s="3284"/>
      <c r="BQ12" s="3284"/>
      <c r="BR12" s="3284"/>
      <c r="BS12" s="3284"/>
      <c r="BT12" s="3284"/>
      <c r="BU12" s="3284"/>
      <c r="BV12" s="3284"/>
      <c r="BW12" s="3284"/>
      <c r="BX12" s="3284"/>
      <c r="BY12" s="3284"/>
      <c r="BZ12" s="3294"/>
      <c r="CA12" s="3288"/>
      <c r="CB12" s="3284"/>
      <c r="CC12" s="3288"/>
      <c r="CD12" s="3288"/>
      <c r="CE12" s="3288"/>
      <c r="CF12" s="3293"/>
      <c r="CG12" s="3288"/>
      <c r="CH12" s="3288"/>
      <c r="CI12" s="3288"/>
      <c r="CJ12" s="3288"/>
      <c r="CK12" s="3288"/>
      <c r="CL12" s="3288"/>
      <c r="CM12" s="3288"/>
      <c r="CN12" s="3288"/>
      <c r="CO12" s="3288"/>
      <c r="CP12" s="3288"/>
      <c r="CQ12" s="3288"/>
      <c r="CR12" s="3288"/>
      <c r="CS12" s="3288"/>
      <c r="CT12" s="3288"/>
      <c r="CU12" s="3288"/>
      <c r="CV12" s="3288"/>
      <c r="CW12" s="3288"/>
      <c r="CX12" s="3288"/>
      <c r="CY12" s="3288"/>
      <c r="CZ12" s="3288"/>
      <c r="DA12" s="3288"/>
      <c r="DB12" s="3288"/>
      <c r="DC12" s="3295"/>
      <c r="DD12" s="3295"/>
      <c r="DE12" s="3294"/>
      <c r="DF12" s="3294"/>
      <c r="DG12" s="3294"/>
      <c r="DH12" s="3294"/>
      <c r="DI12" s="3294"/>
      <c r="DJ12" s="3295"/>
      <c r="DK12" s="3294"/>
      <c r="DL12" s="3294"/>
      <c r="DM12" s="3294"/>
      <c r="DN12" s="3294"/>
      <c r="DO12" s="3294"/>
      <c r="DP12" s="3294"/>
      <c r="DQ12" s="3054">
        <f t="shared" si="0"/>
        <v>0</v>
      </c>
      <c r="DR12" s="3099"/>
      <c r="DS12" s="3099"/>
      <c r="DT12" s="3066"/>
      <c r="DU12" s="3300"/>
      <c r="DV12" s="3066"/>
      <c r="DW12" s="3066"/>
      <c r="DX12" s="3066"/>
      <c r="DY12" s="3066"/>
      <c r="DZ12" s="3066"/>
      <c r="EA12" s="3066"/>
      <c r="EB12" s="3066"/>
      <c r="EC12" s="3066"/>
      <c r="ED12" s="3066"/>
      <c r="EE12" s="3297"/>
      <c r="EF12" s="3299"/>
      <c r="EG12" s="3297"/>
      <c r="EH12" s="3297"/>
      <c r="EI12" s="3297"/>
      <c r="EJ12" s="3297"/>
      <c r="EK12" s="3297"/>
      <c r="EL12" s="3297"/>
      <c r="EM12" s="3297"/>
      <c r="EN12" s="3298"/>
      <c r="EO12" s="3292"/>
      <c r="EP12" s="3297"/>
      <c r="EQ12" s="3297"/>
      <c r="ER12" s="3297"/>
      <c r="ES12" s="3297"/>
      <c r="ET12" s="3297"/>
      <c r="EU12" s="3297"/>
      <c r="EV12" s="3297"/>
      <c r="EW12" s="3297"/>
      <c r="EX12" s="3297"/>
      <c r="EY12" s="3297"/>
      <c r="EZ12" s="3297"/>
      <c r="FA12" s="3297"/>
      <c r="FB12" s="3297"/>
      <c r="FC12" s="3297"/>
      <c r="FD12" s="3297"/>
      <c r="FE12" s="3297"/>
      <c r="FF12" s="3297"/>
      <c r="FG12" s="3297"/>
      <c r="FH12" s="3297"/>
      <c r="FI12" s="3297"/>
      <c r="FJ12" s="3297"/>
      <c r="FK12" s="3297"/>
      <c r="FL12" s="3297"/>
      <c r="FM12" s="3297"/>
      <c r="FN12" s="3297"/>
      <c r="FO12" s="3297"/>
      <c r="FP12" s="3297"/>
      <c r="FQ12" s="3297"/>
      <c r="FR12" s="3297"/>
      <c r="FS12" s="3297"/>
      <c r="FT12" s="3297"/>
      <c r="FU12" s="3297"/>
      <c r="FV12" s="3297"/>
      <c r="FW12" s="3297"/>
      <c r="FX12" s="3100"/>
      <c r="FY12" s="3058"/>
      <c r="FZ12" s="3058">
        <f t="shared" si="1"/>
        <v>0</v>
      </c>
      <c r="GA12" s="3060">
        <f t="shared" si="2"/>
        <v>0</v>
      </c>
      <c r="GB12" s="3053"/>
    </row>
    <row r="13" spans="1:186" ht="23.25">
      <c r="A13" s="1222">
        <v>0.45833333333333331</v>
      </c>
      <c r="B13" s="3080"/>
      <c r="C13" s="3284"/>
      <c r="D13" s="3284"/>
      <c r="E13" s="3284"/>
      <c r="F13" s="3288"/>
      <c r="G13" s="3293"/>
      <c r="H13" s="3288"/>
      <c r="I13" s="3288"/>
      <c r="J13" s="3284"/>
      <c r="K13" s="3284"/>
      <c r="L13" s="3284"/>
      <c r="M13" s="3284"/>
      <c r="N13" s="3284"/>
      <c r="O13" s="3284"/>
      <c r="P13" s="3284"/>
      <c r="Q13" s="3284"/>
      <c r="R13" s="3284"/>
      <c r="S13" s="3284"/>
      <c r="T13" s="3284"/>
      <c r="U13" s="3284"/>
      <c r="V13" s="3284"/>
      <c r="W13" s="3284"/>
      <c r="X13" s="3284"/>
      <c r="Y13" s="3284"/>
      <c r="Z13" s="3284"/>
      <c r="AA13" s="3284"/>
      <c r="AB13" s="3284"/>
      <c r="AC13" s="3288"/>
      <c r="AD13" s="3284"/>
      <c r="AE13" s="3284"/>
      <c r="AF13" s="3284"/>
      <c r="AG13" s="3284"/>
      <c r="AH13" s="3284"/>
      <c r="AI13" s="3284"/>
      <c r="AJ13" s="3284"/>
      <c r="AK13" s="3284"/>
      <c r="AL13" s="3284"/>
      <c r="AM13" s="3284"/>
      <c r="AN13" s="3284"/>
      <c r="AO13" s="3284"/>
      <c r="AP13" s="3284"/>
      <c r="AQ13" s="3284"/>
      <c r="AR13" s="3284"/>
      <c r="AS13" s="3284"/>
      <c r="AT13" s="3284"/>
      <c r="AU13" s="3284"/>
      <c r="AV13" s="3284"/>
      <c r="AW13" s="3284"/>
      <c r="AX13" s="3284"/>
      <c r="AY13" s="3284"/>
      <c r="AZ13" s="3284"/>
      <c r="BA13" s="3284"/>
      <c r="BB13" s="3284"/>
      <c r="BC13" s="3284"/>
      <c r="BD13" s="3284"/>
      <c r="BE13" s="3284"/>
      <c r="BF13" s="3284"/>
      <c r="BG13" s="3284"/>
      <c r="BH13" s="3284"/>
      <c r="BI13" s="3284"/>
      <c r="BJ13" s="3284"/>
      <c r="BK13" s="3284"/>
      <c r="BL13" s="3291"/>
      <c r="BM13" s="3284"/>
      <c r="BN13" s="3284"/>
      <c r="BO13" s="3284"/>
      <c r="BP13" s="3284"/>
      <c r="BQ13" s="3284"/>
      <c r="BR13" s="3284"/>
      <c r="BS13" s="3284"/>
      <c r="BT13" s="3284"/>
      <c r="BU13" s="3284"/>
      <c r="BV13" s="3284"/>
      <c r="BW13" s="3284"/>
      <c r="BX13" s="3284"/>
      <c r="BY13" s="3284"/>
      <c r="BZ13" s="3294"/>
      <c r="CA13" s="3288"/>
      <c r="CB13" s="3284"/>
      <c r="CC13" s="3288"/>
      <c r="CD13" s="3288"/>
      <c r="CE13" s="3288"/>
      <c r="CF13" s="3293"/>
      <c r="CG13" s="3288"/>
      <c r="CH13" s="3288"/>
      <c r="CI13" s="3288"/>
      <c r="CJ13" s="3288"/>
      <c r="CK13" s="3288"/>
      <c r="CL13" s="3288"/>
      <c r="CM13" s="3288"/>
      <c r="CN13" s="3288"/>
      <c r="CO13" s="3288"/>
      <c r="CP13" s="3288"/>
      <c r="CQ13" s="3288"/>
      <c r="CR13" s="3288"/>
      <c r="CS13" s="3288"/>
      <c r="CT13" s="3288"/>
      <c r="CU13" s="3288"/>
      <c r="CV13" s="3288"/>
      <c r="CW13" s="3288"/>
      <c r="CX13" s="3288"/>
      <c r="CY13" s="3288"/>
      <c r="CZ13" s="3288"/>
      <c r="DA13" s="3288"/>
      <c r="DB13" s="3288"/>
      <c r="DC13" s="3295"/>
      <c r="DD13" s="3295"/>
      <c r="DE13" s="3294"/>
      <c r="DF13" s="3294"/>
      <c r="DG13" s="3294"/>
      <c r="DH13" s="3294"/>
      <c r="DI13" s="3294"/>
      <c r="DJ13" s="3295"/>
      <c r="DK13" s="3294"/>
      <c r="DL13" s="3294"/>
      <c r="DM13" s="3294"/>
      <c r="DN13" s="3294"/>
      <c r="DO13" s="3294"/>
      <c r="DP13" s="3294"/>
      <c r="DQ13" s="3054">
        <f t="shared" si="0"/>
        <v>0</v>
      </c>
      <c r="DR13" s="3057"/>
      <c r="DS13" s="3057"/>
      <c r="DT13" s="3058"/>
      <c r="DU13" s="3297"/>
      <c r="DV13" s="3058"/>
      <c r="DW13" s="3058"/>
      <c r="DX13" s="3058"/>
      <c r="DY13" s="3058"/>
      <c r="DZ13" s="3058"/>
      <c r="EA13" s="3058"/>
      <c r="EB13" s="3058"/>
      <c r="EC13" s="3058"/>
      <c r="ED13" s="3058"/>
      <c r="EE13" s="3297"/>
      <c r="EF13" s="3297"/>
      <c r="EG13" s="3297"/>
      <c r="EH13" s="3297"/>
      <c r="EI13" s="3297"/>
      <c r="EJ13" s="3297"/>
      <c r="EK13" s="3297"/>
      <c r="EL13" s="3297"/>
      <c r="EM13" s="3297"/>
      <c r="EN13" s="3298"/>
      <c r="EO13" s="3292"/>
      <c r="EP13" s="3297"/>
      <c r="EQ13" s="3297"/>
      <c r="ER13" s="3297"/>
      <c r="ES13" s="3297"/>
      <c r="ET13" s="3297"/>
      <c r="EU13" s="3297"/>
      <c r="EV13" s="3297"/>
      <c r="EW13" s="3297"/>
      <c r="EX13" s="3297"/>
      <c r="EY13" s="3297"/>
      <c r="EZ13" s="3297"/>
      <c r="FA13" s="3297"/>
      <c r="FB13" s="3297"/>
      <c r="FC13" s="3297"/>
      <c r="FD13" s="3297"/>
      <c r="FE13" s="3297"/>
      <c r="FF13" s="3297"/>
      <c r="FG13" s="3297"/>
      <c r="FH13" s="3297"/>
      <c r="FI13" s="3297"/>
      <c r="FJ13" s="3297"/>
      <c r="FK13" s="3297"/>
      <c r="FL13" s="3297"/>
      <c r="FM13" s="3297"/>
      <c r="FN13" s="3297"/>
      <c r="FO13" s="3297"/>
      <c r="FP13" s="3297"/>
      <c r="FQ13" s="3297"/>
      <c r="FR13" s="3297"/>
      <c r="FS13" s="3297"/>
      <c r="FT13" s="3297"/>
      <c r="FU13" s="3297"/>
      <c r="FV13" s="3297"/>
      <c r="FW13" s="3297"/>
      <c r="FX13" s="3059"/>
      <c r="FY13" s="3058"/>
      <c r="FZ13" s="3058">
        <f t="shared" si="1"/>
        <v>0</v>
      </c>
      <c r="GA13" s="3060">
        <f t="shared" si="2"/>
        <v>0</v>
      </c>
      <c r="GB13" s="3053"/>
    </row>
    <row r="14" spans="1:186" ht="23.25">
      <c r="A14" s="1222">
        <v>0.5</v>
      </c>
      <c r="B14" s="3080"/>
      <c r="C14" s="3284"/>
      <c r="D14" s="3284"/>
      <c r="E14" s="3284"/>
      <c r="F14" s="3288"/>
      <c r="G14" s="3293"/>
      <c r="H14" s="3288"/>
      <c r="I14" s="3288"/>
      <c r="J14" s="3284"/>
      <c r="K14" s="3284"/>
      <c r="L14" s="3284"/>
      <c r="M14" s="3284"/>
      <c r="N14" s="3284"/>
      <c r="O14" s="3284"/>
      <c r="P14" s="3284"/>
      <c r="Q14" s="3284"/>
      <c r="R14" s="3284"/>
      <c r="S14" s="3284"/>
      <c r="T14" s="3284"/>
      <c r="U14" s="3284"/>
      <c r="V14" s="3284"/>
      <c r="W14" s="3284"/>
      <c r="X14" s="3284"/>
      <c r="Y14" s="3284"/>
      <c r="Z14" s="3284"/>
      <c r="AA14" s="3284"/>
      <c r="AB14" s="3284"/>
      <c r="AC14" s="3288"/>
      <c r="AD14" s="3284"/>
      <c r="AE14" s="3284"/>
      <c r="AF14" s="3284"/>
      <c r="AG14" s="3284"/>
      <c r="AH14" s="3284"/>
      <c r="AI14" s="3284"/>
      <c r="AJ14" s="3284"/>
      <c r="AK14" s="3284"/>
      <c r="AL14" s="3284"/>
      <c r="AM14" s="3284"/>
      <c r="AN14" s="3284"/>
      <c r="AO14" s="3284"/>
      <c r="AP14" s="3284"/>
      <c r="AQ14" s="3284"/>
      <c r="AR14" s="3284"/>
      <c r="AS14" s="3284"/>
      <c r="AT14" s="3284"/>
      <c r="AU14" s="3284"/>
      <c r="AV14" s="3284"/>
      <c r="AW14" s="3284"/>
      <c r="AX14" s="3284"/>
      <c r="AY14" s="3284"/>
      <c r="AZ14" s="3284"/>
      <c r="BA14" s="3284"/>
      <c r="BB14" s="3284"/>
      <c r="BC14" s="3284"/>
      <c r="BD14" s="3284"/>
      <c r="BE14" s="3284"/>
      <c r="BF14" s="3284"/>
      <c r="BG14" s="3284"/>
      <c r="BH14" s="3284"/>
      <c r="BI14" s="3284"/>
      <c r="BJ14" s="3284"/>
      <c r="BK14" s="3284"/>
      <c r="BL14" s="3291"/>
      <c r="BM14" s="3284"/>
      <c r="BN14" s="3284"/>
      <c r="BO14" s="3284"/>
      <c r="BP14" s="3284"/>
      <c r="BQ14" s="3284"/>
      <c r="BR14" s="3284"/>
      <c r="BS14" s="3284"/>
      <c r="BT14" s="3284"/>
      <c r="BU14" s="3284"/>
      <c r="BV14" s="3284"/>
      <c r="BW14" s="3284"/>
      <c r="BX14" s="3284"/>
      <c r="BY14" s="3284"/>
      <c r="BZ14" s="3294"/>
      <c r="CA14" s="3288"/>
      <c r="CB14" s="3284"/>
      <c r="CC14" s="3288"/>
      <c r="CD14" s="3288"/>
      <c r="CE14" s="3288"/>
      <c r="CF14" s="3293"/>
      <c r="CG14" s="3288"/>
      <c r="CH14" s="3288"/>
      <c r="CI14" s="3288"/>
      <c r="CJ14" s="3288"/>
      <c r="CK14" s="3288"/>
      <c r="CL14" s="3288"/>
      <c r="CM14" s="3288"/>
      <c r="CN14" s="3288"/>
      <c r="CO14" s="3288"/>
      <c r="CP14" s="3288"/>
      <c r="CQ14" s="3288"/>
      <c r="CR14" s="3288"/>
      <c r="CS14" s="3288"/>
      <c r="CT14" s="3288"/>
      <c r="CU14" s="3288"/>
      <c r="CV14" s="3288"/>
      <c r="CW14" s="3288"/>
      <c r="CX14" s="3288"/>
      <c r="CY14" s="3288"/>
      <c r="CZ14" s="3288"/>
      <c r="DA14" s="3288"/>
      <c r="DB14" s="3288"/>
      <c r="DC14" s="3295"/>
      <c r="DD14" s="3295"/>
      <c r="DE14" s="3294"/>
      <c r="DF14" s="3294"/>
      <c r="DG14" s="3294"/>
      <c r="DH14" s="3294"/>
      <c r="DI14" s="3294"/>
      <c r="DJ14" s="3295"/>
      <c r="DK14" s="3294"/>
      <c r="DL14" s="3294"/>
      <c r="DM14" s="3294"/>
      <c r="DN14" s="3294"/>
      <c r="DO14" s="3294"/>
      <c r="DP14" s="3294"/>
      <c r="DQ14" s="3054">
        <f t="shared" si="0"/>
        <v>0</v>
      </c>
      <c r="DR14" s="3057"/>
      <c r="DS14" s="3057"/>
      <c r="DT14" s="3058"/>
      <c r="DU14" s="3297"/>
      <c r="DV14" s="3058"/>
      <c r="DW14" s="3058"/>
      <c r="DX14" s="3058"/>
      <c r="DY14" s="3058"/>
      <c r="DZ14" s="3058"/>
      <c r="EA14" s="3058"/>
      <c r="EB14" s="3058"/>
      <c r="EC14" s="3058"/>
      <c r="ED14" s="3058"/>
      <c r="EE14" s="3297"/>
      <c r="EF14" s="3299"/>
      <c r="EG14" s="3297"/>
      <c r="EH14" s="3297"/>
      <c r="EI14" s="3297"/>
      <c r="EJ14" s="3297"/>
      <c r="EK14" s="3297"/>
      <c r="EL14" s="3297"/>
      <c r="EM14" s="3297"/>
      <c r="EN14" s="3298"/>
      <c r="EO14" s="3292"/>
      <c r="EP14" s="3297"/>
      <c r="EQ14" s="3297"/>
      <c r="ER14" s="3297"/>
      <c r="ES14" s="3297"/>
      <c r="ET14" s="3297"/>
      <c r="EU14" s="3297"/>
      <c r="EV14" s="3297"/>
      <c r="EW14" s="3297"/>
      <c r="EX14" s="3297"/>
      <c r="EY14" s="3297"/>
      <c r="EZ14" s="3297"/>
      <c r="FA14" s="3297"/>
      <c r="FB14" s="3297"/>
      <c r="FC14" s="3297"/>
      <c r="FD14" s="3297"/>
      <c r="FE14" s="3297"/>
      <c r="FF14" s="3297"/>
      <c r="FG14" s="3297"/>
      <c r="FH14" s="3297"/>
      <c r="FI14" s="3297"/>
      <c r="FJ14" s="3297"/>
      <c r="FK14" s="3297"/>
      <c r="FL14" s="3297"/>
      <c r="FM14" s="3297"/>
      <c r="FN14" s="3297"/>
      <c r="FO14" s="3297"/>
      <c r="FP14" s="3297"/>
      <c r="FQ14" s="3297"/>
      <c r="FR14" s="3297"/>
      <c r="FS14" s="3297"/>
      <c r="FT14" s="3297"/>
      <c r="FU14" s="3297"/>
      <c r="FV14" s="3297"/>
      <c r="FW14" s="3297"/>
      <c r="FX14" s="3059"/>
      <c r="FY14" s="3058"/>
      <c r="FZ14" s="3058">
        <f t="shared" si="1"/>
        <v>0</v>
      </c>
      <c r="GA14" s="3060">
        <f t="shared" si="2"/>
        <v>0</v>
      </c>
      <c r="GB14" s="3053"/>
    </row>
    <row r="15" spans="1:186" ht="23.25">
      <c r="A15" s="1222">
        <v>0.54166666666666663</v>
      </c>
      <c r="B15" s="3080"/>
      <c r="C15" s="3284"/>
      <c r="D15" s="3284"/>
      <c r="E15" s="3284"/>
      <c r="F15" s="3288"/>
      <c r="G15" s="3293"/>
      <c r="H15" s="3288"/>
      <c r="I15" s="3288"/>
      <c r="J15" s="3284"/>
      <c r="K15" s="3284"/>
      <c r="L15" s="3284"/>
      <c r="M15" s="3284"/>
      <c r="N15" s="3284"/>
      <c r="O15" s="3284"/>
      <c r="P15" s="3284"/>
      <c r="Q15" s="3284"/>
      <c r="R15" s="3284"/>
      <c r="S15" s="3284"/>
      <c r="T15" s="3284"/>
      <c r="U15" s="3284"/>
      <c r="V15" s="3284"/>
      <c r="W15" s="3284"/>
      <c r="X15" s="3284"/>
      <c r="Y15" s="3284"/>
      <c r="Z15" s="3284"/>
      <c r="AA15" s="3284"/>
      <c r="AB15" s="3284"/>
      <c r="AC15" s="3288"/>
      <c r="AD15" s="3284"/>
      <c r="AE15" s="3284"/>
      <c r="AF15" s="3284"/>
      <c r="AG15" s="3284"/>
      <c r="AH15" s="3284"/>
      <c r="AI15" s="3284"/>
      <c r="AJ15" s="3284"/>
      <c r="AK15" s="3284"/>
      <c r="AL15" s="3284"/>
      <c r="AM15" s="3284"/>
      <c r="AN15" s="3284"/>
      <c r="AO15" s="3284"/>
      <c r="AP15" s="3284"/>
      <c r="AQ15" s="3284"/>
      <c r="AR15" s="3284"/>
      <c r="AS15" s="3284"/>
      <c r="AT15" s="3284"/>
      <c r="AU15" s="3284"/>
      <c r="AV15" s="3284"/>
      <c r="AW15" s="3284"/>
      <c r="AX15" s="3284"/>
      <c r="AY15" s="3284"/>
      <c r="AZ15" s="3284"/>
      <c r="BA15" s="3284"/>
      <c r="BB15" s="3284"/>
      <c r="BC15" s="3284"/>
      <c r="BD15" s="3284"/>
      <c r="BE15" s="3284"/>
      <c r="BF15" s="3284"/>
      <c r="BG15" s="3284"/>
      <c r="BH15" s="3284"/>
      <c r="BI15" s="3284"/>
      <c r="BJ15" s="3284"/>
      <c r="BK15" s="3284"/>
      <c r="BL15" s="3291"/>
      <c r="BM15" s="3284"/>
      <c r="BN15" s="3284"/>
      <c r="BO15" s="3284"/>
      <c r="BP15" s="3284"/>
      <c r="BQ15" s="3284"/>
      <c r="BR15" s="3284"/>
      <c r="BS15" s="3284"/>
      <c r="BT15" s="3284"/>
      <c r="BU15" s="3284"/>
      <c r="BV15" s="3284"/>
      <c r="BW15" s="3284"/>
      <c r="BX15" s="3284"/>
      <c r="BY15" s="3284"/>
      <c r="BZ15" s="3294"/>
      <c r="CA15" s="3288"/>
      <c r="CB15" s="3284"/>
      <c r="CC15" s="3288"/>
      <c r="CD15" s="3288"/>
      <c r="CE15" s="3288"/>
      <c r="CF15" s="3293"/>
      <c r="CG15" s="3288"/>
      <c r="CH15" s="3288"/>
      <c r="CI15" s="3288"/>
      <c r="CJ15" s="3288"/>
      <c r="CK15" s="3288"/>
      <c r="CL15" s="3288"/>
      <c r="CM15" s="3288"/>
      <c r="CN15" s="3288"/>
      <c r="CO15" s="3288"/>
      <c r="CP15" s="3288"/>
      <c r="CQ15" s="3288"/>
      <c r="CR15" s="3288"/>
      <c r="CS15" s="3288"/>
      <c r="CT15" s="3288"/>
      <c r="CU15" s="3288"/>
      <c r="CV15" s="3288"/>
      <c r="CW15" s="3288"/>
      <c r="CX15" s="3288"/>
      <c r="CY15" s="3288"/>
      <c r="CZ15" s="3288"/>
      <c r="DA15" s="3288"/>
      <c r="DB15" s="3288"/>
      <c r="DC15" s="3293"/>
      <c r="DD15" s="3295"/>
      <c r="DE15" s="3294"/>
      <c r="DF15" s="3294"/>
      <c r="DG15" s="3294"/>
      <c r="DH15" s="3294"/>
      <c r="DI15" s="3294"/>
      <c r="DJ15" s="3295"/>
      <c r="DK15" s="3294"/>
      <c r="DL15" s="3294"/>
      <c r="DM15" s="3294"/>
      <c r="DN15" s="3294"/>
      <c r="DO15" s="3294"/>
      <c r="DP15" s="3294"/>
      <c r="DQ15" s="3054">
        <f t="shared" si="0"/>
        <v>0</v>
      </c>
      <c r="DR15" s="3296"/>
      <c r="DS15" s="3296"/>
      <c r="DT15" s="3297"/>
      <c r="DU15" s="3297"/>
      <c r="DV15" s="3297"/>
      <c r="DW15" s="3297"/>
      <c r="DX15" s="3297"/>
      <c r="DY15" s="3297"/>
      <c r="DZ15" s="3297"/>
      <c r="EA15" s="3297"/>
      <c r="EB15" s="3297"/>
      <c r="EC15" s="3297"/>
      <c r="ED15" s="3058"/>
      <c r="EE15" s="3297"/>
      <c r="EF15" s="3299"/>
      <c r="EG15" s="3297"/>
      <c r="EH15" s="3297"/>
      <c r="EI15" s="3297"/>
      <c r="EJ15" s="3297"/>
      <c r="EK15" s="3297"/>
      <c r="EL15" s="3297"/>
      <c r="EM15" s="3297"/>
      <c r="EN15" s="3298"/>
      <c r="EO15" s="3292"/>
      <c r="EP15" s="3297"/>
      <c r="EQ15" s="3297"/>
      <c r="ER15" s="3297"/>
      <c r="ES15" s="3297"/>
      <c r="ET15" s="3297"/>
      <c r="EU15" s="3297"/>
      <c r="EV15" s="3297"/>
      <c r="EW15" s="3297"/>
      <c r="EX15" s="3297"/>
      <c r="EY15" s="3297"/>
      <c r="EZ15" s="3297"/>
      <c r="FA15" s="3297"/>
      <c r="FB15" s="3297"/>
      <c r="FC15" s="3297"/>
      <c r="FD15" s="3297"/>
      <c r="FE15" s="3297"/>
      <c r="FF15" s="3297"/>
      <c r="FG15" s="3297"/>
      <c r="FH15" s="3297"/>
      <c r="FI15" s="3297"/>
      <c r="FJ15" s="3297"/>
      <c r="FK15" s="3297"/>
      <c r="FL15" s="3297"/>
      <c r="FM15" s="3297"/>
      <c r="FN15" s="3297"/>
      <c r="FO15" s="3297"/>
      <c r="FP15" s="3297"/>
      <c r="FQ15" s="3297"/>
      <c r="FR15" s="3297"/>
      <c r="FS15" s="3297"/>
      <c r="FT15" s="3297"/>
      <c r="FU15" s="3297"/>
      <c r="FV15" s="3297"/>
      <c r="FW15" s="3297"/>
      <c r="FX15" s="3059"/>
      <c r="FY15" s="3058"/>
      <c r="FZ15" s="3058">
        <f t="shared" si="1"/>
        <v>0</v>
      </c>
      <c r="GA15" s="3060">
        <f t="shared" si="2"/>
        <v>0</v>
      </c>
      <c r="GB15" s="3053"/>
    </row>
    <row r="16" spans="1:186" ht="23.25">
      <c r="A16" s="3103">
        <v>0.58333333333333337</v>
      </c>
      <c r="B16" s="3087"/>
      <c r="C16" s="3285"/>
      <c r="D16" s="3285"/>
      <c r="E16" s="3285"/>
      <c r="F16" s="3289"/>
      <c r="G16" s="3301"/>
      <c r="H16" s="3289"/>
      <c r="I16" s="3289"/>
      <c r="J16" s="3285"/>
      <c r="K16" s="3285"/>
      <c r="L16" s="3285"/>
      <c r="M16" s="3285"/>
      <c r="N16" s="3285"/>
      <c r="O16" s="3285"/>
      <c r="P16" s="3285"/>
      <c r="Q16" s="3285"/>
      <c r="R16" s="3285"/>
      <c r="S16" s="3285"/>
      <c r="T16" s="3285"/>
      <c r="U16" s="3285"/>
      <c r="V16" s="3285"/>
      <c r="W16" s="3285"/>
      <c r="X16" s="3285"/>
      <c r="Y16" s="3285"/>
      <c r="Z16" s="3285"/>
      <c r="AA16" s="3285"/>
      <c r="AB16" s="3285"/>
      <c r="AC16" s="3289"/>
      <c r="AD16" s="3285"/>
      <c r="AE16" s="3285"/>
      <c r="AF16" s="3285"/>
      <c r="AG16" s="3285"/>
      <c r="AH16" s="3285"/>
      <c r="AI16" s="3285"/>
      <c r="AJ16" s="3285"/>
      <c r="AK16" s="3285"/>
      <c r="AL16" s="3285"/>
      <c r="AM16" s="3285"/>
      <c r="AN16" s="3285"/>
      <c r="AO16" s="3285"/>
      <c r="AP16" s="3285"/>
      <c r="AQ16" s="3285"/>
      <c r="AR16" s="3285"/>
      <c r="AS16" s="3285"/>
      <c r="AT16" s="3285"/>
      <c r="AU16" s="3285"/>
      <c r="AV16" s="3285"/>
      <c r="AW16" s="3285"/>
      <c r="AX16" s="3285"/>
      <c r="AY16" s="3285"/>
      <c r="AZ16" s="3285"/>
      <c r="BA16" s="3285"/>
      <c r="BB16" s="3285"/>
      <c r="BC16" s="3285"/>
      <c r="BD16" s="3285"/>
      <c r="BE16" s="3285"/>
      <c r="BF16" s="3285"/>
      <c r="BG16" s="3285"/>
      <c r="BH16" s="3285"/>
      <c r="BI16" s="3285"/>
      <c r="BJ16" s="3285"/>
      <c r="BK16" s="3285"/>
      <c r="BL16" s="3302"/>
      <c r="BM16" s="3285"/>
      <c r="BN16" s="3285"/>
      <c r="BO16" s="3285"/>
      <c r="BP16" s="3285"/>
      <c r="BQ16" s="3285"/>
      <c r="BR16" s="3285"/>
      <c r="BS16" s="3285"/>
      <c r="BT16" s="3285"/>
      <c r="BU16" s="3285"/>
      <c r="BV16" s="3285"/>
      <c r="BW16" s="3285"/>
      <c r="BX16" s="3285"/>
      <c r="BY16" s="3285"/>
      <c r="BZ16" s="3303"/>
      <c r="CA16" s="3289"/>
      <c r="CB16" s="3285"/>
      <c r="CC16" s="3289"/>
      <c r="CD16" s="3289"/>
      <c r="CE16" s="3289"/>
      <c r="CF16" s="3301"/>
      <c r="CG16" s="3289"/>
      <c r="CH16" s="3289"/>
      <c r="CI16" s="3289"/>
      <c r="CJ16" s="3289"/>
      <c r="CK16" s="3289"/>
      <c r="CL16" s="3289"/>
      <c r="CM16" s="3289"/>
      <c r="CN16" s="3289"/>
      <c r="CO16" s="3289"/>
      <c r="CP16" s="3289"/>
      <c r="CQ16" s="3289"/>
      <c r="CR16" s="3289"/>
      <c r="CS16" s="3289"/>
      <c r="CT16" s="3289"/>
      <c r="CU16" s="3289"/>
      <c r="CV16" s="3289"/>
      <c r="CW16" s="3289"/>
      <c r="CX16" s="3289"/>
      <c r="CY16" s="3289"/>
      <c r="CZ16" s="3289"/>
      <c r="DA16" s="3289"/>
      <c r="DB16" s="3289"/>
      <c r="DC16" s="3301"/>
      <c r="DD16" s="3289"/>
      <c r="DE16" s="3303"/>
      <c r="DF16" s="3303"/>
      <c r="DG16" s="3303"/>
      <c r="DH16" s="3303"/>
      <c r="DI16" s="3303"/>
      <c r="DJ16" s="3303"/>
      <c r="DK16" s="3303"/>
      <c r="DL16" s="3303"/>
      <c r="DM16" s="3303"/>
      <c r="DN16" s="3303"/>
      <c r="DO16" s="3303"/>
      <c r="DP16" s="3303"/>
      <c r="DQ16" s="3054">
        <f t="shared" si="0"/>
        <v>0</v>
      </c>
      <c r="DR16" s="3088"/>
      <c r="DS16" s="3062"/>
      <c r="DT16" s="3062"/>
      <c r="DU16" s="2948"/>
      <c r="DV16" s="3063"/>
      <c r="DW16" s="3063"/>
      <c r="DX16" s="3063"/>
      <c r="DY16" s="3063"/>
      <c r="DZ16" s="3063"/>
      <c r="EA16" s="3063"/>
      <c r="EB16" s="3063"/>
      <c r="EC16" s="3063"/>
      <c r="ED16" s="3063"/>
      <c r="EE16" s="2948"/>
      <c r="EF16" s="2948"/>
      <c r="EG16" s="2948"/>
      <c r="EH16" s="2948"/>
      <c r="EI16" s="2948"/>
      <c r="EJ16" s="2948"/>
      <c r="EK16" s="2948"/>
      <c r="EL16" s="2948"/>
      <c r="EM16" s="2948"/>
      <c r="EN16" s="2948"/>
      <c r="EO16" s="3292"/>
      <c r="EP16" s="2948"/>
      <c r="EQ16" s="3304"/>
      <c r="ER16" s="2948"/>
      <c r="ES16" s="2948"/>
      <c r="ET16" s="2948"/>
      <c r="EU16" s="2948"/>
      <c r="EV16" s="2948"/>
      <c r="EW16" s="3305"/>
      <c r="EX16" s="2948"/>
      <c r="EY16" s="2948"/>
      <c r="EZ16" s="2948"/>
      <c r="FA16" s="2948"/>
      <c r="FB16" s="2948"/>
      <c r="FC16" s="2948"/>
      <c r="FD16" s="2948"/>
      <c r="FE16" s="2948"/>
      <c r="FF16" s="2948"/>
      <c r="FG16" s="2948"/>
      <c r="FH16" s="2948"/>
      <c r="FI16" s="2948"/>
      <c r="FJ16" s="2948"/>
      <c r="FK16" s="2948"/>
      <c r="FL16" s="2948"/>
      <c r="FM16" s="2948"/>
      <c r="FN16" s="2948"/>
      <c r="FO16" s="2948"/>
      <c r="FP16" s="2948"/>
      <c r="FQ16" s="2948"/>
      <c r="FR16" s="2948"/>
      <c r="FS16" s="2948"/>
      <c r="FT16" s="2948"/>
      <c r="FU16" s="2948"/>
      <c r="FV16" s="2948"/>
      <c r="FW16" s="2948"/>
      <c r="FX16" s="3064"/>
      <c r="FY16" s="3063"/>
      <c r="FZ16" s="2960">
        <f t="shared" si="1"/>
        <v>0</v>
      </c>
      <c r="GA16" s="3060">
        <f t="shared" si="2"/>
        <v>0</v>
      </c>
      <c r="GB16" s="3053"/>
    </row>
    <row r="17" spans="1:184" ht="23.25">
      <c r="A17" s="3104">
        <v>0.625</v>
      </c>
      <c r="B17" s="3087"/>
      <c r="C17" s="3285"/>
      <c r="D17" s="3285"/>
      <c r="E17" s="3285"/>
      <c r="F17" s="3289"/>
      <c r="G17" s="3301"/>
      <c r="H17" s="3289"/>
      <c r="I17" s="3289"/>
      <c r="J17" s="3285"/>
      <c r="K17" s="3285"/>
      <c r="L17" s="3285"/>
      <c r="M17" s="3285"/>
      <c r="N17" s="3285"/>
      <c r="O17" s="3285"/>
      <c r="P17" s="3285"/>
      <c r="Q17" s="3285"/>
      <c r="R17" s="3285"/>
      <c r="S17" s="3285"/>
      <c r="T17" s="3285"/>
      <c r="U17" s="3285"/>
      <c r="V17" s="3285"/>
      <c r="W17" s="3285"/>
      <c r="X17" s="3285"/>
      <c r="Y17" s="3285"/>
      <c r="Z17" s="3285"/>
      <c r="AA17" s="3285"/>
      <c r="AB17" s="3289"/>
      <c r="AC17" s="3285"/>
      <c r="AD17" s="3285"/>
      <c r="AE17" s="3285"/>
      <c r="AF17" s="3285"/>
      <c r="AG17" s="3285"/>
      <c r="AH17" s="3285"/>
      <c r="AI17" s="3285"/>
      <c r="AJ17" s="3285"/>
      <c r="AK17" s="3285"/>
      <c r="AL17" s="3285"/>
      <c r="AM17" s="3285"/>
      <c r="AN17" s="3285"/>
      <c r="AO17" s="3285"/>
      <c r="AP17" s="3285"/>
      <c r="AQ17" s="3285"/>
      <c r="AR17" s="3285"/>
      <c r="AS17" s="3285"/>
      <c r="AT17" s="3285"/>
      <c r="AU17" s="3285"/>
      <c r="AV17" s="3285"/>
      <c r="AW17" s="3285"/>
      <c r="AX17" s="3285"/>
      <c r="AY17" s="3285"/>
      <c r="AZ17" s="3285"/>
      <c r="BA17" s="3285"/>
      <c r="BB17" s="3285"/>
      <c r="BC17" s="3285"/>
      <c r="BD17" s="3285"/>
      <c r="BE17" s="3285"/>
      <c r="BF17" s="3285"/>
      <c r="BG17" s="3285"/>
      <c r="BH17" s="3285"/>
      <c r="BI17" s="3285"/>
      <c r="BJ17" s="3285"/>
      <c r="BK17" s="3285"/>
      <c r="BL17" s="3302"/>
      <c r="BM17" s="3285"/>
      <c r="BN17" s="3285"/>
      <c r="BO17" s="3285"/>
      <c r="BP17" s="3285"/>
      <c r="BQ17" s="3285"/>
      <c r="BR17" s="3285"/>
      <c r="BS17" s="3285"/>
      <c r="BT17" s="3285"/>
      <c r="BU17" s="3285"/>
      <c r="BV17" s="3285"/>
      <c r="BW17" s="3285"/>
      <c r="BX17" s="3285"/>
      <c r="BY17" s="3303"/>
      <c r="BZ17" s="3289"/>
      <c r="CA17" s="3285"/>
      <c r="CB17" s="3289"/>
      <c r="CC17" s="3289"/>
      <c r="CD17" s="3289"/>
      <c r="CE17" s="3289"/>
      <c r="CF17" s="3301"/>
      <c r="CG17" s="3289"/>
      <c r="CH17" s="3289"/>
      <c r="CI17" s="3289"/>
      <c r="CJ17" s="3289"/>
      <c r="CK17" s="3289"/>
      <c r="CL17" s="3289"/>
      <c r="CM17" s="3289"/>
      <c r="CN17" s="3289"/>
      <c r="CO17" s="3289"/>
      <c r="CP17" s="3289"/>
      <c r="CQ17" s="3289"/>
      <c r="CR17" s="3289"/>
      <c r="CS17" s="3289"/>
      <c r="CT17" s="3289"/>
      <c r="CU17" s="3289"/>
      <c r="CV17" s="3289"/>
      <c r="CW17" s="3289"/>
      <c r="CX17" s="3289"/>
      <c r="CY17" s="3289"/>
      <c r="CZ17" s="3289"/>
      <c r="DA17" s="3289"/>
      <c r="DB17" s="3289"/>
      <c r="DC17" s="3301"/>
      <c r="DD17" s="3289"/>
      <c r="DE17" s="3303"/>
      <c r="DF17" s="3303"/>
      <c r="DG17" s="3303"/>
      <c r="DH17" s="3303"/>
      <c r="DI17" s="3303"/>
      <c r="DJ17" s="3303"/>
      <c r="DK17" s="3303"/>
      <c r="DL17" s="3303"/>
      <c r="DM17" s="3303"/>
      <c r="DN17" s="3289"/>
      <c r="DO17" s="3289"/>
      <c r="DP17" s="3289"/>
      <c r="DQ17" s="3054">
        <f t="shared" si="0"/>
        <v>0</v>
      </c>
      <c r="DR17" s="3088"/>
      <c r="DS17" s="3062"/>
      <c r="DT17" s="3063"/>
      <c r="DU17" s="2948"/>
      <c r="DV17" s="3063"/>
      <c r="DW17" s="3063"/>
      <c r="DX17" s="3063"/>
      <c r="DY17" s="3063"/>
      <c r="DZ17" s="3063"/>
      <c r="EA17" s="3063"/>
      <c r="EB17" s="3063"/>
      <c r="EC17" s="3063"/>
      <c r="ED17" s="3063"/>
      <c r="EE17" s="2948"/>
      <c r="EF17" s="3306"/>
      <c r="EG17" s="2948"/>
      <c r="EH17" s="2948"/>
      <c r="EI17" s="2948"/>
      <c r="EJ17" s="2948"/>
      <c r="EK17" s="2948"/>
      <c r="EL17" s="2948"/>
      <c r="EM17" s="2948"/>
      <c r="EN17" s="2948"/>
      <c r="EO17" s="3292"/>
      <c r="EP17" s="2948"/>
      <c r="EQ17" s="2948"/>
      <c r="ER17" s="2948"/>
      <c r="ES17" s="2948"/>
      <c r="ET17" s="2948"/>
      <c r="EU17" s="3305"/>
      <c r="EV17" s="2948"/>
      <c r="EW17" s="2948"/>
      <c r="EX17" s="2948"/>
      <c r="EY17" s="2948"/>
      <c r="EZ17" s="2948"/>
      <c r="FA17" s="2948"/>
      <c r="FB17" s="2948"/>
      <c r="FC17" s="2948"/>
      <c r="FD17" s="2948"/>
      <c r="FE17" s="2948"/>
      <c r="FF17" s="2948"/>
      <c r="FG17" s="2948"/>
      <c r="FH17" s="2948"/>
      <c r="FI17" s="2948"/>
      <c r="FJ17" s="2948"/>
      <c r="FK17" s="2948"/>
      <c r="FL17" s="2948"/>
      <c r="FM17" s="2948"/>
      <c r="FN17" s="2948"/>
      <c r="FO17" s="2948"/>
      <c r="FP17" s="2948"/>
      <c r="FQ17" s="2948"/>
      <c r="FR17" s="2948"/>
      <c r="FS17" s="2948"/>
      <c r="FT17" s="2948"/>
      <c r="FU17" s="2948"/>
      <c r="FV17" s="2948"/>
      <c r="FW17" s="2948"/>
      <c r="FX17" s="3064"/>
      <c r="FY17" s="3063"/>
      <c r="FZ17" s="2960">
        <f t="shared" si="1"/>
        <v>0</v>
      </c>
      <c r="GA17" s="3060">
        <f t="shared" si="2"/>
        <v>0</v>
      </c>
      <c r="GB17" s="3053"/>
    </row>
    <row r="18" spans="1:184" ht="23.25">
      <c r="A18" s="3103">
        <v>0.66666666666666663</v>
      </c>
      <c r="B18" s="3087"/>
      <c r="C18" s="3285"/>
      <c r="D18" s="3285"/>
      <c r="E18" s="3285"/>
      <c r="F18" s="3289"/>
      <c r="G18" s="3301"/>
      <c r="H18" s="3289"/>
      <c r="I18" s="3289"/>
      <c r="J18" s="3285"/>
      <c r="K18" s="3285"/>
      <c r="L18" s="3285"/>
      <c r="M18" s="3285"/>
      <c r="N18" s="3285"/>
      <c r="O18" s="3285"/>
      <c r="P18" s="3285"/>
      <c r="Q18" s="3285"/>
      <c r="R18" s="3285"/>
      <c r="S18" s="3285"/>
      <c r="T18" s="3285"/>
      <c r="U18" s="3285"/>
      <c r="V18" s="3285"/>
      <c r="W18" s="3285"/>
      <c r="X18" s="3285"/>
      <c r="Y18" s="3285"/>
      <c r="Z18" s="3285"/>
      <c r="AA18" s="3285"/>
      <c r="AB18" s="3289"/>
      <c r="AC18" s="3285"/>
      <c r="AD18" s="3285"/>
      <c r="AE18" s="3285"/>
      <c r="AF18" s="3285"/>
      <c r="AG18" s="3285"/>
      <c r="AH18" s="3285"/>
      <c r="AI18" s="3285"/>
      <c r="AJ18" s="3285"/>
      <c r="AK18" s="3285"/>
      <c r="AL18" s="3285"/>
      <c r="AM18" s="3285"/>
      <c r="AN18" s="3285"/>
      <c r="AO18" s="3285"/>
      <c r="AP18" s="3285"/>
      <c r="AQ18" s="3285"/>
      <c r="AR18" s="3285"/>
      <c r="AS18" s="3285"/>
      <c r="AT18" s="3285"/>
      <c r="AU18" s="3285"/>
      <c r="AV18" s="3285"/>
      <c r="AW18" s="3285"/>
      <c r="AX18" s="3285"/>
      <c r="AY18" s="3285"/>
      <c r="AZ18" s="3285"/>
      <c r="BA18" s="3285"/>
      <c r="BB18" s="3285"/>
      <c r="BC18" s="3285"/>
      <c r="BD18" s="3285"/>
      <c r="BE18" s="3285"/>
      <c r="BF18" s="3285"/>
      <c r="BG18" s="3285"/>
      <c r="BH18" s="3285"/>
      <c r="BI18" s="3285"/>
      <c r="BJ18" s="3285"/>
      <c r="BK18" s="3285"/>
      <c r="BL18" s="3302"/>
      <c r="BM18" s="3285"/>
      <c r="BN18" s="3285"/>
      <c r="BO18" s="3285"/>
      <c r="BP18" s="3285"/>
      <c r="BQ18" s="3285"/>
      <c r="BR18" s="3285"/>
      <c r="BS18" s="3285"/>
      <c r="BT18" s="3285"/>
      <c r="BU18" s="3285"/>
      <c r="BV18" s="3285"/>
      <c r="BW18" s="3285"/>
      <c r="BX18" s="3285"/>
      <c r="BY18" s="3303"/>
      <c r="BZ18" s="3289"/>
      <c r="CA18" s="3285"/>
      <c r="CB18" s="3289"/>
      <c r="CC18" s="3289"/>
      <c r="CD18" s="3289"/>
      <c r="CE18" s="3289"/>
      <c r="CF18" s="3301"/>
      <c r="CG18" s="3289"/>
      <c r="CH18" s="3289"/>
      <c r="CI18" s="3289"/>
      <c r="CJ18" s="3289"/>
      <c r="CK18" s="3289"/>
      <c r="CL18" s="3289"/>
      <c r="CM18" s="3289"/>
      <c r="CN18" s="3289"/>
      <c r="CO18" s="3289"/>
      <c r="CP18" s="3289"/>
      <c r="CQ18" s="3289"/>
      <c r="CR18" s="3289"/>
      <c r="CS18" s="3289"/>
      <c r="CT18" s="3289"/>
      <c r="CU18" s="3289"/>
      <c r="CV18" s="3289"/>
      <c r="CW18" s="3289"/>
      <c r="CX18" s="3289"/>
      <c r="CY18" s="3289"/>
      <c r="CZ18" s="3289"/>
      <c r="DA18" s="3289"/>
      <c r="DB18" s="3289"/>
      <c r="DC18" s="3301"/>
      <c r="DD18" s="3289"/>
      <c r="DE18" s="3303"/>
      <c r="DF18" s="3303"/>
      <c r="DG18" s="3303"/>
      <c r="DH18" s="3303"/>
      <c r="DI18" s="3303"/>
      <c r="DJ18" s="3303"/>
      <c r="DK18" s="3303"/>
      <c r="DL18" s="3303"/>
      <c r="DM18" s="3303"/>
      <c r="DN18" s="3289"/>
      <c r="DO18" s="3289"/>
      <c r="DP18" s="3289"/>
      <c r="DQ18" s="3054">
        <f t="shared" si="0"/>
        <v>0</v>
      </c>
      <c r="DR18" s="3088"/>
      <c r="DS18" s="3062"/>
      <c r="DT18" s="3063"/>
      <c r="DU18" s="2948"/>
      <c r="DV18" s="3063"/>
      <c r="DW18" s="3063"/>
      <c r="DX18" s="3063"/>
      <c r="DY18" s="3063"/>
      <c r="DZ18" s="3063"/>
      <c r="EA18" s="3063"/>
      <c r="EB18" s="3063"/>
      <c r="EC18" s="3063"/>
      <c r="ED18" s="3063"/>
      <c r="EE18" s="2948"/>
      <c r="EF18" s="3306"/>
      <c r="EG18" s="2948"/>
      <c r="EH18" s="2948"/>
      <c r="EI18" s="2948"/>
      <c r="EJ18" s="2948"/>
      <c r="EK18" s="2948"/>
      <c r="EL18" s="2948"/>
      <c r="EM18" s="2948"/>
      <c r="EN18" s="2948"/>
      <c r="EO18" s="3292"/>
      <c r="EP18" s="2948"/>
      <c r="EQ18" s="2948"/>
      <c r="ER18" s="2948"/>
      <c r="ES18" s="2948"/>
      <c r="ET18" s="2948"/>
      <c r="EU18" s="3305"/>
      <c r="EV18" s="2948"/>
      <c r="EW18" s="2948"/>
      <c r="EX18" s="2948"/>
      <c r="EY18" s="2948"/>
      <c r="EZ18" s="2948"/>
      <c r="FA18" s="2948"/>
      <c r="FB18" s="2948"/>
      <c r="FC18" s="2948"/>
      <c r="FD18" s="2948"/>
      <c r="FE18" s="2948"/>
      <c r="FF18" s="2948"/>
      <c r="FG18" s="2948"/>
      <c r="FH18" s="2948"/>
      <c r="FI18" s="2948"/>
      <c r="FJ18" s="2948"/>
      <c r="FK18" s="2948"/>
      <c r="FL18" s="2948"/>
      <c r="FM18" s="2948"/>
      <c r="FN18" s="2948"/>
      <c r="FO18" s="2948"/>
      <c r="FP18" s="2948"/>
      <c r="FQ18" s="2948"/>
      <c r="FR18" s="2948"/>
      <c r="FS18" s="2948"/>
      <c r="FT18" s="2948"/>
      <c r="FU18" s="2948"/>
      <c r="FV18" s="2948"/>
      <c r="FW18" s="2948"/>
      <c r="FX18" s="3061"/>
      <c r="FY18" s="2960"/>
      <c r="FZ18" s="2960">
        <f t="shared" si="1"/>
        <v>0</v>
      </c>
      <c r="GA18" s="3060">
        <f t="shared" si="2"/>
        <v>0</v>
      </c>
      <c r="GB18" s="3053"/>
    </row>
    <row r="19" spans="1:184" ht="23.25">
      <c r="A19" s="3103">
        <v>0.70833333333333337</v>
      </c>
      <c r="B19" s="3087"/>
      <c r="C19" s="3285"/>
      <c r="D19" s="3285"/>
      <c r="E19" s="3285"/>
      <c r="F19" s="3289"/>
      <c r="G19" s="3301"/>
      <c r="H19" s="3289"/>
      <c r="I19" s="3289"/>
      <c r="J19" s="3285"/>
      <c r="K19" s="3285"/>
      <c r="L19" s="3285"/>
      <c r="M19" s="3285"/>
      <c r="N19" s="3285"/>
      <c r="O19" s="3285"/>
      <c r="P19" s="3285"/>
      <c r="Q19" s="3285"/>
      <c r="R19" s="3285"/>
      <c r="S19" s="3285"/>
      <c r="T19" s="3285"/>
      <c r="U19" s="3285"/>
      <c r="V19" s="3285"/>
      <c r="W19" s="3285"/>
      <c r="X19" s="3285"/>
      <c r="Y19" s="3285"/>
      <c r="Z19" s="3285"/>
      <c r="AA19" s="3285"/>
      <c r="AB19" s="3289"/>
      <c r="AC19" s="3285"/>
      <c r="AD19" s="3285"/>
      <c r="AE19" s="3285"/>
      <c r="AF19" s="3285"/>
      <c r="AG19" s="3285"/>
      <c r="AH19" s="3285"/>
      <c r="AI19" s="3285"/>
      <c r="AJ19" s="3285"/>
      <c r="AK19" s="3285"/>
      <c r="AL19" s="3285"/>
      <c r="AM19" s="3285"/>
      <c r="AN19" s="3285"/>
      <c r="AO19" s="3285"/>
      <c r="AP19" s="3285"/>
      <c r="AQ19" s="3285"/>
      <c r="AR19" s="3285"/>
      <c r="AS19" s="3285"/>
      <c r="AT19" s="3285"/>
      <c r="AU19" s="3285"/>
      <c r="AV19" s="3285"/>
      <c r="AW19" s="3285"/>
      <c r="AX19" s="3285"/>
      <c r="AY19" s="3285"/>
      <c r="AZ19" s="3285"/>
      <c r="BA19" s="3285"/>
      <c r="BB19" s="3285"/>
      <c r="BC19" s="3285"/>
      <c r="BD19" s="3285"/>
      <c r="BE19" s="3285"/>
      <c r="BF19" s="3285"/>
      <c r="BG19" s="3285"/>
      <c r="BH19" s="3285"/>
      <c r="BI19" s="3285"/>
      <c r="BJ19" s="3285"/>
      <c r="BK19" s="3285"/>
      <c r="BL19" s="3302"/>
      <c r="BM19" s="3285"/>
      <c r="BN19" s="3285"/>
      <c r="BO19" s="3285"/>
      <c r="BP19" s="3285"/>
      <c r="BQ19" s="3285"/>
      <c r="BR19" s="3285"/>
      <c r="BS19" s="3285"/>
      <c r="BT19" s="3285"/>
      <c r="BU19" s="3285"/>
      <c r="BV19" s="3285"/>
      <c r="BW19" s="3285"/>
      <c r="BX19" s="3285"/>
      <c r="BY19" s="3303"/>
      <c r="BZ19" s="3289"/>
      <c r="CA19" s="3285"/>
      <c r="CB19" s="3289"/>
      <c r="CC19" s="3289"/>
      <c r="CD19" s="3289"/>
      <c r="CE19" s="3289"/>
      <c r="CF19" s="3301"/>
      <c r="CG19" s="3289"/>
      <c r="CH19" s="3289"/>
      <c r="CI19" s="3289"/>
      <c r="CJ19" s="3289"/>
      <c r="CK19" s="3289"/>
      <c r="CL19" s="3289"/>
      <c r="CM19" s="3289"/>
      <c r="CN19" s="3289"/>
      <c r="CO19" s="3289"/>
      <c r="CP19" s="3289"/>
      <c r="CQ19" s="3289"/>
      <c r="CR19" s="3289"/>
      <c r="CS19" s="3289"/>
      <c r="CT19" s="3289"/>
      <c r="CU19" s="3289"/>
      <c r="CV19" s="3289"/>
      <c r="CW19" s="3289"/>
      <c r="CX19" s="3289"/>
      <c r="CY19" s="3289"/>
      <c r="CZ19" s="3289"/>
      <c r="DA19" s="3289"/>
      <c r="DB19" s="3289"/>
      <c r="DC19" s="3301"/>
      <c r="DD19" s="3289"/>
      <c r="DE19" s="3303"/>
      <c r="DF19" s="3303"/>
      <c r="DG19" s="3303"/>
      <c r="DH19" s="3303"/>
      <c r="DI19" s="3303"/>
      <c r="DJ19" s="3303"/>
      <c r="DK19" s="3303"/>
      <c r="DL19" s="3303"/>
      <c r="DM19" s="3303"/>
      <c r="DN19" s="3289"/>
      <c r="DO19" s="3289"/>
      <c r="DP19" s="3289"/>
      <c r="DQ19" s="3054">
        <f t="shared" si="0"/>
        <v>0</v>
      </c>
      <c r="DR19" s="3088"/>
      <c r="DS19" s="3062"/>
      <c r="DT19" s="3063"/>
      <c r="DU19" s="2948"/>
      <c r="DV19" s="3063"/>
      <c r="DW19" s="3063"/>
      <c r="DX19" s="3063"/>
      <c r="DY19" s="3063"/>
      <c r="DZ19" s="3063"/>
      <c r="EA19" s="3063"/>
      <c r="EB19" s="3063"/>
      <c r="EC19" s="3063"/>
      <c r="ED19" s="3063"/>
      <c r="EE19" s="2948"/>
      <c r="EF19" s="3306"/>
      <c r="EG19" s="2948"/>
      <c r="EH19" s="2948"/>
      <c r="EI19" s="2948"/>
      <c r="EJ19" s="2948"/>
      <c r="EK19" s="2948"/>
      <c r="EL19" s="2948"/>
      <c r="EM19" s="2948"/>
      <c r="EN19" s="2948"/>
      <c r="EO19" s="3292"/>
      <c r="EP19" s="2948"/>
      <c r="EQ19" s="2948"/>
      <c r="ER19" s="2948"/>
      <c r="ES19" s="2948"/>
      <c r="ET19" s="2948"/>
      <c r="EU19" s="3305"/>
      <c r="EV19" s="2948"/>
      <c r="EW19" s="2948"/>
      <c r="EX19" s="2948"/>
      <c r="EY19" s="2948"/>
      <c r="EZ19" s="2948"/>
      <c r="FA19" s="2948"/>
      <c r="FB19" s="2948"/>
      <c r="FC19" s="2948"/>
      <c r="FD19" s="2948"/>
      <c r="FE19" s="2948"/>
      <c r="FF19" s="2948"/>
      <c r="FG19" s="2948"/>
      <c r="FH19" s="2948"/>
      <c r="FI19" s="2948"/>
      <c r="FJ19" s="2948"/>
      <c r="FK19" s="2948"/>
      <c r="FL19" s="2948"/>
      <c r="FM19" s="2948"/>
      <c r="FN19" s="2948"/>
      <c r="FO19" s="2948"/>
      <c r="FP19" s="2948"/>
      <c r="FQ19" s="2948"/>
      <c r="FR19" s="2948"/>
      <c r="FS19" s="2948"/>
      <c r="FT19" s="2948"/>
      <c r="FU19" s="2948"/>
      <c r="FV19" s="2948"/>
      <c r="FW19" s="2948"/>
      <c r="FX19" s="3061"/>
      <c r="FY19" s="2960"/>
      <c r="FZ19" s="2960">
        <f t="shared" si="1"/>
        <v>0</v>
      </c>
      <c r="GA19" s="3060">
        <f t="shared" si="2"/>
        <v>0</v>
      </c>
      <c r="GB19" s="3053"/>
    </row>
    <row r="20" spans="1:184" ht="23.25">
      <c r="A20" s="3103">
        <v>0.75</v>
      </c>
      <c r="B20" s="3087"/>
      <c r="C20" s="3285"/>
      <c r="D20" s="3285"/>
      <c r="E20" s="3285"/>
      <c r="F20" s="3289"/>
      <c r="G20" s="3301"/>
      <c r="H20" s="3289"/>
      <c r="I20" s="3289"/>
      <c r="J20" s="3285"/>
      <c r="K20" s="3285"/>
      <c r="L20" s="3285"/>
      <c r="M20" s="3285"/>
      <c r="N20" s="3285"/>
      <c r="O20" s="3285"/>
      <c r="P20" s="3285"/>
      <c r="Q20" s="3285"/>
      <c r="R20" s="3285"/>
      <c r="S20" s="3285"/>
      <c r="T20" s="3285"/>
      <c r="U20" s="3285"/>
      <c r="V20" s="3285"/>
      <c r="W20" s="3285"/>
      <c r="X20" s="3285"/>
      <c r="Y20" s="3285"/>
      <c r="Z20" s="3285"/>
      <c r="AA20" s="3285"/>
      <c r="AB20" s="3289"/>
      <c r="AC20" s="3285"/>
      <c r="AD20" s="3285"/>
      <c r="AE20" s="3285"/>
      <c r="AF20" s="3285"/>
      <c r="AG20" s="3285"/>
      <c r="AH20" s="3285"/>
      <c r="AI20" s="3285"/>
      <c r="AJ20" s="3285"/>
      <c r="AK20" s="3285"/>
      <c r="AL20" s="3285"/>
      <c r="AM20" s="3285"/>
      <c r="AN20" s="3285"/>
      <c r="AO20" s="3285"/>
      <c r="AP20" s="3285"/>
      <c r="AQ20" s="3285"/>
      <c r="AR20" s="3285"/>
      <c r="AS20" s="3285"/>
      <c r="AT20" s="3285"/>
      <c r="AU20" s="3285"/>
      <c r="AV20" s="3285"/>
      <c r="AW20" s="3285"/>
      <c r="AX20" s="3285"/>
      <c r="AY20" s="3285"/>
      <c r="AZ20" s="3285"/>
      <c r="BA20" s="3285"/>
      <c r="BB20" s="3285"/>
      <c r="BC20" s="3285"/>
      <c r="BD20" s="3285"/>
      <c r="BE20" s="3285"/>
      <c r="BF20" s="3285"/>
      <c r="BG20" s="3285"/>
      <c r="BH20" s="3285"/>
      <c r="BI20" s="3285"/>
      <c r="BJ20" s="3285"/>
      <c r="BK20" s="3285"/>
      <c r="BL20" s="3302"/>
      <c r="BM20" s="3285"/>
      <c r="BN20" s="3285"/>
      <c r="BO20" s="3285"/>
      <c r="BP20" s="3285"/>
      <c r="BQ20" s="3285"/>
      <c r="BR20" s="3285"/>
      <c r="BS20" s="3285"/>
      <c r="BT20" s="3285"/>
      <c r="BU20" s="3285"/>
      <c r="BV20" s="3285"/>
      <c r="BW20" s="3285"/>
      <c r="BX20" s="3285"/>
      <c r="BY20" s="3303"/>
      <c r="BZ20" s="3289"/>
      <c r="CA20" s="3285"/>
      <c r="CB20" s="3289"/>
      <c r="CC20" s="3289"/>
      <c r="CD20" s="3289"/>
      <c r="CE20" s="3289"/>
      <c r="CF20" s="3301"/>
      <c r="CG20" s="3289"/>
      <c r="CH20" s="3289"/>
      <c r="CI20" s="3289"/>
      <c r="CJ20" s="3289"/>
      <c r="CK20" s="3289"/>
      <c r="CL20" s="3289"/>
      <c r="CM20" s="3289"/>
      <c r="CN20" s="3289"/>
      <c r="CO20" s="3289"/>
      <c r="CP20" s="3289"/>
      <c r="CQ20" s="3289"/>
      <c r="CR20" s="3289"/>
      <c r="CS20" s="3289"/>
      <c r="CT20" s="3289"/>
      <c r="CU20" s="3289"/>
      <c r="CV20" s="3289"/>
      <c r="CW20" s="3289"/>
      <c r="CX20" s="3289"/>
      <c r="CY20" s="3289"/>
      <c r="CZ20" s="3289"/>
      <c r="DA20" s="3289"/>
      <c r="DB20" s="3289"/>
      <c r="DC20" s="3301"/>
      <c r="DD20" s="3289"/>
      <c r="DE20" s="3303"/>
      <c r="DF20" s="3303"/>
      <c r="DG20" s="3303"/>
      <c r="DH20" s="3303"/>
      <c r="DI20" s="3303"/>
      <c r="DJ20" s="3303"/>
      <c r="DK20" s="3303"/>
      <c r="DL20" s="3303"/>
      <c r="DM20" s="3303"/>
      <c r="DN20" s="3289"/>
      <c r="DO20" s="3289"/>
      <c r="DP20" s="3289"/>
      <c r="DQ20" s="3054">
        <f t="shared" si="0"/>
        <v>0</v>
      </c>
      <c r="DR20" s="3088"/>
      <c r="DS20" s="3062"/>
      <c r="DT20" s="3063"/>
      <c r="DU20" s="2948"/>
      <c r="DV20" s="3063"/>
      <c r="DW20" s="3063"/>
      <c r="DX20" s="3089"/>
      <c r="DY20" s="3063"/>
      <c r="DZ20" s="3063"/>
      <c r="EA20" s="3063"/>
      <c r="EB20" s="3063"/>
      <c r="EC20" s="3063"/>
      <c r="ED20" s="3063"/>
      <c r="EE20" s="2948"/>
      <c r="EF20" s="2948"/>
      <c r="EG20" s="2948"/>
      <c r="EH20" s="2948"/>
      <c r="EI20" s="2948"/>
      <c r="EJ20" s="2948"/>
      <c r="EK20" s="2948"/>
      <c r="EL20" s="2948"/>
      <c r="EM20" s="2948"/>
      <c r="EN20" s="2948"/>
      <c r="EO20" s="3292"/>
      <c r="EP20" s="2948"/>
      <c r="EQ20" s="3304"/>
      <c r="ER20" s="2948"/>
      <c r="ES20" s="2948"/>
      <c r="ET20" s="2948"/>
      <c r="EU20" s="3305"/>
      <c r="EV20" s="2948"/>
      <c r="EW20" s="2948"/>
      <c r="EX20" s="2948"/>
      <c r="EY20" s="2948"/>
      <c r="EZ20" s="2948"/>
      <c r="FA20" s="2948"/>
      <c r="FB20" s="2948"/>
      <c r="FC20" s="2948"/>
      <c r="FD20" s="2948"/>
      <c r="FE20" s="2948"/>
      <c r="FF20" s="2948"/>
      <c r="FG20" s="2948"/>
      <c r="FH20" s="2948"/>
      <c r="FI20" s="2948"/>
      <c r="FJ20" s="2948"/>
      <c r="FK20" s="2948"/>
      <c r="FL20" s="2948"/>
      <c r="FM20" s="2948"/>
      <c r="FN20" s="2948"/>
      <c r="FO20" s="2948"/>
      <c r="FP20" s="2948"/>
      <c r="FQ20" s="2948"/>
      <c r="FR20" s="2948"/>
      <c r="FS20" s="2948"/>
      <c r="FT20" s="2948"/>
      <c r="FU20" s="2948"/>
      <c r="FV20" s="2948"/>
      <c r="FW20" s="2948"/>
      <c r="FX20" s="3064"/>
      <c r="FY20" s="2949"/>
      <c r="FZ20" s="2951">
        <f t="shared" si="1"/>
        <v>0</v>
      </c>
      <c r="GA20" s="3060">
        <f t="shared" si="2"/>
        <v>0</v>
      </c>
      <c r="GB20" s="3053"/>
    </row>
    <row r="21" spans="1:184" ht="9" customHeight="1">
      <c r="A21" s="2952"/>
      <c r="B21" s="2953"/>
      <c r="C21" s="3286"/>
      <c r="D21" s="3286"/>
      <c r="E21" s="3286"/>
      <c r="F21" s="3290"/>
      <c r="G21" s="3324"/>
      <c r="H21" s="3290"/>
      <c r="I21" s="3290"/>
      <c r="J21" s="3286"/>
      <c r="K21" s="3286"/>
      <c r="L21" s="3286"/>
      <c r="M21" s="3286"/>
      <c r="N21" s="3286"/>
      <c r="O21" s="3286"/>
      <c r="P21" s="3286"/>
      <c r="Q21" s="3286"/>
      <c r="R21" s="3286"/>
      <c r="S21" s="3286"/>
      <c r="T21" s="3286"/>
      <c r="U21" s="3286"/>
      <c r="V21" s="3286"/>
      <c r="W21" s="3286"/>
      <c r="X21" s="3286"/>
      <c r="Y21" s="3286"/>
      <c r="Z21" s="3286"/>
      <c r="AA21" s="3286"/>
      <c r="AB21" s="3290"/>
      <c r="AC21" s="3286"/>
      <c r="AD21" s="3286"/>
      <c r="AE21" s="3286"/>
      <c r="AF21" s="3286"/>
      <c r="AG21" s="3286"/>
      <c r="AH21" s="3286"/>
      <c r="AI21" s="3286"/>
      <c r="AJ21" s="3286"/>
      <c r="AK21" s="3286"/>
      <c r="AL21" s="3286"/>
      <c r="AM21" s="3286"/>
      <c r="AN21" s="3286"/>
      <c r="AO21" s="3286"/>
      <c r="AP21" s="3286"/>
      <c r="AQ21" s="3286"/>
      <c r="AR21" s="3286"/>
      <c r="AS21" s="3286"/>
      <c r="AT21" s="3286"/>
      <c r="AU21" s="3286"/>
      <c r="AV21" s="3286"/>
      <c r="AW21" s="3286"/>
      <c r="AX21" s="3286"/>
      <c r="AY21" s="3286"/>
      <c r="AZ21" s="3286"/>
      <c r="BA21" s="3286"/>
      <c r="BB21" s="3286"/>
      <c r="BC21" s="3286"/>
      <c r="BD21" s="3286"/>
      <c r="BE21" s="3286"/>
      <c r="BF21" s="3286"/>
      <c r="BG21" s="3286"/>
      <c r="BH21" s="3286"/>
      <c r="BI21" s="3286"/>
      <c r="BJ21" s="3286"/>
      <c r="BK21" s="3286"/>
      <c r="BL21" s="3325"/>
      <c r="BM21" s="3286"/>
      <c r="BN21" s="3286"/>
      <c r="BO21" s="3286"/>
      <c r="BP21" s="3286"/>
      <c r="BQ21" s="3286"/>
      <c r="BR21" s="3286"/>
      <c r="BS21" s="3286"/>
      <c r="BT21" s="3286"/>
      <c r="BU21" s="3286"/>
      <c r="BV21" s="3286"/>
      <c r="BW21" s="3286"/>
      <c r="BX21" s="3286"/>
      <c r="BY21" s="3326"/>
      <c r="BZ21" s="3290"/>
      <c r="CA21" s="3286"/>
      <c r="CB21" s="3290"/>
      <c r="CC21" s="3290"/>
      <c r="CD21" s="3290"/>
      <c r="CE21" s="3290"/>
      <c r="CF21" s="3324"/>
      <c r="CG21" s="3290"/>
      <c r="CH21" s="3290"/>
      <c r="CI21" s="3290"/>
      <c r="CJ21" s="3290"/>
      <c r="CK21" s="3290"/>
      <c r="CL21" s="3290"/>
      <c r="CM21" s="3290"/>
      <c r="CN21" s="3290"/>
      <c r="CO21" s="3290"/>
      <c r="CP21" s="3290"/>
      <c r="CQ21" s="3290"/>
      <c r="CR21" s="3290"/>
      <c r="CS21" s="3290"/>
      <c r="CT21" s="3290"/>
      <c r="CU21" s="3290"/>
      <c r="CV21" s="3290"/>
      <c r="CW21" s="3290"/>
      <c r="CX21" s="3290"/>
      <c r="CY21" s="3290"/>
      <c r="CZ21" s="3290"/>
      <c r="DA21" s="3290"/>
      <c r="DB21" s="3290"/>
      <c r="DC21" s="3324"/>
      <c r="DD21" s="3290"/>
      <c r="DE21" s="3326"/>
      <c r="DF21" s="3326"/>
      <c r="DG21" s="3326"/>
      <c r="DH21" s="3326"/>
      <c r="DI21" s="3326"/>
      <c r="DJ21" s="3326"/>
      <c r="DK21" s="3326"/>
      <c r="DL21" s="3326"/>
      <c r="DM21" s="3290"/>
      <c r="DN21" s="3290"/>
      <c r="DO21" s="3290"/>
      <c r="DP21" s="3290"/>
      <c r="DQ21" s="3054">
        <f t="shared" si="0"/>
        <v>0</v>
      </c>
      <c r="DR21" s="3095"/>
      <c r="DS21" s="3096"/>
      <c r="DT21" s="3097"/>
      <c r="DU21" s="3327"/>
      <c r="DV21" s="3096"/>
      <c r="DW21" s="3096"/>
      <c r="DX21" s="3096"/>
      <c r="DY21" s="3096"/>
      <c r="DZ21" s="3096"/>
      <c r="EA21" s="3096"/>
      <c r="EB21" s="3096"/>
      <c r="EC21" s="3096"/>
      <c r="ED21" s="3096"/>
      <c r="EE21" s="3328"/>
      <c r="EF21" s="3329"/>
      <c r="EG21" s="3329"/>
      <c r="EH21" s="3329"/>
      <c r="EI21" s="3329"/>
      <c r="EJ21" s="3329"/>
      <c r="EK21" s="3329"/>
      <c r="EL21" s="3329"/>
      <c r="EM21" s="3329"/>
      <c r="EN21" s="3330"/>
      <c r="EO21" s="3331"/>
      <c r="EP21" s="3330"/>
      <c r="EQ21" s="3329"/>
      <c r="ER21" s="3329"/>
      <c r="ES21" s="3329"/>
      <c r="ET21" s="3326"/>
      <c r="EU21" s="3329"/>
      <c r="EV21" s="3329"/>
      <c r="EW21" s="3329"/>
      <c r="EX21" s="3329"/>
      <c r="EY21" s="3329"/>
      <c r="EZ21" s="3329"/>
      <c r="FA21" s="3329"/>
      <c r="FB21" s="3329"/>
      <c r="FC21" s="3329"/>
      <c r="FD21" s="3329"/>
      <c r="FE21" s="3329"/>
      <c r="FF21" s="3329"/>
      <c r="FG21" s="3329"/>
      <c r="FH21" s="3329"/>
      <c r="FI21" s="3329"/>
      <c r="FJ21" s="3329"/>
      <c r="FK21" s="3329"/>
      <c r="FL21" s="3329"/>
      <c r="FM21" s="3329"/>
      <c r="FN21" s="3329"/>
      <c r="FO21" s="3329"/>
      <c r="FP21" s="3329"/>
      <c r="FQ21" s="3329"/>
      <c r="FR21" s="3329"/>
      <c r="FS21" s="3329"/>
      <c r="FT21" s="3329"/>
      <c r="FU21" s="3329"/>
      <c r="FV21" s="3329"/>
      <c r="FW21" s="3329"/>
      <c r="FX21" s="3098"/>
      <c r="FY21" s="2954"/>
      <c r="FZ21" s="2954"/>
      <c r="GA21" s="3060"/>
      <c r="GB21" s="3053"/>
    </row>
    <row r="22" spans="1:184" ht="23.25">
      <c r="A22" s="3103">
        <v>0.79166666666666663</v>
      </c>
      <c r="B22" s="3087"/>
      <c r="C22" s="3285"/>
      <c r="D22" s="3285"/>
      <c r="E22" s="3285"/>
      <c r="F22" s="3289"/>
      <c r="G22" s="3301"/>
      <c r="H22" s="3289"/>
      <c r="I22" s="3289"/>
      <c r="J22" s="3285"/>
      <c r="K22" s="3285"/>
      <c r="L22" s="3285"/>
      <c r="M22" s="3285"/>
      <c r="N22" s="3285"/>
      <c r="O22" s="3285"/>
      <c r="P22" s="3285"/>
      <c r="Q22" s="3285"/>
      <c r="R22" s="3285"/>
      <c r="S22" s="3285"/>
      <c r="T22" s="3285"/>
      <c r="U22" s="3285"/>
      <c r="V22" s="3285"/>
      <c r="W22" s="3285"/>
      <c r="X22" s="3285"/>
      <c r="Y22" s="3285"/>
      <c r="Z22" s="3285"/>
      <c r="AA22" s="3285"/>
      <c r="AB22" s="3289"/>
      <c r="AC22" s="3285"/>
      <c r="AD22" s="3285"/>
      <c r="AE22" s="3285"/>
      <c r="AF22" s="3285"/>
      <c r="AG22" s="3285"/>
      <c r="AH22" s="3285"/>
      <c r="AI22" s="3285"/>
      <c r="AJ22" s="3285"/>
      <c r="AK22" s="3285"/>
      <c r="AL22" s="3285"/>
      <c r="AM22" s="3285"/>
      <c r="AN22" s="3285"/>
      <c r="AO22" s="3285"/>
      <c r="AP22" s="3285"/>
      <c r="AQ22" s="3285"/>
      <c r="AR22" s="3285"/>
      <c r="AS22" s="3285"/>
      <c r="AT22" s="3285"/>
      <c r="AU22" s="3285"/>
      <c r="AV22" s="3285"/>
      <c r="AW22" s="3285"/>
      <c r="AX22" s="3285"/>
      <c r="AY22" s="3285"/>
      <c r="AZ22" s="3285"/>
      <c r="BA22" s="3285"/>
      <c r="BB22" s="3285"/>
      <c r="BC22" s="3285"/>
      <c r="BD22" s="3285"/>
      <c r="BE22" s="3285"/>
      <c r="BF22" s="3285"/>
      <c r="BG22" s="3285"/>
      <c r="BH22" s="3285"/>
      <c r="BI22" s="3285"/>
      <c r="BJ22" s="3285"/>
      <c r="BK22" s="3285"/>
      <c r="BL22" s="3302"/>
      <c r="BM22" s="3285"/>
      <c r="BN22" s="3285"/>
      <c r="BO22" s="3285"/>
      <c r="BP22" s="3285"/>
      <c r="BQ22" s="3285"/>
      <c r="BR22" s="3285"/>
      <c r="BS22" s="3285"/>
      <c r="BT22" s="3285"/>
      <c r="BU22" s="3285"/>
      <c r="BV22" s="3285"/>
      <c r="BW22" s="3285"/>
      <c r="BX22" s="3285"/>
      <c r="BY22" s="3303"/>
      <c r="BZ22" s="3289"/>
      <c r="CA22" s="3285"/>
      <c r="CB22" s="3289"/>
      <c r="CC22" s="3289"/>
      <c r="CD22" s="3289"/>
      <c r="CE22" s="3289"/>
      <c r="CF22" s="3301"/>
      <c r="CG22" s="3289"/>
      <c r="CH22" s="3289"/>
      <c r="CI22" s="3289"/>
      <c r="CJ22" s="3289"/>
      <c r="CK22" s="3289"/>
      <c r="CL22" s="3289"/>
      <c r="CM22" s="3289"/>
      <c r="CN22" s="3289"/>
      <c r="CO22" s="3289"/>
      <c r="CP22" s="3289"/>
      <c r="CQ22" s="3289"/>
      <c r="CR22" s="3289"/>
      <c r="CS22" s="3289"/>
      <c r="CT22" s="3289"/>
      <c r="CU22" s="3289"/>
      <c r="CV22" s="3289"/>
      <c r="CW22" s="3289"/>
      <c r="CX22" s="3289"/>
      <c r="CY22" s="3289"/>
      <c r="CZ22" s="3289"/>
      <c r="DA22" s="3289"/>
      <c r="DB22" s="3289"/>
      <c r="DC22" s="3301"/>
      <c r="DD22" s="3289"/>
      <c r="DE22" s="3303"/>
      <c r="DF22" s="3303"/>
      <c r="DG22" s="3303"/>
      <c r="DH22" s="3303"/>
      <c r="DI22" s="3303"/>
      <c r="DJ22" s="3303"/>
      <c r="DK22" s="3303"/>
      <c r="DL22" s="3303"/>
      <c r="DM22" s="3289"/>
      <c r="DN22" s="3289"/>
      <c r="DO22" s="3289"/>
      <c r="DP22" s="3289"/>
      <c r="DQ22" s="3054">
        <f t="shared" si="0"/>
        <v>0</v>
      </c>
      <c r="DR22" s="3062"/>
      <c r="DS22" s="3063"/>
      <c r="DT22" s="3065"/>
      <c r="DU22" s="3307"/>
      <c r="DV22" s="3063"/>
      <c r="DW22" s="3063"/>
      <c r="DX22" s="3063"/>
      <c r="DY22" s="3063"/>
      <c r="DZ22" s="3063"/>
      <c r="EA22" s="3063"/>
      <c r="EB22" s="3063"/>
      <c r="EC22" s="3063"/>
      <c r="ED22" s="3063"/>
      <c r="EE22" s="2948"/>
      <c r="EF22" s="2948"/>
      <c r="EG22" s="2948"/>
      <c r="EH22" s="2948"/>
      <c r="EI22" s="2948"/>
      <c r="EJ22" s="2948"/>
      <c r="EK22" s="2948"/>
      <c r="EL22" s="2948"/>
      <c r="EM22" s="2948"/>
      <c r="EN22" s="3304"/>
      <c r="EO22" s="3292"/>
      <c r="EP22" s="2948"/>
      <c r="EQ22" s="2948"/>
      <c r="ER22" s="2948"/>
      <c r="ES22" s="2948"/>
      <c r="ET22" s="3303"/>
      <c r="EU22" s="2948"/>
      <c r="EV22" s="2948"/>
      <c r="EW22" s="2948"/>
      <c r="EX22" s="2948"/>
      <c r="EY22" s="2948"/>
      <c r="EZ22" s="2948"/>
      <c r="FA22" s="2948"/>
      <c r="FB22" s="2948"/>
      <c r="FC22" s="2948"/>
      <c r="FD22" s="2948"/>
      <c r="FE22" s="2948"/>
      <c r="FF22" s="2948"/>
      <c r="FG22" s="2948"/>
      <c r="FH22" s="2948"/>
      <c r="FI22" s="2948"/>
      <c r="FJ22" s="2948"/>
      <c r="FK22" s="2948"/>
      <c r="FL22" s="2948"/>
      <c r="FM22" s="2948"/>
      <c r="FN22" s="2948"/>
      <c r="FO22" s="2948"/>
      <c r="FP22" s="2948"/>
      <c r="FQ22" s="2948"/>
      <c r="FR22" s="2948"/>
      <c r="FS22" s="2948"/>
      <c r="FT22" s="2948"/>
      <c r="FU22" s="2948"/>
      <c r="FV22" s="2948"/>
      <c r="FW22" s="2948"/>
      <c r="FX22" s="3064"/>
      <c r="FY22" s="2948"/>
      <c r="FZ22" s="2948">
        <f t="shared" ref="FZ22:FZ28" si="3">SUM(DY24:GF24)</f>
        <v>0</v>
      </c>
      <c r="GA22" s="3060">
        <f t="shared" ref="GA22:GA28" si="4">SUM(B24:DY24)+SUM(DW24:GF24)</f>
        <v>0</v>
      </c>
      <c r="GB22" s="3053"/>
    </row>
    <row r="23" spans="1:184" ht="23.25">
      <c r="A23" s="3103">
        <v>0.8125</v>
      </c>
      <c r="B23" s="3087"/>
      <c r="C23" s="3285"/>
      <c r="D23" s="3285"/>
      <c r="E23" s="3285"/>
      <c r="F23" s="3289"/>
      <c r="G23" s="3301"/>
      <c r="H23" s="3289"/>
      <c r="I23" s="3289"/>
      <c r="J23" s="3285"/>
      <c r="K23" s="3285"/>
      <c r="L23" s="3285"/>
      <c r="M23" s="3285"/>
      <c r="N23" s="3285"/>
      <c r="O23" s="3285"/>
      <c r="P23" s="3285"/>
      <c r="Q23" s="3285"/>
      <c r="R23" s="3285"/>
      <c r="S23" s="3285"/>
      <c r="T23" s="3285"/>
      <c r="U23" s="3285"/>
      <c r="V23" s="3285"/>
      <c r="W23" s="3285"/>
      <c r="X23" s="3285"/>
      <c r="Y23" s="3285"/>
      <c r="Z23" s="3285"/>
      <c r="AA23" s="3285"/>
      <c r="AB23" s="3289"/>
      <c r="AC23" s="3285"/>
      <c r="AD23" s="3285"/>
      <c r="AE23" s="3285"/>
      <c r="AF23" s="3285"/>
      <c r="AG23" s="3285"/>
      <c r="AH23" s="3285"/>
      <c r="AI23" s="3285"/>
      <c r="AJ23" s="3285"/>
      <c r="AK23" s="3285"/>
      <c r="AL23" s="3285"/>
      <c r="AM23" s="3285"/>
      <c r="AN23" s="3285"/>
      <c r="AO23" s="3285"/>
      <c r="AP23" s="3285"/>
      <c r="AQ23" s="3285"/>
      <c r="AR23" s="3285"/>
      <c r="AS23" s="3285"/>
      <c r="AT23" s="3285"/>
      <c r="AU23" s="3285"/>
      <c r="AV23" s="3285"/>
      <c r="AW23" s="3285"/>
      <c r="AX23" s="3285"/>
      <c r="AY23" s="3285"/>
      <c r="AZ23" s="3285"/>
      <c r="BA23" s="3285"/>
      <c r="BB23" s="3285"/>
      <c r="BC23" s="3285"/>
      <c r="BD23" s="3285"/>
      <c r="BE23" s="3285"/>
      <c r="BF23" s="3285"/>
      <c r="BG23" s="3285"/>
      <c r="BH23" s="3285"/>
      <c r="BI23" s="3285"/>
      <c r="BJ23" s="3285"/>
      <c r="BK23" s="3285"/>
      <c r="BL23" s="3302"/>
      <c r="BM23" s="3285"/>
      <c r="BN23" s="3285"/>
      <c r="BO23" s="3285"/>
      <c r="BP23" s="3285"/>
      <c r="BQ23" s="3285"/>
      <c r="BR23" s="3285"/>
      <c r="BS23" s="3285"/>
      <c r="BT23" s="3285"/>
      <c r="BU23" s="3285"/>
      <c r="BV23" s="3285"/>
      <c r="BW23" s="3285"/>
      <c r="BX23" s="3285"/>
      <c r="BY23" s="3303"/>
      <c r="BZ23" s="3289"/>
      <c r="CA23" s="3285"/>
      <c r="CB23" s="3289"/>
      <c r="CC23" s="3289"/>
      <c r="CD23" s="3289"/>
      <c r="CE23" s="3289"/>
      <c r="CF23" s="3301"/>
      <c r="CG23" s="3289"/>
      <c r="CH23" s="3289"/>
      <c r="CI23" s="3289"/>
      <c r="CJ23" s="3289"/>
      <c r="CK23" s="3289"/>
      <c r="CL23" s="3289"/>
      <c r="CM23" s="3289"/>
      <c r="CN23" s="3289"/>
      <c r="CO23" s="3289"/>
      <c r="CP23" s="3289"/>
      <c r="CQ23" s="3289"/>
      <c r="CR23" s="3289"/>
      <c r="CS23" s="3289"/>
      <c r="CT23" s="3289"/>
      <c r="CU23" s="3289"/>
      <c r="CV23" s="3289"/>
      <c r="CW23" s="3289"/>
      <c r="CX23" s="3289"/>
      <c r="CY23" s="3289"/>
      <c r="CZ23" s="3289"/>
      <c r="DA23" s="3289"/>
      <c r="DB23" s="3289"/>
      <c r="DC23" s="3301"/>
      <c r="DD23" s="3289"/>
      <c r="DE23" s="3303"/>
      <c r="DF23" s="3303"/>
      <c r="DG23" s="3303"/>
      <c r="DH23" s="3303"/>
      <c r="DI23" s="3303"/>
      <c r="DJ23" s="3303"/>
      <c r="DK23" s="3303"/>
      <c r="DL23" s="3303"/>
      <c r="DM23" s="3289"/>
      <c r="DN23" s="3289"/>
      <c r="DO23" s="3289"/>
      <c r="DP23" s="3289"/>
      <c r="DQ23" s="3054">
        <f t="shared" si="0"/>
        <v>0</v>
      </c>
      <c r="DR23" s="3062"/>
      <c r="DS23" s="3063"/>
      <c r="DT23" s="3065"/>
      <c r="DU23" s="3307"/>
      <c r="DV23" s="3063"/>
      <c r="DW23" s="3063"/>
      <c r="DX23" s="3063"/>
      <c r="DY23" s="3063"/>
      <c r="DZ23" s="3063"/>
      <c r="EA23" s="3063"/>
      <c r="EB23" s="3063"/>
      <c r="EC23" s="3063"/>
      <c r="ED23" s="3063"/>
      <c r="EE23" s="2948"/>
      <c r="EF23" s="2948"/>
      <c r="EG23" s="2948"/>
      <c r="EH23" s="2948"/>
      <c r="EI23" s="2948"/>
      <c r="EJ23" s="2948"/>
      <c r="EK23" s="2948"/>
      <c r="EL23" s="2948"/>
      <c r="EM23" s="2948"/>
      <c r="EN23" s="3304"/>
      <c r="EO23" s="3292"/>
      <c r="EP23" s="2948"/>
      <c r="EQ23" s="2948"/>
      <c r="ER23" s="2948"/>
      <c r="ES23" s="2948"/>
      <c r="ET23" s="3303"/>
      <c r="EU23" s="2948"/>
      <c r="EV23" s="2948"/>
      <c r="EW23" s="2948"/>
      <c r="EX23" s="2948"/>
      <c r="EY23" s="2948"/>
      <c r="EZ23" s="2948"/>
      <c r="FA23" s="2948"/>
      <c r="FB23" s="2948"/>
      <c r="FC23" s="2948"/>
      <c r="FD23" s="2948"/>
      <c r="FE23" s="2948"/>
      <c r="FF23" s="2948"/>
      <c r="FG23" s="2948"/>
      <c r="FH23" s="2948"/>
      <c r="FI23" s="2948"/>
      <c r="FJ23" s="2948"/>
      <c r="FK23" s="2948"/>
      <c r="FL23" s="2948"/>
      <c r="FM23" s="2948"/>
      <c r="FN23" s="2948"/>
      <c r="FO23" s="2948"/>
      <c r="FP23" s="2948"/>
      <c r="FQ23" s="2948"/>
      <c r="FR23" s="2948"/>
      <c r="FS23" s="2948"/>
      <c r="FT23" s="2948"/>
      <c r="FU23" s="2948"/>
      <c r="FV23" s="2948"/>
      <c r="FW23" s="2948"/>
      <c r="FX23" s="3064"/>
      <c r="FY23" s="2948"/>
      <c r="FZ23" s="2948">
        <f t="shared" si="3"/>
        <v>0</v>
      </c>
      <c r="GA23" s="3060">
        <f t="shared" si="4"/>
        <v>0</v>
      </c>
      <c r="GB23" s="2950"/>
    </row>
    <row r="24" spans="1:184" ht="23.25">
      <c r="A24" s="1226">
        <v>0.83333333333333337</v>
      </c>
      <c r="B24" s="3087"/>
      <c r="C24" s="3285"/>
      <c r="D24" s="3285"/>
      <c r="E24" s="3285"/>
      <c r="F24" s="3289"/>
      <c r="G24" s="3301"/>
      <c r="H24" s="3289"/>
      <c r="I24" s="3289"/>
      <c r="J24" s="3285"/>
      <c r="K24" s="3285"/>
      <c r="L24" s="3285"/>
      <c r="M24" s="3285"/>
      <c r="N24" s="3285"/>
      <c r="O24" s="3285"/>
      <c r="P24" s="3285"/>
      <c r="Q24" s="3285"/>
      <c r="R24" s="3285"/>
      <c r="S24" s="3285"/>
      <c r="T24" s="3285"/>
      <c r="U24" s="3285"/>
      <c r="V24" s="3285"/>
      <c r="W24" s="3285"/>
      <c r="X24" s="3285"/>
      <c r="Y24" s="3285"/>
      <c r="Z24" s="3285"/>
      <c r="AA24" s="3285"/>
      <c r="AB24" s="3289"/>
      <c r="AC24" s="3285"/>
      <c r="AD24" s="3285"/>
      <c r="AE24" s="3285"/>
      <c r="AF24" s="3285"/>
      <c r="AG24" s="3285"/>
      <c r="AH24" s="3285"/>
      <c r="AI24" s="3285"/>
      <c r="AJ24" s="3285"/>
      <c r="AK24" s="3285"/>
      <c r="AL24" s="3285"/>
      <c r="AM24" s="3285"/>
      <c r="AN24" s="3285"/>
      <c r="AO24" s="3285"/>
      <c r="AP24" s="3285"/>
      <c r="AQ24" s="3285"/>
      <c r="AR24" s="3285"/>
      <c r="AS24" s="3285"/>
      <c r="AT24" s="3285"/>
      <c r="AU24" s="3285"/>
      <c r="AV24" s="3285"/>
      <c r="AW24" s="3285"/>
      <c r="AX24" s="3285"/>
      <c r="AY24" s="3285"/>
      <c r="AZ24" s="3285"/>
      <c r="BA24" s="3285"/>
      <c r="BB24" s="3285"/>
      <c r="BC24" s="3285"/>
      <c r="BD24" s="3285"/>
      <c r="BE24" s="3285"/>
      <c r="BF24" s="3285"/>
      <c r="BG24" s="3285"/>
      <c r="BH24" s="3285"/>
      <c r="BI24" s="3285"/>
      <c r="BJ24" s="3285"/>
      <c r="BK24" s="3285"/>
      <c r="BL24" s="3302"/>
      <c r="BM24" s="3285"/>
      <c r="BN24" s="3285"/>
      <c r="BO24" s="3285"/>
      <c r="BP24" s="3285"/>
      <c r="BQ24" s="3285"/>
      <c r="BR24" s="3285"/>
      <c r="BS24" s="3285"/>
      <c r="BT24" s="3285"/>
      <c r="BU24" s="3285"/>
      <c r="BV24" s="3285"/>
      <c r="BW24" s="3285"/>
      <c r="BX24" s="3285"/>
      <c r="BY24" s="3303"/>
      <c r="BZ24" s="3289"/>
      <c r="CA24" s="3285"/>
      <c r="CB24" s="3289"/>
      <c r="CC24" s="3289"/>
      <c r="CD24" s="3289"/>
      <c r="CE24" s="3289"/>
      <c r="CF24" s="3301"/>
      <c r="CG24" s="3289"/>
      <c r="CH24" s="3289"/>
      <c r="CI24" s="3289"/>
      <c r="CJ24" s="3289"/>
      <c r="CK24" s="3289"/>
      <c r="CL24" s="3289"/>
      <c r="CM24" s="3289"/>
      <c r="CN24" s="3289"/>
      <c r="CO24" s="3289"/>
      <c r="CP24" s="3289"/>
      <c r="CQ24" s="3289"/>
      <c r="CR24" s="3289"/>
      <c r="CS24" s="3289"/>
      <c r="CT24" s="3289"/>
      <c r="CU24" s="3289"/>
      <c r="CV24" s="3289"/>
      <c r="CW24" s="3289"/>
      <c r="CX24" s="3289"/>
      <c r="CY24" s="3289"/>
      <c r="CZ24" s="3289"/>
      <c r="DA24" s="3289"/>
      <c r="DB24" s="3289"/>
      <c r="DC24" s="3301"/>
      <c r="DD24" s="3289"/>
      <c r="DE24" s="3303"/>
      <c r="DF24" s="3303"/>
      <c r="DG24" s="3303"/>
      <c r="DH24" s="3303"/>
      <c r="DI24" s="3303"/>
      <c r="DJ24" s="3303"/>
      <c r="DK24" s="3303"/>
      <c r="DL24" s="3303"/>
      <c r="DM24" s="3289"/>
      <c r="DN24" s="3289"/>
      <c r="DO24" s="3289"/>
      <c r="DP24" s="3289"/>
      <c r="DQ24" s="3054">
        <f t="shared" si="0"/>
        <v>0</v>
      </c>
      <c r="DR24" s="3105"/>
      <c r="DS24" s="3106"/>
      <c r="DT24" s="3107"/>
      <c r="DU24" s="3307"/>
      <c r="DV24" s="3106"/>
      <c r="DW24" s="3106"/>
      <c r="DX24" s="3106"/>
      <c r="DY24" s="3106"/>
      <c r="DZ24" s="3106"/>
      <c r="EA24" s="3106"/>
      <c r="EB24" s="3106"/>
      <c r="EC24" s="3106"/>
      <c r="ED24" s="3106"/>
      <c r="EE24" s="2948"/>
      <c r="EF24" s="2948"/>
      <c r="EG24" s="2948"/>
      <c r="EH24" s="2948"/>
      <c r="EI24" s="2948"/>
      <c r="EJ24" s="2948"/>
      <c r="EK24" s="2948"/>
      <c r="EL24" s="2948"/>
      <c r="EM24" s="2948"/>
      <c r="EN24" s="3304"/>
      <c r="EO24" s="3292"/>
      <c r="EP24" s="2948"/>
      <c r="EQ24" s="2948"/>
      <c r="ER24" s="2948"/>
      <c r="ES24" s="2948"/>
      <c r="ET24" s="3303"/>
      <c r="EU24" s="2948"/>
      <c r="EV24" s="2948"/>
      <c r="EW24" s="2948"/>
      <c r="EX24" s="2948"/>
      <c r="EY24" s="2948"/>
      <c r="EZ24" s="2948"/>
      <c r="FA24" s="2948"/>
      <c r="FB24" s="2948"/>
      <c r="FC24" s="2948"/>
      <c r="FD24" s="2948"/>
      <c r="FE24" s="2948"/>
      <c r="FF24" s="2948"/>
      <c r="FG24" s="2948"/>
      <c r="FH24" s="2948"/>
      <c r="FI24" s="2948"/>
      <c r="FJ24" s="2948"/>
      <c r="FK24" s="2948"/>
      <c r="FL24" s="2948"/>
      <c r="FM24" s="2948"/>
      <c r="FN24" s="2948"/>
      <c r="FO24" s="2948"/>
      <c r="FP24" s="2948"/>
      <c r="FQ24" s="2948"/>
      <c r="FR24" s="2948"/>
      <c r="FS24" s="2948"/>
      <c r="FT24" s="2948"/>
      <c r="FU24" s="2948"/>
      <c r="FV24" s="2948"/>
      <c r="FW24" s="2948"/>
      <c r="FX24" s="3108"/>
      <c r="FY24" s="2948"/>
      <c r="FZ24" s="2948">
        <f t="shared" si="3"/>
        <v>0</v>
      </c>
      <c r="GA24" s="3060">
        <f t="shared" si="4"/>
        <v>0</v>
      </c>
      <c r="GB24" s="2950"/>
    </row>
    <row r="25" spans="1:184" ht="23.25">
      <c r="A25" s="1226">
        <v>0.875</v>
      </c>
      <c r="B25" s="3087"/>
      <c r="C25" s="3285"/>
      <c r="D25" s="3285"/>
      <c r="E25" s="3285"/>
      <c r="F25" s="3289"/>
      <c r="G25" s="3301"/>
      <c r="H25" s="3289"/>
      <c r="I25" s="3289"/>
      <c r="J25" s="3285"/>
      <c r="K25" s="3285"/>
      <c r="L25" s="3285"/>
      <c r="M25" s="3285"/>
      <c r="N25" s="3285"/>
      <c r="O25" s="3285"/>
      <c r="P25" s="3285"/>
      <c r="Q25" s="3285"/>
      <c r="R25" s="3285"/>
      <c r="S25" s="3285"/>
      <c r="T25" s="3285"/>
      <c r="U25" s="3285"/>
      <c r="V25" s="3285"/>
      <c r="W25" s="3285"/>
      <c r="X25" s="3285"/>
      <c r="Y25" s="3285"/>
      <c r="Z25" s="3285"/>
      <c r="AA25" s="3285"/>
      <c r="AB25" s="3289"/>
      <c r="AC25" s="3285"/>
      <c r="AD25" s="3285"/>
      <c r="AE25" s="3285"/>
      <c r="AF25" s="3285"/>
      <c r="AG25" s="3285"/>
      <c r="AH25" s="3285"/>
      <c r="AI25" s="3285"/>
      <c r="AJ25" s="3285"/>
      <c r="AK25" s="3285"/>
      <c r="AL25" s="3285"/>
      <c r="AM25" s="3285"/>
      <c r="AN25" s="3285"/>
      <c r="AO25" s="3285"/>
      <c r="AP25" s="3285"/>
      <c r="AQ25" s="3285"/>
      <c r="AR25" s="3285"/>
      <c r="AS25" s="3285"/>
      <c r="AT25" s="3285"/>
      <c r="AU25" s="3285"/>
      <c r="AV25" s="3285"/>
      <c r="AW25" s="3285"/>
      <c r="AX25" s="3285"/>
      <c r="AY25" s="3285"/>
      <c r="AZ25" s="3285"/>
      <c r="BA25" s="3285"/>
      <c r="BB25" s="3285"/>
      <c r="BC25" s="3285"/>
      <c r="BD25" s="3285"/>
      <c r="BE25" s="3285"/>
      <c r="BF25" s="3285"/>
      <c r="BG25" s="3285"/>
      <c r="BH25" s="3285"/>
      <c r="BI25" s="3285"/>
      <c r="BJ25" s="3285"/>
      <c r="BK25" s="3285"/>
      <c r="BL25" s="3302"/>
      <c r="BM25" s="3285"/>
      <c r="BN25" s="3285"/>
      <c r="BO25" s="3285"/>
      <c r="BP25" s="3285"/>
      <c r="BQ25" s="3285"/>
      <c r="BR25" s="3285"/>
      <c r="BS25" s="3285"/>
      <c r="BT25" s="3285"/>
      <c r="BU25" s="3285"/>
      <c r="BV25" s="3285"/>
      <c r="BW25" s="3285"/>
      <c r="BX25" s="3285"/>
      <c r="BY25" s="3303"/>
      <c r="BZ25" s="3289"/>
      <c r="CA25" s="3285"/>
      <c r="CB25" s="3289"/>
      <c r="CC25" s="3289"/>
      <c r="CD25" s="3289"/>
      <c r="CE25" s="3289"/>
      <c r="CF25" s="3301"/>
      <c r="CG25" s="3289"/>
      <c r="CH25" s="3289"/>
      <c r="CI25" s="3289"/>
      <c r="CJ25" s="3289"/>
      <c r="CK25" s="3289"/>
      <c r="CL25" s="3289"/>
      <c r="CM25" s="3289"/>
      <c r="CN25" s="3289"/>
      <c r="CO25" s="3289"/>
      <c r="CP25" s="3289"/>
      <c r="CQ25" s="3289"/>
      <c r="CR25" s="3289"/>
      <c r="CS25" s="3289"/>
      <c r="CT25" s="3289"/>
      <c r="CU25" s="3289"/>
      <c r="CV25" s="3289"/>
      <c r="CW25" s="3289"/>
      <c r="CX25" s="3289"/>
      <c r="CY25" s="3289"/>
      <c r="CZ25" s="3289"/>
      <c r="DA25" s="3289"/>
      <c r="DB25" s="3289"/>
      <c r="DC25" s="3301"/>
      <c r="DD25" s="3289"/>
      <c r="DE25" s="3303"/>
      <c r="DF25" s="3303"/>
      <c r="DG25" s="3303"/>
      <c r="DH25" s="3303"/>
      <c r="DI25" s="3303"/>
      <c r="DJ25" s="3303"/>
      <c r="DK25" s="3303"/>
      <c r="DL25" s="3303"/>
      <c r="DM25" s="3289"/>
      <c r="DN25" s="3289"/>
      <c r="DO25" s="3289"/>
      <c r="DP25" s="3289"/>
      <c r="DQ25" s="3054">
        <f t="shared" si="0"/>
        <v>0</v>
      </c>
      <c r="DR25" s="3062"/>
      <c r="DS25" s="3063"/>
      <c r="DT25" s="3065"/>
      <c r="DU25" s="3307"/>
      <c r="DV25" s="3063"/>
      <c r="DW25" s="3063"/>
      <c r="DX25" s="3063"/>
      <c r="DY25" s="3063"/>
      <c r="DZ25" s="3063"/>
      <c r="EA25" s="3063"/>
      <c r="EB25" s="3063"/>
      <c r="EC25" s="3063"/>
      <c r="ED25" s="3063"/>
      <c r="EE25" s="2948"/>
      <c r="EF25" s="2948"/>
      <c r="EG25" s="2948"/>
      <c r="EH25" s="2948"/>
      <c r="EI25" s="2948"/>
      <c r="EJ25" s="2948"/>
      <c r="EK25" s="2948"/>
      <c r="EL25" s="2948"/>
      <c r="EM25" s="2948"/>
      <c r="EN25" s="3304"/>
      <c r="EO25" s="3292"/>
      <c r="EP25" s="2948"/>
      <c r="EQ25" s="2948"/>
      <c r="ER25" s="2948"/>
      <c r="ES25" s="2948"/>
      <c r="ET25" s="2948"/>
      <c r="EU25" s="2948"/>
      <c r="EV25" s="2948"/>
      <c r="EW25" s="2948"/>
      <c r="EX25" s="2948"/>
      <c r="EY25" s="2948"/>
      <c r="EZ25" s="2948"/>
      <c r="FA25" s="2948"/>
      <c r="FB25" s="2948"/>
      <c r="FC25" s="2948"/>
      <c r="FD25" s="2948"/>
      <c r="FE25" s="2948"/>
      <c r="FF25" s="2948"/>
      <c r="FG25" s="2948"/>
      <c r="FH25" s="2948"/>
      <c r="FI25" s="2948"/>
      <c r="FJ25" s="2948"/>
      <c r="FK25" s="2948"/>
      <c r="FL25" s="2948"/>
      <c r="FM25" s="2948"/>
      <c r="FN25" s="2948"/>
      <c r="FO25" s="2948"/>
      <c r="FP25" s="2948"/>
      <c r="FQ25" s="2948"/>
      <c r="FR25" s="2948"/>
      <c r="FS25" s="2948"/>
      <c r="FT25" s="2948"/>
      <c r="FU25" s="2948"/>
      <c r="FV25" s="2948"/>
      <c r="FW25" s="2948"/>
      <c r="FX25" s="3064"/>
      <c r="FY25" s="2948"/>
      <c r="FZ25" s="2948">
        <f t="shared" si="3"/>
        <v>0</v>
      </c>
      <c r="GA25" s="3060">
        <f t="shared" si="4"/>
        <v>0</v>
      </c>
      <c r="GB25" s="2950"/>
    </row>
    <row r="26" spans="1:184" ht="23.25">
      <c r="A26" s="1227">
        <v>0.91666666666666663</v>
      </c>
      <c r="B26" s="3311"/>
      <c r="C26" s="3312"/>
      <c r="D26" s="3312"/>
      <c r="E26" s="3312"/>
      <c r="F26" s="3313"/>
      <c r="G26" s="3314"/>
      <c r="H26" s="3313"/>
      <c r="I26" s="3313"/>
      <c r="J26" s="3312"/>
      <c r="K26" s="3312"/>
      <c r="L26" s="3312"/>
      <c r="M26" s="3312"/>
      <c r="N26" s="3312"/>
      <c r="O26" s="3312"/>
      <c r="P26" s="3312"/>
      <c r="Q26" s="3312"/>
      <c r="R26" s="3312"/>
      <c r="S26" s="3312"/>
      <c r="T26" s="3312"/>
      <c r="U26" s="3312"/>
      <c r="V26" s="3312"/>
      <c r="W26" s="3312"/>
      <c r="X26" s="3312"/>
      <c r="Y26" s="3312"/>
      <c r="Z26" s="3312"/>
      <c r="AA26" s="3312"/>
      <c r="AB26" s="3313"/>
      <c r="AC26" s="3312"/>
      <c r="AD26" s="3312"/>
      <c r="AE26" s="3312"/>
      <c r="AF26" s="3312"/>
      <c r="AG26" s="3312"/>
      <c r="AH26" s="3312"/>
      <c r="AI26" s="3312"/>
      <c r="AJ26" s="3312"/>
      <c r="AK26" s="3312"/>
      <c r="AL26" s="3312"/>
      <c r="AM26" s="3312"/>
      <c r="AN26" s="3312"/>
      <c r="AO26" s="3312"/>
      <c r="AP26" s="3312"/>
      <c r="AQ26" s="3312"/>
      <c r="AR26" s="3312"/>
      <c r="AS26" s="3312"/>
      <c r="AT26" s="3312"/>
      <c r="AU26" s="3312"/>
      <c r="AV26" s="3312"/>
      <c r="AW26" s="3312"/>
      <c r="AX26" s="3312"/>
      <c r="AY26" s="3312"/>
      <c r="AZ26" s="3312"/>
      <c r="BA26" s="3312"/>
      <c r="BB26" s="3312"/>
      <c r="BC26" s="3312"/>
      <c r="BD26" s="3312"/>
      <c r="BE26" s="3312"/>
      <c r="BF26" s="3312"/>
      <c r="BG26" s="3312"/>
      <c r="BH26" s="3312"/>
      <c r="BI26" s="3312"/>
      <c r="BJ26" s="3312"/>
      <c r="BK26" s="3312"/>
      <c r="BL26" s="3302"/>
      <c r="BM26" s="3312"/>
      <c r="BN26" s="3312"/>
      <c r="BO26" s="3312"/>
      <c r="BP26" s="3312"/>
      <c r="BQ26" s="3312"/>
      <c r="BR26" s="3312"/>
      <c r="BS26" s="3312"/>
      <c r="BT26" s="3312"/>
      <c r="BU26" s="3312"/>
      <c r="BV26" s="3312"/>
      <c r="BW26" s="3312"/>
      <c r="BX26" s="3312"/>
      <c r="BY26" s="3315"/>
      <c r="BZ26" s="3313"/>
      <c r="CA26" s="3312"/>
      <c r="CB26" s="3313"/>
      <c r="CC26" s="3313"/>
      <c r="CD26" s="3313"/>
      <c r="CE26" s="3313"/>
      <c r="CF26" s="3314"/>
      <c r="CG26" s="3313"/>
      <c r="CH26" s="3313"/>
      <c r="CI26" s="3313"/>
      <c r="CJ26" s="3313"/>
      <c r="CK26" s="3313"/>
      <c r="CL26" s="3313"/>
      <c r="CM26" s="3313"/>
      <c r="CN26" s="3313"/>
      <c r="CO26" s="3313"/>
      <c r="CP26" s="3313"/>
      <c r="CQ26" s="3313"/>
      <c r="CR26" s="3313"/>
      <c r="CS26" s="3313"/>
      <c r="CT26" s="3313"/>
      <c r="CU26" s="3313"/>
      <c r="CV26" s="3313"/>
      <c r="CW26" s="3313"/>
      <c r="CX26" s="3313"/>
      <c r="CY26" s="3313"/>
      <c r="CZ26" s="3313"/>
      <c r="DA26" s="3313"/>
      <c r="DB26" s="3313"/>
      <c r="DC26" s="3315"/>
      <c r="DD26" s="3315"/>
      <c r="DE26" s="3315"/>
      <c r="DF26" s="3315"/>
      <c r="DG26" s="3315"/>
      <c r="DH26" s="3315"/>
      <c r="DI26" s="3315"/>
      <c r="DJ26" s="3315"/>
      <c r="DK26" s="3315"/>
      <c r="DL26" s="3315"/>
      <c r="DM26" s="3313"/>
      <c r="DN26" s="3313"/>
      <c r="DO26" s="3313"/>
      <c r="DP26" s="3313"/>
      <c r="DQ26" s="3054">
        <f t="shared" si="0"/>
        <v>0</v>
      </c>
      <c r="DR26" s="3149"/>
      <c r="DS26" s="3150"/>
      <c r="DT26" s="3151"/>
      <c r="DU26" s="3316"/>
      <c r="DV26" s="3150"/>
      <c r="DW26" s="3150"/>
      <c r="DX26" s="3150"/>
      <c r="DY26" s="3150"/>
      <c r="DZ26" s="3150"/>
      <c r="EA26" s="3150"/>
      <c r="EB26" s="3150"/>
      <c r="EC26" s="3150"/>
      <c r="ED26" s="3150"/>
      <c r="EE26" s="3316"/>
      <c r="EF26" s="3317"/>
      <c r="EG26" s="3316"/>
      <c r="EH26" s="3316"/>
      <c r="EI26" s="3316"/>
      <c r="EJ26" s="3316"/>
      <c r="EK26" s="3316"/>
      <c r="EL26" s="3316"/>
      <c r="EM26" s="3316"/>
      <c r="EN26" s="3318"/>
      <c r="EO26" s="3292"/>
      <c r="EP26" s="3316"/>
      <c r="EQ26" s="3316"/>
      <c r="ER26" s="3316"/>
      <c r="ES26" s="3316"/>
      <c r="ET26" s="3316"/>
      <c r="EU26" s="3316"/>
      <c r="EV26" s="3316"/>
      <c r="EW26" s="3316"/>
      <c r="EX26" s="3316"/>
      <c r="EY26" s="3316"/>
      <c r="EZ26" s="3316"/>
      <c r="FA26" s="3316"/>
      <c r="FB26" s="3316"/>
      <c r="FC26" s="3316"/>
      <c r="FD26" s="3316"/>
      <c r="FE26" s="3316"/>
      <c r="FF26" s="3316"/>
      <c r="FG26" s="3316"/>
      <c r="FH26" s="3316"/>
      <c r="FI26" s="3316"/>
      <c r="FJ26" s="3316"/>
      <c r="FK26" s="3316"/>
      <c r="FL26" s="3316"/>
      <c r="FM26" s="3316"/>
      <c r="FN26" s="3316"/>
      <c r="FO26" s="3316"/>
      <c r="FP26" s="3316"/>
      <c r="FQ26" s="3316"/>
      <c r="FR26" s="3316"/>
      <c r="FS26" s="3316"/>
      <c r="FT26" s="3316"/>
      <c r="FU26" s="3316"/>
      <c r="FV26" s="3316"/>
      <c r="FW26" s="3316"/>
      <c r="FX26" s="3153"/>
      <c r="FY26" s="3150"/>
      <c r="FZ26" s="3150">
        <f t="shared" si="3"/>
        <v>0</v>
      </c>
      <c r="GA26" s="3060">
        <f t="shared" si="4"/>
        <v>0</v>
      </c>
      <c r="GB26" s="3155"/>
    </row>
    <row r="27" spans="1:184" ht="23.25">
      <c r="A27" s="1227">
        <v>0.95833333333333337</v>
      </c>
      <c r="B27" s="3311"/>
      <c r="C27" s="3312"/>
      <c r="D27" s="3312"/>
      <c r="E27" s="3312"/>
      <c r="F27" s="3313"/>
      <c r="G27" s="3314"/>
      <c r="H27" s="3313"/>
      <c r="I27" s="3313"/>
      <c r="J27" s="3312"/>
      <c r="K27" s="3312"/>
      <c r="L27" s="3312"/>
      <c r="M27" s="3312"/>
      <c r="N27" s="3312"/>
      <c r="O27" s="3312"/>
      <c r="P27" s="3312"/>
      <c r="Q27" s="3312"/>
      <c r="R27" s="3312"/>
      <c r="S27" s="3312"/>
      <c r="T27" s="3312"/>
      <c r="U27" s="3312"/>
      <c r="V27" s="3312"/>
      <c r="W27" s="3312"/>
      <c r="X27" s="3312"/>
      <c r="Y27" s="3312"/>
      <c r="Z27" s="3312"/>
      <c r="AA27" s="3312"/>
      <c r="AB27" s="3313"/>
      <c r="AC27" s="3312"/>
      <c r="AD27" s="3312"/>
      <c r="AE27" s="3312"/>
      <c r="AF27" s="3312"/>
      <c r="AG27" s="3312"/>
      <c r="AH27" s="3312"/>
      <c r="AI27" s="3312"/>
      <c r="AJ27" s="3312"/>
      <c r="AK27" s="3312"/>
      <c r="AL27" s="3312"/>
      <c r="AM27" s="3312"/>
      <c r="AN27" s="3312"/>
      <c r="AO27" s="3312"/>
      <c r="AP27" s="3312"/>
      <c r="AQ27" s="3312"/>
      <c r="AR27" s="3312"/>
      <c r="AS27" s="3312"/>
      <c r="AT27" s="3312"/>
      <c r="AU27" s="3312"/>
      <c r="AV27" s="3312"/>
      <c r="AW27" s="3312"/>
      <c r="AX27" s="3312"/>
      <c r="AY27" s="3312"/>
      <c r="AZ27" s="3312"/>
      <c r="BA27" s="3312"/>
      <c r="BB27" s="3312"/>
      <c r="BC27" s="3312"/>
      <c r="BD27" s="3312"/>
      <c r="BE27" s="3312"/>
      <c r="BF27" s="3312"/>
      <c r="BG27" s="3312"/>
      <c r="BH27" s="3312"/>
      <c r="BI27" s="3312"/>
      <c r="BJ27" s="3312"/>
      <c r="BK27" s="3312"/>
      <c r="BL27" s="3302"/>
      <c r="BM27" s="3312"/>
      <c r="BN27" s="3312"/>
      <c r="BO27" s="3312"/>
      <c r="BP27" s="3312"/>
      <c r="BQ27" s="3312"/>
      <c r="BR27" s="3312"/>
      <c r="BS27" s="3312"/>
      <c r="BT27" s="3312"/>
      <c r="BU27" s="3312"/>
      <c r="BV27" s="3312"/>
      <c r="BW27" s="3312"/>
      <c r="BX27" s="3312"/>
      <c r="BY27" s="3315"/>
      <c r="BZ27" s="3313"/>
      <c r="CA27" s="3312"/>
      <c r="CB27" s="3313"/>
      <c r="CC27" s="3313"/>
      <c r="CD27" s="3313"/>
      <c r="CE27" s="3313"/>
      <c r="CF27" s="3314"/>
      <c r="CG27" s="3313"/>
      <c r="CH27" s="3313"/>
      <c r="CI27" s="3313"/>
      <c r="CJ27" s="3313"/>
      <c r="CK27" s="3313"/>
      <c r="CL27" s="3313"/>
      <c r="CM27" s="3313"/>
      <c r="CN27" s="3313"/>
      <c r="CO27" s="3313"/>
      <c r="CP27" s="3313"/>
      <c r="CQ27" s="3313"/>
      <c r="CR27" s="3313"/>
      <c r="CS27" s="3313"/>
      <c r="CT27" s="3313"/>
      <c r="CU27" s="3313"/>
      <c r="CV27" s="3313"/>
      <c r="CW27" s="3313"/>
      <c r="CX27" s="3313"/>
      <c r="CY27" s="3313"/>
      <c r="CZ27" s="3313"/>
      <c r="DA27" s="3313"/>
      <c r="DB27" s="3313"/>
      <c r="DC27" s="3315"/>
      <c r="DD27" s="3315"/>
      <c r="DE27" s="3315"/>
      <c r="DF27" s="3315"/>
      <c r="DG27" s="3315"/>
      <c r="DH27" s="3315"/>
      <c r="DI27" s="3315"/>
      <c r="DJ27" s="3315"/>
      <c r="DK27" s="3315"/>
      <c r="DL27" s="3315"/>
      <c r="DM27" s="3313"/>
      <c r="DN27" s="3313"/>
      <c r="DO27" s="3313"/>
      <c r="DP27" s="3313"/>
      <c r="DQ27" s="3054">
        <f t="shared" si="0"/>
        <v>0</v>
      </c>
      <c r="DR27" s="3149"/>
      <c r="DS27" s="3150"/>
      <c r="DT27" s="3151"/>
      <c r="DU27" s="3316"/>
      <c r="DV27" s="3150"/>
      <c r="DW27" s="3150"/>
      <c r="DX27" s="3150"/>
      <c r="DY27" s="3150"/>
      <c r="DZ27" s="3150"/>
      <c r="EA27" s="3150"/>
      <c r="EB27" s="3150"/>
      <c r="EC27" s="3150"/>
      <c r="ED27" s="3150"/>
      <c r="EE27" s="3316"/>
      <c r="EF27" s="3317"/>
      <c r="EG27" s="3316"/>
      <c r="EH27" s="3316"/>
      <c r="EI27" s="3316"/>
      <c r="EJ27" s="3316"/>
      <c r="EK27" s="3316"/>
      <c r="EL27" s="3316"/>
      <c r="EM27" s="3316"/>
      <c r="EN27" s="3318"/>
      <c r="EO27" s="3292"/>
      <c r="EP27" s="3316"/>
      <c r="EQ27" s="3316"/>
      <c r="ER27" s="3316"/>
      <c r="ES27" s="3316"/>
      <c r="ET27" s="3316"/>
      <c r="EU27" s="3316"/>
      <c r="EV27" s="3316"/>
      <c r="EW27" s="3316"/>
      <c r="EX27" s="3316"/>
      <c r="EY27" s="3316"/>
      <c r="EZ27" s="3316"/>
      <c r="FA27" s="3316"/>
      <c r="FB27" s="3316"/>
      <c r="FC27" s="3316"/>
      <c r="FD27" s="3316"/>
      <c r="FE27" s="3316"/>
      <c r="FF27" s="3316"/>
      <c r="FG27" s="3316"/>
      <c r="FH27" s="3316"/>
      <c r="FI27" s="3316"/>
      <c r="FJ27" s="3316"/>
      <c r="FK27" s="3316"/>
      <c r="FL27" s="3316"/>
      <c r="FM27" s="3316"/>
      <c r="FN27" s="3316"/>
      <c r="FO27" s="3316"/>
      <c r="FP27" s="3316"/>
      <c r="FQ27" s="3316"/>
      <c r="FR27" s="3316"/>
      <c r="FS27" s="3316"/>
      <c r="FT27" s="3316"/>
      <c r="FU27" s="3316"/>
      <c r="FV27" s="3316"/>
      <c r="FW27" s="3316"/>
      <c r="FX27" s="3153"/>
      <c r="FY27" s="3150"/>
      <c r="FZ27" s="3150">
        <f t="shared" si="3"/>
        <v>0</v>
      </c>
      <c r="GA27" s="3060">
        <f t="shared" si="4"/>
        <v>0</v>
      </c>
      <c r="GB27" s="3155"/>
    </row>
    <row r="28" spans="1:184" ht="24" thickBot="1">
      <c r="A28" s="1228" t="s">
        <v>24</v>
      </c>
      <c r="B28" s="3319"/>
      <c r="C28" s="1728"/>
      <c r="D28" s="3312"/>
      <c r="E28" s="3312"/>
      <c r="F28" s="3313"/>
      <c r="G28" s="3314"/>
      <c r="H28" s="3313"/>
      <c r="I28" s="3313"/>
      <c r="J28" s="3312"/>
      <c r="K28" s="3312"/>
      <c r="L28" s="3312"/>
      <c r="M28" s="3312"/>
      <c r="N28" s="3312"/>
      <c r="O28" s="3312"/>
      <c r="P28" s="3312"/>
      <c r="Q28" s="3312"/>
      <c r="R28" s="3312"/>
      <c r="S28" s="3312"/>
      <c r="T28" s="3312"/>
      <c r="U28" s="3312"/>
      <c r="V28" s="3312"/>
      <c r="W28" s="3312"/>
      <c r="X28" s="3312"/>
      <c r="Y28" s="3312"/>
      <c r="Z28" s="3312"/>
      <c r="AA28" s="3312"/>
      <c r="AB28" s="3313"/>
      <c r="AC28" s="3312"/>
      <c r="AD28" s="3312"/>
      <c r="AE28" s="3312"/>
      <c r="AF28" s="3312"/>
      <c r="AG28" s="3312"/>
      <c r="AH28" s="3312"/>
      <c r="AI28" s="3312"/>
      <c r="AJ28" s="3312"/>
      <c r="AK28" s="3312"/>
      <c r="AL28" s="3312"/>
      <c r="AM28" s="3312"/>
      <c r="AN28" s="3312"/>
      <c r="AO28" s="3312"/>
      <c r="AP28" s="3312"/>
      <c r="AQ28" s="3312"/>
      <c r="AR28" s="3312"/>
      <c r="AS28" s="3312"/>
      <c r="AT28" s="3312"/>
      <c r="AU28" s="3312"/>
      <c r="AV28" s="3312"/>
      <c r="AW28" s="3312"/>
      <c r="AX28" s="3312"/>
      <c r="AY28" s="3312"/>
      <c r="AZ28" s="3312"/>
      <c r="BA28" s="3312"/>
      <c r="BB28" s="3312"/>
      <c r="BC28" s="3312"/>
      <c r="BD28" s="3312"/>
      <c r="BE28" s="3312"/>
      <c r="BF28" s="3312"/>
      <c r="BG28" s="3312"/>
      <c r="BH28" s="3312"/>
      <c r="BI28" s="3312"/>
      <c r="BJ28" s="3312"/>
      <c r="BK28" s="3312"/>
      <c r="BL28" s="3302"/>
      <c r="BM28" s="3312"/>
      <c r="BN28" s="3312"/>
      <c r="BO28" s="3312"/>
      <c r="BP28" s="3312"/>
      <c r="BQ28" s="3312"/>
      <c r="BR28" s="3312"/>
      <c r="BS28" s="3312"/>
      <c r="BT28" s="3312"/>
      <c r="BU28" s="3312"/>
      <c r="BV28" s="3312"/>
      <c r="BW28" s="3312"/>
      <c r="BX28" s="3312"/>
      <c r="BY28" s="3315"/>
      <c r="BZ28" s="3313"/>
      <c r="CA28" s="3312"/>
      <c r="CB28" s="3313"/>
      <c r="CC28" s="3313"/>
      <c r="CD28" s="3313"/>
      <c r="CE28" s="3313"/>
      <c r="CF28" s="3314"/>
      <c r="CG28" s="3313"/>
      <c r="CH28" s="3313"/>
      <c r="CI28" s="3313"/>
      <c r="CJ28" s="3313"/>
      <c r="CK28" s="3313"/>
      <c r="CL28" s="3313"/>
      <c r="CM28" s="3313"/>
      <c r="CN28" s="3313"/>
      <c r="CO28" s="3313"/>
      <c r="CP28" s="3313"/>
      <c r="CQ28" s="3313"/>
      <c r="CR28" s="3313"/>
      <c r="CS28" s="3313"/>
      <c r="CT28" s="3313"/>
      <c r="CU28" s="3313"/>
      <c r="CV28" s="3313"/>
      <c r="CW28" s="3313"/>
      <c r="CX28" s="3313"/>
      <c r="CY28" s="3313"/>
      <c r="CZ28" s="3313"/>
      <c r="DA28" s="3313"/>
      <c r="DB28" s="3313"/>
      <c r="DC28" s="3315"/>
      <c r="DD28" s="3315"/>
      <c r="DE28" s="3320"/>
      <c r="DF28" s="3320"/>
      <c r="DG28" s="3320"/>
      <c r="DH28" s="3320"/>
      <c r="DI28" s="3320"/>
      <c r="DJ28" s="3320"/>
      <c r="DK28" s="3320"/>
      <c r="DL28" s="3320"/>
      <c r="DM28" s="3287"/>
      <c r="DN28" s="3287"/>
      <c r="DO28" s="3287"/>
      <c r="DP28" s="3287"/>
      <c r="DQ28" s="3054">
        <f t="shared" si="0"/>
        <v>0</v>
      </c>
      <c r="DR28" s="3156"/>
      <c r="DS28" s="3150"/>
      <c r="DT28" s="3151"/>
      <c r="DU28" s="3316"/>
      <c r="DV28" s="3150"/>
      <c r="DW28" s="3150"/>
      <c r="DX28" s="3150"/>
      <c r="DY28" s="3150"/>
      <c r="DZ28" s="3150"/>
      <c r="EA28" s="3150"/>
      <c r="EB28" s="3150"/>
      <c r="EC28" s="3150"/>
      <c r="ED28" s="3150"/>
      <c r="EE28" s="3317"/>
      <c r="EF28" s="3316"/>
      <c r="EG28" s="3316"/>
      <c r="EH28" s="3316"/>
      <c r="EI28" s="3316"/>
      <c r="EJ28" s="3316"/>
      <c r="EK28" s="3316"/>
      <c r="EL28" s="3316"/>
      <c r="EM28" s="3316"/>
      <c r="EN28" s="3318"/>
      <c r="EO28" s="3292"/>
      <c r="EP28" s="3316"/>
      <c r="EQ28" s="3316"/>
      <c r="ER28" s="3316"/>
      <c r="ES28" s="3316"/>
      <c r="ET28" s="3316"/>
      <c r="EU28" s="3316"/>
      <c r="EV28" s="3316"/>
      <c r="EW28" s="3316"/>
      <c r="EX28" s="3316"/>
      <c r="EY28" s="3316"/>
      <c r="EZ28" s="3316"/>
      <c r="FA28" s="3316"/>
      <c r="FB28" s="3316"/>
      <c r="FC28" s="3316"/>
      <c r="FD28" s="3316"/>
      <c r="FE28" s="3316"/>
      <c r="FF28" s="3316"/>
      <c r="FG28" s="3316"/>
      <c r="FH28" s="3316"/>
      <c r="FI28" s="3316"/>
      <c r="FJ28" s="3316"/>
      <c r="FK28" s="3316"/>
      <c r="FL28" s="3316"/>
      <c r="FM28" s="3318"/>
      <c r="FN28" s="3318"/>
      <c r="FO28" s="3318"/>
      <c r="FP28" s="3318"/>
      <c r="FQ28" s="3318"/>
      <c r="FR28" s="3318"/>
      <c r="FS28" s="3318"/>
      <c r="FT28" s="3318"/>
      <c r="FU28" s="3318"/>
      <c r="FV28" s="3318"/>
      <c r="FW28" s="3318"/>
      <c r="FX28" s="3157"/>
      <c r="FY28" s="3152"/>
      <c r="FZ28" s="3152">
        <f t="shared" si="3"/>
        <v>0</v>
      </c>
      <c r="GA28" s="3060">
        <f t="shared" si="4"/>
        <v>0</v>
      </c>
      <c r="GB28" s="3155"/>
    </row>
    <row r="29" spans="1:184" ht="11.25" customHeight="1" thickBot="1">
      <c r="A29" s="1177"/>
      <c r="B29" s="3146"/>
      <c r="C29" s="3146"/>
      <c r="D29" s="3146"/>
      <c r="E29" s="3146"/>
      <c r="F29" s="3146"/>
      <c r="G29" s="3146"/>
      <c r="H29" s="3146"/>
      <c r="I29" s="3146"/>
      <c r="J29" s="3146"/>
      <c r="K29" s="3146"/>
      <c r="L29" s="3146"/>
      <c r="M29" s="3146"/>
      <c r="N29" s="3146"/>
      <c r="O29" s="3146"/>
      <c r="P29" s="3146"/>
      <c r="Q29" s="3146"/>
      <c r="R29" s="3146"/>
      <c r="S29" s="3146"/>
      <c r="T29" s="3146"/>
      <c r="U29" s="3146"/>
      <c r="V29" s="3146"/>
      <c r="W29" s="3146"/>
      <c r="X29" s="3146"/>
      <c r="Y29" s="3146"/>
      <c r="Z29" s="3146"/>
      <c r="AA29" s="3146"/>
      <c r="AB29" s="3146"/>
      <c r="AC29" s="3146"/>
      <c r="AD29" s="3146"/>
      <c r="AE29" s="3146"/>
      <c r="AF29" s="3146"/>
      <c r="AG29" s="3146"/>
      <c r="AH29" s="3146"/>
      <c r="AI29" s="3146"/>
      <c r="AJ29" s="3146"/>
      <c r="AK29" s="3146"/>
      <c r="AL29" s="3146"/>
      <c r="AM29" s="3146"/>
      <c r="AN29" s="3146"/>
      <c r="AO29" s="3146"/>
      <c r="AP29" s="3146"/>
      <c r="AQ29" s="3146"/>
      <c r="AR29" s="3146"/>
      <c r="AS29" s="3146"/>
      <c r="AT29" s="3146"/>
      <c r="AU29" s="3146"/>
      <c r="AV29" s="3146"/>
      <c r="AW29" s="3146"/>
      <c r="AX29" s="3146"/>
      <c r="AY29" s="3146"/>
      <c r="AZ29" s="3146"/>
      <c r="BA29" s="3146"/>
      <c r="BB29" s="3146"/>
      <c r="BC29" s="3146"/>
      <c r="BD29" s="3146"/>
      <c r="BE29" s="3146"/>
      <c r="BF29" s="3146"/>
      <c r="BG29" s="3146"/>
      <c r="BH29" s="3146"/>
      <c r="BI29" s="3146"/>
      <c r="BJ29" s="3146"/>
      <c r="BK29" s="3146"/>
      <c r="BL29" s="3147"/>
      <c r="BM29" s="3146"/>
      <c r="BN29" s="3146"/>
      <c r="BO29" s="3146"/>
      <c r="BP29" s="3146"/>
      <c r="BQ29" s="3146"/>
      <c r="BR29" s="3146"/>
      <c r="BS29" s="3146"/>
      <c r="BT29" s="3146"/>
      <c r="BU29" s="3146"/>
      <c r="BV29" s="3146"/>
      <c r="BW29" s="3146"/>
      <c r="BX29" s="3146"/>
      <c r="BY29" s="3146"/>
      <c r="BZ29" s="3146"/>
      <c r="CA29" s="3146"/>
      <c r="CB29" s="3146"/>
      <c r="CC29" s="3146"/>
      <c r="CD29" s="3146"/>
      <c r="CE29" s="3146"/>
      <c r="CF29" s="3146"/>
      <c r="CG29" s="3146"/>
      <c r="CH29" s="3146"/>
      <c r="CI29" s="3146"/>
      <c r="CJ29" s="3146"/>
      <c r="CK29" s="3146"/>
      <c r="CL29" s="3146"/>
      <c r="CM29" s="3146"/>
      <c r="CN29" s="3146"/>
      <c r="CO29" s="3146"/>
      <c r="CP29" s="3146"/>
      <c r="CQ29" s="3146"/>
      <c r="CR29" s="3146"/>
      <c r="CS29" s="3146"/>
      <c r="CT29" s="3146"/>
      <c r="CU29" s="3146"/>
      <c r="CV29" s="3146"/>
      <c r="CW29" s="3146"/>
      <c r="CX29" s="3146"/>
      <c r="CY29" s="3146"/>
      <c r="CZ29" s="3146"/>
      <c r="DA29" s="3198"/>
      <c r="DB29" s="3146"/>
      <c r="DC29" s="3146"/>
      <c r="DD29" s="3146"/>
      <c r="DE29" s="3146"/>
      <c r="DF29" s="3146"/>
      <c r="DG29" s="3146"/>
      <c r="DH29" s="3146"/>
      <c r="DI29" s="3146"/>
      <c r="DJ29" s="3146"/>
      <c r="DK29" s="3146"/>
      <c r="DL29" s="3146"/>
      <c r="DM29" s="3146"/>
      <c r="DN29" s="3148"/>
      <c r="DO29" s="3148"/>
      <c r="DP29" s="3148"/>
      <c r="DQ29" s="3081"/>
      <c r="DR29" s="3158"/>
      <c r="DS29" s="3159"/>
      <c r="DT29" s="3160"/>
      <c r="DU29" s="3160"/>
      <c r="DV29" s="3160"/>
      <c r="DW29" s="3160"/>
      <c r="DX29" s="3160"/>
      <c r="DY29" s="3160"/>
      <c r="DZ29" s="3160"/>
      <c r="EA29" s="3160"/>
      <c r="EB29" s="3160"/>
      <c r="EC29" s="3160"/>
      <c r="ED29" s="3160"/>
      <c r="EE29" s="3161"/>
      <c r="EF29" s="3160"/>
      <c r="EG29" s="3160"/>
      <c r="EH29" s="3160"/>
      <c r="EI29" s="3160"/>
      <c r="EJ29" s="3160"/>
      <c r="EK29" s="3160"/>
      <c r="EL29" s="3160"/>
      <c r="EM29" s="3160"/>
      <c r="EN29" s="3160"/>
      <c r="EO29" s="3082"/>
      <c r="EP29" s="3160"/>
      <c r="EQ29" s="3160"/>
      <c r="ER29" s="3160"/>
      <c r="ES29" s="3160"/>
      <c r="ET29" s="3160"/>
      <c r="EU29" s="3160"/>
      <c r="EV29" s="3160"/>
      <c r="EW29" s="3160"/>
      <c r="EX29" s="3160"/>
      <c r="EY29" s="3160"/>
      <c r="EZ29" s="3160"/>
      <c r="FA29" s="3160"/>
      <c r="FB29" s="3160"/>
      <c r="FC29" s="3160"/>
      <c r="FD29" s="3160"/>
      <c r="FE29" s="3160"/>
      <c r="FF29" s="3160"/>
      <c r="FG29" s="3160"/>
      <c r="FH29" s="3160"/>
      <c r="FI29" s="3160"/>
      <c r="FJ29" s="3160"/>
      <c r="FK29" s="3160"/>
      <c r="FL29" s="3150"/>
      <c r="FM29" s="3160"/>
      <c r="FN29" s="3160"/>
      <c r="FO29" s="3160"/>
      <c r="FP29" s="3160"/>
      <c r="FQ29" s="3160"/>
      <c r="FR29" s="3160"/>
      <c r="FS29" s="3160"/>
      <c r="FT29" s="3160"/>
      <c r="FU29" s="3160"/>
      <c r="FV29" s="3160"/>
      <c r="FW29" s="3160"/>
      <c r="FX29" s="3162"/>
      <c r="FY29" s="3163"/>
      <c r="FZ29" s="3163"/>
      <c r="GA29" s="3154">
        <f>SUM(DR29:FZ29)</f>
        <v>0</v>
      </c>
      <c r="GB29" s="3155">
        <f>DQ29+GA29</f>
        <v>0</v>
      </c>
    </row>
  </sheetData>
  <customSheetViews>
    <customSheetView guid="{7C71EF2A-5ADA-494C-8F58-DDA71753DD90}" scale="93" showPageBreaks="1">
      <pane ySplit="2" topLeftCell="A3" activePane="bottomLeft" state="frozen"/>
      <selection pane="bottomLeft" activeCell="B23" sqref="B23"/>
      <pageMargins left="0.7" right="0.7" top="0.75" bottom="0.75" header="0.3" footer="0.3"/>
      <pageSetup orientation="portrait" r:id="rId1"/>
    </customSheetView>
    <customSheetView guid="{5A803268-F6C5-4035-B3E1-A94CB9AA8994}">
      <pane ySplit="2" topLeftCell="A3" activePane="bottomLeft" state="frozen"/>
      <selection pane="bottomLeft" activeCell="DP1" sqref="DP1:DP1048576"/>
      <pageMargins left="0.7" right="0.7" top="0.75" bottom="0.75" header="0.3" footer="0.3"/>
      <pageSetup orientation="portrait" verticalDpi="0" r:id="rId2"/>
    </customSheetView>
    <customSheetView guid="{751D391F-C74F-4B53-B5B5-25E01AC12EA4}" topLeftCell="E1">
      <pane ySplit="1" topLeftCell="A2" activePane="bottomLeft" state="frozen"/>
      <selection pane="bottomLeft" activeCell="L22" sqref="L22"/>
      <pageMargins left="0.7" right="0.7" top="0.75" bottom="0.75" header="0.3" footer="0.3"/>
      <pageSetup orientation="portrait" r:id="rId3"/>
    </customSheetView>
    <customSheetView guid="{D1D1E152-95AB-45D3-AC07-4EC0834D3E0C}" topLeftCell="E1">
      <pane ySplit="1" topLeftCell="A2" activePane="bottomLeft" state="frozen"/>
      <selection pane="bottomLeft" activeCell="L22" sqref="L22"/>
      <pageMargins left="0.7" right="0.7" top="0.75" bottom="0.75" header="0.3" footer="0.3"/>
      <pageSetup orientation="portrait" r:id="rId4"/>
    </customSheetView>
    <customSheetView guid="{4DB6C640-CE65-4513-9E5A-F6CDD1F4B8AF}">
      <pane ySplit="1" topLeftCell="A2" activePane="bottomLeft" state="frozen"/>
      <selection pane="bottomLeft" activeCell="A27" sqref="A27"/>
      <pageMargins left="0.7" right="0.7" top="0.75" bottom="0.75" header="0.3" footer="0.3"/>
      <pageSetup orientation="portrait" r:id="rId5"/>
    </customSheetView>
    <customSheetView guid="{C3348F62-02F2-4500-9BF2-19F2DEA57A8D}" showPageBreaks="1" topLeftCell="E1">
      <pane ySplit="1" topLeftCell="A2" activePane="bottomLeft" state="frozen"/>
      <selection pane="bottomLeft" activeCell="L22" sqref="L22"/>
      <pageMargins left="0.7" right="0.7" top="0.75" bottom="0.75" header="0.3" footer="0.3"/>
      <pageSetup orientation="portrait" r:id="rId6"/>
    </customSheetView>
  </customSheetViews>
  <pageMargins left="0.7" right="0.7" top="0.75" bottom="0.75" header="0.3" footer="0.3"/>
  <pageSetup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rgb="FFC00000"/>
  </sheetPr>
  <dimension ref="A1:MD263"/>
  <sheetViews>
    <sheetView zoomScalePageLayoutView="80" workbookViewId="0">
      <selection sqref="A1:R224"/>
    </sheetView>
  </sheetViews>
  <sheetFormatPr defaultColWidth="9.140625" defaultRowHeight="14.25"/>
  <cols>
    <col min="1" max="1" width="3.42578125" style="180" customWidth="1"/>
    <col min="2" max="2" width="4.42578125" style="180" customWidth="1"/>
    <col min="3" max="3" width="12.28515625" style="180" customWidth="1"/>
    <col min="4" max="4" width="18" style="180" customWidth="1"/>
    <col min="5" max="5" width="11.28515625" style="180" customWidth="1"/>
    <col min="6" max="6" width="12.28515625" style="180" customWidth="1"/>
    <col min="7" max="7" width="18.42578125" style="180" customWidth="1"/>
    <col min="8" max="8" width="13.7109375" style="180" customWidth="1"/>
    <col min="9" max="9" width="14.42578125" style="180" customWidth="1"/>
    <col min="10" max="10" width="14.28515625" style="180" customWidth="1"/>
    <col min="11" max="11" width="18" style="180" customWidth="1"/>
    <col min="12" max="12" width="15.5703125" style="180" customWidth="1"/>
    <col min="13" max="13" width="13" style="180" customWidth="1"/>
    <col min="14" max="14" width="10.85546875" style="180" customWidth="1"/>
    <col min="15" max="15" width="14.140625" style="180" customWidth="1"/>
    <col min="16" max="16" width="10.7109375" style="180" customWidth="1"/>
    <col min="17" max="17" width="17.7109375" style="180" customWidth="1"/>
    <col min="18" max="18" width="15.85546875" style="652" customWidth="1"/>
    <col min="19" max="19" width="22.28515625" style="180" customWidth="1"/>
    <col min="20" max="20" width="13.7109375" style="180" customWidth="1"/>
    <col min="21" max="21" width="23.5703125" style="180" customWidth="1"/>
    <col min="22" max="22" width="16.140625" style="180" customWidth="1"/>
    <col min="23" max="23" width="17.42578125" style="180" customWidth="1"/>
    <col min="24" max="24" width="15" style="180" customWidth="1"/>
    <col min="25" max="25" width="18" style="180" customWidth="1"/>
    <col min="26" max="26" width="15.28515625" style="180" customWidth="1"/>
    <col min="27" max="28" width="9.140625" style="180"/>
    <col min="29" max="29" width="5.140625" style="180" customWidth="1"/>
    <col min="30" max="32" width="9.140625" style="180"/>
    <col min="33" max="33" width="11.42578125" style="180" customWidth="1"/>
    <col min="34" max="52" width="9.140625" style="180"/>
    <col min="53" max="53" width="11.140625" style="180" customWidth="1"/>
    <col min="54" max="16384" width="9.140625" style="180"/>
  </cols>
  <sheetData>
    <row r="1" spans="1:54" ht="32.25" customHeight="1">
      <c r="A1" s="180" t="s">
        <v>18</v>
      </c>
      <c r="B1" s="190"/>
      <c r="C1" s="190"/>
      <c r="D1" s="190"/>
      <c r="E1" s="190"/>
      <c r="F1" s="191"/>
      <c r="G1" s="192" t="s">
        <v>270</v>
      </c>
      <c r="H1" s="190"/>
      <c r="I1" s="190"/>
      <c r="J1" s="190"/>
      <c r="K1" s="190"/>
      <c r="L1" s="190"/>
      <c r="M1" s="190"/>
      <c r="N1" s="190"/>
      <c r="O1" s="190"/>
      <c r="P1" s="190"/>
      <c r="Q1" s="193"/>
      <c r="R1" s="194" t="s">
        <v>271</v>
      </c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</row>
    <row r="2" spans="1:54" ht="36" customHeight="1">
      <c r="B2" s="190"/>
      <c r="C2" s="190"/>
      <c r="D2" s="190"/>
      <c r="E2" s="1584" t="s">
        <v>1109</v>
      </c>
      <c r="F2" s="196"/>
      <c r="G2" s="196"/>
      <c r="H2" s="196"/>
      <c r="I2" s="196"/>
      <c r="J2" s="196"/>
      <c r="K2" s="196"/>
      <c r="L2" s="1585">
        <f>E3</f>
        <v>43107</v>
      </c>
      <c r="M2" s="197" t="str">
        <f>G3</f>
        <v>Saturday</v>
      </c>
      <c r="N2" s="198"/>
      <c r="O2" s="190"/>
      <c r="P2" s="190"/>
      <c r="Q2" s="193"/>
      <c r="R2" s="193"/>
      <c r="S2" s="195"/>
      <c r="T2" s="195"/>
      <c r="U2" s="195"/>
      <c r="V2" s="195"/>
      <c r="W2" s="195"/>
      <c r="X2" s="195"/>
      <c r="Y2" s="195"/>
      <c r="Z2" s="195"/>
      <c r="AA2" s="195"/>
      <c r="AB2" s="195"/>
      <c r="AC2" s="195"/>
    </row>
    <row r="3" spans="1:54" ht="15" customHeight="1" thickBot="1">
      <c r="A3" s="1583"/>
      <c r="B3" s="199"/>
      <c r="C3" s="200" t="s">
        <v>169</v>
      </c>
      <c r="D3" s="201" t="s">
        <v>272</v>
      </c>
      <c r="E3" s="202">
        <v>43107</v>
      </c>
      <c r="F3" s="202"/>
      <c r="G3" s="724" t="str">
        <f>AG188</f>
        <v>Saturday</v>
      </c>
      <c r="H3" s="203"/>
      <c r="I3" s="204"/>
      <c r="J3" s="204"/>
      <c r="K3" s="199"/>
      <c r="L3" s="205"/>
      <c r="M3" s="206"/>
      <c r="N3" s="204"/>
      <c r="O3" s="207"/>
      <c r="P3" s="208"/>
      <c r="Q3" s="209"/>
      <c r="R3" s="199"/>
      <c r="S3" s="210"/>
      <c r="T3" s="195"/>
      <c r="U3" s="195"/>
      <c r="V3" s="195"/>
      <c r="W3" s="195"/>
      <c r="X3" s="195"/>
      <c r="Y3" s="195"/>
      <c r="Z3" s="195"/>
      <c r="AA3" s="195"/>
      <c r="AB3" s="195"/>
      <c r="AC3" s="195"/>
      <c r="BA3" s="1403" t="s">
        <v>866</v>
      </c>
      <c r="BB3" s="1403">
        <v>224</v>
      </c>
    </row>
    <row r="4" spans="1:54" ht="20.25" customHeight="1" thickBot="1">
      <c r="B4" s="2381"/>
      <c r="C4" s="1010" t="s">
        <v>273</v>
      </c>
      <c r="D4" s="1010"/>
      <c r="E4" s="1010" t="s">
        <v>274</v>
      </c>
      <c r="F4" s="1010"/>
      <c r="G4" s="1011" t="s">
        <v>275</v>
      </c>
      <c r="H4" s="2382">
        <f>L181</f>
        <v>11196.6</v>
      </c>
      <c r="I4" s="2382" t="s">
        <v>36</v>
      </c>
      <c r="J4" s="1010"/>
      <c r="K4" s="2383"/>
      <c r="L4" s="1010" t="s">
        <v>276</v>
      </c>
      <c r="M4" s="1010"/>
      <c r="N4" s="2382">
        <f>M181</f>
        <v>12061</v>
      </c>
      <c r="O4" s="1010" t="s">
        <v>36</v>
      </c>
      <c r="P4" s="1010"/>
      <c r="Q4" s="1010"/>
      <c r="R4" s="2384"/>
      <c r="S4" s="211"/>
      <c r="T4" s="195"/>
      <c r="U4" s="195"/>
      <c r="V4" s="195"/>
      <c r="W4" s="195"/>
      <c r="X4" s="195"/>
      <c r="Y4" s="195"/>
      <c r="Z4" s="195"/>
      <c r="AA4" s="195"/>
      <c r="AB4" s="195"/>
      <c r="AC4" s="195"/>
    </row>
    <row r="5" spans="1:54" ht="20.25" customHeight="1" thickBot="1">
      <c r="B5" s="2385" t="s">
        <v>809</v>
      </c>
      <c r="C5" s="2386"/>
      <c r="D5" s="2387"/>
      <c r="E5" s="2388"/>
      <c r="F5" s="2388"/>
      <c r="G5" s="2389"/>
      <c r="H5" s="2387"/>
      <c r="I5" s="2385" t="s">
        <v>812</v>
      </c>
      <c r="J5" s="2390" t="s">
        <v>281</v>
      </c>
      <c r="K5" s="2391"/>
      <c r="L5" s="1014" t="s">
        <v>282</v>
      </c>
      <c r="M5" s="2392"/>
      <c r="N5" s="1012" t="s">
        <v>283</v>
      </c>
      <c r="O5" s="1012"/>
      <c r="P5" s="2389" t="s">
        <v>284</v>
      </c>
      <c r="Q5" s="2387"/>
      <c r="R5" s="2388" t="s">
        <v>285</v>
      </c>
      <c r="S5" s="213"/>
      <c r="T5" s="195"/>
      <c r="U5" s="195"/>
      <c r="V5" s="195"/>
      <c r="W5" s="195"/>
      <c r="X5" s="195"/>
      <c r="Y5" s="195"/>
      <c r="Z5" s="195"/>
      <c r="AA5" s="195"/>
      <c r="AB5" s="195"/>
      <c r="AC5" s="195"/>
    </row>
    <row r="6" spans="1:54" ht="17.25" customHeight="1" thickBot="1">
      <c r="B6" s="2393" t="s">
        <v>811</v>
      </c>
      <c r="C6" s="2393" t="s">
        <v>810</v>
      </c>
      <c r="D6" s="2394"/>
      <c r="E6" s="2395" t="s">
        <v>32</v>
      </c>
      <c r="F6" s="2395" t="s">
        <v>279</v>
      </c>
      <c r="G6" s="2396" t="s">
        <v>280</v>
      </c>
      <c r="H6" s="2394"/>
      <c r="I6" s="2396" t="s">
        <v>813</v>
      </c>
      <c r="J6" s="2397" t="s">
        <v>288</v>
      </c>
      <c r="K6" s="1013">
        <f>YesterdayGen!A2</f>
        <v>43106</v>
      </c>
      <c r="L6" s="2398">
        <f>E3</f>
        <v>43107</v>
      </c>
      <c r="M6" s="2399" t="s">
        <v>289</v>
      </c>
      <c r="N6" s="2396" t="s">
        <v>290</v>
      </c>
      <c r="O6" s="2395" t="s">
        <v>291</v>
      </c>
      <c r="P6" s="2393" t="s">
        <v>292</v>
      </c>
      <c r="Q6" s="2394"/>
      <c r="R6" s="2400" t="s">
        <v>293</v>
      </c>
      <c r="S6" s="213"/>
      <c r="T6" s="195"/>
      <c r="U6" s="195"/>
      <c r="V6" s="195"/>
      <c r="W6" s="195"/>
      <c r="X6" s="195"/>
      <c r="Y6" s="195"/>
      <c r="Z6" s="195"/>
      <c r="AA6" s="195"/>
      <c r="AB6" s="195"/>
      <c r="AC6" s="195"/>
    </row>
    <row r="7" spans="1:54" ht="18.75" customHeight="1" thickBot="1">
      <c r="B7" s="2401"/>
      <c r="C7" s="2402"/>
      <c r="D7" s="2403"/>
      <c r="E7" s="2404"/>
      <c r="F7" s="2401"/>
      <c r="G7" s="2402"/>
      <c r="H7" s="2403"/>
      <c r="I7" s="2401"/>
      <c r="J7" s="2405" t="s">
        <v>119</v>
      </c>
      <c r="K7" s="2396" t="s">
        <v>286</v>
      </c>
      <c r="L7" s="2396" t="s">
        <v>287</v>
      </c>
      <c r="M7" s="2406" t="s">
        <v>286</v>
      </c>
      <c r="N7" s="2396" t="s">
        <v>294</v>
      </c>
      <c r="O7" s="2395" t="s">
        <v>295</v>
      </c>
      <c r="P7" s="2407" t="s">
        <v>296</v>
      </c>
      <c r="Q7" s="2403"/>
      <c r="R7" s="2400" t="s">
        <v>19</v>
      </c>
      <c r="S7" s="212"/>
      <c r="T7" s="195"/>
      <c r="U7" s="195"/>
      <c r="V7" s="195"/>
      <c r="W7" s="195"/>
      <c r="X7" s="195"/>
      <c r="Y7" s="195"/>
      <c r="Z7" s="195"/>
      <c r="AA7" s="195"/>
      <c r="AB7" s="195"/>
      <c r="AC7" s="195"/>
    </row>
    <row r="8" spans="1:54" ht="14.25" customHeight="1" thickBot="1">
      <c r="B8" s="2408"/>
      <c r="C8" s="2409"/>
      <c r="D8" s="2409"/>
      <c r="E8" s="1012"/>
      <c r="F8" s="1009"/>
      <c r="G8" s="2410" t="s">
        <v>734</v>
      </c>
      <c r="H8" s="2411" t="s">
        <v>36</v>
      </c>
      <c r="I8" s="2408" t="s">
        <v>36</v>
      </c>
      <c r="J8" s="2412" t="s">
        <v>36</v>
      </c>
      <c r="K8" s="2397" t="s">
        <v>36</v>
      </c>
      <c r="L8" s="2397" t="s">
        <v>36</v>
      </c>
      <c r="M8" s="2413" t="s">
        <v>36</v>
      </c>
      <c r="N8" s="2397" t="s">
        <v>36</v>
      </c>
      <c r="O8" s="2408" t="str">
        <f>K8</f>
        <v>MW</v>
      </c>
      <c r="P8" s="2414"/>
      <c r="Q8" s="2415"/>
      <c r="R8" s="1012"/>
      <c r="S8" s="212"/>
      <c r="T8" s="195"/>
      <c r="U8" s="195"/>
      <c r="V8" s="195"/>
      <c r="W8" s="195"/>
      <c r="X8" s="195"/>
      <c r="Y8" s="195"/>
      <c r="Z8" s="195"/>
      <c r="AA8" s="195"/>
      <c r="AB8" s="195"/>
      <c r="AC8" s="195"/>
    </row>
    <row r="9" spans="1:54" ht="16.5" customHeight="1">
      <c r="B9" s="2421">
        <v>1</v>
      </c>
      <c r="C9" s="1907" t="str">
        <f>Master!C3</f>
        <v>Ghorasal Repowered CCPP:Unit-3 (GT</v>
      </c>
      <c r="D9" s="1908"/>
      <c r="E9" s="233" t="str">
        <f>Master!C5</f>
        <v>Gas</v>
      </c>
      <c r="F9" s="2416" t="str">
        <f>Master!C4</f>
        <v>PDB</v>
      </c>
      <c r="G9" s="218" t="str">
        <f>Master!C6</f>
        <v>1*260</v>
      </c>
      <c r="H9" s="2421">
        <f>Master!C7</f>
        <v>260</v>
      </c>
      <c r="I9" s="2422">
        <f>Master!C8</f>
        <v>260</v>
      </c>
      <c r="J9" s="2423">
        <f>YesterdayGen!C33</f>
        <v>0</v>
      </c>
      <c r="K9" s="2424">
        <f>YesterdayGen!C34</f>
        <v>0</v>
      </c>
      <c r="L9" s="2423">
        <f>YesterdayGen!C36</f>
        <v>0</v>
      </c>
      <c r="M9" s="2424">
        <f>YesterdayGen!C35</f>
        <v>0</v>
      </c>
      <c r="N9" s="2424"/>
      <c r="O9" s="2420">
        <f>I9-M9</f>
        <v>260</v>
      </c>
      <c r="P9" s="3837" t="s">
        <v>117</v>
      </c>
      <c r="Q9" s="1921"/>
      <c r="R9" s="4582"/>
      <c r="S9" s="220"/>
      <c r="T9" s="195"/>
      <c r="U9" s="195"/>
      <c r="V9" s="195"/>
      <c r="W9" s="195"/>
      <c r="X9" s="195"/>
      <c r="Y9" s="195"/>
      <c r="Z9" s="195"/>
      <c r="AA9" s="195"/>
      <c r="AB9" s="195"/>
      <c r="AC9" s="195"/>
    </row>
    <row r="10" spans="1:54" ht="16.5" customHeight="1">
      <c r="B10" s="4448">
        <v>2</v>
      </c>
      <c r="C10" s="1907" t="str">
        <f>Master!D3</f>
        <v>Ghorasal Repowered CCPP Unit-4</v>
      </c>
      <c r="D10" s="1908"/>
      <c r="E10" s="234" t="str">
        <f>Master!D5</f>
        <v>Gas</v>
      </c>
      <c r="F10" s="2421" t="str">
        <f>Master!D4</f>
        <v>PDB</v>
      </c>
      <c r="G10" s="218" t="str">
        <f>Master!D6</f>
        <v>1*210</v>
      </c>
      <c r="H10" s="2421">
        <f>Master!D7</f>
        <v>210</v>
      </c>
      <c r="I10" s="2422">
        <f>Master!D8</f>
        <v>180</v>
      </c>
      <c r="J10" s="2423">
        <f>YesterdayGen!D33</f>
        <v>231</v>
      </c>
      <c r="K10" s="2424">
        <f>YesterdayGen!D34</f>
        <v>240</v>
      </c>
      <c r="L10" s="2423">
        <f>YesterdayGen!D36</f>
        <v>180</v>
      </c>
      <c r="M10" s="2424">
        <f>YesterdayGen!D35</f>
        <v>180</v>
      </c>
      <c r="N10" s="2424"/>
      <c r="O10" s="2420"/>
      <c r="P10" s="3837"/>
      <c r="Q10" s="1921"/>
      <c r="R10" s="219"/>
      <c r="S10" s="221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</row>
    <row r="11" spans="1:54" ht="16.5" customHeight="1">
      <c r="B11" s="4449"/>
      <c r="C11" s="1907" t="str">
        <f>Master!E3</f>
        <v>Ghorasal TPP Unit-5</v>
      </c>
      <c r="D11" s="1908"/>
      <c r="E11" s="234" t="str">
        <f>Master!E5</f>
        <v>Gas</v>
      </c>
      <c r="F11" s="2421" t="str">
        <f>Master!E4</f>
        <v>PDB</v>
      </c>
      <c r="G11" s="218" t="str">
        <f>Master!E6</f>
        <v>1*210</v>
      </c>
      <c r="H11" s="2421">
        <f>Master!E7</f>
        <v>210</v>
      </c>
      <c r="I11" s="2422">
        <f>Master!E8</f>
        <v>190</v>
      </c>
      <c r="J11" s="2423">
        <f>YesterdayGen!E33</f>
        <v>0</v>
      </c>
      <c r="K11" s="2424">
        <f>YesterdayGen!E34</f>
        <v>0</v>
      </c>
      <c r="L11" s="2423">
        <f>YesterdayGen!E36</f>
        <v>0</v>
      </c>
      <c r="M11" s="2424">
        <f>YesterdayGen!E35</f>
        <v>0</v>
      </c>
      <c r="N11" s="2424"/>
      <c r="O11" s="2420">
        <v>190</v>
      </c>
      <c r="P11" s="3837" t="s">
        <v>117</v>
      </c>
      <c r="Q11" s="1921"/>
      <c r="R11" s="223"/>
      <c r="S11" s="220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</row>
    <row r="12" spans="1:54" ht="16.5" customHeight="1">
      <c r="B12" s="2421">
        <v>3</v>
      </c>
      <c r="C12" s="1907" t="str">
        <f>Master!F3</f>
        <v>Ghorasal 365 MW CCPP Unit-7</v>
      </c>
      <c r="D12" s="1908"/>
      <c r="E12" s="234" t="str">
        <f>Master!F5</f>
        <v>Gas</v>
      </c>
      <c r="F12" s="2421" t="str">
        <f>Master!F4</f>
        <v>PDB</v>
      </c>
      <c r="G12" s="218" t="str">
        <f>Master!F6</f>
        <v>1*243+1*122</v>
      </c>
      <c r="H12" s="2421">
        <f>Master!F7</f>
        <v>365</v>
      </c>
      <c r="I12" s="2422">
        <f>Master!F8</f>
        <v>365</v>
      </c>
      <c r="J12" s="2423">
        <f>YesterdayGen!F33</f>
        <v>0</v>
      </c>
      <c r="K12" s="2424">
        <f>YesterdayGen!F34</f>
        <v>0</v>
      </c>
      <c r="L12" s="2423">
        <f>YesterdayGen!F36</f>
        <v>0</v>
      </c>
      <c r="M12" s="2424">
        <f>YesterdayGen!F35</f>
        <v>0</v>
      </c>
      <c r="N12" s="2424">
        <f>I12-M12</f>
        <v>365</v>
      </c>
      <c r="O12" s="2420"/>
      <c r="P12" s="3837" t="s">
        <v>174</v>
      </c>
      <c r="Q12" s="1921"/>
      <c r="R12" s="223"/>
      <c r="S12" s="220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</row>
    <row r="13" spans="1:54" ht="16.5" customHeight="1">
      <c r="B13" s="3970"/>
      <c r="C13" s="3971" t="str">
        <f>Master!H3</f>
        <v>Ghorashal 78.5 MW PP(MAX)</v>
      </c>
      <c r="D13" s="3972"/>
      <c r="E13" s="3973" t="str">
        <f>Master!H5</f>
        <v>Gas</v>
      </c>
      <c r="F13" s="3970" t="str">
        <f>Master!H4</f>
        <v>QRPP</v>
      </c>
      <c r="G13" s="3974" t="str">
        <f>Master!H6</f>
        <v>2*40</v>
      </c>
      <c r="H13" s="3970">
        <f>Master!H7</f>
        <v>0</v>
      </c>
      <c r="I13" s="3975">
        <f>Master!H8</f>
        <v>0</v>
      </c>
      <c r="J13" s="3976">
        <f>YesterdayGen!H33</f>
        <v>0</v>
      </c>
      <c r="K13" s="3977">
        <f>YesterdayGen!H34</f>
        <v>0</v>
      </c>
      <c r="L13" s="3978">
        <f>YesterdayGen!H36</f>
        <v>0</v>
      </c>
      <c r="M13" s="3979">
        <f>YesterdayGen!H35</f>
        <v>0</v>
      </c>
      <c r="N13" s="3977"/>
      <c r="O13" s="3980"/>
      <c r="P13" s="3981" t="s">
        <v>900</v>
      </c>
      <c r="Q13" s="3982"/>
      <c r="R13" s="3983"/>
      <c r="S13" s="1209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</row>
    <row r="14" spans="1:54" ht="16.5" customHeight="1">
      <c r="B14" s="2421">
        <v>4</v>
      </c>
      <c r="C14" s="1907" t="str">
        <f>Master!G3</f>
        <v>Ghorashal 108MW PP (Regent)</v>
      </c>
      <c r="D14" s="1908"/>
      <c r="E14" s="234" t="str">
        <f>Master!G5</f>
        <v>Gas</v>
      </c>
      <c r="F14" s="2421" t="str">
        <f>Master!G4</f>
        <v>IPP</v>
      </c>
      <c r="G14" s="224" t="str">
        <f>Master!G6</f>
        <v>34*3.35</v>
      </c>
      <c r="H14" s="2421">
        <f>Master!G7</f>
        <v>108</v>
      </c>
      <c r="I14" s="2422">
        <f>Master!G8</f>
        <v>108</v>
      </c>
      <c r="J14" s="2423">
        <f>YesterdayGen!G33</f>
        <v>0</v>
      </c>
      <c r="K14" s="2424">
        <f>YesterdayGen!G34</f>
        <v>0</v>
      </c>
      <c r="L14" s="2425">
        <f>YesterdayGen!G36</f>
        <v>0</v>
      </c>
      <c r="M14" s="2426">
        <f>YesterdayGen!G35</f>
        <v>0</v>
      </c>
      <c r="N14" s="2424">
        <v>108</v>
      </c>
      <c r="O14" s="2947"/>
      <c r="P14" s="3837" t="s">
        <v>174</v>
      </c>
      <c r="Q14" s="1921"/>
      <c r="R14" s="219"/>
      <c r="S14" s="1209"/>
      <c r="T14" s="195"/>
      <c r="U14" s="195"/>
      <c r="V14" s="195"/>
      <c r="W14" s="195"/>
      <c r="X14" s="195"/>
      <c r="Y14" s="195"/>
      <c r="Z14" s="195"/>
      <c r="AA14" s="195"/>
      <c r="AB14" s="195"/>
      <c r="AC14" s="195"/>
    </row>
    <row r="15" spans="1:54" ht="16.5" customHeight="1">
      <c r="B15" s="2421">
        <v>5</v>
      </c>
      <c r="C15" s="2046" t="str">
        <f>Master!L3</f>
        <v>Haripur GTPP</v>
      </c>
      <c r="D15" s="2047"/>
      <c r="E15" s="234" t="str">
        <f>Master!L5</f>
        <v>Gas</v>
      </c>
      <c r="F15" s="2421" t="str">
        <f>Master!L4</f>
        <v>SBU, PDB</v>
      </c>
      <c r="G15" s="224" t="str">
        <f>Master!L6</f>
        <v>2*32</v>
      </c>
      <c r="H15" s="2421">
        <f>Master!L7</f>
        <v>32</v>
      </c>
      <c r="I15" s="2422">
        <f>Master!L8</f>
        <v>20</v>
      </c>
      <c r="J15" s="2423">
        <f>YesterdayGen!L33</f>
        <v>0</v>
      </c>
      <c r="K15" s="2424">
        <f>YesterdayGen!L34</f>
        <v>0</v>
      </c>
      <c r="L15" s="2425">
        <f>YesterdayGen!L36</f>
        <v>0</v>
      </c>
      <c r="M15" s="2426">
        <f>YesterdayGen!L35</f>
        <v>0</v>
      </c>
      <c r="N15" s="2424"/>
      <c r="O15" s="2947">
        <f>I15-M15</f>
        <v>20</v>
      </c>
      <c r="P15" s="1922" t="s">
        <v>117</v>
      </c>
      <c r="Q15" s="1921"/>
      <c r="R15" s="219"/>
      <c r="S15" s="1209"/>
      <c r="T15" s="195"/>
      <c r="U15" s="195"/>
      <c r="V15" s="195"/>
      <c r="W15" s="195"/>
      <c r="X15" s="195"/>
      <c r="Y15" s="195"/>
      <c r="Z15" s="195"/>
      <c r="AA15" s="195"/>
      <c r="AB15" s="195"/>
      <c r="AC15" s="195"/>
    </row>
    <row r="16" spans="1:54" ht="16.5" customHeight="1">
      <c r="B16" s="2421">
        <v>6</v>
      </c>
      <c r="C16" s="1907" t="str">
        <f>Master!I3</f>
        <v>Haripur  412 MW CCPP</v>
      </c>
      <c r="D16" s="1908"/>
      <c r="E16" s="234" t="str">
        <f>Master!I5</f>
        <v>Gas</v>
      </c>
      <c r="F16" s="2421" t="str">
        <f>Master!I4</f>
        <v>EGCB</v>
      </c>
      <c r="G16" s="218" t="str">
        <f>Master!I6</f>
        <v>1*273+1*139</v>
      </c>
      <c r="H16" s="2421">
        <f>Master!I7</f>
        <v>412</v>
      </c>
      <c r="I16" s="2422">
        <f>Master!I8</f>
        <v>412</v>
      </c>
      <c r="J16" s="2423">
        <f>YesterdayGen!I33</f>
        <v>0</v>
      </c>
      <c r="K16" s="2424">
        <f>YesterdayGen!I34</f>
        <v>0</v>
      </c>
      <c r="L16" s="2427">
        <f>YesterdayGen!I36</f>
        <v>0</v>
      </c>
      <c r="M16" s="2426">
        <f>YesterdayGen!I35</f>
        <v>0</v>
      </c>
      <c r="N16" s="2424">
        <f>I16-M16</f>
        <v>412</v>
      </c>
      <c r="O16" s="2947"/>
      <c r="P16" s="1922" t="s">
        <v>174</v>
      </c>
      <c r="Q16" s="1921"/>
      <c r="R16" s="4581"/>
      <c r="S16" s="1209" t="s">
        <v>297</v>
      </c>
      <c r="T16" s="195"/>
      <c r="U16" s="195"/>
      <c r="V16" s="195"/>
      <c r="W16" s="195"/>
      <c r="X16" s="195"/>
      <c r="Y16" s="195"/>
      <c r="Z16" s="195"/>
      <c r="AA16" s="195"/>
      <c r="AB16" s="195"/>
      <c r="AC16" s="195"/>
    </row>
    <row r="17" spans="1:342" ht="16.5" customHeight="1">
      <c r="B17" s="2421">
        <v>7</v>
      </c>
      <c r="C17" s="1907" t="str">
        <f>Master!J3</f>
        <v>Haripur 360MW CCPP(HPL)</v>
      </c>
      <c r="D17" s="1908"/>
      <c r="E17" s="234" t="str">
        <f>Master!J5</f>
        <v>Gas</v>
      </c>
      <c r="F17" s="2421" t="str">
        <f>Master!J4</f>
        <v>IPP</v>
      </c>
      <c r="G17" s="224" t="str">
        <f>Master!J6</f>
        <v>1*235+1*125</v>
      </c>
      <c r="H17" s="2421">
        <f>Master!J7</f>
        <v>360</v>
      </c>
      <c r="I17" s="2422">
        <f>Master!J8</f>
        <v>360</v>
      </c>
      <c r="J17" s="2423">
        <f>YesterdayGen!J33</f>
        <v>202</v>
      </c>
      <c r="K17" s="2424">
        <f>YesterdayGen!J34</f>
        <v>222</v>
      </c>
      <c r="L17" s="2427">
        <f>YesterdayGen!J36</f>
        <v>250</v>
      </c>
      <c r="M17" s="2428">
        <f>YesterdayGen!J35</f>
        <v>250</v>
      </c>
      <c r="N17" s="2424">
        <f>I17-M17</f>
        <v>110</v>
      </c>
      <c r="O17" s="2947"/>
      <c r="P17" s="1922" t="s">
        <v>174</v>
      </c>
      <c r="Q17" s="214"/>
      <c r="R17" s="219"/>
      <c r="S17" s="220" t="s">
        <v>299</v>
      </c>
      <c r="T17" s="195"/>
      <c r="U17" s="195"/>
      <c r="V17" s="195"/>
      <c r="W17" s="195"/>
      <c r="X17" s="195"/>
      <c r="Y17" s="195"/>
      <c r="Z17" s="195"/>
      <c r="AA17" s="195"/>
      <c r="AB17" s="195"/>
      <c r="AC17" s="195"/>
    </row>
    <row r="18" spans="1:342" s="181" customFormat="1" ht="16.5" customHeight="1">
      <c r="B18" s="2421">
        <v>8</v>
      </c>
      <c r="C18" s="1909" t="str">
        <f>Master!M3</f>
        <v>Meghnaghat 450 MW CCPP(MPL)</v>
      </c>
      <c r="D18" s="1910"/>
      <c r="E18" s="234" t="str">
        <f>Master!M5</f>
        <v>Gas</v>
      </c>
      <c r="F18" s="2421" t="str">
        <f>Master!M4</f>
        <v>IPP</v>
      </c>
      <c r="G18" s="218" t="str">
        <f>Master!M6</f>
        <v>2*150+1*150</v>
      </c>
      <c r="H18" s="2429">
        <f>Master!M7</f>
        <v>450</v>
      </c>
      <c r="I18" s="2430">
        <f>Master!M8</f>
        <v>450</v>
      </c>
      <c r="J18" s="2423">
        <f>YesterdayGen!M33</f>
        <v>180</v>
      </c>
      <c r="K18" s="2424">
        <f>YesterdayGen!M34</f>
        <v>180</v>
      </c>
      <c r="L18" s="2431">
        <f>YesterdayGen!M36</f>
        <v>180</v>
      </c>
      <c r="M18" s="2432">
        <f>YesterdayGen!M35</f>
        <v>180</v>
      </c>
      <c r="N18" s="2424">
        <f>I18-M18</f>
        <v>270</v>
      </c>
      <c r="O18" s="2947"/>
      <c r="P18" s="1922" t="s">
        <v>174</v>
      </c>
      <c r="Q18" s="1921"/>
      <c r="R18" s="223"/>
      <c r="S18" s="220" t="s">
        <v>300</v>
      </c>
      <c r="T18" s="227"/>
      <c r="U18" s="227"/>
      <c r="V18" s="227"/>
      <c r="W18" s="227"/>
      <c r="X18" s="227"/>
      <c r="Y18" s="227"/>
      <c r="Z18" s="227"/>
      <c r="AA18" s="227"/>
      <c r="AB18" s="227"/>
      <c r="AC18" s="227"/>
    </row>
    <row r="19" spans="1:342" ht="16.5" customHeight="1">
      <c r="B19" s="4258">
        <v>9</v>
      </c>
      <c r="C19" s="4259" t="str">
        <f>Master!O3</f>
        <v>Meghnaghat 100 MW(IEL)</v>
      </c>
      <c r="D19" s="4260"/>
      <c r="E19" s="4261" t="str">
        <f>Master!O5</f>
        <v>HFO</v>
      </c>
      <c r="F19" s="4258" t="str">
        <f>Master!O4</f>
        <v>QRPP</v>
      </c>
      <c r="G19" s="4262" t="str">
        <f>Master!O6</f>
        <v>12*8.9</v>
      </c>
      <c r="H19" s="4263">
        <f>Master!O7</f>
        <v>100</v>
      </c>
      <c r="I19" s="4264">
        <f>Master!O8</f>
        <v>0</v>
      </c>
      <c r="J19" s="4265">
        <f>YesterdayGen!O33</f>
        <v>0</v>
      </c>
      <c r="K19" s="4266">
        <f>YesterdayGen!O34</f>
        <v>0</v>
      </c>
      <c r="L19" s="4267">
        <f>YesterdayGen!O36</f>
        <v>0</v>
      </c>
      <c r="M19" s="4268">
        <f>YesterdayGen!O35</f>
        <v>0</v>
      </c>
      <c r="N19" s="4266"/>
      <c r="O19" s="4269"/>
      <c r="P19" s="4270" t="s">
        <v>900</v>
      </c>
      <c r="Q19" s="4271"/>
      <c r="R19" s="4573"/>
      <c r="S19" s="220"/>
      <c r="T19" s="195"/>
      <c r="U19" s="195"/>
      <c r="V19" s="195"/>
      <c r="W19" s="195"/>
      <c r="X19" s="195"/>
      <c r="Y19" s="195"/>
      <c r="Z19" s="195"/>
      <c r="AA19" s="195"/>
      <c r="AB19" s="195"/>
      <c r="AC19" s="195"/>
      <c r="FE19" s="180">
        <v>0</v>
      </c>
    </row>
    <row r="20" spans="1:342" ht="16.5" customHeight="1">
      <c r="B20" s="2421">
        <v>10</v>
      </c>
      <c r="C20" s="1909" t="str">
        <f>Master!N3</f>
        <v>Meghnaghat CCPP(Summit)</v>
      </c>
      <c r="D20" s="1910"/>
      <c r="E20" s="234" t="str">
        <f>Master!N5</f>
        <v>Gas</v>
      </c>
      <c r="F20" s="2421" t="str">
        <f>Master!N4</f>
        <v>IPP</v>
      </c>
      <c r="G20" s="2433" t="str">
        <f>Master!N6</f>
        <v>2*110+1*110</v>
      </c>
      <c r="H20" s="2429">
        <f>Master!N7</f>
        <v>305</v>
      </c>
      <c r="I20" s="2430">
        <f>Master!N8</f>
        <v>305</v>
      </c>
      <c r="J20" s="2423">
        <f>YesterdayGen!N33</f>
        <v>0</v>
      </c>
      <c r="K20" s="2424">
        <f>YesterdayGen!N34</f>
        <v>0</v>
      </c>
      <c r="L20" s="2431">
        <f>YesterdayGen!N36</f>
        <v>0</v>
      </c>
      <c r="M20" s="2434">
        <f>YesterdayGen!N35</f>
        <v>0</v>
      </c>
      <c r="N20" s="2424">
        <f>I20-M20</f>
        <v>305</v>
      </c>
      <c r="O20" s="2420"/>
      <c r="P20" s="1922" t="s">
        <v>174</v>
      </c>
      <c r="Q20" s="1921"/>
      <c r="R20" s="219"/>
      <c r="S20" s="220">
        <v>299634</v>
      </c>
      <c r="T20" s="195"/>
      <c r="U20" s="195"/>
      <c r="V20" s="195"/>
      <c r="W20" s="195"/>
      <c r="X20" s="195"/>
      <c r="Y20" s="195"/>
      <c r="Z20" s="195"/>
      <c r="AA20" s="195"/>
      <c r="AB20" s="195"/>
      <c r="AC20" s="195"/>
    </row>
    <row r="21" spans="1:342" s="4257" customFormat="1" ht="16.5" customHeight="1">
      <c r="B21" s="4258">
        <v>11</v>
      </c>
      <c r="C21" s="4259" t="str">
        <f>Master!P3</f>
        <v>Madanganj 102 PP(Summit)</v>
      </c>
      <c r="D21" s="4260"/>
      <c r="E21" s="4261" t="str">
        <f>Master!P5</f>
        <v>HFO</v>
      </c>
      <c r="F21" s="4258" t="str">
        <f>Master!P4</f>
        <v xml:space="preserve">QRPP </v>
      </c>
      <c r="G21" s="4262" t="str">
        <f>Master!P6</f>
        <v>6*17</v>
      </c>
      <c r="H21" s="4263">
        <f>Master!P7</f>
        <v>102</v>
      </c>
      <c r="I21" s="4264">
        <f>Master!P8</f>
        <v>0</v>
      </c>
      <c r="J21" s="4265">
        <f>YesterdayGen!P33</f>
        <v>0</v>
      </c>
      <c r="K21" s="4266">
        <f>YesterdayGen!P34</f>
        <v>0</v>
      </c>
      <c r="L21" s="4267">
        <f>YesterdayGen!P36</f>
        <v>0</v>
      </c>
      <c r="M21" s="4268">
        <f>YesterdayGen!P35</f>
        <v>0</v>
      </c>
      <c r="N21" s="4266"/>
      <c r="O21" s="4269"/>
      <c r="P21" s="4270"/>
      <c r="Q21" s="4271"/>
      <c r="R21" s="4573"/>
      <c r="S21" s="4272">
        <v>299624</v>
      </c>
      <c r="T21" s="4273"/>
      <c r="U21" s="4273"/>
      <c r="V21" s="4273"/>
      <c r="W21" s="4273"/>
      <c r="X21" s="4273"/>
      <c r="Y21" s="4273"/>
      <c r="Z21" s="4273"/>
      <c r="AA21" s="4273"/>
      <c r="AB21" s="4273"/>
      <c r="AC21" s="4273"/>
    </row>
    <row r="22" spans="1:342" ht="16.5" customHeight="1">
      <c r="B22" s="2421">
        <v>12</v>
      </c>
      <c r="C22" s="1911" t="str">
        <f>Master!Q3</f>
        <v>Madanganj-55 MW PP(Summit)</v>
      </c>
      <c r="D22" s="1910"/>
      <c r="E22" s="234" t="str">
        <f>Master!Q5</f>
        <v>HFO</v>
      </c>
      <c r="F22" s="2421" t="str">
        <f>Master!Q4</f>
        <v>(IPP)</v>
      </c>
      <c r="G22" s="218" t="str">
        <f>Master!Q6</f>
        <v>3*17.08+1*11.3</v>
      </c>
      <c r="H22" s="2429">
        <f>Master!Q7</f>
        <v>55</v>
      </c>
      <c r="I22" s="2430">
        <f>Master!Q8</f>
        <v>55</v>
      </c>
      <c r="J22" s="2423">
        <f>YesterdayGen!Q33</f>
        <v>16</v>
      </c>
      <c r="K22" s="2424">
        <f>YesterdayGen!Q34</f>
        <v>55</v>
      </c>
      <c r="L22" s="2431">
        <f>YesterdayGen!Q36</f>
        <v>55</v>
      </c>
      <c r="M22" s="2432">
        <f>YesterdayGen!Q35</f>
        <v>55</v>
      </c>
      <c r="N22" s="2424"/>
      <c r="O22" s="2420"/>
      <c r="P22" s="4526"/>
      <c r="Q22" s="1921"/>
      <c r="R22" s="219"/>
      <c r="S22" s="220">
        <v>299625</v>
      </c>
      <c r="T22" s="195"/>
      <c r="U22" s="195"/>
      <c r="V22" s="195"/>
      <c r="W22" s="195"/>
      <c r="X22" s="195"/>
      <c r="Y22" s="195"/>
      <c r="Z22" s="195"/>
      <c r="AA22" s="195"/>
      <c r="AB22" s="195"/>
      <c r="AC22" s="195"/>
    </row>
    <row r="23" spans="1:342" ht="16.5" customHeight="1">
      <c r="B23" s="2421">
        <v>13</v>
      </c>
      <c r="C23" s="1909" t="str">
        <f>Master!X3</f>
        <v>Keraniganj 100 MW PP (Powerpac)</v>
      </c>
      <c r="D23" s="1910"/>
      <c r="E23" s="234" t="str">
        <f>Master!X5</f>
        <v>HFO</v>
      </c>
      <c r="F23" s="2421" t="str">
        <f>Master!X4</f>
        <v>QRPP</v>
      </c>
      <c r="G23" s="218" t="str">
        <f>Master!X6</f>
        <v>8*13.45</v>
      </c>
      <c r="H23" s="2429">
        <f>Master!X7</f>
        <v>100</v>
      </c>
      <c r="I23" s="2430">
        <f>Master!X8</f>
        <v>100</v>
      </c>
      <c r="J23" s="2423">
        <f>YesterdayGen!X33</f>
        <v>0</v>
      </c>
      <c r="K23" s="2424">
        <f>YesterdayGen!X34</f>
        <v>24</v>
      </c>
      <c r="L23" s="2431">
        <f>YesterdayGen!X36</f>
        <v>35</v>
      </c>
      <c r="M23" s="2432">
        <f>YesterdayGen!X35</f>
        <v>35</v>
      </c>
      <c r="N23" s="2424"/>
      <c r="O23" s="2420">
        <f>I23-M23</f>
        <v>65</v>
      </c>
      <c r="P23" s="1922" t="s">
        <v>126</v>
      </c>
      <c r="Q23" s="1921"/>
      <c r="R23" s="219"/>
      <c r="S23" s="220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</row>
    <row r="24" spans="1:342" ht="16.5" customHeight="1">
      <c r="B24" s="2421">
        <v>14</v>
      </c>
      <c r="C24" s="1907" t="str">
        <f>Master!AE3</f>
        <v>Narshingdi 22 MW PP  (Doreen)</v>
      </c>
      <c r="D24" s="1908"/>
      <c r="E24" s="234" t="str">
        <f>Master!AE5</f>
        <v>Gas</v>
      </c>
      <c r="F24" s="2436" t="str">
        <f>Master!AE4</f>
        <v>SIPP, REB</v>
      </c>
      <c r="G24" s="228" t="str">
        <f>Master!AE6</f>
        <v>8*2.90</v>
      </c>
      <c r="H24" s="2421">
        <f>Master!AE7</f>
        <v>22</v>
      </c>
      <c r="I24" s="2422">
        <f>Master!AE8</f>
        <v>22</v>
      </c>
      <c r="J24" s="2423">
        <f>YesterdayGen!AE33</f>
        <v>16</v>
      </c>
      <c r="K24" s="2424">
        <f>YesterdayGen!AE34</f>
        <v>16</v>
      </c>
      <c r="L24" s="2427">
        <f>YesterdayGen!AE36</f>
        <v>19</v>
      </c>
      <c r="M24" s="2426">
        <f>YesterdayGen!AE35</f>
        <v>19</v>
      </c>
      <c r="N24" s="2424"/>
      <c r="O24" s="2420">
        <f>I24-M24</f>
        <v>3</v>
      </c>
      <c r="P24" s="2437" t="s">
        <v>126</v>
      </c>
      <c r="Q24" s="1921"/>
      <c r="R24" s="219"/>
      <c r="S24" s="220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</row>
    <row r="25" spans="1:342" s="229" customFormat="1" ht="16.5" customHeight="1">
      <c r="A25" s="181"/>
      <c r="B25" s="2421">
        <v>15</v>
      </c>
      <c r="C25" s="1907" t="str">
        <f>Master!S3</f>
        <v>210 MW Siddhirgonj TPP</v>
      </c>
      <c r="D25" s="1908"/>
      <c r="E25" s="234" t="str">
        <f>Master!S5</f>
        <v>Gas</v>
      </c>
      <c r="F25" s="2421" t="str">
        <f>Master!S4</f>
        <v>PDB</v>
      </c>
      <c r="G25" s="224" t="str">
        <f>Master!S6</f>
        <v xml:space="preserve"> 1*210</v>
      </c>
      <c r="H25" s="2421">
        <f>Master!S7</f>
        <v>210</v>
      </c>
      <c r="I25" s="2422">
        <f>Master!S8</f>
        <v>115</v>
      </c>
      <c r="J25" s="2423">
        <f>YesterdayGen!S33</f>
        <v>0</v>
      </c>
      <c r="K25" s="2424">
        <f>YesterdayGen!S34</f>
        <v>0</v>
      </c>
      <c r="L25" s="2423">
        <f>YesterdayGen!S36</f>
        <v>0</v>
      </c>
      <c r="M25" s="2438">
        <f>YesterdayGen!S35</f>
        <v>0</v>
      </c>
      <c r="N25" s="2424"/>
      <c r="O25" s="2947">
        <f>I25-M25</f>
        <v>115</v>
      </c>
      <c r="P25" s="1664" t="s">
        <v>117</v>
      </c>
      <c r="Q25" s="226"/>
      <c r="R25" s="219"/>
      <c r="S25" s="220" t="s">
        <v>301</v>
      </c>
      <c r="T25" s="227"/>
      <c r="U25" s="227"/>
      <c r="V25" s="227"/>
      <c r="W25" s="227"/>
      <c r="X25" s="227"/>
      <c r="Y25" s="227"/>
      <c r="Z25" s="227"/>
      <c r="AA25" s="227"/>
      <c r="AB25" s="227"/>
      <c r="AC25" s="227"/>
      <c r="AD25" s="18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181"/>
      <c r="AT25" s="181"/>
      <c r="AU25" s="181"/>
      <c r="AV25" s="181"/>
      <c r="AW25" s="181"/>
      <c r="AX25" s="181"/>
      <c r="AY25" s="181"/>
      <c r="AZ25" s="181"/>
      <c r="BA25" s="181"/>
      <c r="BB25" s="181"/>
      <c r="BC25" s="181"/>
      <c r="BD25" s="181"/>
      <c r="BE25" s="181"/>
      <c r="BF25" s="181"/>
      <c r="BG25" s="181"/>
      <c r="BH25" s="181"/>
      <c r="BI25" s="181"/>
      <c r="BJ25" s="181"/>
      <c r="BK25" s="181"/>
      <c r="BL25" s="181"/>
      <c r="BM25" s="181"/>
      <c r="BN25" s="181"/>
      <c r="BO25" s="181"/>
      <c r="BP25" s="181"/>
      <c r="BQ25" s="181"/>
      <c r="BR25" s="181"/>
      <c r="BS25" s="181"/>
      <c r="BT25" s="181"/>
      <c r="BU25" s="181"/>
      <c r="BV25" s="181"/>
      <c r="BW25" s="181"/>
      <c r="BX25" s="181"/>
      <c r="BY25" s="181"/>
      <c r="BZ25" s="181"/>
      <c r="CA25" s="181"/>
      <c r="CB25" s="181"/>
      <c r="CC25" s="181"/>
      <c r="CD25" s="181"/>
      <c r="CE25" s="181"/>
      <c r="CF25" s="181"/>
      <c r="CG25" s="181"/>
      <c r="CH25" s="181"/>
      <c r="CI25" s="181"/>
      <c r="CJ25" s="181"/>
      <c r="CK25" s="181"/>
      <c r="CL25" s="181"/>
      <c r="CM25" s="181"/>
      <c r="CN25" s="181"/>
      <c r="CO25" s="181"/>
      <c r="CP25" s="181"/>
      <c r="CQ25" s="181"/>
      <c r="CR25" s="181"/>
      <c r="CS25" s="181"/>
      <c r="CT25" s="181"/>
      <c r="CU25" s="181"/>
      <c r="CV25" s="181"/>
      <c r="CW25" s="181"/>
      <c r="CX25" s="181"/>
      <c r="CY25" s="181"/>
      <c r="CZ25" s="181"/>
      <c r="DA25" s="181"/>
      <c r="DB25" s="181"/>
      <c r="DC25" s="181"/>
      <c r="DD25" s="181"/>
      <c r="DE25" s="181"/>
      <c r="DF25" s="181"/>
      <c r="DG25" s="181"/>
      <c r="DH25" s="181"/>
      <c r="DI25" s="181"/>
      <c r="DJ25" s="181"/>
      <c r="DK25" s="181"/>
      <c r="DL25" s="181"/>
      <c r="DM25" s="181"/>
      <c r="DN25" s="181"/>
      <c r="DO25" s="181"/>
      <c r="DP25" s="181"/>
      <c r="DQ25" s="181"/>
      <c r="DR25" s="181"/>
      <c r="DS25" s="181"/>
      <c r="DT25" s="181"/>
      <c r="DU25" s="181"/>
      <c r="DV25" s="181"/>
      <c r="DW25" s="181"/>
      <c r="DX25" s="181"/>
      <c r="DY25" s="181"/>
      <c r="DZ25" s="181"/>
      <c r="EA25" s="181"/>
      <c r="EB25" s="181"/>
      <c r="EC25" s="181"/>
      <c r="ED25" s="181"/>
      <c r="EE25" s="181"/>
      <c r="EF25" s="181"/>
      <c r="EG25" s="181"/>
      <c r="EH25" s="181"/>
      <c r="EI25" s="181"/>
      <c r="EJ25" s="181"/>
      <c r="EK25" s="181"/>
      <c r="EL25" s="181"/>
      <c r="EM25" s="181"/>
      <c r="EN25" s="181"/>
      <c r="EO25" s="181"/>
      <c r="EP25" s="181"/>
      <c r="EQ25" s="181"/>
      <c r="ER25" s="181"/>
      <c r="ES25" s="181"/>
      <c r="ET25" s="181"/>
      <c r="EU25" s="181"/>
      <c r="EV25" s="181"/>
      <c r="EW25" s="181"/>
      <c r="EX25" s="181"/>
      <c r="EY25" s="181"/>
      <c r="EZ25" s="181"/>
      <c r="FA25" s="181"/>
      <c r="FB25" s="181"/>
      <c r="FC25" s="181"/>
      <c r="FD25" s="181"/>
      <c r="FE25" s="181"/>
      <c r="FF25" s="181"/>
      <c r="FG25" s="181"/>
      <c r="FH25" s="181"/>
      <c r="FI25" s="181"/>
      <c r="FJ25" s="181"/>
      <c r="FK25" s="181"/>
      <c r="FL25" s="181"/>
      <c r="FM25" s="181"/>
      <c r="FN25" s="181"/>
      <c r="FO25" s="181"/>
      <c r="FP25" s="181"/>
      <c r="FQ25" s="181"/>
      <c r="FR25" s="181"/>
      <c r="FS25" s="181"/>
      <c r="FT25" s="181"/>
      <c r="FU25" s="181"/>
      <c r="FV25" s="181"/>
      <c r="FW25" s="181"/>
      <c r="FX25" s="181"/>
      <c r="FY25" s="181"/>
      <c r="FZ25" s="181"/>
      <c r="GA25" s="181"/>
      <c r="GB25" s="181"/>
      <c r="GC25" s="181"/>
      <c r="GD25" s="181"/>
      <c r="GE25" s="181"/>
      <c r="GF25" s="181"/>
      <c r="GG25" s="181"/>
      <c r="GH25" s="181"/>
      <c r="GI25" s="181"/>
      <c r="GJ25" s="181"/>
      <c r="GK25" s="181"/>
      <c r="GL25" s="181"/>
      <c r="GM25" s="181"/>
      <c r="GN25" s="181"/>
      <c r="GO25" s="181"/>
      <c r="GP25" s="181"/>
      <c r="GQ25" s="181"/>
      <c r="GR25" s="181"/>
      <c r="GS25" s="181"/>
      <c r="GT25" s="181"/>
      <c r="GU25" s="181"/>
      <c r="GV25" s="181"/>
      <c r="GW25" s="181"/>
      <c r="GX25" s="181"/>
      <c r="GY25" s="181"/>
      <c r="GZ25" s="181"/>
      <c r="HA25" s="181"/>
      <c r="HB25" s="181"/>
      <c r="HC25" s="181"/>
      <c r="HD25" s="181"/>
      <c r="HE25" s="181"/>
      <c r="HF25" s="181"/>
      <c r="HG25" s="181"/>
      <c r="HH25" s="181"/>
      <c r="HI25" s="181"/>
      <c r="HJ25" s="181"/>
      <c r="HK25" s="181"/>
      <c r="HL25" s="181"/>
      <c r="HM25" s="181"/>
      <c r="HN25" s="181"/>
      <c r="HO25" s="181"/>
      <c r="HP25" s="181"/>
      <c r="HQ25" s="181"/>
      <c r="HR25" s="181"/>
      <c r="HS25" s="181"/>
      <c r="HT25" s="181"/>
      <c r="HU25" s="181"/>
      <c r="HV25" s="181"/>
      <c r="HW25" s="181"/>
      <c r="HX25" s="181"/>
      <c r="HY25" s="181"/>
      <c r="HZ25" s="181"/>
      <c r="IA25" s="181"/>
      <c r="IB25" s="181"/>
      <c r="IC25" s="181"/>
      <c r="ID25" s="181"/>
      <c r="IE25" s="181"/>
      <c r="IF25" s="181"/>
      <c r="IG25" s="181"/>
      <c r="IH25" s="181"/>
      <c r="II25" s="181"/>
      <c r="IJ25" s="181"/>
      <c r="IK25" s="181"/>
      <c r="IL25" s="181"/>
      <c r="IM25" s="181"/>
      <c r="IN25" s="181"/>
      <c r="IO25" s="181"/>
      <c r="IP25" s="181"/>
      <c r="IQ25" s="181"/>
      <c r="IR25" s="181"/>
      <c r="IS25" s="181"/>
      <c r="IT25" s="181"/>
      <c r="IU25" s="181"/>
      <c r="IV25" s="181"/>
      <c r="IW25" s="181"/>
      <c r="IX25" s="181"/>
      <c r="IY25" s="181"/>
      <c r="IZ25" s="181"/>
      <c r="JA25" s="181"/>
      <c r="JB25" s="181"/>
      <c r="JC25" s="181"/>
      <c r="JD25" s="181"/>
      <c r="JE25" s="181"/>
      <c r="JF25" s="181"/>
      <c r="JG25" s="181"/>
      <c r="JH25" s="181"/>
      <c r="JI25" s="181"/>
      <c r="JJ25" s="181"/>
      <c r="JK25" s="181"/>
      <c r="JL25" s="181"/>
      <c r="JM25" s="181"/>
      <c r="JN25" s="181"/>
      <c r="JO25" s="181"/>
      <c r="JP25" s="181"/>
      <c r="JQ25" s="181"/>
      <c r="JR25" s="181"/>
      <c r="JS25" s="181"/>
      <c r="JT25" s="181"/>
      <c r="JU25" s="181"/>
      <c r="JV25" s="181"/>
      <c r="JW25" s="181"/>
      <c r="JX25" s="181"/>
      <c r="JY25" s="181"/>
      <c r="JZ25" s="181"/>
      <c r="KA25" s="181"/>
      <c r="KB25" s="181"/>
      <c r="KC25" s="181"/>
      <c r="KD25" s="181"/>
      <c r="KE25" s="181"/>
      <c r="KF25" s="181"/>
      <c r="KG25" s="181"/>
      <c r="KH25" s="181"/>
      <c r="KI25" s="181"/>
      <c r="KJ25" s="181"/>
      <c r="KK25" s="181"/>
      <c r="KL25" s="181"/>
      <c r="KM25" s="181"/>
      <c r="KN25" s="181"/>
      <c r="KO25" s="181"/>
      <c r="KP25" s="181"/>
      <c r="KQ25" s="181"/>
      <c r="KR25" s="181"/>
      <c r="KS25" s="181"/>
      <c r="KT25" s="181"/>
      <c r="KU25" s="181"/>
      <c r="KV25" s="181"/>
      <c r="KW25" s="181"/>
      <c r="KX25" s="181"/>
      <c r="KY25" s="181"/>
      <c r="KZ25" s="181"/>
      <c r="LA25" s="181"/>
      <c r="LB25" s="181"/>
      <c r="LC25" s="181"/>
      <c r="LD25" s="181"/>
      <c r="LE25" s="181"/>
      <c r="LF25" s="181"/>
      <c r="LG25" s="181"/>
      <c r="LH25" s="181"/>
      <c r="LI25" s="181"/>
      <c r="LJ25" s="181"/>
      <c r="LK25" s="181"/>
      <c r="LL25" s="181"/>
      <c r="LM25" s="181"/>
      <c r="LN25" s="181"/>
      <c r="LO25" s="181"/>
      <c r="LP25" s="181"/>
      <c r="LQ25" s="181"/>
      <c r="LR25" s="181"/>
      <c r="LS25" s="181"/>
      <c r="LT25" s="181"/>
      <c r="LU25" s="181"/>
      <c r="LV25" s="181"/>
      <c r="LW25" s="181"/>
      <c r="LX25" s="181"/>
      <c r="LY25" s="181"/>
      <c r="LZ25" s="181"/>
      <c r="MA25" s="181"/>
      <c r="MB25" s="181"/>
      <c r="MC25" s="181"/>
      <c r="MD25" s="181"/>
    </row>
    <row r="26" spans="1:342" ht="16.5" customHeight="1">
      <c r="B26" s="2421">
        <v>16</v>
      </c>
      <c r="C26" s="1907" t="str">
        <f>Master!T3</f>
        <v xml:space="preserve">Siddhirgonj 2*120 MW GTPP </v>
      </c>
      <c r="D26" s="1908"/>
      <c r="E26" s="234" t="str">
        <f>Master!T5</f>
        <v>Gas</v>
      </c>
      <c r="F26" s="2421" t="str">
        <f>Master!T4</f>
        <v>EGCB</v>
      </c>
      <c r="G26" s="224" t="str">
        <f>Master!T6</f>
        <v xml:space="preserve"> 2*105</v>
      </c>
      <c r="H26" s="2421">
        <f>Master!T7</f>
        <v>210</v>
      </c>
      <c r="I26" s="2422">
        <f>Master!T8</f>
        <v>210</v>
      </c>
      <c r="J26" s="2423">
        <f>YesterdayGen!T33</f>
        <v>0</v>
      </c>
      <c r="K26" s="2424">
        <f>YesterdayGen!T34</f>
        <v>0</v>
      </c>
      <c r="L26" s="2427">
        <f>YesterdayGen!T36</f>
        <v>0</v>
      </c>
      <c r="M26" s="3393">
        <f>YesterdayGen!T35</f>
        <v>0</v>
      </c>
      <c r="N26" s="2424">
        <f>I26-M26</f>
        <v>210</v>
      </c>
      <c r="O26" s="2420"/>
      <c r="P26" s="3676" t="s">
        <v>174</v>
      </c>
      <c r="Q26" s="226"/>
      <c r="R26" s="219"/>
      <c r="S26" s="220"/>
      <c r="T26" s="195"/>
      <c r="U26" s="195"/>
      <c r="V26" s="195"/>
      <c r="W26" s="195"/>
      <c r="X26" s="195"/>
      <c r="Y26" s="195"/>
      <c r="Z26" s="195"/>
      <c r="AA26" s="195"/>
      <c r="AB26" s="195"/>
      <c r="AC26" s="195"/>
    </row>
    <row r="27" spans="1:342" s="4257" customFormat="1" ht="16.5" customHeight="1">
      <c r="B27" s="4258">
        <v>17</v>
      </c>
      <c r="C27" s="4539" t="str">
        <f>Master!U3</f>
        <v>Siddhirganj 100 PP(Dutch Bangla)</v>
      </c>
      <c r="D27" s="4540"/>
      <c r="E27" s="4261" t="str">
        <f>Master!U5</f>
        <v>HFO</v>
      </c>
      <c r="F27" s="4258" t="str">
        <f>Master!U4</f>
        <v xml:space="preserve">QRPP </v>
      </c>
      <c r="G27" s="4541" t="str">
        <f>Master!U6</f>
        <v>12*8.9</v>
      </c>
      <c r="H27" s="4542">
        <f>Master!U7</f>
        <v>100</v>
      </c>
      <c r="I27" s="4543">
        <f>Master!U8</f>
        <v>0</v>
      </c>
      <c r="J27" s="4265">
        <f>YesterdayGen!U33</f>
        <v>0</v>
      </c>
      <c r="K27" s="4266">
        <f>YesterdayGen!U34</f>
        <v>0</v>
      </c>
      <c r="L27" s="4544">
        <f>YesterdayGen!U36</f>
        <v>0</v>
      </c>
      <c r="M27" s="4545">
        <f>YesterdayGen!U35</f>
        <v>0</v>
      </c>
      <c r="N27" s="4266"/>
      <c r="O27" s="4269"/>
      <c r="P27" s="4270" t="s">
        <v>900</v>
      </c>
      <c r="Q27" s="4546"/>
      <c r="R27" s="4573"/>
      <c r="S27" s="4272" t="s">
        <v>1365</v>
      </c>
      <c r="T27" s="4273"/>
      <c r="U27" s="4273"/>
      <c r="V27" s="4273"/>
      <c r="W27" s="4273"/>
      <c r="X27" s="4273"/>
      <c r="Y27" s="4273"/>
      <c r="Z27" s="4273"/>
      <c r="AA27" s="4273"/>
      <c r="AB27" s="4273"/>
      <c r="AC27" s="4273"/>
    </row>
    <row r="28" spans="1:342" ht="16.5" customHeight="1">
      <c r="B28" s="2421">
        <v>18</v>
      </c>
      <c r="C28" s="2439" t="str">
        <f>Master!R3</f>
        <v>Siddhirganj 335 MW CCPP</v>
      </c>
      <c r="D28" s="2440"/>
      <c r="E28" s="234" t="str">
        <f>Master!R5</f>
        <v>Gas</v>
      </c>
      <c r="F28" s="2421" t="str">
        <f>Master!R4</f>
        <v>EGCB</v>
      </c>
      <c r="G28" s="228" t="str">
        <f>Master!R6</f>
        <v>1*217+118</v>
      </c>
      <c r="H28" s="2436">
        <f>Master!R7</f>
        <v>335</v>
      </c>
      <c r="I28" s="2441">
        <f>Master!R8</f>
        <v>335</v>
      </c>
      <c r="J28" s="2423">
        <f>YesterdayGen!R33</f>
        <v>0</v>
      </c>
      <c r="K28" s="2424">
        <f>YesterdayGen!R34</f>
        <v>0</v>
      </c>
      <c r="L28" s="2442">
        <f>YesterdayGen!R36</f>
        <v>0</v>
      </c>
      <c r="M28" s="2443">
        <f>YesterdayGen!R35</f>
        <v>0</v>
      </c>
      <c r="N28" s="2424">
        <v>335</v>
      </c>
      <c r="O28" s="2947"/>
      <c r="P28" s="1922" t="s">
        <v>174</v>
      </c>
      <c r="Q28" s="226"/>
      <c r="R28" s="219"/>
      <c r="S28" s="220"/>
      <c r="T28" s="195"/>
      <c r="U28" s="195"/>
      <c r="V28" s="195"/>
      <c r="W28" s="195"/>
      <c r="X28" s="195"/>
      <c r="Y28" s="195"/>
      <c r="Z28" s="195"/>
      <c r="AA28" s="195"/>
      <c r="AB28" s="195"/>
      <c r="AC28" s="195"/>
    </row>
    <row r="29" spans="1:342" ht="16.5" customHeight="1">
      <c r="B29" s="2421">
        <v>19</v>
      </c>
      <c r="C29" s="1907" t="str">
        <f>Master!V3</f>
        <v>Gagnagar 102 MW PP (Digital Power)</v>
      </c>
      <c r="D29" s="1908"/>
      <c r="E29" s="234" t="str">
        <f>Master!V5</f>
        <v>HFO</v>
      </c>
      <c r="F29" s="2421" t="str">
        <f>Master!V4</f>
        <v>IPP</v>
      </c>
      <c r="G29" s="224" t="str">
        <f>Master!V6</f>
        <v>12*8.924</v>
      </c>
      <c r="H29" s="2421">
        <f>Master!V7</f>
        <v>102</v>
      </c>
      <c r="I29" s="2422">
        <f>Master!V8</f>
        <v>102</v>
      </c>
      <c r="J29" s="2423">
        <f>YesterdayGen!V33</f>
        <v>84</v>
      </c>
      <c r="K29" s="2424">
        <f>YesterdayGen!V34</f>
        <v>102</v>
      </c>
      <c r="L29" s="2427">
        <f>YesterdayGen!V36</f>
        <v>102</v>
      </c>
      <c r="M29" s="2428">
        <f>YesterdayGen!V35</f>
        <v>102</v>
      </c>
      <c r="N29" s="2424"/>
      <c r="O29" s="2420"/>
      <c r="P29" s="1922"/>
      <c r="Q29" s="1921"/>
      <c r="R29" s="219"/>
      <c r="S29" s="220"/>
      <c r="T29" s="227"/>
      <c r="U29" s="227"/>
      <c r="V29" s="227"/>
      <c r="W29" s="227"/>
      <c r="X29" s="227"/>
      <c r="Y29" s="227"/>
      <c r="Z29" s="227"/>
      <c r="AA29" s="227"/>
      <c r="AB29" s="227"/>
      <c r="AC29" s="227"/>
    </row>
    <row r="30" spans="1:342" ht="16.5" customHeight="1">
      <c r="B30" s="2421">
        <v>20</v>
      </c>
      <c r="C30" s="1907" t="str">
        <f>Master!AA3</f>
        <v>Katpotti 52 MW PP (Sinha)</v>
      </c>
      <c r="D30" s="1908"/>
      <c r="E30" s="234" t="str">
        <f>Master!AA5</f>
        <v>HFO</v>
      </c>
      <c r="F30" s="2421" t="str">
        <f>Master!AA4</f>
        <v>IPP</v>
      </c>
      <c r="G30" s="224" t="str">
        <f>Master!AA6</f>
        <v>7*7.9</v>
      </c>
      <c r="H30" s="2421">
        <f>Master!AA7</f>
        <v>51</v>
      </c>
      <c r="I30" s="2422">
        <f>Master!AA8</f>
        <v>0</v>
      </c>
      <c r="J30" s="2423">
        <f>YesterdayGen!AA33</f>
        <v>0</v>
      </c>
      <c r="K30" s="2424">
        <f>YesterdayGen!AA34</f>
        <v>0</v>
      </c>
      <c r="L30" s="2427">
        <f>YesterdayGen!AA36</f>
        <v>51</v>
      </c>
      <c r="M30" s="2426">
        <f>YesterdayGen!AA35</f>
        <v>51</v>
      </c>
      <c r="N30" s="2424"/>
      <c r="O30" s="2420"/>
      <c r="P30" s="5024"/>
      <c r="Q30" s="1921"/>
      <c r="R30" s="219"/>
      <c r="S30" s="220"/>
      <c r="T30" s="227"/>
      <c r="U30" s="227"/>
      <c r="V30" s="227"/>
      <c r="W30" s="227"/>
      <c r="X30" s="227"/>
      <c r="Y30" s="227"/>
      <c r="Z30" s="227"/>
      <c r="AA30" s="227"/>
      <c r="AB30" s="227"/>
      <c r="AC30" s="227"/>
    </row>
    <row r="31" spans="1:342" ht="16.5" customHeight="1">
      <c r="B31" s="2421">
        <v>21</v>
      </c>
      <c r="C31" s="1907" t="str">
        <f>Master!AB3</f>
        <v>Kamalaghat 54 MW PP(Banco Energy)</v>
      </c>
      <c r="D31" s="1908"/>
      <c r="E31" s="234" t="str">
        <f>Master!AB5</f>
        <v>HFO</v>
      </c>
      <c r="F31" s="2421" t="str">
        <f>Master!AB4</f>
        <v>IPP</v>
      </c>
      <c r="G31" s="224" t="str">
        <f>Master!AB6</f>
        <v>3*18</v>
      </c>
      <c r="H31" s="2421">
        <f>Master!AB7</f>
        <v>54</v>
      </c>
      <c r="I31" s="2422">
        <f>Master!AB8</f>
        <v>54</v>
      </c>
      <c r="J31" s="2423">
        <f>YesterdayGen!AB33</f>
        <v>35</v>
      </c>
      <c r="K31" s="2424">
        <f>YesterdayGen!AB34</f>
        <v>35</v>
      </c>
      <c r="L31" s="2427">
        <f>YesterdayGen!AB36</f>
        <v>35</v>
      </c>
      <c r="M31" s="2426">
        <f>YesterdayGen!AB35</f>
        <v>35</v>
      </c>
      <c r="N31" s="2424"/>
      <c r="O31" s="2420">
        <f>I31-M31</f>
        <v>19</v>
      </c>
      <c r="P31" s="4603" t="s">
        <v>126</v>
      </c>
      <c r="Q31" s="1921"/>
      <c r="R31" s="215"/>
      <c r="S31" s="220"/>
      <c r="T31" s="227"/>
      <c r="U31" s="227"/>
      <c r="V31" s="227"/>
      <c r="W31" s="227"/>
      <c r="X31" s="227"/>
      <c r="Y31" s="227"/>
      <c r="Z31" s="227"/>
      <c r="AA31" s="227"/>
      <c r="AB31" s="227"/>
      <c r="AC31" s="227"/>
    </row>
    <row r="32" spans="1:342" ht="16.5" customHeight="1">
      <c r="B32" s="2421">
        <v>22</v>
      </c>
      <c r="C32" s="1907" t="str">
        <f>Master!W3</f>
        <v>Kodda 150MW PP</v>
      </c>
      <c r="D32" s="1908"/>
      <c r="E32" s="234" t="str">
        <f>Master!W5</f>
        <v>HFO</v>
      </c>
      <c r="F32" s="2421" t="str">
        <f>Master!W4</f>
        <v>BPDB-RPCL</v>
      </c>
      <c r="G32" s="224" t="str">
        <f>Master!W6</f>
        <v>9*17.06</v>
      </c>
      <c r="H32" s="2421">
        <f>Master!W7</f>
        <v>149</v>
      </c>
      <c r="I32" s="2422">
        <f>Master!W8</f>
        <v>149</v>
      </c>
      <c r="J32" s="2423">
        <f>YesterdayGen!W33</f>
        <v>6</v>
      </c>
      <c r="K32" s="2424">
        <f>YesterdayGen!W34</f>
        <v>0</v>
      </c>
      <c r="L32" s="2427">
        <f>YesterdayGen!W36</f>
        <v>149</v>
      </c>
      <c r="M32" s="2426">
        <f>YesterdayGen!W35</f>
        <v>149</v>
      </c>
      <c r="N32" s="2424"/>
      <c r="O32" s="2420"/>
      <c r="P32" s="1922"/>
      <c r="Q32" s="1921"/>
      <c r="R32" s="215"/>
      <c r="S32" s="220"/>
      <c r="T32" s="227"/>
      <c r="U32" s="227"/>
      <c r="V32" s="227"/>
      <c r="W32" s="227"/>
      <c r="X32" s="227"/>
      <c r="Y32" s="227"/>
      <c r="Z32" s="227"/>
      <c r="AA32" s="227"/>
      <c r="AB32" s="227"/>
      <c r="AC32" s="227"/>
    </row>
    <row r="33" spans="2:29" ht="16.5" customHeight="1">
      <c r="B33" s="2421">
        <v>23</v>
      </c>
      <c r="C33" s="1907" t="str">
        <f>Master!AC3</f>
        <v>Manikganj 55 MW PP (Northern)</v>
      </c>
      <c r="D33" s="1908"/>
      <c r="E33" s="234" t="str">
        <f>Master!AC5</f>
        <v>HFO</v>
      </c>
      <c r="F33" s="2421" t="str">
        <f>Master!AC4</f>
        <v>IPP</v>
      </c>
      <c r="G33" s="224" t="str">
        <f>Master!AC6</f>
        <v>3*19.3</v>
      </c>
      <c r="H33" s="2421">
        <f>Master!AC7</f>
        <v>55</v>
      </c>
      <c r="I33" s="2422">
        <f>Master!AC8</f>
        <v>55</v>
      </c>
      <c r="J33" s="2423">
        <f>YesterdayGen!AC33</f>
        <v>35</v>
      </c>
      <c r="K33" s="2424">
        <f>YesterdayGen!AC34</f>
        <v>55</v>
      </c>
      <c r="L33" s="2427">
        <f>YesterdayGen!AC36</f>
        <v>55</v>
      </c>
      <c r="M33" s="2444">
        <f>YesterdayGen!AC35</f>
        <v>55</v>
      </c>
      <c r="N33" s="2424"/>
      <c r="O33" s="2947"/>
      <c r="P33" s="1922"/>
      <c r="Q33" s="1921"/>
      <c r="R33" s="215"/>
      <c r="S33" s="220"/>
      <c r="T33" s="227"/>
      <c r="U33" s="227"/>
      <c r="V33" s="227"/>
      <c r="W33" s="227"/>
      <c r="X33" s="227"/>
      <c r="Y33" s="227"/>
      <c r="Z33" s="227"/>
      <c r="AA33" s="227"/>
      <c r="AB33" s="227"/>
      <c r="AC33" s="227"/>
    </row>
    <row r="34" spans="2:29" ht="16.5" customHeight="1">
      <c r="B34" s="2421">
        <v>24</v>
      </c>
      <c r="C34" s="1907" t="str">
        <f>Master!AD3</f>
        <v>Nababganj 55 MW PP (Southern power )</v>
      </c>
      <c r="D34" s="1908"/>
      <c r="E34" s="234" t="str">
        <f>Master!AD5</f>
        <v>HFO</v>
      </c>
      <c r="F34" s="2421" t="str">
        <f>Master!AD4</f>
        <v>IPP</v>
      </c>
      <c r="G34" s="224" t="str">
        <f>Master!AD6</f>
        <v>3*19.3</v>
      </c>
      <c r="H34" s="2421">
        <f>Master!AD7</f>
        <v>55</v>
      </c>
      <c r="I34" s="2422">
        <f>Master!AD8</f>
        <v>55</v>
      </c>
      <c r="J34" s="2423">
        <f>YesterdayGen!AD33</f>
        <v>17</v>
      </c>
      <c r="K34" s="2424">
        <f>YesterdayGen!AD34</f>
        <v>35</v>
      </c>
      <c r="L34" s="2427">
        <f>YesterdayGen!AD36</f>
        <v>35</v>
      </c>
      <c r="M34" s="2426">
        <f>YesterdayGen!AD35</f>
        <v>35</v>
      </c>
      <c r="N34" s="2424"/>
      <c r="O34" s="2947">
        <f>I34-M34</f>
        <v>20</v>
      </c>
      <c r="P34" s="1922" t="s">
        <v>126</v>
      </c>
      <c r="Q34" s="1921"/>
      <c r="R34" s="215"/>
      <c r="S34" s="220"/>
      <c r="T34" s="227"/>
      <c r="U34" s="227"/>
      <c r="V34" s="227"/>
      <c r="W34" s="227"/>
      <c r="X34" s="227"/>
      <c r="Y34" s="227"/>
      <c r="Z34" s="227"/>
      <c r="AA34" s="227"/>
      <c r="AB34" s="227"/>
      <c r="AC34" s="227"/>
    </row>
    <row r="35" spans="2:29" ht="16.5" customHeight="1">
      <c r="B35" s="2421">
        <v>25</v>
      </c>
      <c r="C35" s="4700" t="str">
        <f>Master!Y3</f>
        <v>Bosila 108MW PP(CLC)</v>
      </c>
      <c r="D35" s="4701"/>
      <c r="E35" s="4261" t="str">
        <f>Master!Y5</f>
        <v>HFO</v>
      </c>
      <c r="F35" s="4258" t="str">
        <f>Master!Y4</f>
        <v>IPP</v>
      </c>
      <c r="G35" s="4702" t="str">
        <f>Master!Y6</f>
        <v>12*8.775+1*3.5</v>
      </c>
      <c r="H35" s="4258">
        <f>Master!Y7</f>
        <v>108</v>
      </c>
      <c r="I35" s="4703">
        <f>Master!Y8</f>
        <v>0</v>
      </c>
      <c r="J35" s="4265">
        <f>YesterdayGen!Y33</f>
        <v>0</v>
      </c>
      <c r="K35" s="4266">
        <f>YesterdayGen!Y34</f>
        <v>0</v>
      </c>
      <c r="L35" s="4704">
        <f>YesterdayGen!Y36</f>
        <v>0</v>
      </c>
      <c r="M35" s="4705">
        <f>YesterdayGen!Y35</f>
        <v>0</v>
      </c>
      <c r="N35" s="4266"/>
      <c r="O35" s="4269"/>
      <c r="P35" s="4706"/>
      <c r="Q35" s="4271"/>
      <c r="R35" s="4707"/>
      <c r="S35" s="220"/>
      <c r="T35" s="227"/>
      <c r="U35" s="227"/>
      <c r="V35" s="227"/>
      <c r="W35" s="227"/>
      <c r="X35" s="227"/>
      <c r="Y35" s="227"/>
      <c r="Z35" s="227"/>
      <c r="AA35" s="227"/>
      <c r="AB35" s="227"/>
      <c r="AC35" s="227"/>
    </row>
    <row r="36" spans="2:29" ht="16.5" customHeight="1">
      <c r="B36" s="2421">
        <v>26</v>
      </c>
      <c r="C36" s="1907" t="s">
        <v>155</v>
      </c>
      <c r="D36" s="1908"/>
      <c r="E36" s="234" t="str">
        <f>Master!AF5</f>
        <v>Gas</v>
      </c>
      <c r="F36" s="2436" t="str">
        <f>Master!AF4</f>
        <v>SIPP,REB</v>
      </c>
      <c r="G36" s="224" t="str">
        <f>Master!AF6</f>
        <v>3*3.67+4*8.73</v>
      </c>
      <c r="H36" s="2421">
        <f>Master!AF7+Master!AG7</f>
        <v>80</v>
      </c>
      <c r="I36" s="2422">
        <f>Master!AF8+Master!AG8</f>
        <v>80</v>
      </c>
      <c r="J36" s="2445">
        <f>YesterdayGen!AF33+YesterdayGen!AG33</f>
        <v>34</v>
      </c>
      <c r="K36" s="2424">
        <f>YesterdayGen!AF34+YesterdayGen!AG34</f>
        <v>34</v>
      </c>
      <c r="L36" s="2427">
        <f>YesterdayGen!AF36+YesterdayGen!AG36</f>
        <v>35</v>
      </c>
      <c r="M36" s="2426">
        <f>YesterdayGen!AF35+YesterdayGen!AG35</f>
        <v>35</v>
      </c>
      <c r="N36" s="2424"/>
      <c r="O36" s="2947">
        <f>I36-M36</f>
        <v>45</v>
      </c>
      <c r="P36" s="1922" t="s">
        <v>126</v>
      </c>
      <c r="Q36" s="1921"/>
      <c r="R36" s="215"/>
      <c r="S36" s="220"/>
      <c r="T36" s="227"/>
      <c r="U36" s="227"/>
      <c r="V36" s="227"/>
      <c r="W36" s="227"/>
      <c r="X36" s="227"/>
      <c r="Y36" s="227"/>
      <c r="Z36" s="227"/>
      <c r="AA36" s="227"/>
      <c r="AB36" s="227"/>
      <c r="AC36" s="227"/>
    </row>
    <row r="37" spans="2:29" ht="16.5" customHeight="1">
      <c r="B37" s="2421">
        <v>27</v>
      </c>
      <c r="C37" s="1907" t="str">
        <f>Master!AH3</f>
        <v>Maona 33 MW PP(Summit)</v>
      </c>
      <c r="D37" s="1908"/>
      <c r="E37" s="234" t="str">
        <f>Master!AH5</f>
        <v>Gas</v>
      </c>
      <c r="F37" s="2436" t="str">
        <f>Master!AH4</f>
        <v>SIPP,REB</v>
      </c>
      <c r="G37" s="224" t="str">
        <f>Master!AH6</f>
        <v>4*8.73</v>
      </c>
      <c r="H37" s="2421">
        <f>Master!AH7</f>
        <v>33</v>
      </c>
      <c r="I37" s="2422">
        <f>Master!AH8</f>
        <v>33</v>
      </c>
      <c r="J37" s="2445">
        <f>YesterdayGen!AH33</f>
        <v>16</v>
      </c>
      <c r="K37" s="2424">
        <f>YesterdayGen!AH34</f>
        <v>16</v>
      </c>
      <c r="L37" s="2427">
        <f>YesterdayGen!AH36</f>
        <v>20</v>
      </c>
      <c r="M37" s="2426">
        <f>YesterdayGen!AH35</f>
        <v>20</v>
      </c>
      <c r="N37" s="2424"/>
      <c r="O37" s="2947">
        <f>I37-M37</f>
        <v>13</v>
      </c>
      <c r="P37" s="1922" t="s">
        <v>126</v>
      </c>
      <c r="Q37" s="1921"/>
      <c r="R37" s="215"/>
      <c r="S37" s="220"/>
      <c r="T37" s="227"/>
      <c r="U37" s="227"/>
      <c r="V37" s="227"/>
      <c r="W37" s="227"/>
      <c r="X37" s="227"/>
      <c r="Y37" s="227"/>
      <c r="Z37" s="227"/>
      <c r="AA37" s="227"/>
      <c r="AB37" s="227"/>
      <c r="AC37" s="227"/>
    </row>
    <row r="38" spans="2:29" ht="16.5" customHeight="1">
      <c r="B38" s="2421">
        <v>28</v>
      </c>
      <c r="C38" s="1907" t="str">
        <f>Master!AI3</f>
        <v xml:space="preserve">Rupganj 33 MW PP(Summit) </v>
      </c>
      <c r="D38" s="1908"/>
      <c r="E38" s="234" t="str">
        <f>Master!AI5</f>
        <v>Gas</v>
      </c>
      <c r="F38" s="2446" t="str">
        <f>Master!AI4</f>
        <v>SIPP,REB</v>
      </c>
      <c r="G38" s="228" t="str">
        <f>Master!AI6</f>
        <v>4*8.73</v>
      </c>
      <c r="H38" s="2421">
        <f>Master!AI7</f>
        <v>33</v>
      </c>
      <c r="I38" s="2422">
        <f>Master!AI8</f>
        <v>33</v>
      </c>
      <c r="J38" s="2445">
        <f>YesterdayGen!AI33</f>
        <v>33</v>
      </c>
      <c r="K38" s="2424">
        <f>YesterdayGen!AI34</f>
        <v>33</v>
      </c>
      <c r="L38" s="2427">
        <f>YesterdayGen!AI36</f>
        <v>33</v>
      </c>
      <c r="M38" s="2426">
        <f>YesterdayGen!AI35</f>
        <v>33</v>
      </c>
      <c r="N38" s="2424"/>
      <c r="O38" s="2947"/>
      <c r="P38" s="3748"/>
      <c r="Q38" s="1921"/>
      <c r="R38" s="215"/>
      <c r="S38" s="220"/>
      <c r="T38" s="195"/>
      <c r="U38" s="195"/>
      <c r="V38" s="195"/>
      <c r="W38" s="195"/>
      <c r="X38" s="195"/>
      <c r="Y38" s="195"/>
      <c r="Z38" s="195"/>
      <c r="AA38" s="195"/>
      <c r="AB38" s="195"/>
      <c r="AC38" s="195"/>
    </row>
    <row r="39" spans="2:29" ht="16.5" customHeight="1">
      <c r="B39" s="2421">
        <v>29</v>
      </c>
      <c r="C39" s="2447" t="str">
        <f>Master!AJ3</f>
        <v>Gazipur 52 MW PP</v>
      </c>
      <c r="D39" s="1908"/>
      <c r="E39" s="2421" t="str">
        <f>Master!AJ5</f>
        <v>HFO</v>
      </c>
      <c r="F39" s="228" t="str">
        <f>Master!AJ4</f>
        <v>RPCL</v>
      </c>
      <c r="G39" s="235" t="str">
        <f>Master!AJ6</f>
        <v>6*8.9</v>
      </c>
      <c r="H39" s="2421">
        <f>Master!AJ7</f>
        <v>52</v>
      </c>
      <c r="I39" s="2422">
        <f>Master!AJ8</f>
        <v>52</v>
      </c>
      <c r="J39" s="2423">
        <f>YesterdayGen!AJ33</f>
        <v>2</v>
      </c>
      <c r="K39" s="2424">
        <f>YesterdayGen!AJ34</f>
        <v>25</v>
      </c>
      <c r="L39" s="2427">
        <f>YesterdayGen!AJ36</f>
        <v>51</v>
      </c>
      <c r="M39" s="2426">
        <f>YesterdayGen!AJ35</f>
        <v>51</v>
      </c>
      <c r="N39" s="2424"/>
      <c r="O39" s="2947"/>
      <c r="P39" s="1922"/>
      <c r="Q39" s="1921"/>
      <c r="R39" s="219"/>
      <c r="S39" s="220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</row>
    <row r="40" spans="2:29" ht="16.5" customHeight="1">
      <c r="B40" s="2448">
        <v>30</v>
      </c>
      <c r="C40" s="2449" t="str">
        <f>Master!AK3</f>
        <v>Tongi 80 MW GTPP</v>
      </c>
      <c r="D40" s="2450"/>
      <c r="E40" s="2421" t="str">
        <f>Master!AK5</f>
        <v>Gas</v>
      </c>
      <c r="F40" s="224" t="str">
        <f>Master!AK4</f>
        <v>PDB</v>
      </c>
      <c r="G40" s="234" t="str">
        <f>Master!AK6</f>
        <v>1* 105</v>
      </c>
      <c r="H40" s="2421">
        <f>Master!AK7</f>
        <v>105</v>
      </c>
      <c r="I40" s="2422">
        <f>Master!AK8</f>
        <v>105</v>
      </c>
      <c r="J40" s="2423">
        <f>YesterdayGen!AK33</f>
        <v>0</v>
      </c>
      <c r="K40" s="2424">
        <f>YesterdayGen!AK34</f>
        <v>0</v>
      </c>
      <c r="L40" s="2427">
        <f>YesterdayGen!AK36</f>
        <v>0</v>
      </c>
      <c r="M40" s="2426">
        <f>YesterdayGen!AK35</f>
        <v>0</v>
      </c>
      <c r="N40" s="2424"/>
      <c r="O40" s="2420">
        <v>105</v>
      </c>
      <c r="P40" s="1922" t="s">
        <v>117</v>
      </c>
      <c r="Q40" s="1921"/>
      <c r="R40" s="219"/>
      <c r="S40" s="220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</row>
    <row r="41" spans="2:29" ht="16.5" customHeight="1">
      <c r="B41" s="2451">
        <v>31</v>
      </c>
      <c r="C41" s="2452" t="str">
        <f>Master!CS3</f>
        <v xml:space="preserve">Kodda 300 MW PP Unit-2 (Summit) </v>
      </c>
      <c r="D41" s="2453"/>
      <c r="E41" s="2451" t="str">
        <f>Master!CS5</f>
        <v>HFO</v>
      </c>
      <c r="F41" s="2451" t="str">
        <f>Master!CS4</f>
        <v>IPP</v>
      </c>
      <c r="G41" s="245" t="str">
        <f>Master!CS6</f>
        <v>18*17.076</v>
      </c>
      <c r="H41" s="2451">
        <f>Master!CS7</f>
        <v>300</v>
      </c>
      <c r="I41" s="2454">
        <f>Master!CS8</f>
        <v>300</v>
      </c>
      <c r="J41" s="2455">
        <f>YesterdayGen!CS33</f>
        <v>163</v>
      </c>
      <c r="K41" s="2456">
        <f>YesterdayGen!CS34</f>
        <v>265</v>
      </c>
      <c r="L41" s="2457">
        <f>YesterdayGen!CS36</f>
        <v>300</v>
      </c>
      <c r="M41" s="2458">
        <f>YesterdayGen!CS35</f>
        <v>300</v>
      </c>
      <c r="N41" s="2424"/>
      <c r="O41" s="2459"/>
      <c r="P41" s="1922"/>
      <c r="Q41" s="1921"/>
      <c r="R41" s="248"/>
      <c r="S41" s="220"/>
      <c r="T41" s="195"/>
      <c r="U41" s="195"/>
      <c r="V41" s="195"/>
      <c r="W41" s="195"/>
      <c r="X41" s="195"/>
      <c r="Y41" s="195"/>
      <c r="Z41" s="195"/>
      <c r="AA41" s="195"/>
      <c r="AB41" s="195"/>
      <c r="AC41" s="195"/>
    </row>
    <row r="42" spans="2:29" ht="16.5" customHeight="1">
      <c r="B42" s="2460">
        <v>32</v>
      </c>
      <c r="C42" s="2461" t="str">
        <f>Master!CT3</f>
        <v xml:space="preserve"> Keranigonj 300 MW PP (APR)</v>
      </c>
      <c r="D42" s="2462"/>
      <c r="E42" s="2451" t="str">
        <f>Master!CT5</f>
        <v>HSD</v>
      </c>
      <c r="F42" s="2463" t="str">
        <f>Master!CT4</f>
        <v>IPP</v>
      </c>
      <c r="G42" s="245" t="str">
        <f>Master!CT6</f>
        <v>256*1.4</v>
      </c>
      <c r="H42" s="2464">
        <v>300</v>
      </c>
      <c r="I42" s="2454">
        <v>300</v>
      </c>
      <c r="J42" s="2455">
        <f>YesterdayGen!CT33</f>
        <v>0</v>
      </c>
      <c r="K42" s="2456">
        <f>YesterdayGen!CT34</f>
        <v>0</v>
      </c>
      <c r="L42" s="2457">
        <f>YesterdayGen!CT36</f>
        <v>300</v>
      </c>
      <c r="M42" s="2458">
        <f>YesterdayGen!CT35</f>
        <v>300</v>
      </c>
      <c r="N42" s="2424"/>
      <c r="O42" s="2465"/>
      <c r="P42" s="2466"/>
      <c r="Q42" s="1921"/>
      <c r="R42" s="246"/>
      <c r="S42" s="220"/>
      <c r="T42" s="195"/>
      <c r="U42" s="195"/>
      <c r="V42" s="195"/>
      <c r="W42" s="195"/>
      <c r="X42" s="195"/>
      <c r="Y42" s="195"/>
      <c r="Z42" s="195"/>
      <c r="AA42" s="195"/>
      <c r="AB42" s="195"/>
      <c r="AC42" s="195"/>
    </row>
    <row r="43" spans="2:29" ht="16.5" customHeight="1">
      <c r="B43" s="2467">
        <v>33</v>
      </c>
      <c r="C43" s="2468" t="str">
        <f>Master!CU3</f>
        <v xml:space="preserve"> Bramhangoan 100 MW PP (Aggreko)</v>
      </c>
      <c r="D43" s="2440"/>
      <c r="E43" s="2421" t="str">
        <f>Master!CU5</f>
        <v>HSD</v>
      </c>
      <c r="F43" s="228" t="str">
        <f>Master!CU4</f>
        <v>IPP</v>
      </c>
      <c r="G43" s="235">
        <f>Master!CU6</f>
        <v>100</v>
      </c>
      <c r="H43" s="2421">
        <f>Master!CU7</f>
        <v>100</v>
      </c>
      <c r="I43" s="2422">
        <f>Master!CU8</f>
        <v>100</v>
      </c>
      <c r="J43" s="2423">
        <f>YesterdayGen!CU33</f>
        <v>0</v>
      </c>
      <c r="K43" s="2424">
        <f>YesterdayGen!CU34</f>
        <v>0</v>
      </c>
      <c r="L43" s="2427">
        <f>YesterdayGen!CU36</f>
        <v>100</v>
      </c>
      <c r="M43" s="2426">
        <f>YesterdayGen!CU35</f>
        <v>100</v>
      </c>
      <c r="N43" s="2424"/>
      <c r="O43" s="2465"/>
      <c r="P43" s="2469"/>
      <c r="Q43" s="1921"/>
      <c r="R43" s="219"/>
      <c r="S43" s="220"/>
      <c r="T43" s="195"/>
      <c r="U43" s="195"/>
      <c r="V43" s="195"/>
      <c r="W43" s="195"/>
      <c r="X43" s="195"/>
      <c r="Y43" s="195"/>
      <c r="Z43" s="195"/>
      <c r="AA43" s="195"/>
      <c r="AB43" s="195"/>
      <c r="AC43" s="195"/>
    </row>
    <row r="44" spans="2:29" ht="16.5" customHeight="1">
      <c r="B44" s="2451">
        <v>34</v>
      </c>
      <c r="C44" s="2470" t="str">
        <f>Master!CW3</f>
        <v>Aurahati 100MW PP (Aggreko)</v>
      </c>
      <c r="D44" s="2471"/>
      <c r="E44" s="2451" t="str">
        <f>Master!CW5</f>
        <v>HSD</v>
      </c>
      <c r="F44" s="2472" t="str">
        <f>Master!CW4</f>
        <v>IPP</v>
      </c>
      <c r="G44" s="238" t="str">
        <f>Master!CW6</f>
        <v>0.85*23+0.95*91</v>
      </c>
      <c r="H44" s="2473">
        <f>Master!CW7</f>
        <v>100</v>
      </c>
      <c r="I44" s="2474">
        <f>Master!CW8</f>
        <v>100</v>
      </c>
      <c r="J44" s="2455">
        <f>YesterdayGen!CW33</f>
        <v>0</v>
      </c>
      <c r="K44" s="2456">
        <f>YesterdayGen!CW34</f>
        <v>0</v>
      </c>
      <c r="L44" s="2457">
        <f>YesterdayGen!CW36</f>
        <v>50</v>
      </c>
      <c r="M44" s="2458">
        <f>YesterdayGen!CW35</f>
        <v>100</v>
      </c>
      <c r="N44" s="2424"/>
      <c r="O44" s="2465"/>
      <c r="P44" s="2466"/>
      <c r="Q44" s="1921"/>
      <c r="R44" s="248"/>
      <c r="S44" s="220"/>
      <c r="T44" s="195"/>
      <c r="U44" s="195"/>
      <c r="V44" s="195"/>
      <c r="W44" s="195"/>
      <c r="X44" s="195"/>
      <c r="Y44" s="195"/>
      <c r="Z44" s="195"/>
      <c r="AA44" s="195"/>
      <c r="AB44" s="195"/>
      <c r="AC44" s="195"/>
    </row>
    <row r="45" spans="2:29" ht="16.5" customHeight="1">
      <c r="B45" s="2451">
        <v>35</v>
      </c>
      <c r="C45" s="2475" t="str">
        <f>Master!CX3</f>
        <v xml:space="preserve">Kodda 149 MW PP Unit-1 (Summit) </v>
      </c>
      <c r="D45" s="2476"/>
      <c r="E45" s="2477" t="str">
        <f>Master!CX5</f>
        <v>HFO</v>
      </c>
      <c r="F45" s="2478" t="str">
        <f>Master!CX4</f>
        <v>IPP</v>
      </c>
      <c r="G45" s="1767">
        <f>Master!CX6</f>
        <v>149</v>
      </c>
      <c r="H45" s="2479">
        <f>Master!CX7</f>
        <v>149</v>
      </c>
      <c r="I45" s="2480">
        <f>Master!CX8</f>
        <v>149</v>
      </c>
      <c r="J45" s="2481">
        <f>YesterdayGen!CX33</f>
        <v>33</v>
      </c>
      <c r="K45" s="2482">
        <f>YesterdayGen!CX34</f>
        <v>70</v>
      </c>
      <c r="L45" s="2483">
        <f>YesterdayGen!CX36</f>
        <v>149</v>
      </c>
      <c r="M45" s="2484">
        <f>YesterdayGen!CX35</f>
        <v>149</v>
      </c>
      <c r="N45" s="2482"/>
      <c r="O45" s="2485"/>
      <c r="P45" s="3348"/>
      <c r="Q45" s="226"/>
      <c r="R45" s="4574"/>
      <c r="S45" s="220"/>
      <c r="T45" s="195"/>
      <c r="U45" s="195"/>
      <c r="V45" s="195"/>
      <c r="W45" s="195"/>
      <c r="X45" s="195"/>
      <c r="Y45" s="195"/>
      <c r="Z45" s="195"/>
      <c r="AA45" s="195"/>
      <c r="AB45" s="195"/>
      <c r="AC45" s="195"/>
    </row>
    <row r="46" spans="2:29" ht="16.5" customHeight="1">
      <c r="B46" s="3446">
        <v>36</v>
      </c>
      <c r="C46" s="3521" t="str">
        <f>Master!DE3</f>
        <v>Gazipur 100 MW PP</v>
      </c>
      <c r="D46" s="3522"/>
      <c r="E46" s="3446" t="str">
        <f>Master!DE5</f>
        <v>HFO</v>
      </c>
      <c r="F46" s="3523" t="str">
        <f>Master!DE4</f>
        <v>RPCL</v>
      </c>
      <c r="G46" s="3523" t="str">
        <f>Master!DE6</f>
        <v>100 MW</v>
      </c>
      <c r="H46" s="3524">
        <f>Master!DE7</f>
        <v>105</v>
      </c>
      <c r="I46" s="3446">
        <f>Master!DE8</f>
        <v>105</v>
      </c>
      <c r="J46" s="3447">
        <f>YesterdayGen!DE33</f>
        <v>87</v>
      </c>
      <c r="K46" s="3447">
        <f>YesterdayGen!DE34</f>
        <v>105</v>
      </c>
      <c r="L46" s="3448">
        <f>YesterdayGen!DE36</f>
        <v>105</v>
      </c>
      <c r="M46" s="3448">
        <f>YesterdayGen!DE35</f>
        <v>105</v>
      </c>
      <c r="N46" s="3447"/>
      <c r="O46" s="4471"/>
      <c r="P46" s="3348"/>
      <c r="Q46" s="3525"/>
      <c r="R46" s="4583"/>
      <c r="S46" s="220"/>
      <c r="T46" s="195"/>
      <c r="U46" s="195"/>
      <c r="V46" s="195"/>
      <c r="W46" s="195"/>
      <c r="X46" s="195"/>
      <c r="Y46" s="195"/>
      <c r="Z46" s="195"/>
      <c r="AA46" s="195"/>
      <c r="AB46" s="195"/>
      <c r="AC46" s="195"/>
    </row>
    <row r="47" spans="2:29" ht="16.5" customHeight="1">
      <c r="B47" s="3878">
        <v>37</v>
      </c>
      <c r="C47" s="3521" t="str">
        <f>Master!DO3</f>
        <v>Meghnaghat 104 MW PP (OPCL)</v>
      </c>
      <c r="D47" s="3522"/>
      <c r="E47" s="3446" t="str">
        <f>Master!DO5</f>
        <v>HFO</v>
      </c>
      <c r="F47" s="3523" t="str">
        <f>Master!DO4</f>
        <v>IPP</v>
      </c>
      <c r="G47" s="3526" t="str">
        <f>Master!DO6</f>
        <v>18.5*6</v>
      </c>
      <c r="H47" s="3524">
        <f>Master!DO7</f>
        <v>104</v>
      </c>
      <c r="I47" s="3527">
        <f>Master!DO8</f>
        <v>104</v>
      </c>
      <c r="J47" s="3447">
        <f>YesterdayGen!DO33</f>
        <v>35</v>
      </c>
      <c r="K47" s="3447">
        <f>YesterdayGen!DO34</f>
        <v>104</v>
      </c>
      <c r="L47" s="3528">
        <f>YesterdayGen!DO36</f>
        <v>104</v>
      </c>
      <c r="M47" s="3448">
        <f>YesterdayGen!DO35</f>
        <v>104</v>
      </c>
      <c r="N47" s="3447"/>
      <c r="O47" s="4471"/>
      <c r="P47" s="1922"/>
      <c r="Q47" s="3525"/>
      <c r="R47" s="4583"/>
      <c r="S47" s="220"/>
      <c r="T47" s="195"/>
      <c r="U47" s="195"/>
      <c r="V47" s="195"/>
      <c r="W47" s="195"/>
      <c r="X47" s="195"/>
      <c r="Y47" s="195"/>
      <c r="Z47" s="195"/>
      <c r="AA47" s="195"/>
      <c r="AB47" s="195"/>
      <c r="AC47" s="195"/>
    </row>
    <row r="48" spans="2:29" ht="16.5" customHeight="1">
      <c r="B48" s="4026">
        <v>38</v>
      </c>
      <c r="C48" s="4228" t="str">
        <f>Master!DQ3</f>
        <v>Manikgonj 162MW PP(MPGL)</v>
      </c>
      <c r="D48" s="4229"/>
      <c r="E48" s="4026" t="str">
        <f>Master!DQ5</f>
        <v>HFO</v>
      </c>
      <c r="F48" s="4230" t="str">
        <f>Master!DQ4</f>
        <v>IPP</v>
      </c>
      <c r="G48" s="4230" t="str">
        <f>Master!DQ6</f>
        <v>9*18</v>
      </c>
      <c r="H48" s="4231">
        <f>Master!DQ7</f>
        <v>162</v>
      </c>
      <c r="I48" s="4026">
        <f>Master!DQ8</f>
        <v>162</v>
      </c>
      <c r="J48" s="4032">
        <f>YesterdayGen!DQ33</f>
        <v>162</v>
      </c>
      <c r="K48" s="4032">
        <f>YesterdayGen!DQ34</f>
        <v>54</v>
      </c>
      <c r="L48" s="4232">
        <f>YesterdayGen!DQ36</f>
        <v>162</v>
      </c>
      <c r="M48" s="4232">
        <f>YesterdayGen!DQ35</f>
        <v>162</v>
      </c>
      <c r="N48" s="4032"/>
      <c r="O48" s="4471"/>
      <c r="P48" s="4485"/>
      <c r="Q48" s="4033"/>
      <c r="R48" s="4233"/>
      <c r="S48" s="220"/>
      <c r="T48" s="195"/>
      <c r="U48" s="195"/>
      <c r="V48" s="195"/>
      <c r="W48" s="195"/>
      <c r="X48" s="195"/>
      <c r="Y48" s="195"/>
      <c r="Z48" s="195"/>
      <c r="AA48" s="195"/>
      <c r="AB48" s="195"/>
      <c r="AC48" s="195"/>
    </row>
    <row r="49" spans="2:29" ht="16.5" customHeight="1">
      <c r="B49" s="4803">
        <v>39</v>
      </c>
      <c r="C49" s="4848" t="str">
        <f>Master!DU3</f>
        <v>Spectra Solar Plant Ltd.</v>
      </c>
      <c r="D49" s="4849"/>
      <c r="E49" s="4803" t="str">
        <f>Master!DU5</f>
        <v>Solar</v>
      </c>
      <c r="F49" s="4804" t="str">
        <f>Master!DU4</f>
        <v>IPP</v>
      </c>
      <c r="G49" s="4850">
        <f>Master!DU6</f>
        <v>35</v>
      </c>
      <c r="H49" s="4851">
        <f>Master!DU7</f>
        <v>35</v>
      </c>
      <c r="I49" s="4852">
        <f>Master!DU8</f>
        <v>35</v>
      </c>
      <c r="J49" s="4796">
        <f>YesterdayGen!DU33</f>
        <v>25</v>
      </c>
      <c r="K49" s="4796">
        <f>YesterdayGen!DU34</f>
        <v>0</v>
      </c>
      <c r="L49" s="4853">
        <f>YesterdayGen!DU36</f>
        <v>30</v>
      </c>
      <c r="M49" s="4805">
        <f>YesterdayGen!DU35</f>
        <v>0</v>
      </c>
      <c r="N49" s="4796"/>
      <c r="O49" s="4854"/>
      <c r="P49" s="4855"/>
      <c r="Q49" s="4808"/>
      <c r="R49" s="4856"/>
      <c r="S49" s="220"/>
      <c r="T49" s="195"/>
      <c r="U49" s="195"/>
      <c r="V49" s="195"/>
      <c r="W49" s="195"/>
      <c r="X49" s="195"/>
      <c r="Y49" s="195"/>
      <c r="Z49" s="195"/>
      <c r="AA49" s="195"/>
      <c r="AB49" s="195"/>
      <c r="AC49" s="195"/>
    </row>
    <row r="50" spans="2:29" ht="16.5" customHeight="1" thickBot="1">
      <c r="B50" s="4825"/>
      <c r="C50" s="4857" t="str">
        <f>Master!DW3</f>
        <v>Kanchan Purbachal Power Generation  Ltd.</v>
      </c>
      <c r="D50" s="4858"/>
      <c r="E50" s="4803" t="str">
        <f>Master!DW5</f>
        <v>HFO</v>
      </c>
      <c r="F50" s="4804" t="str">
        <f>Master!DW4</f>
        <v>IPP</v>
      </c>
      <c r="G50" s="4804">
        <f>Master!DW6</f>
        <v>55</v>
      </c>
      <c r="H50" s="4851">
        <f>Master!DW7</f>
        <v>0</v>
      </c>
      <c r="I50" s="4803">
        <f>Master!DW8</f>
        <v>0</v>
      </c>
      <c r="J50" s="4796">
        <f>YesterdayGen!DW33</f>
        <v>0</v>
      </c>
      <c r="K50" s="4796">
        <f>YesterdayGen!DW34</f>
        <v>55</v>
      </c>
      <c r="L50" s="4805">
        <f>YesterdayGen!DW36</f>
        <v>55</v>
      </c>
      <c r="M50" s="4805">
        <f>YesterdayGen!DW35</f>
        <v>55</v>
      </c>
      <c r="N50" s="4796"/>
      <c r="O50" s="4806"/>
      <c r="P50" s="4711"/>
      <c r="Q50" s="4859"/>
      <c r="R50" s="4809"/>
      <c r="S50" s="220"/>
      <c r="T50" s="195"/>
      <c r="U50" s="195"/>
      <c r="V50" s="195"/>
      <c r="W50" s="195"/>
      <c r="X50" s="195"/>
      <c r="Y50" s="195"/>
      <c r="Z50" s="195"/>
      <c r="AA50" s="195"/>
      <c r="AB50" s="195"/>
      <c r="AC50" s="195"/>
    </row>
    <row r="51" spans="2:29" s="232" customFormat="1" ht="16.5" customHeight="1" thickBot="1">
      <c r="B51" s="2079"/>
      <c r="C51" s="2487" t="s">
        <v>746</v>
      </c>
      <c r="D51" s="2487"/>
      <c r="E51" s="2488"/>
      <c r="F51" s="2488"/>
      <c r="G51" s="2079"/>
      <c r="H51" s="2489">
        <f t="shared" ref="H51:O51" si="0">SUM(H9:H50)</f>
        <v>6178</v>
      </c>
      <c r="I51" s="2490">
        <f t="shared" si="0"/>
        <v>5560</v>
      </c>
      <c r="J51" s="2489">
        <f t="shared" si="0"/>
        <v>1412</v>
      </c>
      <c r="K51" s="2489">
        <f t="shared" si="0"/>
        <v>1725</v>
      </c>
      <c r="L51" s="2490">
        <f t="shared" si="0"/>
        <v>2640</v>
      </c>
      <c r="M51" s="2489">
        <f t="shared" si="0"/>
        <v>2660</v>
      </c>
      <c r="N51" s="2489">
        <f t="shared" si="0"/>
        <v>2115</v>
      </c>
      <c r="O51" s="2491">
        <f t="shared" si="0"/>
        <v>855</v>
      </c>
      <c r="P51" s="1901"/>
      <c r="Q51" s="1897"/>
      <c r="R51" s="4575"/>
      <c r="S51" s="213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</row>
    <row r="52" spans="2:29" ht="16.5" customHeight="1">
      <c r="B52" s="2492">
        <v>40</v>
      </c>
      <c r="C52" s="2493" t="str">
        <f>Master!AN3</f>
        <v xml:space="preserve">Chattogram TPP-1 </v>
      </c>
      <c r="D52" s="1906"/>
      <c r="E52" s="2416" t="str">
        <f>Master!AN5</f>
        <v>Gas</v>
      </c>
      <c r="F52" s="2494" t="str">
        <f>Master!AN4</f>
        <v>PDB</v>
      </c>
      <c r="G52" s="233" t="str">
        <f>Master!AN6</f>
        <v>1*210</v>
      </c>
      <c r="H52" s="2416">
        <f>Master!AN7</f>
        <v>210</v>
      </c>
      <c r="I52" s="2417">
        <f>Master!AN8</f>
        <v>180</v>
      </c>
      <c r="J52" s="2418">
        <f>YesterdayGen!AN33</f>
        <v>0</v>
      </c>
      <c r="K52" s="2419">
        <f>YesterdayGen!AN34</f>
        <v>0</v>
      </c>
      <c r="L52" s="2418">
        <f>YesterdayGen!AN36</f>
        <v>0</v>
      </c>
      <c r="M52" s="2419">
        <f>YesterdayGen!AN35</f>
        <v>0</v>
      </c>
      <c r="N52" s="2419"/>
      <c r="O52" s="2947">
        <f>I52-M52</f>
        <v>180</v>
      </c>
      <c r="P52" s="1423" t="s">
        <v>117</v>
      </c>
      <c r="Q52" s="214"/>
      <c r="R52" s="1651"/>
      <c r="S52" s="213"/>
      <c r="T52" s="195"/>
      <c r="U52" s="195"/>
      <c r="V52" s="195"/>
      <c r="W52" s="195"/>
      <c r="X52" s="195"/>
      <c r="Y52" s="195"/>
      <c r="Z52" s="195"/>
      <c r="AA52" s="195"/>
      <c r="AB52" s="195"/>
      <c r="AC52" s="195"/>
    </row>
    <row r="53" spans="2:29" ht="16.5" customHeight="1">
      <c r="B53" s="2421"/>
      <c r="C53" s="2495" t="str">
        <f>Master!AO3</f>
        <v>Chattogram TPP-2</v>
      </c>
      <c r="D53" s="1906"/>
      <c r="E53" s="2416" t="str">
        <f>Master!AO5</f>
        <v>Gas</v>
      </c>
      <c r="F53" s="2494" t="str">
        <f>Master!AO4</f>
        <v>PDB</v>
      </c>
      <c r="G53" s="233" t="str">
        <f>Master!AO6</f>
        <v>1*210</v>
      </c>
      <c r="H53" s="2416">
        <f>Master!AO7</f>
        <v>210</v>
      </c>
      <c r="I53" s="2417">
        <f>Master!AO8</f>
        <v>180</v>
      </c>
      <c r="J53" s="2418">
        <f>YesterdayGen!AO33</f>
        <v>0</v>
      </c>
      <c r="K53" s="2419">
        <f>YesterdayGen!AO34</f>
        <v>0</v>
      </c>
      <c r="L53" s="2418">
        <f>YesterdayGen!AO36</f>
        <v>0</v>
      </c>
      <c r="M53" s="2419">
        <f>YesterdayGen!AO35</f>
        <v>0</v>
      </c>
      <c r="N53" s="2419">
        <v>180</v>
      </c>
      <c r="O53" s="2420"/>
      <c r="P53" s="1423" t="s">
        <v>174</v>
      </c>
      <c r="Q53" s="226"/>
      <c r="R53" s="219"/>
      <c r="S53" s="213"/>
      <c r="T53" s="195"/>
      <c r="U53" s="195"/>
      <c r="V53" s="195"/>
      <c r="W53" s="195"/>
      <c r="X53" s="195"/>
      <c r="Y53" s="195"/>
      <c r="Z53" s="195"/>
      <c r="AA53" s="195"/>
      <c r="AB53" s="195"/>
      <c r="AC53" s="195"/>
    </row>
    <row r="54" spans="2:29" ht="16.5" customHeight="1">
      <c r="B54" s="2421">
        <v>41</v>
      </c>
      <c r="C54" s="2447" t="str">
        <f>Master!AP3</f>
        <v>Raozan 25 MW PP</v>
      </c>
      <c r="D54" s="1906"/>
      <c r="E54" s="2416" t="str">
        <f>Master!AP5</f>
        <v>HFO</v>
      </c>
      <c r="F54" s="2494" t="str">
        <f>Master!AP4</f>
        <v>IPP</v>
      </c>
      <c r="G54" s="233" t="str">
        <f>Master!AP6</f>
        <v>3*8.9</v>
      </c>
      <c r="H54" s="2416">
        <f>Master!AP7</f>
        <v>25</v>
      </c>
      <c r="I54" s="2417">
        <f>Master!AP8</f>
        <v>25</v>
      </c>
      <c r="J54" s="2418">
        <f>YesterdayGen!AP33</f>
        <v>0</v>
      </c>
      <c r="K54" s="2419">
        <f>YesterdayGen!AP34</f>
        <v>17</v>
      </c>
      <c r="L54" s="2418">
        <f>YesterdayGen!AP36</f>
        <v>25</v>
      </c>
      <c r="M54" s="2419">
        <f>YesterdayGen!AP35</f>
        <v>25</v>
      </c>
      <c r="N54" s="2419"/>
      <c r="O54" s="2420"/>
      <c r="P54" s="1423"/>
      <c r="Q54" s="226"/>
      <c r="R54" s="4576"/>
      <c r="S54" s="213"/>
      <c r="T54" s="195"/>
      <c r="U54" s="195"/>
      <c r="V54" s="195"/>
      <c r="W54" s="195"/>
      <c r="X54" s="195"/>
      <c r="Y54" s="195"/>
      <c r="Z54" s="195"/>
      <c r="AA54" s="195"/>
      <c r="AB54" s="195"/>
      <c r="AC54" s="195"/>
    </row>
    <row r="55" spans="2:29" ht="16.5" customHeight="1">
      <c r="B55" s="2421">
        <v>42</v>
      </c>
      <c r="C55" s="2447" t="str">
        <f>Master!CY3</f>
        <v>Teknaf  20MW PP (Solartech)</v>
      </c>
      <c r="D55" s="1906"/>
      <c r="E55" s="2416" t="str">
        <f>Master!CY5</f>
        <v>Solar</v>
      </c>
      <c r="F55" s="2494" t="str">
        <f>Master!CY4</f>
        <v>Teknaf Solartech Energy Ltd.</v>
      </c>
      <c r="G55" s="233">
        <f>Master!CY6</f>
        <v>20</v>
      </c>
      <c r="H55" s="2416">
        <f>Master!CY7</f>
        <v>20</v>
      </c>
      <c r="I55" s="2417">
        <f>Master!CY8</f>
        <v>20</v>
      </c>
      <c r="J55" s="2418">
        <f>YesterdayGen!CY33</f>
        <v>19</v>
      </c>
      <c r="K55" s="2419">
        <f>YesterdayGen!CY34</f>
        <v>0</v>
      </c>
      <c r="L55" s="2418">
        <f>YesterdayGen!CY36</f>
        <v>20</v>
      </c>
      <c r="M55" s="2419">
        <f>YesterdayGen!CY35</f>
        <v>0</v>
      </c>
      <c r="N55" s="2419"/>
      <c r="O55" s="2420"/>
      <c r="P55" s="1423"/>
      <c r="Q55" s="226"/>
      <c r="R55" s="4576"/>
      <c r="S55" s="213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</row>
    <row r="56" spans="2:29" ht="16.5" customHeight="1">
      <c r="B56" s="2421">
        <v>43</v>
      </c>
      <c r="C56" s="2447" t="str">
        <f>Master!BA3</f>
        <v>Patenga 50MW PP (Baraka)</v>
      </c>
      <c r="D56" s="1906"/>
      <c r="E56" s="2416" t="str">
        <f>Master!BA5</f>
        <v>HFO</v>
      </c>
      <c r="F56" s="2494" t="str">
        <f>Master!BA4</f>
        <v>IPP</v>
      </c>
      <c r="G56" s="233" t="str">
        <f>Master!BA6</f>
        <v>8*6.98</v>
      </c>
      <c r="H56" s="2416">
        <f>Master!BA7</f>
        <v>50</v>
      </c>
      <c r="I56" s="2417">
        <f>Master!BA8</f>
        <v>50</v>
      </c>
      <c r="J56" s="2418">
        <f>YesterdayGen!BA33</f>
        <v>0</v>
      </c>
      <c r="K56" s="2419">
        <f>YesterdayGen!BA34</f>
        <v>0</v>
      </c>
      <c r="L56" s="2418">
        <f>YesterdayGen!BA36</f>
        <v>50</v>
      </c>
      <c r="M56" s="2419">
        <f>YesterdayGen!BA35</f>
        <v>50</v>
      </c>
      <c r="N56" s="2419"/>
      <c r="O56" s="2420"/>
      <c r="P56" s="1423"/>
      <c r="Q56" s="226"/>
      <c r="R56" s="219"/>
      <c r="S56" s="213"/>
      <c r="T56" s="195"/>
      <c r="U56" s="195"/>
      <c r="V56" s="195"/>
      <c r="W56" s="195"/>
      <c r="X56" s="195"/>
      <c r="Y56" s="195"/>
      <c r="Z56" s="195"/>
      <c r="AA56" s="195"/>
      <c r="AB56" s="195"/>
      <c r="AC56" s="195"/>
    </row>
    <row r="57" spans="2:29" ht="16.5" customHeight="1">
      <c r="B57" s="2421">
        <v>44</v>
      </c>
      <c r="C57" s="2447" t="s">
        <v>979</v>
      </c>
      <c r="D57" s="1908"/>
      <c r="E57" s="2421" t="str">
        <f>Master!AL5</f>
        <v>Hydro</v>
      </c>
      <c r="F57" s="234" t="str">
        <f>Master!AL4</f>
        <v>PDB</v>
      </c>
      <c r="G57" s="234" t="s">
        <v>733</v>
      </c>
      <c r="H57" s="2421">
        <f>Master!AL8+Master!AM8</f>
        <v>230</v>
      </c>
      <c r="I57" s="2422">
        <f>Master!AL8+Master!AM8</f>
        <v>230</v>
      </c>
      <c r="J57" s="2423">
        <f>YesterdayGen!AL33+YesterdayGen!AM33</f>
        <v>83</v>
      </c>
      <c r="K57" s="2424">
        <f>YesterdayGen!AL34+YesterdayGen!AM34</f>
        <v>78</v>
      </c>
      <c r="L57" s="2423">
        <f>YesterdayGen!AL36+YesterdayGen!AM36</f>
        <v>80</v>
      </c>
      <c r="M57" s="2424">
        <f>YesterdayGen!AL35+YesterdayGen!AM35</f>
        <v>80</v>
      </c>
      <c r="N57" s="2424"/>
      <c r="O57" s="2420">
        <f>I57-M57</f>
        <v>150</v>
      </c>
      <c r="P57" s="2899" t="s">
        <v>1714</v>
      </c>
      <c r="Q57" s="226"/>
      <c r="R57" s="4576"/>
      <c r="S57" s="213">
        <v>32506</v>
      </c>
      <c r="T57" s="195"/>
      <c r="U57" s="195"/>
      <c r="V57" s="195"/>
      <c r="W57" s="195"/>
      <c r="X57" s="195"/>
      <c r="Y57" s="195"/>
      <c r="Z57" s="195"/>
      <c r="AA57" s="195"/>
      <c r="AB57" s="195"/>
      <c r="AC57" s="195"/>
    </row>
    <row r="58" spans="2:29" ht="16.5" customHeight="1">
      <c r="B58" s="2421">
        <v>45</v>
      </c>
      <c r="C58" s="2496" t="s">
        <v>1096</v>
      </c>
      <c r="D58" s="2497"/>
      <c r="E58" s="2421" t="s">
        <v>728</v>
      </c>
      <c r="F58" s="224" t="str">
        <f>Master!AQ4</f>
        <v>PDB</v>
      </c>
      <c r="G58" s="234" t="str">
        <f>Master!AQ6</f>
        <v>1*150+1*175</v>
      </c>
      <c r="H58" s="2421">
        <f>Master!AQ7</f>
        <v>225</v>
      </c>
      <c r="I58" s="2422">
        <f>Master!AQ8</f>
        <v>225</v>
      </c>
      <c r="J58" s="2423">
        <f>YesterdayGen!AQ33+YesterdayGen!AR33</f>
        <v>0</v>
      </c>
      <c r="K58" s="2424">
        <f>YesterdayGen!AQ34+YesterdayGen!AR34</f>
        <v>0</v>
      </c>
      <c r="L58" s="2423">
        <f>YesterdayGen!AQ36+YesterdayGen!AR36</f>
        <v>0</v>
      </c>
      <c r="M58" s="2424">
        <f>YesterdayGen!AQ35+YesterdayGen!AR35</f>
        <v>0</v>
      </c>
      <c r="N58" s="2438"/>
      <c r="O58" s="2420">
        <v>225</v>
      </c>
      <c r="P58" s="1423" t="s">
        <v>1181</v>
      </c>
      <c r="Q58" s="226"/>
      <c r="R58" s="219"/>
      <c r="S58" s="213"/>
      <c r="T58" s="195"/>
      <c r="U58" s="195"/>
      <c r="V58" s="195"/>
      <c r="W58" s="195"/>
      <c r="X58" s="195"/>
      <c r="Y58" s="195"/>
      <c r="Z58" s="195"/>
      <c r="AA58" s="195"/>
      <c r="AB58" s="195"/>
      <c r="AC58" s="195"/>
    </row>
    <row r="59" spans="2:29" ht="16.5" customHeight="1">
      <c r="B59" s="2421">
        <v>46</v>
      </c>
      <c r="C59" s="2496" t="s">
        <v>115</v>
      </c>
      <c r="D59" s="2440"/>
      <c r="E59" s="2421" t="s">
        <v>728</v>
      </c>
      <c r="F59" s="224" t="str">
        <f>Master!AS4</f>
        <v>PDB</v>
      </c>
      <c r="G59" s="234" t="str">
        <f>Master!AS6</f>
        <v xml:space="preserve">1*150 </v>
      </c>
      <c r="H59" s="2421">
        <f>Master!AS7</f>
        <v>150</v>
      </c>
      <c r="I59" s="2422">
        <f>Master!AS8</f>
        <v>150</v>
      </c>
      <c r="J59" s="2423">
        <f>YesterdayGen!AS33+YesterdayGen!AT33</f>
        <v>0</v>
      </c>
      <c r="K59" s="2424">
        <f>YesterdayGen!AS34+YesterdayGen!AT34</f>
        <v>0</v>
      </c>
      <c r="L59" s="2423">
        <f>YesterdayGen!AS36+YesterdayGen!AT36</f>
        <v>0</v>
      </c>
      <c r="M59" s="2424">
        <f>YesterdayGen!AS35+YesterdayGen!AT35</f>
        <v>0</v>
      </c>
      <c r="N59" s="2424"/>
      <c r="O59" s="2420">
        <f>I59-M59</f>
        <v>150</v>
      </c>
      <c r="P59" s="1423" t="s">
        <v>1181</v>
      </c>
      <c r="Q59" s="226"/>
      <c r="R59" s="4581"/>
      <c r="S59" s="213"/>
      <c r="T59" s="195"/>
      <c r="U59" s="195"/>
      <c r="V59" s="195"/>
      <c r="W59" s="195"/>
      <c r="X59" s="195"/>
      <c r="Y59" s="195"/>
      <c r="Z59" s="195"/>
      <c r="AA59" s="195"/>
      <c r="AB59" s="195"/>
      <c r="AC59" s="195"/>
    </row>
    <row r="60" spans="2:29" ht="16.5" customHeight="1">
      <c r="B60" s="2421">
        <v>47</v>
      </c>
      <c r="C60" s="2498" t="str">
        <f>Master!DF3</f>
        <v>Sikalbaha 105 MW PP (Baraka Sikalbaha)</v>
      </c>
      <c r="D60" s="2499"/>
      <c r="E60" s="2500" t="str">
        <f>Master!DF5</f>
        <v>HFO</v>
      </c>
      <c r="F60" s="2501" t="str">
        <f>Master!DF4</f>
        <v>IPP</v>
      </c>
      <c r="G60" s="3434" t="str">
        <f>Master!DF6</f>
        <v>105 MW</v>
      </c>
      <c r="H60" s="2502">
        <f>Master!DF7</f>
        <v>105</v>
      </c>
      <c r="I60" s="2503">
        <f>Master!DF8</f>
        <v>105</v>
      </c>
      <c r="J60" s="2504">
        <f>YesterdayGen!DF33</f>
        <v>61</v>
      </c>
      <c r="K60" s="2505">
        <f>YesterdayGen!DF34</f>
        <v>105</v>
      </c>
      <c r="L60" s="2506">
        <f>YesterdayGen!DF36</f>
        <v>105</v>
      </c>
      <c r="M60" s="2507">
        <f>YesterdayGen!DF35</f>
        <v>105</v>
      </c>
      <c r="N60" s="2505"/>
      <c r="O60" s="2420"/>
      <c r="P60" s="1847"/>
      <c r="Q60" s="1848"/>
      <c r="R60" s="4569"/>
      <c r="S60" s="213"/>
      <c r="T60" s="195"/>
      <c r="U60" s="195"/>
      <c r="V60" s="195"/>
      <c r="W60" s="195"/>
      <c r="X60" s="195"/>
      <c r="Y60" s="195"/>
      <c r="Z60" s="195"/>
      <c r="AA60" s="195"/>
      <c r="AB60" s="195"/>
      <c r="AC60" s="195"/>
    </row>
    <row r="61" spans="2:29" ht="17.25" customHeight="1">
      <c r="B61" s="2421">
        <v>48</v>
      </c>
      <c r="C61" s="2496" t="str">
        <f>Master!AW3</f>
        <v>Hathazari 100 MW peaking PP</v>
      </c>
      <c r="D61" s="2440"/>
      <c r="E61" s="2421" t="str">
        <f>Master!AW5</f>
        <v>HFO</v>
      </c>
      <c r="F61" s="224" t="str">
        <f>Master!AW4</f>
        <v>PDB</v>
      </c>
      <c r="G61" s="235" t="str">
        <f>Master!AW6</f>
        <v>11*8.9</v>
      </c>
      <c r="H61" s="2421">
        <f>Master!AW7</f>
        <v>98</v>
      </c>
      <c r="I61" s="2422">
        <f>Master!AW8</f>
        <v>98</v>
      </c>
      <c r="J61" s="2423">
        <f>YesterdayGen!AW33</f>
        <v>0</v>
      </c>
      <c r="K61" s="2424">
        <f>YesterdayGen!AW34</f>
        <v>0</v>
      </c>
      <c r="L61" s="2423">
        <f>YesterdayGen!AW36</f>
        <v>0</v>
      </c>
      <c r="M61" s="2424">
        <f>YesterdayGen!AW35</f>
        <v>0</v>
      </c>
      <c r="N61" s="2424"/>
      <c r="O61" s="2420">
        <v>98</v>
      </c>
      <c r="P61" s="1573" t="s">
        <v>1339</v>
      </c>
      <c r="Q61" s="1921"/>
      <c r="R61" s="219"/>
      <c r="S61" s="213"/>
      <c r="T61" s="195"/>
      <c r="U61" s="195"/>
      <c r="V61" s="195"/>
      <c r="W61" s="195"/>
      <c r="X61" s="195"/>
      <c r="Y61" s="195"/>
      <c r="Z61" s="195"/>
      <c r="AA61" s="195"/>
      <c r="AB61" s="195"/>
      <c r="AC61" s="195"/>
    </row>
    <row r="62" spans="2:29" ht="16.5" customHeight="1">
      <c r="B62" s="2421">
        <v>49</v>
      </c>
      <c r="C62" s="2496" t="str">
        <f>Master!AX3</f>
        <v>Dohazari -Kalaish 100 MW Peaking</v>
      </c>
      <c r="D62" s="2440"/>
      <c r="E62" s="2421" t="str">
        <f>Master!AX5</f>
        <v>HFO</v>
      </c>
      <c r="F62" s="224" t="str">
        <f>Master!AX4</f>
        <v>PDB</v>
      </c>
      <c r="G62" s="235" t="str">
        <f>Master!AX6</f>
        <v>6*17</v>
      </c>
      <c r="H62" s="2421">
        <f>Master!AX7</f>
        <v>102</v>
      </c>
      <c r="I62" s="2422">
        <f>Master!AX8</f>
        <v>102</v>
      </c>
      <c r="J62" s="2423">
        <f>YesterdayGen!AX33</f>
        <v>0</v>
      </c>
      <c r="K62" s="2424">
        <f>YesterdayGen!AX34</f>
        <v>40</v>
      </c>
      <c r="L62" s="2423">
        <f>YesterdayGen!AX36</f>
        <v>52</v>
      </c>
      <c r="M62" s="2424">
        <f>YesterdayGen!AX35</f>
        <v>70</v>
      </c>
      <c r="N62" s="2424"/>
      <c r="O62" s="2420">
        <f>I62-M62</f>
        <v>32</v>
      </c>
      <c r="P62" s="1847" t="s">
        <v>126</v>
      </c>
      <c r="Q62" s="1921"/>
      <c r="R62" s="219"/>
      <c r="S62" s="4556"/>
      <c r="T62" s="195"/>
      <c r="U62" s="195"/>
      <c r="V62" s="195"/>
      <c r="W62" s="195"/>
      <c r="X62" s="195"/>
      <c r="Y62" s="195"/>
      <c r="Z62" s="195"/>
      <c r="AA62" s="195"/>
      <c r="AB62" s="195"/>
      <c r="AC62" s="195"/>
    </row>
    <row r="63" spans="2:29" ht="16.5" customHeight="1">
      <c r="B63" s="2421">
        <v>50</v>
      </c>
      <c r="C63" s="2496" t="str">
        <f>Master!AY3</f>
        <v>Juldah 100 MW Unit-1 (Acorn)</v>
      </c>
      <c r="D63" s="2440"/>
      <c r="E63" s="2421" t="str">
        <f>Master!AY5</f>
        <v>HFO</v>
      </c>
      <c r="F63" s="224" t="str">
        <f>Master!AY4</f>
        <v>QRPP</v>
      </c>
      <c r="G63" s="235" t="str">
        <f>Master!AY6</f>
        <v>8*13.45</v>
      </c>
      <c r="H63" s="2421">
        <f>Master!AY7</f>
        <v>100</v>
      </c>
      <c r="I63" s="2422">
        <f>Master!AY8</f>
        <v>100</v>
      </c>
      <c r="J63" s="2423">
        <f>YesterdayGen!AY33</f>
        <v>40</v>
      </c>
      <c r="K63" s="2424">
        <f>YesterdayGen!AY34</f>
        <v>10</v>
      </c>
      <c r="L63" s="2423">
        <f>YesterdayGen!AY36</f>
        <v>100</v>
      </c>
      <c r="M63" s="2424">
        <f>YesterdayGen!AY35</f>
        <v>100</v>
      </c>
      <c r="N63" s="2424"/>
      <c r="O63" s="2420"/>
      <c r="P63" s="1847"/>
      <c r="Q63" s="1921"/>
      <c r="R63" s="219"/>
      <c r="S63" s="213">
        <v>399587</v>
      </c>
      <c r="T63" s="195"/>
      <c r="U63" s="195"/>
      <c r="V63" s="195"/>
      <c r="W63" s="195"/>
      <c r="X63" s="195"/>
      <c r="Y63" s="195"/>
      <c r="Z63" s="195"/>
      <c r="AA63" s="195"/>
      <c r="AB63" s="195"/>
      <c r="AC63" s="195"/>
    </row>
    <row r="64" spans="2:29" ht="16.5" customHeight="1">
      <c r="B64" s="2421">
        <v>51</v>
      </c>
      <c r="C64" s="2496" t="str">
        <f>Master!CZ3</f>
        <v>Juldah 100 MW PP Unit-3 (Acorn)</v>
      </c>
      <c r="D64" s="2440"/>
      <c r="E64" s="2421" t="str">
        <f>Master!CZ5</f>
        <v>HFO</v>
      </c>
      <c r="F64" s="2463" t="str">
        <f>Master!CZ4</f>
        <v>IPP</v>
      </c>
      <c r="G64" s="236">
        <f>Master!CZ6</f>
        <v>0</v>
      </c>
      <c r="H64" s="2451">
        <f>Master!CZ7</f>
        <v>100</v>
      </c>
      <c r="I64" s="2454">
        <f>Master!CZ8</f>
        <v>100</v>
      </c>
      <c r="J64" s="2423">
        <f>YesterdayGen!CZ33</f>
        <v>90</v>
      </c>
      <c r="K64" s="2424">
        <f>YesterdayGen!CZ34</f>
        <v>90</v>
      </c>
      <c r="L64" s="2423">
        <f>YesterdayGen!CZ36</f>
        <v>90</v>
      </c>
      <c r="M64" s="2424">
        <f>YesterdayGen!CZ35</f>
        <v>90</v>
      </c>
      <c r="N64" s="2424"/>
      <c r="O64" s="2420">
        <f>I64-M64</f>
        <v>10</v>
      </c>
      <c r="P64" s="1847" t="s">
        <v>126</v>
      </c>
      <c r="Q64" s="1921"/>
      <c r="R64" s="219"/>
      <c r="S64" s="213"/>
      <c r="T64" s="195"/>
      <c r="U64" s="195"/>
      <c r="V64" s="195"/>
      <c r="W64" s="195"/>
      <c r="X64" s="195"/>
      <c r="Y64" s="195"/>
      <c r="Z64" s="195"/>
      <c r="AA64" s="195"/>
      <c r="AB64" s="195"/>
      <c r="AC64" s="195"/>
    </row>
    <row r="65" spans="2:29" ht="16.5" customHeight="1">
      <c r="B65" s="2421">
        <v>52</v>
      </c>
      <c r="C65" s="2496" t="str">
        <f>Master!BB3</f>
        <v>Barabkunda  22 MW PP (Regent)</v>
      </c>
      <c r="D65" s="2440"/>
      <c r="E65" s="2421" t="str">
        <f>Master!BB5</f>
        <v>Gas</v>
      </c>
      <c r="F65" s="2508" t="str">
        <f>Master!BB4</f>
        <v>SIPP, PDB</v>
      </c>
      <c r="G65" s="236" t="str">
        <f>Master!BB6</f>
        <v>8*2.90</v>
      </c>
      <c r="H65" s="2451">
        <f>Master!BB7</f>
        <v>22</v>
      </c>
      <c r="I65" s="2454">
        <f>Master!BB8</f>
        <v>22</v>
      </c>
      <c r="J65" s="2423">
        <f>YesterdayGen!BB33</f>
        <v>21</v>
      </c>
      <c r="K65" s="2424">
        <f>YesterdayGen!BB34</f>
        <v>21</v>
      </c>
      <c r="L65" s="2427">
        <f>YesterdayGen!BB36</f>
        <v>20</v>
      </c>
      <c r="M65" s="2426">
        <f>YesterdayGen!BB35</f>
        <v>21</v>
      </c>
      <c r="N65" s="2424"/>
      <c r="O65" s="2420"/>
      <c r="P65" s="4526"/>
      <c r="Q65" s="1921"/>
      <c r="R65" s="219"/>
      <c r="S65" s="213"/>
      <c r="T65" s="227"/>
      <c r="U65" s="227"/>
      <c r="V65" s="227"/>
      <c r="W65" s="227"/>
      <c r="X65" s="227"/>
      <c r="Y65" s="227"/>
      <c r="Z65" s="227"/>
      <c r="AA65" s="227"/>
      <c r="AB65" s="227"/>
      <c r="AC65" s="227"/>
    </row>
    <row r="66" spans="2:29" ht="16.5" customHeight="1">
      <c r="B66" s="2421" t="s">
        <v>144</v>
      </c>
      <c r="C66" s="2468" t="str">
        <f>Master!BC3</f>
        <v>Malancha, Ctg. EPZ (United)</v>
      </c>
      <c r="D66" s="2440"/>
      <c r="E66" s="2421" t="str">
        <f>Master!BC5</f>
        <v>Gas</v>
      </c>
      <c r="F66" s="228"/>
      <c r="G66" s="235" t="str">
        <f>Master!BC6</f>
        <v>5*8.73+3*9.34</v>
      </c>
      <c r="H66" s="2421"/>
      <c r="I66" s="2422">
        <f>Master!BC8</f>
        <v>0</v>
      </c>
      <c r="J66" s="2423">
        <f>YesterdayGen!BC33</f>
        <v>0</v>
      </c>
      <c r="K66" s="2424">
        <f>YesterdayGen!BC34</f>
        <v>10</v>
      </c>
      <c r="L66" s="2427">
        <f>YesterdayGen!BC36</f>
        <v>5</v>
      </c>
      <c r="M66" s="2426">
        <f>YesterdayGen!BC35</f>
        <v>10</v>
      </c>
      <c r="N66" s="2424"/>
      <c r="O66" s="2420"/>
      <c r="P66" s="2435"/>
      <c r="Q66" s="1921"/>
      <c r="R66" s="219"/>
      <c r="S66" s="213"/>
      <c r="T66" s="195"/>
      <c r="U66" s="195"/>
      <c r="V66" s="195"/>
      <c r="W66" s="195"/>
      <c r="X66" s="195"/>
      <c r="Y66" s="195"/>
      <c r="Z66" s="195"/>
      <c r="AA66" s="195"/>
      <c r="AB66" s="195"/>
      <c r="AC66" s="195"/>
    </row>
    <row r="67" spans="2:29" ht="16.5" customHeight="1">
      <c r="B67" s="2509">
        <v>53</v>
      </c>
      <c r="C67" s="2470" t="str">
        <f>Master!AZ3</f>
        <v>Chattogram 108 MW PP (ECPV)</v>
      </c>
      <c r="D67" s="2471"/>
      <c r="E67" s="2451" t="str">
        <f>Master!AZ5</f>
        <v>HFO</v>
      </c>
      <c r="F67" s="2472" t="str">
        <f>Master!AZ4</f>
        <v>IPP</v>
      </c>
      <c r="G67" s="238" t="str">
        <f>Master!AZ6</f>
        <v>16*7</v>
      </c>
      <c r="H67" s="2473">
        <f>Master!AZ7</f>
        <v>108</v>
      </c>
      <c r="I67" s="2474">
        <f>Master!AZ8</f>
        <v>108</v>
      </c>
      <c r="J67" s="2455">
        <f>YesterdayGen!AZ33</f>
        <v>12</v>
      </c>
      <c r="K67" s="2456">
        <f>YesterdayGen!AZ34</f>
        <v>12</v>
      </c>
      <c r="L67" s="2457">
        <f>YesterdayGen!AZ36</f>
        <v>6</v>
      </c>
      <c r="M67" s="2458">
        <f>YesterdayGen!AZ35</f>
        <v>6</v>
      </c>
      <c r="N67" s="2456"/>
      <c r="O67" s="2510">
        <f>I67-M67</f>
        <v>102</v>
      </c>
      <c r="P67" s="1922" t="s">
        <v>1490</v>
      </c>
      <c r="Q67" s="1921"/>
      <c r="R67" s="248"/>
      <c r="S67" s="213"/>
      <c r="T67" s="195"/>
      <c r="U67" s="195"/>
      <c r="V67" s="195"/>
      <c r="W67" s="195"/>
      <c r="X67" s="195"/>
      <c r="Y67" s="195"/>
      <c r="Z67" s="195"/>
      <c r="AA67" s="195"/>
      <c r="AB67" s="195"/>
      <c r="AC67" s="195"/>
    </row>
    <row r="68" spans="2:29" ht="16.5" customHeight="1">
      <c r="B68" s="2511">
        <v>54</v>
      </c>
      <c r="C68" s="2512" t="str">
        <f>Master!DG3</f>
        <v>Kaptai 7 MW  Solar PP</v>
      </c>
      <c r="D68" s="2513"/>
      <c r="E68" s="2514" t="str">
        <f>Master!DG5</f>
        <v>Solar</v>
      </c>
      <c r="F68" s="2515" t="str">
        <f>Master!DG4</f>
        <v>PDB</v>
      </c>
      <c r="G68" s="1875" t="str">
        <f>Master!DG6</f>
        <v>7.4 MW</v>
      </c>
      <c r="H68" s="2516">
        <f>Master!DG7</f>
        <v>7</v>
      </c>
      <c r="I68" s="2517">
        <f>Master!DG8</f>
        <v>7</v>
      </c>
      <c r="J68" s="2518">
        <f>YesterdayGen!DG33</f>
        <v>4</v>
      </c>
      <c r="K68" s="2519">
        <f>YesterdayGen!DG34</f>
        <v>0</v>
      </c>
      <c r="L68" s="2520">
        <f>YesterdayGen!DG36</f>
        <v>5</v>
      </c>
      <c r="M68" s="2521">
        <f>YesterdayGen!DG35</f>
        <v>0</v>
      </c>
      <c r="N68" s="2519"/>
      <c r="O68" s="2510"/>
      <c r="P68" s="2486"/>
      <c r="Q68" s="1921"/>
      <c r="R68" s="4570"/>
      <c r="S68" s="213"/>
      <c r="T68" s="195"/>
      <c r="U68" s="195"/>
      <c r="V68" s="195"/>
      <c r="W68" s="195"/>
      <c r="X68" s="195"/>
      <c r="Y68" s="195"/>
      <c r="Z68" s="195"/>
      <c r="AA68" s="195"/>
      <c r="AB68" s="195"/>
      <c r="AC68" s="195"/>
    </row>
    <row r="69" spans="2:29" ht="16.5" customHeight="1">
      <c r="B69" s="2522">
        <v>55</v>
      </c>
      <c r="C69" s="2523" t="str">
        <f>Master!DH3</f>
        <v>Anwara 300 MW PP (United)</v>
      </c>
      <c r="D69" s="2524"/>
      <c r="E69" s="2522" t="str">
        <f>Master!DH5</f>
        <v>HFO</v>
      </c>
      <c r="F69" s="2525" t="str">
        <f>Master!DH4</f>
        <v>IPP</v>
      </c>
      <c r="G69" s="2080" t="str">
        <f>Master!DH6</f>
        <v>300 MW</v>
      </c>
      <c r="H69" s="2526">
        <f>Master!DH7</f>
        <v>300</v>
      </c>
      <c r="I69" s="2527">
        <f>Master!DH8</f>
        <v>300</v>
      </c>
      <c r="J69" s="2528">
        <f>YesterdayGen!DH33</f>
        <v>40</v>
      </c>
      <c r="K69" s="2529">
        <f>YesterdayGen!DH34</f>
        <v>65</v>
      </c>
      <c r="L69" s="2530">
        <f>YesterdayGen!DH36</f>
        <v>300</v>
      </c>
      <c r="M69" s="2531">
        <f>YesterdayGen!DH35</f>
        <v>300</v>
      </c>
      <c r="N69" s="2519"/>
      <c r="O69" s="2532"/>
      <c r="P69" s="1922" t="s">
        <v>1213</v>
      </c>
      <c r="Q69" s="3821"/>
      <c r="R69" s="3820"/>
      <c r="S69" s="213"/>
      <c r="T69" s="195"/>
      <c r="U69" s="195"/>
      <c r="V69" s="195"/>
      <c r="W69" s="195"/>
      <c r="X69" s="195"/>
      <c r="Y69" s="195"/>
      <c r="Z69" s="195"/>
      <c r="AA69" s="195"/>
      <c r="AB69" s="195"/>
      <c r="AC69" s="195"/>
    </row>
    <row r="70" spans="2:29" ht="16.5" customHeight="1">
      <c r="B70" s="2533">
        <v>56</v>
      </c>
      <c r="C70" s="2534" t="str">
        <f>Master!DI3</f>
        <v>Jodiac Power</v>
      </c>
      <c r="D70" s="2535"/>
      <c r="E70" s="2533" t="str">
        <f>Master!DI5</f>
        <v>HFO</v>
      </c>
      <c r="F70" s="2081" t="str">
        <f>Master!DI4</f>
        <v>IPP</v>
      </c>
      <c r="G70" s="2081" t="str">
        <f>Master!DI6</f>
        <v>3*18.55+1*3.6</v>
      </c>
      <c r="H70" s="2536">
        <f>Master!DI7</f>
        <v>54</v>
      </c>
      <c r="I70" s="2533">
        <f>Master!DI8</f>
        <v>54</v>
      </c>
      <c r="J70" s="2537">
        <f>YesterdayGen!DI33</f>
        <v>54</v>
      </c>
      <c r="K70" s="2537">
        <f>YesterdayGen!DI34</f>
        <v>54</v>
      </c>
      <c r="L70" s="2538">
        <f>YesterdayGen!DI36</f>
        <v>54</v>
      </c>
      <c r="M70" s="2538">
        <f>YesterdayGen!DI35</f>
        <v>54</v>
      </c>
      <c r="N70" s="2537"/>
      <c r="O70" s="2539"/>
      <c r="P70" s="4711"/>
      <c r="Q70" s="2083"/>
      <c r="R70" s="2087"/>
      <c r="S70" s="213"/>
      <c r="T70" s="195"/>
      <c r="U70" s="195"/>
      <c r="V70" s="195"/>
      <c r="W70" s="195"/>
      <c r="X70" s="195"/>
      <c r="Y70" s="195"/>
      <c r="Z70" s="195"/>
      <c r="AA70" s="195"/>
      <c r="AB70" s="195"/>
      <c r="AC70" s="195"/>
    </row>
    <row r="71" spans="2:29" ht="16.5" customHeight="1">
      <c r="B71" s="2540">
        <v>57</v>
      </c>
      <c r="C71" s="2541" t="str">
        <f>Master!DJ3</f>
        <v>Karnaphuli Power Ltd.</v>
      </c>
      <c r="D71" s="2542"/>
      <c r="E71" s="2540" t="str">
        <f>Master!DJ5</f>
        <v>HFO</v>
      </c>
      <c r="F71" s="2082" t="str">
        <f>Master!DJ4</f>
        <v>IPP</v>
      </c>
      <c r="G71" s="2082">
        <f>Master!DJ6</f>
        <v>110</v>
      </c>
      <c r="H71" s="2543">
        <f>Master!DJ7</f>
        <v>110</v>
      </c>
      <c r="I71" s="2540">
        <f>Master!DJ8</f>
        <v>110</v>
      </c>
      <c r="J71" s="2544">
        <f>YesterdayGen!DJ33</f>
        <v>104</v>
      </c>
      <c r="K71" s="2544">
        <f>YesterdayGen!DJ34</f>
        <v>110</v>
      </c>
      <c r="L71" s="2545">
        <f>YesterdayGen!DJ36</f>
        <v>110</v>
      </c>
      <c r="M71" s="2545">
        <f>YesterdayGen!DJ35</f>
        <v>110</v>
      </c>
      <c r="N71" s="2544"/>
      <c r="O71" s="2546"/>
      <c r="P71" s="2084"/>
      <c r="Q71" s="2085"/>
      <c r="R71" s="2086"/>
      <c r="S71" s="213"/>
      <c r="T71" s="195"/>
      <c r="U71" s="195"/>
      <c r="V71" s="195"/>
      <c r="W71" s="195"/>
      <c r="X71" s="195"/>
      <c r="Y71" s="195"/>
      <c r="Z71" s="195"/>
      <c r="AA71" s="195"/>
      <c r="AB71" s="195"/>
      <c r="AC71" s="195"/>
    </row>
    <row r="72" spans="2:29" ht="16.5" customHeight="1">
      <c r="B72" s="3878">
        <v>58</v>
      </c>
      <c r="C72" s="3373" t="str">
        <f>Master!DM3</f>
        <v>Juldah unit-2 (Acorn)</v>
      </c>
      <c r="D72" s="3374"/>
      <c r="E72" s="3375" t="str">
        <f>Master!DM5</f>
        <v>HFO</v>
      </c>
      <c r="F72" s="3376" t="str">
        <f>Master!DM4</f>
        <v>IPP</v>
      </c>
      <c r="G72" s="3377" t="str">
        <f>Master!DM6</f>
        <v>8*13.6</v>
      </c>
      <c r="H72" s="3378">
        <f>Master!DM7</f>
        <v>100</v>
      </c>
      <c r="I72" s="3379">
        <f>Master!DM8</f>
        <v>100</v>
      </c>
      <c r="J72" s="3380">
        <f>YesterdayGen!DM33</f>
        <v>100</v>
      </c>
      <c r="K72" s="3380">
        <f>YesterdayGen!DM34</f>
        <v>90</v>
      </c>
      <c r="L72" s="3381">
        <f>YesterdayGen!DM36</f>
        <v>100</v>
      </c>
      <c r="M72" s="3382">
        <f>YesterdayGen!DM35</f>
        <v>100</v>
      </c>
      <c r="N72" s="3380"/>
      <c r="O72" s="3383"/>
      <c r="P72" s="3384"/>
      <c r="Q72" s="3385"/>
      <c r="R72" s="3386"/>
      <c r="S72" s="213"/>
      <c r="T72" s="195"/>
      <c r="U72" s="195"/>
      <c r="V72" s="195"/>
      <c r="W72" s="195"/>
      <c r="X72" s="195"/>
      <c r="Y72" s="195"/>
      <c r="Z72" s="195"/>
      <c r="AA72" s="195"/>
      <c r="AB72" s="195"/>
      <c r="AC72" s="195"/>
    </row>
    <row r="73" spans="2:29" ht="16.5" customHeight="1" thickBot="1">
      <c r="B73" s="3887">
        <v>59</v>
      </c>
      <c r="C73" s="3800" t="str">
        <f>Master!DR3</f>
        <v>Anlima Energy Ltd.</v>
      </c>
      <c r="D73" s="3801"/>
      <c r="E73" s="3790" t="str">
        <f>Master!DR5</f>
        <v>HFO</v>
      </c>
      <c r="F73" s="3798" t="str">
        <f>Master!DR4</f>
        <v>IPP</v>
      </c>
      <c r="G73" s="3798" t="str">
        <f>Master!DR6</f>
        <v>6*21.2</v>
      </c>
      <c r="H73" s="3799">
        <f>Master!DR7</f>
        <v>116</v>
      </c>
      <c r="I73" s="3790">
        <f>Master!DR8</f>
        <v>116</v>
      </c>
      <c r="J73" s="3791">
        <f>YesterdayGen!DR33</f>
        <v>116</v>
      </c>
      <c r="K73" s="3791">
        <f>YesterdayGen!DR34</f>
        <v>116</v>
      </c>
      <c r="L73" s="3793">
        <f>YesterdayGen!DR36</f>
        <v>116</v>
      </c>
      <c r="M73" s="3793">
        <f>YesterdayGen!DR35</f>
        <v>116</v>
      </c>
      <c r="N73" s="3791"/>
      <c r="O73" s="3802"/>
      <c r="P73" s="1922"/>
      <c r="Q73" s="3796"/>
      <c r="R73" s="3803"/>
      <c r="S73" s="213"/>
      <c r="T73" s="195"/>
      <c r="U73" s="195"/>
      <c r="V73" s="195"/>
      <c r="W73" s="195"/>
      <c r="X73" s="195"/>
      <c r="Y73" s="195"/>
      <c r="Z73" s="195"/>
      <c r="AA73" s="195"/>
      <c r="AB73" s="195"/>
      <c r="AC73" s="195"/>
    </row>
    <row r="74" spans="2:29" ht="16.5" customHeight="1" thickBot="1">
      <c r="B74" s="2079"/>
      <c r="C74" s="2487" t="s">
        <v>916</v>
      </c>
      <c r="D74" s="2487"/>
      <c r="E74" s="2488"/>
      <c r="F74" s="2488"/>
      <c r="G74" s="2079"/>
      <c r="H74" s="2489">
        <f t="shared" ref="H74:O74" si="1">SUM(H52:H73)</f>
        <v>2442</v>
      </c>
      <c r="I74" s="2490">
        <f t="shared" si="1"/>
        <v>2382</v>
      </c>
      <c r="J74" s="2489">
        <f t="shared" si="1"/>
        <v>744</v>
      </c>
      <c r="K74" s="2489">
        <f t="shared" si="1"/>
        <v>818</v>
      </c>
      <c r="L74" s="2490">
        <f t="shared" si="1"/>
        <v>1238</v>
      </c>
      <c r="M74" s="2489">
        <f t="shared" si="1"/>
        <v>1237</v>
      </c>
      <c r="N74" s="2489">
        <f t="shared" si="1"/>
        <v>180</v>
      </c>
      <c r="O74" s="2491">
        <f t="shared" si="1"/>
        <v>947</v>
      </c>
      <c r="P74" s="1901"/>
      <c r="Q74" s="1897"/>
      <c r="R74" s="4575"/>
      <c r="S74" s="220"/>
      <c r="T74" s="195"/>
      <c r="U74" s="195"/>
      <c r="V74" s="195"/>
      <c r="W74" s="195"/>
      <c r="X74" s="195"/>
      <c r="Y74" s="195"/>
      <c r="Z74" s="195"/>
      <c r="AA74" s="195"/>
      <c r="AB74" s="195"/>
      <c r="AC74" s="195"/>
    </row>
    <row r="75" spans="2:29" ht="16.5" customHeight="1">
      <c r="B75" s="2547">
        <v>60</v>
      </c>
      <c r="C75" s="2447" t="str">
        <f>Master!BD3</f>
        <v>Ashuganj TPP Unit- 3</v>
      </c>
      <c r="D75" s="1908"/>
      <c r="E75" s="2421" t="str">
        <f>Master!BD5</f>
        <v>Gas</v>
      </c>
      <c r="F75" s="224" t="str">
        <f>Master!BD4</f>
        <v>APSCL</v>
      </c>
      <c r="G75" s="234" t="str">
        <f>Master!BD6</f>
        <v>1*150</v>
      </c>
      <c r="H75" s="2421">
        <f>Master!BD7</f>
        <v>150</v>
      </c>
      <c r="I75" s="2422">
        <f>Master!BD8</f>
        <v>135</v>
      </c>
      <c r="J75" s="2423">
        <f>YesterdayGen!BD33</f>
        <v>0</v>
      </c>
      <c r="K75" s="2424">
        <f>YesterdayGen!BD34</f>
        <v>0</v>
      </c>
      <c r="L75" s="2423">
        <f>YesterdayGen!BD36</f>
        <v>0</v>
      </c>
      <c r="M75" s="2438">
        <f>YesterdayGen!BD35</f>
        <v>0</v>
      </c>
      <c r="N75" s="2419">
        <f>I75-M75</f>
        <v>135</v>
      </c>
      <c r="O75" s="2420"/>
      <c r="P75" s="3193" t="s">
        <v>174</v>
      </c>
      <c r="Q75" s="222"/>
      <c r="R75" s="223"/>
      <c r="S75" s="220"/>
      <c r="T75" s="195"/>
      <c r="U75" s="195"/>
      <c r="V75" s="195"/>
      <c r="W75" s="195"/>
      <c r="X75" s="195"/>
      <c r="Y75" s="195"/>
      <c r="Z75" s="195"/>
      <c r="AA75" s="195"/>
      <c r="AB75" s="195"/>
      <c r="AC75" s="195"/>
    </row>
    <row r="76" spans="2:29" ht="16.5" customHeight="1">
      <c r="B76" s="2548"/>
      <c r="C76" s="2447" t="str">
        <f>Master!BE3</f>
        <v>Ashuganj TPP Unit- 4</v>
      </c>
      <c r="D76" s="1908"/>
      <c r="E76" s="2421" t="str">
        <f>Master!BE5</f>
        <v>Gas</v>
      </c>
      <c r="F76" s="224" t="str">
        <f>Master!BE4</f>
        <v>APSCL</v>
      </c>
      <c r="G76" s="234" t="str">
        <f>Master!BE6</f>
        <v>1*150</v>
      </c>
      <c r="H76" s="2421">
        <f>Master!BE7</f>
        <v>150</v>
      </c>
      <c r="I76" s="2422">
        <f>Master!BE8</f>
        <v>129</v>
      </c>
      <c r="J76" s="2423">
        <f>YesterdayGen!BE33</f>
        <v>0</v>
      </c>
      <c r="K76" s="2424">
        <f>YesterdayGen!BE34</f>
        <v>0</v>
      </c>
      <c r="L76" s="2423">
        <f>YesterdayGen!BE36</f>
        <v>0</v>
      </c>
      <c r="M76" s="2424">
        <f>YesterdayGen!BE35</f>
        <v>0</v>
      </c>
      <c r="N76" s="2419">
        <v>129</v>
      </c>
      <c r="O76" s="2420"/>
      <c r="P76" s="3193" t="s">
        <v>174</v>
      </c>
      <c r="Q76" s="222"/>
      <c r="R76" s="4581"/>
      <c r="S76" s="220"/>
      <c r="T76" s="195"/>
      <c r="U76" s="195"/>
      <c r="V76" s="195"/>
      <c r="W76" s="195"/>
      <c r="X76" s="195"/>
      <c r="Y76" s="195"/>
      <c r="Z76" s="195"/>
      <c r="AA76" s="195"/>
      <c r="AB76" s="195"/>
      <c r="AC76" s="195"/>
    </row>
    <row r="77" spans="2:29" ht="16.5" customHeight="1">
      <c r="B77" s="2548"/>
      <c r="C77" s="2447" t="str">
        <f>Master!BF3</f>
        <v>Ashuganj TPP Unit- 5</v>
      </c>
      <c r="D77" s="1908"/>
      <c r="E77" s="2416" t="str">
        <f>Master!BF5</f>
        <v>Gas</v>
      </c>
      <c r="F77" s="2494" t="str">
        <f>Master!BF4</f>
        <v>APSCL</v>
      </c>
      <c r="G77" s="233" t="str">
        <f>Master!BF6</f>
        <v>1*150</v>
      </c>
      <c r="H77" s="2421">
        <f>Master!BF7</f>
        <v>150</v>
      </c>
      <c r="I77" s="2422">
        <f>Master!BF8</f>
        <v>134</v>
      </c>
      <c r="J77" s="2423">
        <f>YesterdayGen!BF33</f>
        <v>80</v>
      </c>
      <c r="K77" s="2424">
        <f>YesterdayGen!BF34</f>
        <v>80</v>
      </c>
      <c r="L77" s="2423">
        <f>YesterdayGen!BF36</f>
        <v>80</v>
      </c>
      <c r="M77" s="2424">
        <f>YesterdayGen!BF35</f>
        <v>80</v>
      </c>
      <c r="N77" s="2419">
        <f>I77-M77</f>
        <v>54</v>
      </c>
      <c r="O77" s="2420"/>
      <c r="P77" s="3193" t="s">
        <v>174</v>
      </c>
      <c r="Q77" s="222"/>
      <c r="R77" s="4582"/>
      <c r="S77" s="220">
        <v>299271</v>
      </c>
      <c r="T77" s="195"/>
      <c r="U77" s="195"/>
      <c r="V77" s="195"/>
      <c r="W77" s="195"/>
      <c r="X77" s="195"/>
      <c r="Y77" s="195"/>
      <c r="Z77" s="195"/>
      <c r="AA77" s="195"/>
      <c r="AB77" s="195"/>
      <c r="AC77" s="195"/>
    </row>
    <row r="78" spans="2:29" ht="16.5" customHeight="1">
      <c r="B78" s="2549">
        <v>61</v>
      </c>
      <c r="C78" s="2447" t="str">
        <f>Master!BI3</f>
        <v xml:space="preserve">Ashuganj 225 MW  CCPP </v>
      </c>
      <c r="D78" s="1908"/>
      <c r="E78" s="2416" t="str">
        <f>Master!BI5</f>
        <v>Gas</v>
      </c>
      <c r="F78" s="2494" t="str">
        <f>Master!BI4</f>
        <v>APSCL</v>
      </c>
      <c r="G78" s="233" t="str">
        <f>Master!BI6</f>
        <v>1*142+1*75</v>
      </c>
      <c r="H78" s="2421">
        <f>Master!BI7</f>
        <v>221</v>
      </c>
      <c r="I78" s="2422">
        <f>Master!BI8</f>
        <v>221</v>
      </c>
      <c r="J78" s="2423">
        <f>YesterdayGen!BI33</f>
        <v>162</v>
      </c>
      <c r="K78" s="2424">
        <f>YesterdayGen!BI34</f>
        <v>168</v>
      </c>
      <c r="L78" s="2427">
        <f>YesterdayGen!BI36</f>
        <v>165</v>
      </c>
      <c r="M78" s="2426">
        <f>YesterdayGen!BI35</f>
        <v>180</v>
      </c>
      <c r="N78" s="2424"/>
      <c r="O78" s="2420"/>
      <c r="P78" s="3193"/>
      <c r="Q78" s="222"/>
      <c r="R78" s="4582"/>
      <c r="S78" s="220"/>
      <c r="T78" s="195"/>
      <c r="U78" s="195"/>
      <c r="V78" s="195"/>
      <c r="W78" s="195"/>
      <c r="X78" s="195"/>
      <c r="Y78" s="195"/>
      <c r="Z78" s="195"/>
      <c r="AA78" s="195"/>
      <c r="AB78" s="195"/>
      <c r="AC78" s="195"/>
    </row>
    <row r="79" spans="2:29" ht="16.5" customHeight="1">
      <c r="B79" s="2421">
        <v>62</v>
      </c>
      <c r="C79" s="2447" t="str">
        <f>Master!BG3</f>
        <v>Ashuganj 450 MW CCPP(North)</v>
      </c>
      <c r="D79" s="1908"/>
      <c r="E79" s="2416" t="str">
        <f>Master!BG5</f>
        <v>Gas</v>
      </c>
      <c r="F79" s="2494" t="str">
        <f>Master!BG4</f>
        <v>APSCL</v>
      </c>
      <c r="G79" s="233" t="str">
        <f>Master!BG6</f>
        <v>1*360</v>
      </c>
      <c r="H79" s="2421">
        <f>Master!BG7</f>
        <v>360</v>
      </c>
      <c r="I79" s="2422">
        <f>Master!BG8</f>
        <v>360</v>
      </c>
      <c r="J79" s="2423">
        <f>YesterdayGen!BG33</f>
        <v>140</v>
      </c>
      <c r="K79" s="2424">
        <f>YesterdayGen!BG34</f>
        <v>150</v>
      </c>
      <c r="L79" s="2423">
        <f>YesterdayGen!BG36</f>
        <v>220</v>
      </c>
      <c r="M79" s="2424">
        <f>YesterdayGen!BG35</f>
        <v>220</v>
      </c>
      <c r="N79" s="2424">
        <f>I79-M79</f>
        <v>140</v>
      </c>
      <c r="O79" s="2947"/>
      <c r="P79" s="3193" t="s">
        <v>1715</v>
      </c>
      <c r="Q79" s="1892"/>
      <c r="R79" s="4584"/>
      <c r="S79" s="220">
        <v>299667</v>
      </c>
      <c r="T79" s="195"/>
      <c r="U79" s="195"/>
      <c r="V79" s="195"/>
      <c r="W79" s="195"/>
      <c r="X79" s="195"/>
      <c r="Y79" s="195"/>
      <c r="Z79" s="195"/>
      <c r="AA79" s="195"/>
      <c r="AB79" s="195"/>
      <c r="AC79" s="195"/>
    </row>
    <row r="80" spans="2:29" ht="16.5" customHeight="1">
      <c r="B80" s="2549">
        <v>63</v>
      </c>
      <c r="C80" s="2447" t="str">
        <f>Master!BH3</f>
        <v>Ashuganj 450 MW CCPP(South)</v>
      </c>
      <c r="D80" s="1908"/>
      <c r="E80" s="2416" t="str">
        <f>Master!BH5</f>
        <v>Gas</v>
      </c>
      <c r="F80" s="2494" t="str">
        <f>Master!BH4</f>
        <v>APSCL</v>
      </c>
      <c r="G80" s="233" t="str">
        <f>Master!BH6</f>
        <v>1*360</v>
      </c>
      <c r="H80" s="2424">
        <f>Master!BH7</f>
        <v>360</v>
      </c>
      <c r="I80" s="2422">
        <f>Master!BH8</f>
        <v>360</v>
      </c>
      <c r="J80" s="2423">
        <f>YesterdayGen!BH33</f>
        <v>270</v>
      </c>
      <c r="K80" s="2424">
        <f>YesterdayGen!BH34</f>
        <v>310</v>
      </c>
      <c r="L80" s="2423">
        <f>YesterdayGen!BH36</f>
        <v>300</v>
      </c>
      <c r="M80" s="2424">
        <f>YesterdayGen!BH35</f>
        <v>300</v>
      </c>
      <c r="N80" s="2424"/>
      <c r="O80" s="2420"/>
      <c r="P80" s="3193" t="s">
        <v>172</v>
      </c>
      <c r="Q80" s="1892"/>
      <c r="R80" s="4585"/>
      <c r="S80" s="220">
        <v>299280</v>
      </c>
      <c r="T80" s="195"/>
      <c r="U80" s="195"/>
      <c r="V80" s="195"/>
      <c r="W80" s="195"/>
      <c r="X80" s="195"/>
      <c r="Y80" s="195"/>
      <c r="Z80" s="195"/>
      <c r="AA80" s="195"/>
      <c r="AB80" s="195"/>
      <c r="AC80" s="195"/>
    </row>
    <row r="81" spans="2:29" ht="16.5" customHeight="1">
      <c r="B81" s="2421">
        <v>64</v>
      </c>
      <c r="C81" s="2447" t="str">
        <f>Master!BL3</f>
        <v xml:space="preserve">Ashuganj 50 MW PP </v>
      </c>
      <c r="D81" s="1908"/>
      <c r="E81" s="2416" t="str">
        <f>Master!BL5</f>
        <v>Gas</v>
      </c>
      <c r="F81" s="2494" t="str">
        <f>Master!BL4</f>
        <v>APSCL</v>
      </c>
      <c r="G81" s="233" t="str">
        <f>Master!BL6</f>
        <v>14*3.968</v>
      </c>
      <c r="H81" s="2424">
        <f>Master!BL7</f>
        <v>53</v>
      </c>
      <c r="I81" s="2422">
        <f>Master!BL8</f>
        <v>45</v>
      </c>
      <c r="J81" s="2423">
        <f>YesterdayGen!BL33</f>
        <v>3</v>
      </c>
      <c r="K81" s="2424">
        <f>YesterdayGen!BL34</f>
        <v>3</v>
      </c>
      <c r="L81" s="2423">
        <f>YesterdayGen!BL36</f>
        <v>3</v>
      </c>
      <c r="M81" s="2424">
        <f>YesterdayGen!BL35</f>
        <v>3</v>
      </c>
      <c r="N81" s="2424">
        <f>I81-M81</f>
        <v>42</v>
      </c>
      <c r="O81" s="2420"/>
      <c r="P81" s="1423" t="s">
        <v>174</v>
      </c>
      <c r="Q81" s="1892"/>
      <c r="R81" s="4586"/>
      <c r="S81" s="1210"/>
      <c r="T81" s="195"/>
      <c r="U81" s="195"/>
      <c r="V81" s="195"/>
      <c r="W81" s="195"/>
      <c r="X81" s="195"/>
      <c r="Y81" s="195"/>
      <c r="Z81" s="195"/>
      <c r="AA81" s="195"/>
      <c r="AB81" s="195"/>
      <c r="AC81" s="195"/>
    </row>
    <row r="82" spans="2:29" ht="16.5" customHeight="1">
      <c r="B82" s="2549">
        <v>65</v>
      </c>
      <c r="C82" s="2447" t="str">
        <f>Master!BM3</f>
        <v xml:space="preserve">Ashuganj 55 MW PP  (Precision) </v>
      </c>
      <c r="D82" s="1908"/>
      <c r="E82" s="2421" t="str">
        <f>Master!BM5</f>
        <v>Gas</v>
      </c>
      <c r="F82" s="224" t="str">
        <f>Master!BM4</f>
        <v xml:space="preserve">RPP </v>
      </c>
      <c r="G82" s="234" t="str">
        <f>Master!BM6</f>
        <v>15*4</v>
      </c>
      <c r="H82" s="2421">
        <f>Master!BM7</f>
        <v>55</v>
      </c>
      <c r="I82" s="2422">
        <f>Master!BM8</f>
        <v>55</v>
      </c>
      <c r="J82" s="2423">
        <f>YesterdayGen!BM33</f>
        <v>5</v>
      </c>
      <c r="K82" s="2424">
        <f>YesterdayGen!BM34</f>
        <v>5</v>
      </c>
      <c r="L82" s="2427">
        <f>YesterdayGen!BM36</f>
        <v>5</v>
      </c>
      <c r="M82" s="2426">
        <f>YesterdayGen!BM35</f>
        <v>5</v>
      </c>
      <c r="N82" s="2424">
        <v>50</v>
      </c>
      <c r="O82" s="2420"/>
      <c r="P82" s="1423" t="s">
        <v>174</v>
      </c>
      <c r="Q82" s="222"/>
      <c r="R82" s="4586"/>
      <c r="S82" s="220"/>
      <c r="T82" s="195"/>
      <c r="U82" s="195"/>
      <c r="V82" s="195"/>
      <c r="W82" s="195"/>
      <c r="X82" s="195"/>
      <c r="Y82" s="195"/>
      <c r="Z82" s="195"/>
      <c r="AA82" s="195"/>
      <c r="AB82" s="195"/>
      <c r="AC82" s="195"/>
    </row>
    <row r="83" spans="2:29" ht="16.5" customHeight="1">
      <c r="B83" s="2549">
        <v>66</v>
      </c>
      <c r="C83" s="2447" t="str">
        <f>Master!BJ3</f>
        <v xml:space="preserve">Ashuganj 195MW PP (APSCL-United) </v>
      </c>
      <c r="D83" s="1908"/>
      <c r="E83" s="2421" t="str">
        <f>Master!BJ5</f>
        <v>Gas</v>
      </c>
      <c r="F83" s="224" t="str">
        <f>Master!BJ4</f>
        <v>IPP</v>
      </c>
      <c r="G83" s="234" t="str">
        <f>Master!BJ6</f>
        <v>20*9.73+1*16</v>
      </c>
      <c r="H83" s="2429">
        <f>Master!BJ7</f>
        <v>195</v>
      </c>
      <c r="I83" s="2430">
        <f>Master!BJ8</f>
        <v>195</v>
      </c>
      <c r="J83" s="2423">
        <f>YesterdayGen!BJ33</f>
        <v>8</v>
      </c>
      <c r="K83" s="2424">
        <f>YesterdayGen!BJ34</f>
        <v>8</v>
      </c>
      <c r="L83" s="2427">
        <f>YesterdayGen!BJ36</f>
        <v>8</v>
      </c>
      <c r="M83" s="2426">
        <f>YesterdayGen!BJ35</f>
        <v>8</v>
      </c>
      <c r="N83" s="2424">
        <f>I83-M83</f>
        <v>187</v>
      </c>
      <c r="O83" s="2422"/>
      <c r="P83" s="1612" t="s">
        <v>174</v>
      </c>
      <c r="Q83" s="226"/>
      <c r="R83" s="4582"/>
      <c r="S83" s="220"/>
      <c r="T83" s="195"/>
      <c r="U83" s="195"/>
      <c r="V83" s="195"/>
      <c r="W83" s="195"/>
      <c r="X83" s="195"/>
      <c r="Y83" s="195"/>
      <c r="Z83" s="195"/>
      <c r="AA83" s="195"/>
      <c r="AB83" s="195"/>
      <c r="AC83" s="195"/>
    </row>
    <row r="84" spans="2:29" ht="16.5" customHeight="1">
      <c r="B84" s="2421">
        <v>67</v>
      </c>
      <c r="C84" s="2447" t="str">
        <f>Master!BO3</f>
        <v>Ashuganj  51 MW PP (Midland)</v>
      </c>
      <c r="D84" s="1908"/>
      <c r="E84" s="2421" t="str">
        <f>Master!BO5</f>
        <v>Gas</v>
      </c>
      <c r="F84" s="224" t="str">
        <f>Master!BO4</f>
        <v>IPP</v>
      </c>
      <c r="G84" s="234" t="str">
        <f>Master!BO6</f>
        <v>6*9.34</v>
      </c>
      <c r="H84" s="2429">
        <f>Master!BO7</f>
        <v>51</v>
      </c>
      <c r="I84" s="2430">
        <f>Master!BO8</f>
        <v>51</v>
      </c>
      <c r="J84" s="2423">
        <f>YesterdayGen!BO33</f>
        <v>51</v>
      </c>
      <c r="K84" s="2424">
        <f>YesterdayGen!BO34</f>
        <v>51</v>
      </c>
      <c r="L84" s="2427">
        <f>YesterdayGen!BO36</f>
        <v>51</v>
      </c>
      <c r="M84" s="2426">
        <f>YesterdayGen!BO35</f>
        <v>51</v>
      </c>
      <c r="N84" s="2424"/>
      <c r="O84" s="2420"/>
      <c r="P84" s="1423"/>
      <c r="Q84" s="226"/>
      <c r="R84" s="4587"/>
      <c r="S84" s="220"/>
      <c r="T84" s="195"/>
      <c r="U84" s="1250"/>
      <c r="V84" s="195"/>
      <c r="W84" s="195"/>
      <c r="X84" s="195"/>
      <c r="Y84" s="195"/>
      <c r="Z84" s="195"/>
      <c r="AA84" s="195"/>
      <c r="AB84" s="195"/>
      <c r="AC84" s="195"/>
    </row>
    <row r="85" spans="2:29" ht="16.5" customHeight="1">
      <c r="B85" s="2549">
        <v>68</v>
      </c>
      <c r="C85" s="2550" t="str">
        <f>Master!DB3</f>
        <v>Ashuganj 150MW PP (Midland)</v>
      </c>
      <c r="D85" s="2551"/>
      <c r="E85" s="2552" t="str">
        <f>Master!DB5</f>
        <v>HFO</v>
      </c>
      <c r="F85" s="2553" t="str">
        <f>Master!DB4</f>
        <v>IPP</v>
      </c>
      <c r="G85" s="1653" t="str">
        <f>Master!DB6</f>
        <v>23*7.015</v>
      </c>
      <c r="H85" s="2554">
        <f>Master!DB7</f>
        <v>150</v>
      </c>
      <c r="I85" s="2555">
        <f>Master!DB8</f>
        <v>150</v>
      </c>
      <c r="J85" s="2556">
        <f>YesterdayGen!DB33</f>
        <v>135</v>
      </c>
      <c r="K85" s="2557">
        <f>YesterdayGen!DB34</f>
        <v>142</v>
      </c>
      <c r="L85" s="2558">
        <f>YesterdayGen!DB36</f>
        <v>150</v>
      </c>
      <c r="M85" s="2559">
        <f>YesterdayGen!DB35</f>
        <v>150</v>
      </c>
      <c r="N85" s="2557"/>
      <c r="O85" s="2420"/>
      <c r="P85" s="1423"/>
      <c r="Q85" s="1654"/>
      <c r="R85" s="4588"/>
      <c r="S85" s="220"/>
      <c r="T85" s="195"/>
      <c r="U85" s="195"/>
      <c r="V85" s="195"/>
      <c r="W85" s="195"/>
      <c r="X85" s="195"/>
      <c r="Y85" s="195"/>
      <c r="Z85" s="195"/>
      <c r="AA85" s="195"/>
      <c r="AB85" s="195"/>
      <c r="AC85" s="195"/>
    </row>
    <row r="86" spans="2:29" ht="16.5" customHeight="1">
      <c r="B86" s="2549">
        <v>69</v>
      </c>
      <c r="C86" s="2447" t="str">
        <f>Master!BQ3</f>
        <v>Titas 50 MW Peaking PP</v>
      </c>
      <c r="D86" s="1908"/>
      <c r="E86" s="2421" t="str">
        <f>Master!BQ5</f>
        <v>HFO</v>
      </c>
      <c r="F86" s="224" t="str">
        <f>Master!BQ4</f>
        <v>PDB</v>
      </c>
      <c r="G86" s="234" t="str">
        <f>Master!BQ6</f>
        <v>6*8.92</v>
      </c>
      <c r="H86" s="2421">
        <f>Master!BQ7</f>
        <v>52</v>
      </c>
      <c r="I86" s="2422">
        <f>Master!BQ8</f>
        <v>52</v>
      </c>
      <c r="J86" s="2423">
        <f>YesterdayGen!BQ33</f>
        <v>0</v>
      </c>
      <c r="K86" s="2424">
        <f>YesterdayGen!BQ34</f>
        <v>0</v>
      </c>
      <c r="L86" s="2427">
        <f>YesterdayGen!BQ36</f>
        <v>50</v>
      </c>
      <c r="M86" s="3819">
        <f>YesterdayGen!BQ35</f>
        <v>50</v>
      </c>
      <c r="N86" s="2424"/>
      <c r="O86" s="2420"/>
      <c r="P86" s="1635"/>
      <c r="Q86" s="226"/>
      <c r="R86" s="4582"/>
      <c r="S86" s="220"/>
      <c r="T86" s="195"/>
      <c r="U86" s="195"/>
      <c r="V86" s="195"/>
      <c r="W86" s="195"/>
      <c r="X86" s="195"/>
      <c r="Y86" s="195"/>
      <c r="Z86" s="195"/>
      <c r="AA86" s="195"/>
      <c r="AB86" s="195"/>
      <c r="AC86" s="195"/>
    </row>
    <row r="87" spans="2:29" ht="16.5" customHeight="1">
      <c r="B87" s="2560">
        <v>70</v>
      </c>
      <c r="C87" s="2447" t="str">
        <f>Master!BK3</f>
        <v>Chandpur 150 MW CCPP</v>
      </c>
      <c r="D87" s="1908"/>
      <c r="E87" s="2421" t="str">
        <f>Master!BK5</f>
        <v>Gas</v>
      </c>
      <c r="F87" s="224" t="str">
        <f>Master!BK4</f>
        <v>PDB</v>
      </c>
      <c r="G87" s="234" t="str">
        <f>Master!BK6</f>
        <v>1*106+1*57</v>
      </c>
      <c r="H87" s="2421">
        <f>Master!BK7</f>
        <v>163</v>
      </c>
      <c r="I87" s="2422">
        <f>Master!BK8</f>
        <v>163</v>
      </c>
      <c r="J87" s="2423">
        <f>YesterdayGen!BK33</f>
        <v>125</v>
      </c>
      <c r="K87" s="2424">
        <f>YesterdayGen!BK34</f>
        <v>132</v>
      </c>
      <c r="L87" s="2427">
        <f>YesterdayGen!BK36</f>
        <v>137</v>
      </c>
      <c r="M87" s="2426">
        <f>YesterdayGen!BK35</f>
        <v>137</v>
      </c>
      <c r="N87" s="2424"/>
      <c r="O87" s="2947">
        <f>I87-M87</f>
        <v>26</v>
      </c>
      <c r="P87" s="1423" t="s">
        <v>1342</v>
      </c>
      <c r="Q87" s="226"/>
      <c r="R87" s="4582"/>
      <c r="S87" s="1211">
        <v>399329</v>
      </c>
      <c r="T87" s="195"/>
      <c r="U87" s="195"/>
      <c r="V87" s="195"/>
      <c r="W87" s="195"/>
      <c r="X87" s="195"/>
      <c r="Y87" s="195"/>
      <c r="Z87" s="195"/>
      <c r="AA87" s="195"/>
      <c r="AB87" s="195"/>
      <c r="AC87" s="195"/>
    </row>
    <row r="88" spans="2:29" ht="16.5" customHeight="1">
      <c r="B88" s="2549">
        <v>71</v>
      </c>
      <c r="C88" s="2447" t="str">
        <f>Master!DA3</f>
        <v>Chandpur 200MW (Desh energy)</v>
      </c>
      <c r="D88" s="1908"/>
      <c r="E88" s="2421" t="str">
        <f>Master!DA5</f>
        <v>HFO</v>
      </c>
      <c r="F88" s="224" t="str">
        <f>Master!DA4</f>
        <v>IPP</v>
      </c>
      <c r="G88" s="234">
        <f>Master!DA6</f>
        <v>0</v>
      </c>
      <c r="H88" s="2421">
        <f>Master!DA7</f>
        <v>200</v>
      </c>
      <c r="I88" s="2422">
        <f>Master!DA8</f>
        <v>200</v>
      </c>
      <c r="J88" s="2423">
        <f>YesterdayGen!DA33</f>
        <v>2</v>
      </c>
      <c r="K88" s="2424">
        <f>YesterdayGen!DA34</f>
        <v>100</v>
      </c>
      <c r="L88" s="2427">
        <f>YesterdayGen!DA36</f>
        <v>200</v>
      </c>
      <c r="M88" s="2426">
        <f>YesterdayGen!DA35</f>
        <v>200</v>
      </c>
      <c r="N88" s="2424"/>
      <c r="O88" s="2947"/>
      <c r="P88" s="3544"/>
      <c r="Q88" s="226"/>
      <c r="R88" s="4582"/>
      <c r="S88" s="1213"/>
      <c r="T88" s="195"/>
      <c r="U88" s="195"/>
      <c r="V88" s="195"/>
      <c r="W88" s="195"/>
      <c r="X88" s="195"/>
      <c r="Y88" s="195"/>
      <c r="Z88" s="195"/>
      <c r="AA88" s="195"/>
      <c r="AB88" s="195"/>
      <c r="AC88" s="195"/>
    </row>
    <row r="89" spans="2:29" ht="16.5" customHeight="1">
      <c r="B89" s="2560">
        <v>72</v>
      </c>
      <c r="C89" s="2447" t="str">
        <f>Master!BS3</f>
        <v>Feni  22MW PP (Doreen)</v>
      </c>
      <c r="D89" s="1908"/>
      <c r="E89" s="2421" t="str">
        <f>Master!BS5</f>
        <v>Gas</v>
      </c>
      <c r="F89" s="224" t="str">
        <f>Master!BS4</f>
        <v>SIPP, PDB</v>
      </c>
      <c r="G89" s="234" t="str">
        <f>Master!BS6</f>
        <v>8*2.90</v>
      </c>
      <c r="H89" s="2421">
        <f>Master!BS7</f>
        <v>22</v>
      </c>
      <c r="I89" s="2422">
        <f>Master!BS8</f>
        <v>22</v>
      </c>
      <c r="J89" s="2423">
        <f>YesterdayGen!BS33</f>
        <v>21</v>
      </c>
      <c r="K89" s="2424">
        <f>YesterdayGen!BS34</f>
        <v>20</v>
      </c>
      <c r="L89" s="2427">
        <f>YesterdayGen!BS36</f>
        <v>22</v>
      </c>
      <c r="M89" s="2426">
        <f>YesterdayGen!BS35</f>
        <v>22</v>
      </c>
      <c r="N89" s="2424"/>
      <c r="O89" s="2420"/>
      <c r="P89" s="1632"/>
      <c r="Q89" s="226"/>
      <c r="R89" s="4581"/>
      <c r="S89" s="220"/>
      <c r="T89" s="195"/>
      <c r="U89" s="195"/>
      <c r="V89" s="195"/>
      <c r="W89" s="195"/>
      <c r="X89" s="195"/>
      <c r="Y89" s="195"/>
      <c r="Z89" s="195"/>
      <c r="AA89" s="195"/>
      <c r="AB89" s="195"/>
      <c r="AC89" s="195"/>
    </row>
    <row r="90" spans="2:29" ht="16.5" customHeight="1">
      <c r="B90" s="2549">
        <v>73</v>
      </c>
      <c r="C90" s="2447" t="str">
        <f>Master!BT3</f>
        <v>Feni 11 MW PP  (Doreen)</v>
      </c>
      <c r="D90" s="1908"/>
      <c r="E90" s="2421" t="str">
        <f>Master!BT5</f>
        <v>Gas</v>
      </c>
      <c r="F90" s="228" t="str">
        <f>Master!BT4</f>
        <v>SIPP, REB</v>
      </c>
      <c r="G90" s="235" t="str">
        <f>Master!BT6</f>
        <v>4*2.90</v>
      </c>
      <c r="H90" s="2421">
        <f>Master!BT7</f>
        <v>11</v>
      </c>
      <c r="I90" s="2422">
        <f>Master!BT8</f>
        <v>11</v>
      </c>
      <c r="J90" s="2423">
        <f>YesterdayGen!BT33</f>
        <v>11</v>
      </c>
      <c r="K90" s="2424">
        <f>YesterdayGen!BT34</f>
        <v>11</v>
      </c>
      <c r="L90" s="2427">
        <f>YesterdayGen!BT36</f>
        <v>11</v>
      </c>
      <c r="M90" s="2426">
        <f>YesterdayGen!BT35</f>
        <v>11</v>
      </c>
      <c r="N90" s="2424"/>
      <c r="O90" s="2420"/>
      <c r="P90" s="1636"/>
      <c r="Q90" s="226"/>
      <c r="R90" s="219"/>
      <c r="S90" s="220"/>
      <c r="T90" s="195"/>
      <c r="U90" s="195"/>
      <c r="V90" s="195"/>
      <c r="W90" s="195"/>
      <c r="X90" s="195"/>
      <c r="Y90" s="195"/>
      <c r="Z90" s="195"/>
      <c r="AA90" s="195"/>
      <c r="AB90" s="195"/>
      <c r="AC90" s="195"/>
    </row>
    <row r="91" spans="2:29" ht="16.5" customHeight="1">
      <c r="B91" s="2561" t="s">
        <v>143</v>
      </c>
      <c r="C91" s="2562" t="str">
        <f>Master!BW3</f>
        <v>Impoprt (Tripura)</v>
      </c>
      <c r="D91" s="1908"/>
      <c r="E91" s="2421"/>
      <c r="F91" s="228" t="str">
        <f>Master!BW4</f>
        <v>Imported power</v>
      </c>
      <c r="G91" s="235">
        <f>Master!BW6</f>
        <v>0</v>
      </c>
      <c r="H91" s="2421">
        <f>Master!BW7</f>
        <v>160</v>
      </c>
      <c r="I91" s="2422">
        <f>Master!BW8</f>
        <v>160</v>
      </c>
      <c r="J91" s="2423">
        <f>YesterdayGen!BW33</f>
        <v>80</v>
      </c>
      <c r="K91" s="2424">
        <f>YesterdayGen!BW34</f>
        <v>88</v>
      </c>
      <c r="L91" s="2427">
        <f>YesterdayGen!BW36</f>
        <v>138</v>
      </c>
      <c r="M91" s="2426">
        <f>YesterdayGen!BW35</f>
        <v>163</v>
      </c>
      <c r="N91" s="2424"/>
      <c r="O91" s="2420"/>
      <c r="P91" s="1893" t="s">
        <v>18</v>
      </c>
      <c r="Q91" s="226"/>
      <c r="R91" s="219"/>
      <c r="S91" s="220"/>
      <c r="T91" s="195"/>
      <c r="U91" s="195"/>
      <c r="V91" s="195"/>
      <c r="W91" s="195"/>
      <c r="X91" s="195"/>
      <c r="Y91" s="195"/>
      <c r="Z91" s="195"/>
      <c r="AA91" s="195"/>
      <c r="AB91" s="195"/>
      <c r="AC91" s="195"/>
    </row>
    <row r="92" spans="2:29" ht="16.5" customHeight="1">
      <c r="B92" s="2421">
        <v>74</v>
      </c>
      <c r="C92" s="2496" t="str">
        <f>Master!BU3</f>
        <v xml:space="preserve">Jangalia 33MW PP (Summit) </v>
      </c>
      <c r="D92" s="1908"/>
      <c r="E92" s="2421" t="str">
        <f>Master!BU5</f>
        <v>Gas</v>
      </c>
      <c r="F92" s="224" t="str">
        <f>Master!BU4</f>
        <v>SIPP, PDB</v>
      </c>
      <c r="G92" s="235" t="str">
        <f>Master!BU6</f>
        <v>4*8.73</v>
      </c>
      <c r="H92" s="2421">
        <f>Master!BU7</f>
        <v>33</v>
      </c>
      <c r="I92" s="2422">
        <f>Master!BU8</f>
        <v>33</v>
      </c>
      <c r="J92" s="2423">
        <f>YesterdayGen!BU33</f>
        <v>14</v>
      </c>
      <c r="K92" s="2424">
        <f>YesterdayGen!BU34</f>
        <v>33</v>
      </c>
      <c r="L92" s="2427">
        <f>YesterdayGen!BU36</f>
        <v>33</v>
      </c>
      <c r="M92" s="2426">
        <f>YesterdayGen!BU35</f>
        <v>33</v>
      </c>
      <c r="N92" s="2424"/>
      <c r="O92" s="2420"/>
      <c r="P92" s="1633"/>
      <c r="Q92" s="226"/>
      <c r="R92" s="219"/>
      <c r="S92" s="220"/>
      <c r="T92" s="195"/>
      <c r="U92" s="195"/>
      <c r="V92" s="195"/>
      <c r="W92" s="195"/>
      <c r="X92" s="195"/>
      <c r="Y92" s="195"/>
      <c r="Z92" s="195"/>
      <c r="AA92" s="195"/>
      <c r="AB92" s="195"/>
      <c r="AC92" s="195"/>
    </row>
    <row r="93" spans="2:29" ht="16.5" customHeight="1">
      <c r="B93" s="2421">
        <v>75</v>
      </c>
      <c r="C93" s="2496" t="str">
        <f>Master!BR3</f>
        <v>Jangalia 52 MW PP (Lakdanavi)</v>
      </c>
      <c r="D93" s="2563"/>
      <c r="E93" s="2421" t="str">
        <f>Master!BR5</f>
        <v>HFO</v>
      </c>
      <c r="F93" s="228" t="str">
        <f>Master!BR4</f>
        <v>IPP</v>
      </c>
      <c r="G93" s="235" t="str">
        <f>Master!BR6</f>
        <v>6*8.92</v>
      </c>
      <c r="H93" s="2421">
        <f>Master!BR7</f>
        <v>52</v>
      </c>
      <c r="I93" s="2422">
        <f>Master!BR8</f>
        <v>52</v>
      </c>
      <c r="J93" s="2423">
        <f>YesterdayGen!BR33</f>
        <v>8</v>
      </c>
      <c r="K93" s="2424">
        <f>YesterdayGen!BR34</f>
        <v>8</v>
      </c>
      <c r="L93" s="2427">
        <f>YesterdayGen!BR36</f>
        <v>52</v>
      </c>
      <c r="M93" s="2426">
        <f>YesterdayGen!BR35</f>
        <v>52</v>
      </c>
      <c r="N93" s="2424"/>
      <c r="O93" s="2420"/>
      <c r="P93" s="1634"/>
      <c r="Q93" s="226"/>
      <c r="R93" s="219"/>
      <c r="S93" s="220"/>
      <c r="T93" s="195"/>
      <c r="U93" s="195"/>
      <c r="V93" s="195"/>
      <c r="W93" s="195"/>
      <c r="X93" s="195"/>
      <c r="Y93" s="195"/>
      <c r="Z93" s="195"/>
      <c r="AA93" s="195"/>
      <c r="AB93" s="195"/>
      <c r="AC93" s="195"/>
    </row>
    <row r="94" spans="2:29" ht="16.5" customHeight="1">
      <c r="B94" s="2421">
        <v>76</v>
      </c>
      <c r="C94" s="2461" t="str">
        <f>Master!BV3</f>
        <v>Cumilla 25 MW PP (Summit)</v>
      </c>
      <c r="D94" s="2564"/>
      <c r="E94" s="2451" t="str">
        <f>Master!BV5</f>
        <v>Gas</v>
      </c>
      <c r="F94" s="2451" t="str">
        <f>Master!BV4</f>
        <v>SIPP, PDB</v>
      </c>
      <c r="G94" s="236" t="str">
        <f>Master!BV6</f>
        <v>3*3.67+2*6.97</v>
      </c>
      <c r="H94" s="2451">
        <f>Master!BV7</f>
        <v>25</v>
      </c>
      <c r="I94" s="2454">
        <f>Master!BV8</f>
        <v>25</v>
      </c>
      <c r="J94" s="2455">
        <f>YesterdayGen!BV33</f>
        <v>9</v>
      </c>
      <c r="K94" s="2456">
        <f>YesterdayGen!BV34</f>
        <v>9</v>
      </c>
      <c r="L94" s="2457">
        <f>YesterdayGen!BV36</f>
        <v>9</v>
      </c>
      <c r="M94" s="2458">
        <f>YesterdayGen!BV35</f>
        <v>9</v>
      </c>
      <c r="N94" s="2456"/>
      <c r="O94" s="2565"/>
      <c r="P94" s="1634"/>
      <c r="Q94" s="239"/>
      <c r="R94" s="248"/>
      <c r="S94" s="220">
        <v>399261</v>
      </c>
      <c r="T94" s="195"/>
      <c r="U94" s="195"/>
      <c r="V94" s="195"/>
      <c r="W94" s="195"/>
      <c r="X94" s="195"/>
      <c r="Y94" s="195"/>
      <c r="Z94" s="195"/>
      <c r="AA94" s="195"/>
      <c r="AB94" s="195"/>
      <c r="AC94" s="195"/>
    </row>
    <row r="95" spans="2:29" ht="16.5" customHeight="1">
      <c r="B95" s="3006">
        <v>77</v>
      </c>
      <c r="C95" s="2461" t="str">
        <f>Master!CR3</f>
        <v>Daudkandi 200 MW PP (B.Trac)</v>
      </c>
      <c r="D95" s="2572"/>
      <c r="E95" s="2451" t="str">
        <f>Master!CR5</f>
        <v>HSD</v>
      </c>
      <c r="F95" s="2446" t="str">
        <f>Master!CR4</f>
        <v>IPP</v>
      </c>
      <c r="G95" s="236" t="str">
        <f>Master!CR6</f>
        <v>154*1.4</v>
      </c>
      <c r="H95" s="2451">
        <f>Master!CR7</f>
        <v>200</v>
      </c>
      <c r="I95" s="2454">
        <f>Master!CR8</f>
        <v>200</v>
      </c>
      <c r="J95" s="2455">
        <f>YesterdayGen!CR33</f>
        <v>0</v>
      </c>
      <c r="K95" s="2456">
        <f>YesterdayGen!CR34</f>
        <v>0</v>
      </c>
      <c r="L95" s="2457">
        <f>YesterdayGen!CR36</f>
        <v>0</v>
      </c>
      <c r="M95" s="2458">
        <f>YesterdayGen!CR35</f>
        <v>200</v>
      </c>
      <c r="N95" s="2456"/>
      <c r="O95" s="2465"/>
      <c r="P95" s="1891"/>
      <c r="Q95" s="226"/>
      <c r="R95" s="248"/>
      <c r="S95" s="220"/>
      <c r="T95" s="195"/>
      <c r="U95" s="195"/>
      <c r="V95" s="195"/>
      <c r="W95" s="195"/>
      <c r="X95" s="195"/>
      <c r="Y95" s="195"/>
      <c r="Z95" s="195"/>
      <c r="AA95" s="195"/>
      <c r="AB95" s="195"/>
      <c r="AC95" s="195"/>
    </row>
    <row r="96" spans="2:29" ht="16.5" customHeight="1">
      <c r="B96" s="2419">
        <v>78</v>
      </c>
      <c r="C96" s="2461" t="str">
        <f>Master!DK3</f>
        <v>Feni Lanka Power</v>
      </c>
      <c r="D96" s="2566"/>
      <c r="E96" s="2451" t="str">
        <f>Master!DK5</f>
        <v>HFO</v>
      </c>
      <c r="F96" s="2508" t="str">
        <f>Master!DK4</f>
        <v>IPP</v>
      </c>
      <c r="G96" s="236" t="str">
        <f>Master!DK6</f>
        <v>7*18.415+1*9.78</v>
      </c>
      <c r="H96" s="2451">
        <f>Master!DK7</f>
        <v>114</v>
      </c>
      <c r="I96" s="2454">
        <f>Master!DK8</f>
        <v>114</v>
      </c>
      <c r="J96" s="2455">
        <f>YesterdayGen!DK33</f>
        <v>29</v>
      </c>
      <c r="K96" s="2456">
        <f>YesterdayGen!DK34</f>
        <v>17</v>
      </c>
      <c r="L96" s="2457">
        <f>YesterdayGen!DK36</f>
        <v>114</v>
      </c>
      <c r="M96" s="2458">
        <f>YesterdayGen!DK35</f>
        <v>114</v>
      </c>
      <c r="N96" s="2456"/>
      <c r="O96" s="2567"/>
      <c r="P96" s="4710"/>
      <c r="Q96" s="226"/>
      <c r="R96" s="246"/>
      <c r="S96" s="220"/>
      <c r="T96" s="195"/>
      <c r="U96" s="195"/>
      <c r="V96" s="195"/>
      <c r="W96" s="195"/>
      <c r="X96" s="195"/>
      <c r="Y96" s="195"/>
      <c r="Z96" s="195"/>
      <c r="AA96" s="195"/>
      <c r="AB96" s="195"/>
      <c r="AC96" s="195"/>
    </row>
    <row r="97" spans="2:29" ht="16.5" customHeight="1">
      <c r="B97" s="4032">
        <v>79</v>
      </c>
      <c r="C97" s="2573" t="str">
        <f>Master!DL3</f>
        <v>Chowmuhani 113 MW</v>
      </c>
      <c r="D97" s="2574"/>
      <c r="E97" s="2575" t="str">
        <f>Master!DL5</f>
        <v>HFO</v>
      </c>
      <c r="F97" s="1985" t="str">
        <f>Master!DL4</f>
        <v>IPP</v>
      </c>
      <c r="G97" s="1985" t="str">
        <f>Master!DL6</f>
        <v>12*9.78+2*3.1</v>
      </c>
      <c r="H97" s="2575">
        <f>Master!DL7</f>
        <v>113</v>
      </c>
      <c r="I97" s="2575">
        <f>Master!DL8</f>
        <v>113</v>
      </c>
      <c r="J97" s="2576">
        <f>YesterdayGen!DL33</f>
        <v>0</v>
      </c>
      <c r="K97" s="2576">
        <f>YesterdayGen!DL34</f>
        <v>0</v>
      </c>
      <c r="L97" s="2577">
        <f>YesterdayGen!DL36</f>
        <v>113</v>
      </c>
      <c r="M97" s="2577">
        <f>YesterdayGen!DL35</f>
        <v>113</v>
      </c>
      <c r="N97" s="2576"/>
      <c r="O97" s="2578"/>
      <c r="P97" s="3882"/>
      <c r="Q97" s="4033"/>
      <c r="R97" s="1986"/>
      <c r="S97" s="220"/>
      <c r="T97" s="195"/>
      <c r="U97" s="195"/>
      <c r="V97" s="195"/>
      <c r="W97" s="195"/>
      <c r="X97" s="195"/>
      <c r="Y97" s="195"/>
      <c r="Z97" s="195"/>
      <c r="AA97" s="195"/>
      <c r="AB97" s="195"/>
      <c r="AC97" s="195"/>
    </row>
    <row r="98" spans="2:29" ht="16.5" customHeight="1">
      <c r="B98" s="4796">
        <v>80</v>
      </c>
      <c r="C98" s="4801" t="str">
        <f>Master!DT3</f>
        <v>Bhairob 54.5 MW</v>
      </c>
      <c r="D98" s="4802"/>
      <c r="E98" s="4803" t="str">
        <f>Master!DT5</f>
        <v>HFO</v>
      </c>
      <c r="F98" s="4804" t="str">
        <f>Master!DT4</f>
        <v>IPP</v>
      </c>
      <c r="G98" s="4804" t="str">
        <f>Master!DT6</f>
        <v>3*18.2</v>
      </c>
      <c r="H98" s="4803">
        <f>Master!DT7</f>
        <v>54</v>
      </c>
      <c r="I98" s="4803">
        <f>Master!DT8</f>
        <v>54</v>
      </c>
      <c r="J98" s="4796">
        <f>YesterdayGen!DT33</f>
        <v>17</v>
      </c>
      <c r="K98" s="4796">
        <f>YesterdayGen!DT34</f>
        <v>17</v>
      </c>
      <c r="L98" s="4805">
        <f>YesterdayGen!DT36</f>
        <v>17</v>
      </c>
      <c r="M98" s="4805">
        <f>YesterdayGen!DT35</f>
        <v>17</v>
      </c>
      <c r="N98" s="4796"/>
      <c r="O98" s="4806">
        <f>I98-M98</f>
        <v>37</v>
      </c>
      <c r="P98" s="4807" t="s">
        <v>1348</v>
      </c>
      <c r="Q98" s="4808"/>
      <c r="R98" s="4809"/>
      <c r="S98" s="220"/>
      <c r="T98" s="195"/>
      <c r="U98" s="195"/>
      <c r="V98" s="195"/>
      <c r="W98" s="195"/>
      <c r="X98" s="195"/>
      <c r="Y98" s="195"/>
      <c r="Z98" s="195"/>
      <c r="AA98" s="195"/>
      <c r="AB98" s="195"/>
      <c r="AC98" s="195"/>
    </row>
    <row r="99" spans="2:29" ht="16.5" customHeight="1" thickBot="1">
      <c r="B99" s="4904"/>
      <c r="C99" s="3729" t="str">
        <f>Master!DV3</f>
        <v xml:space="preserve">Chandpur 115(Doreen) </v>
      </c>
      <c r="D99" s="4810"/>
      <c r="E99" s="4811" t="str">
        <f>Master!DV5</f>
        <v>HFO</v>
      </c>
      <c r="F99" s="4812" t="str">
        <f>Master!DV4</f>
        <v>IPP</v>
      </c>
      <c r="G99" s="4812">
        <f>Master!DV6</f>
        <v>115</v>
      </c>
      <c r="H99" s="4811">
        <f>Master!DV7</f>
        <v>0</v>
      </c>
      <c r="I99" s="4811">
        <f>Master!DV8</f>
        <v>0</v>
      </c>
      <c r="J99" s="4797">
        <f>YesterdayGen!DV33</f>
        <v>0</v>
      </c>
      <c r="K99" s="4797">
        <f>YesterdayGen!DV34</f>
        <v>0</v>
      </c>
      <c r="L99" s="2227">
        <f>YesterdayGen!DV36</f>
        <v>0</v>
      </c>
      <c r="M99" s="2227">
        <f>YesterdayGen!DV35</f>
        <v>0</v>
      </c>
      <c r="N99" s="4797"/>
      <c r="O99" s="3460"/>
      <c r="P99" s="4815" t="s">
        <v>1454</v>
      </c>
      <c r="Q99" s="4814"/>
      <c r="R99" s="4813"/>
      <c r="S99" s="220"/>
      <c r="T99" s="195"/>
      <c r="U99" s="195"/>
      <c r="V99" s="195"/>
      <c r="W99" s="195"/>
      <c r="X99" s="195"/>
      <c r="Y99" s="195"/>
      <c r="Z99" s="195"/>
      <c r="AA99" s="195"/>
      <c r="AB99" s="195"/>
      <c r="AC99" s="195"/>
    </row>
    <row r="100" spans="2:29" ht="16.5" customHeight="1" thickBot="1">
      <c r="B100" s="2079"/>
      <c r="C100" s="2487" t="s">
        <v>915</v>
      </c>
      <c r="D100" s="2487"/>
      <c r="E100" s="965"/>
      <c r="F100" s="965"/>
      <c r="G100" s="965"/>
      <c r="H100" s="2489">
        <f t="shared" ref="H100:O100" si="2">SUM(H75:H99)</f>
        <v>3094</v>
      </c>
      <c r="I100" s="2490">
        <f t="shared" si="2"/>
        <v>3034</v>
      </c>
      <c r="J100" s="2579">
        <f t="shared" si="2"/>
        <v>1170</v>
      </c>
      <c r="K100" s="2489">
        <f t="shared" si="2"/>
        <v>1352</v>
      </c>
      <c r="L100" s="2490">
        <f t="shared" si="2"/>
        <v>1878</v>
      </c>
      <c r="M100" s="2489">
        <f t="shared" si="2"/>
        <v>2118</v>
      </c>
      <c r="N100" s="2489">
        <f t="shared" si="2"/>
        <v>737</v>
      </c>
      <c r="O100" s="2491">
        <f t="shared" si="2"/>
        <v>63</v>
      </c>
      <c r="P100" s="1901"/>
      <c r="Q100" s="1897"/>
      <c r="R100" s="4575"/>
      <c r="S100" s="220"/>
      <c r="T100" s="195"/>
      <c r="U100" s="195"/>
      <c r="V100" s="195"/>
      <c r="W100" s="195"/>
      <c r="X100" s="195"/>
      <c r="Y100" s="195"/>
      <c r="Z100" s="195"/>
      <c r="AA100" s="195"/>
      <c r="AB100" s="195"/>
      <c r="AC100" s="195"/>
    </row>
    <row r="101" spans="2:29" ht="16.5" customHeight="1">
      <c r="B101" s="2419">
        <v>81</v>
      </c>
      <c r="C101" s="2493" t="str">
        <f>Master!BX3</f>
        <v>RPCL 210MW CCPP</v>
      </c>
      <c r="D101" s="1906"/>
      <c r="E101" s="2416" t="str">
        <f>Master!BX5</f>
        <v>Gas</v>
      </c>
      <c r="F101" s="2494" t="str">
        <f>Master!BX4</f>
        <v>IPP</v>
      </c>
      <c r="G101" s="233" t="str">
        <f>Master!BX6</f>
        <v>4*35+1*70</v>
      </c>
      <c r="H101" s="2416">
        <f>Master!BX7</f>
        <v>210</v>
      </c>
      <c r="I101" s="2417">
        <f>Master!BX8</f>
        <v>202</v>
      </c>
      <c r="J101" s="2418">
        <f>YesterdayGen!BX33</f>
        <v>49</v>
      </c>
      <c r="K101" s="2419">
        <f>YesterdayGen!BX34</f>
        <v>50</v>
      </c>
      <c r="L101" s="2568">
        <f>YesterdayGen!BX36</f>
        <v>50</v>
      </c>
      <c r="M101" s="2569">
        <f>YesterdayGen!BX35</f>
        <v>50</v>
      </c>
      <c r="N101" s="2419">
        <f>I101-M101</f>
        <v>152</v>
      </c>
      <c r="O101" s="2420"/>
      <c r="P101" s="3349" t="s">
        <v>174</v>
      </c>
      <c r="Q101" s="226"/>
      <c r="R101" s="4589"/>
      <c r="S101" s="220"/>
      <c r="T101" s="195"/>
      <c r="U101" s="195"/>
      <c r="V101" s="195"/>
      <c r="W101" s="195"/>
      <c r="X101" s="195"/>
      <c r="Y101" s="195"/>
      <c r="Z101" s="195"/>
      <c r="AA101" s="195"/>
      <c r="AB101" s="195"/>
      <c r="AC101" s="195"/>
    </row>
    <row r="102" spans="2:29" ht="16.5" customHeight="1">
      <c r="B102" s="3006">
        <v>82</v>
      </c>
      <c r="C102" s="2496" t="str">
        <f>Master!BZ3</f>
        <v>Tangail  22 MW PP (Doreen)</v>
      </c>
      <c r="D102" s="2566"/>
      <c r="E102" s="2451" t="str">
        <f>Master!BZ5</f>
        <v>Gas</v>
      </c>
      <c r="F102" s="2508" t="str">
        <f>Master!BZ4</f>
        <v>SIPP, PDB</v>
      </c>
      <c r="G102" s="236" t="str">
        <f>Master!BZ6</f>
        <v>8*2.90</v>
      </c>
      <c r="H102" s="2451">
        <f>Master!BZ7</f>
        <v>22</v>
      </c>
      <c r="I102" s="2454">
        <f>Master!BZ8</f>
        <v>22</v>
      </c>
      <c r="J102" s="2455">
        <f>YesterdayGen!BZ33</f>
        <v>20</v>
      </c>
      <c r="K102" s="2456">
        <f>YesterdayGen!BZ34</f>
        <v>22</v>
      </c>
      <c r="L102" s="2457">
        <f>YesterdayGen!BZ36</f>
        <v>22</v>
      </c>
      <c r="M102" s="2458">
        <f>YesterdayGen!BZ35</f>
        <v>22</v>
      </c>
      <c r="N102" s="2456"/>
      <c r="O102" s="5012"/>
      <c r="P102" s="3529"/>
      <c r="Q102" s="226"/>
      <c r="R102" s="4590"/>
      <c r="S102" s="220"/>
      <c r="T102" s="195"/>
      <c r="U102" s="195"/>
      <c r="V102" s="195"/>
      <c r="W102" s="195"/>
      <c r="X102" s="195"/>
      <c r="Y102" s="195"/>
      <c r="Z102" s="195"/>
      <c r="AA102" s="195"/>
      <c r="AB102" s="195"/>
      <c r="AC102" s="195"/>
    </row>
    <row r="103" spans="2:29" ht="16.5" customHeight="1">
      <c r="B103" s="2419">
        <v>83</v>
      </c>
      <c r="C103" s="2447" t="str">
        <f>Master!BY3</f>
        <v>Jamalpur 95 MW PP(Powerpac)</v>
      </c>
      <c r="D103" s="2566"/>
      <c r="E103" s="2451" t="str">
        <f>Master!BY5</f>
        <v>HFO</v>
      </c>
      <c r="F103" s="2571" t="str">
        <f>Master!BY4</f>
        <v>IPP</v>
      </c>
      <c r="G103" s="236" t="str">
        <f>Master!BY6</f>
        <v>12*8.924</v>
      </c>
      <c r="H103" s="2451">
        <f>Master!BY7</f>
        <v>95</v>
      </c>
      <c r="I103" s="2454">
        <f>Master!BY8</f>
        <v>8</v>
      </c>
      <c r="J103" s="2455">
        <f>YesterdayGen!BY33</f>
        <v>0</v>
      </c>
      <c r="K103" s="2456">
        <f>YesterdayGen!BY34</f>
        <v>0</v>
      </c>
      <c r="L103" s="2457">
        <f>YesterdayGen!BY36</f>
        <v>0</v>
      </c>
      <c r="M103" s="2458">
        <f>YesterdayGen!BY35</f>
        <v>0</v>
      </c>
      <c r="N103" s="2456"/>
      <c r="O103" s="4243">
        <v>8</v>
      </c>
      <c r="P103" s="3529" t="s">
        <v>117</v>
      </c>
      <c r="Q103" s="226"/>
      <c r="R103" s="4590"/>
      <c r="S103" s="220"/>
      <c r="T103" s="195"/>
      <c r="U103" s="195"/>
      <c r="V103" s="195"/>
      <c r="W103" s="195"/>
      <c r="X103" s="195"/>
      <c r="Y103" s="195"/>
      <c r="Z103" s="195"/>
      <c r="AA103" s="195"/>
      <c r="AB103" s="195"/>
      <c r="AC103" s="195"/>
    </row>
    <row r="104" spans="2:29" ht="16.5" customHeight="1">
      <c r="B104" s="3006">
        <v>84</v>
      </c>
      <c r="C104" s="2461" t="str">
        <f>Master!CA3</f>
        <v>Sarishabari 3 MW Solar Plant</v>
      </c>
      <c r="D104" s="2572"/>
      <c r="E104" s="2451" t="str">
        <f>Master!CA5</f>
        <v>Solar</v>
      </c>
      <c r="F104" s="2446" t="str">
        <f>Master!CA4</f>
        <v>IPP</v>
      </c>
      <c r="G104" s="236" t="str">
        <f>Master!CA6</f>
        <v>1*3</v>
      </c>
      <c r="H104" s="2451">
        <f>Master!CA7</f>
        <v>3</v>
      </c>
      <c r="I104" s="2454">
        <f>Master!CA8</f>
        <v>3</v>
      </c>
      <c r="J104" s="2455">
        <f>YesterdayGen!CA33</f>
        <v>2</v>
      </c>
      <c r="K104" s="2456">
        <f>YesterdayGen!CA34</f>
        <v>0</v>
      </c>
      <c r="L104" s="2457">
        <f>YesterdayGen!CA36</f>
        <v>1.6</v>
      </c>
      <c r="M104" s="2458">
        <f>YesterdayGen!CA35</f>
        <v>0</v>
      </c>
      <c r="N104" s="2456"/>
      <c r="O104" s="2465"/>
      <c r="P104" s="1891"/>
      <c r="Q104" s="226"/>
      <c r="R104" s="4590"/>
      <c r="S104" s="220"/>
      <c r="T104" s="195"/>
      <c r="U104" s="195"/>
      <c r="V104" s="195"/>
      <c r="W104" s="195"/>
      <c r="X104" s="195"/>
      <c r="Y104" s="195"/>
      <c r="Z104" s="195"/>
      <c r="AA104" s="195"/>
      <c r="AB104" s="195"/>
      <c r="AC104" s="195"/>
    </row>
    <row r="105" spans="2:29" ht="16.5" customHeight="1">
      <c r="B105" s="2419">
        <v>85</v>
      </c>
      <c r="C105" s="2461" t="str">
        <f>Master!CV3</f>
        <v xml:space="preserve"> Mymensingh 200 MW PP (United)</v>
      </c>
      <c r="D105" s="2566"/>
      <c r="E105" s="2451" t="str">
        <f>Master!CV5</f>
        <v>HFO</v>
      </c>
      <c r="F105" s="2508" t="str">
        <f>Master!CV4</f>
        <v>IPP</v>
      </c>
      <c r="G105" s="236">
        <f>Master!CV6</f>
        <v>200</v>
      </c>
      <c r="H105" s="2451">
        <f>Master!CV7</f>
        <v>200</v>
      </c>
      <c r="I105" s="2454">
        <f>Master!CV8</f>
        <v>200</v>
      </c>
      <c r="J105" s="2455">
        <f>YesterdayGen!CV33</f>
        <v>171</v>
      </c>
      <c r="K105" s="2456">
        <f>YesterdayGen!CV34</f>
        <v>183</v>
      </c>
      <c r="L105" s="2457">
        <f>YesterdayGen!CV36</f>
        <v>200</v>
      </c>
      <c r="M105" s="2458">
        <f>YesterdayGen!CV35</f>
        <v>200</v>
      </c>
      <c r="N105" s="2456"/>
      <c r="O105" s="2567"/>
      <c r="P105" s="3529"/>
      <c r="Q105" s="226"/>
      <c r="R105" s="4591"/>
      <c r="S105" s="220"/>
      <c r="T105" s="195"/>
      <c r="U105" s="195"/>
      <c r="V105" s="195"/>
      <c r="W105" s="195"/>
      <c r="X105" s="195"/>
      <c r="Y105" s="195"/>
      <c r="Z105" s="195"/>
      <c r="AA105" s="195"/>
      <c r="AB105" s="195"/>
      <c r="AC105" s="195"/>
    </row>
    <row r="106" spans="2:29" ht="16.5" customHeight="1">
      <c r="B106" s="2473">
        <v>86</v>
      </c>
      <c r="C106" s="3688" t="str">
        <f>Master!DD3</f>
        <v>Jamalpur 115 MW PP (United)</v>
      </c>
      <c r="D106" s="3689"/>
      <c r="E106" s="3690" t="str">
        <f>Master!DD5</f>
        <v>HFO</v>
      </c>
      <c r="F106" s="3691" t="str">
        <f>Master!DD4</f>
        <v>IPP</v>
      </c>
      <c r="G106" s="3691" t="str">
        <f>Master!DD6</f>
        <v>115 MW</v>
      </c>
      <c r="H106" s="3690">
        <f>Master!DD7</f>
        <v>115</v>
      </c>
      <c r="I106" s="3690">
        <f>Master!DD8</f>
        <v>115</v>
      </c>
      <c r="J106" s="3692">
        <f>YesterdayGen!DD33</f>
        <v>50</v>
      </c>
      <c r="K106" s="3692">
        <f>YesterdayGen!DD34</f>
        <v>112</v>
      </c>
      <c r="L106" s="3693">
        <f>YesterdayGen!DD36</f>
        <v>115</v>
      </c>
      <c r="M106" s="3693">
        <f>YesterdayGen!DD35</f>
        <v>115</v>
      </c>
      <c r="N106" s="3692"/>
      <c r="O106" s="3694"/>
      <c r="P106" s="3695"/>
      <c r="Q106" s="3696"/>
      <c r="R106" s="4592"/>
      <c r="S106" s="220"/>
      <c r="T106" s="195"/>
      <c r="U106" s="195"/>
      <c r="V106" s="195"/>
      <c r="W106" s="195"/>
      <c r="X106" s="195"/>
      <c r="Y106" s="195"/>
      <c r="Z106" s="195"/>
      <c r="AA106" s="195"/>
      <c r="AB106" s="195"/>
      <c r="AC106" s="195"/>
    </row>
    <row r="107" spans="2:29" ht="16.5" customHeight="1">
      <c r="B107" s="3875">
        <v>87</v>
      </c>
      <c r="C107" s="3876" t="str">
        <f>Master!DP3</f>
        <v>Sutiakhali 50 MW Solar PP</v>
      </c>
      <c r="D107" s="3877"/>
      <c r="E107" s="3878" t="str">
        <f>Master!DP5</f>
        <v>Solar</v>
      </c>
      <c r="F107" s="3879" t="str">
        <f>Master!DP4</f>
        <v>IPP</v>
      </c>
      <c r="G107" s="3879">
        <f>Master!DP6</f>
        <v>50</v>
      </c>
      <c r="H107" s="3878">
        <f>Master!DP7</f>
        <v>50</v>
      </c>
      <c r="I107" s="3878">
        <f>Master!DP8</f>
        <v>50</v>
      </c>
      <c r="J107" s="3875">
        <f>YesterdayGen!DP33</f>
        <v>43</v>
      </c>
      <c r="K107" s="3875">
        <f>YesterdayGen!DP34</f>
        <v>0</v>
      </c>
      <c r="L107" s="3880">
        <f>YesterdayGen!DP36</f>
        <v>50</v>
      </c>
      <c r="M107" s="3880">
        <f>YesterdayGen!DP35</f>
        <v>0</v>
      </c>
      <c r="N107" s="3875"/>
      <c r="O107" s="3881"/>
      <c r="P107" s="3882"/>
      <c r="Q107" s="3883"/>
      <c r="R107" s="4593"/>
      <c r="S107" s="220"/>
      <c r="T107" s="195"/>
      <c r="U107" s="195"/>
      <c r="V107" s="195"/>
      <c r="W107" s="195"/>
      <c r="X107" s="195"/>
      <c r="Y107" s="195"/>
      <c r="Z107" s="195"/>
      <c r="AA107" s="195"/>
      <c r="AB107" s="195"/>
      <c r="AC107" s="195"/>
    </row>
    <row r="108" spans="2:29" ht="16.5" customHeight="1" thickBot="1">
      <c r="B108" s="3884">
        <v>88</v>
      </c>
      <c r="C108" s="3885" t="str">
        <f>Master!AV3</f>
        <v>Tangail Palli Power Gen 22 MW</v>
      </c>
      <c r="D108" s="3886"/>
      <c r="E108" s="3887" t="str">
        <f>Master!AV5</f>
        <v>HFO</v>
      </c>
      <c r="F108" s="3888" t="str">
        <f>Master!AV4</f>
        <v>IPP</v>
      </c>
      <c r="G108" s="3888" t="str">
        <f>Master!AV6</f>
        <v>4*6.7</v>
      </c>
      <c r="H108" s="3887">
        <f>Master!AV7</f>
        <v>22</v>
      </c>
      <c r="I108" s="3887">
        <f>Master!AV8</f>
        <v>22</v>
      </c>
      <c r="J108" s="3884">
        <f>YesterdayGen!AV33</f>
        <v>19</v>
      </c>
      <c r="K108" s="3884">
        <f>YesterdayGen!AV34</f>
        <v>22</v>
      </c>
      <c r="L108" s="3889">
        <f>YesterdayGen!AV36</f>
        <v>22</v>
      </c>
      <c r="M108" s="3889">
        <f>YesterdayGen!AV35</f>
        <v>22</v>
      </c>
      <c r="N108" s="3884"/>
      <c r="O108" s="3890"/>
      <c r="P108" s="3892"/>
      <c r="Q108" s="3893"/>
      <c r="R108" s="3891"/>
      <c r="S108" s="220"/>
      <c r="T108" s="195"/>
      <c r="U108" s="195"/>
      <c r="V108" s="195"/>
      <c r="W108" s="195"/>
      <c r="X108" s="195"/>
      <c r="Y108" s="195"/>
      <c r="Z108" s="195"/>
      <c r="AA108" s="195"/>
      <c r="AB108" s="195"/>
      <c r="AC108" s="195"/>
    </row>
    <row r="109" spans="2:29" ht="16.5" customHeight="1" thickBot="1">
      <c r="B109" s="2079"/>
      <c r="C109" s="2487" t="s">
        <v>122</v>
      </c>
      <c r="D109" s="2487"/>
      <c r="E109" s="965"/>
      <c r="F109" s="965"/>
      <c r="G109" s="965"/>
      <c r="H109" s="2489">
        <f t="shared" ref="H109:M109" si="3">SUM(H101:H108)</f>
        <v>717</v>
      </c>
      <c r="I109" s="2490">
        <f t="shared" si="3"/>
        <v>622</v>
      </c>
      <c r="J109" s="2579">
        <f t="shared" si="3"/>
        <v>354</v>
      </c>
      <c r="K109" s="2489">
        <f t="shared" si="3"/>
        <v>389</v>
      </c>
      <c r="L109" s="2490">
        <f t="shared" si="3"/>
        <v>460.6</v>
      </c>
      <c r="M109" s="2489">
        <f t="shared" si="3"/>
        <v>409</v>
      </c>
      <c r="N109" s="2488">
        <f>SUM(N101:N103)</f>
        <v>152</v>
      </c>
      <c r="O109" s="2491">
        <f>SUM(O101:O103)</f>
        <v>8</v>
      </c>
      <c r="P109" s="1901"/>
      <c r="Q109" s="1897"/>
      <c r="R109" s="4575"/>
      <c r="S109" s="220"/>
      <c r="T109" s="195"/>
      <c r="U109" s="195"/>
      <c r="V109" s="195"/>
      <c r="W109" s="195"/>
      <c r="X109" s="195"/>
      <c r="Y109" s="195"/>
      <c r="Z109" s="195"/>
      <c r="AA109" s="195"/>
      <c r="AB109" s="195"/>
      <c r="AC109" s="195"/>
    </row>
    <row r="110" spans="2:29" ht="16.5" customHeight="1">
      <c r="B110" s="2421">
        <v>89</v>
      </c>
      <c r="C110" s="2493" t="str">
        <f>Master!CB3</f>
        <v>Fenchugonj CCPP Phase-1</v>
      </c>
      <c r="D110" s="1906"/>
      <c r="E110" s="2416" t="str">
        <f>Master!CB5</f>
        <v>Gas</v>
      </c>
      <c r="F110" s="2494" t="str">
        <f>Master!CB4</f>
        <v>PDB</v>
      </c>
      <c r="G110" s="241" t="str">
        <f>Master!CB6</f>
        <v>2*32+1*33</v>
      </c>
      <c r="H110" s="2416">
        <f>Master!CB7</f>
        <v>97</v>
      </c>
      <c r="I110" s="2417">
        <f>Master!CB8</f>
        <v>70</v>
      </c>
      <c r="J110" s="2418">
        <f>YesterdayGen!CB33</f>
        <v>43</v>
      </c>
      <c r="K110" s="2419">
        <f>YesterdayGen!CB34</f>
        <v>43</v>
      </c>
      <c r="L110" s="2568">
        <f>YesterdayGen!CB36</f>
        <v>42</v>
      </c>
      <c r="M110" s="2569">
        <f>YesterdayGen!CB35</f>
        <v>42</v>
      </c>
      <c r="N110" s="2419"/>
      <c r="O110" s="2420">
        <f>I110-M110</f>
        <v>28</v>
      </c>
      <c r="P110" s="4517" t="s">
        <v>1342</v>
      </c>
      <c r="Q110" s="226"/>
      <c r="R110" s="4589"/>
      <c r="S110" s="220"/>
      <c r="T110" s="195"/>
      <c r="U110" s="195"/>
      <c r="V110" s="195"/>
      <c r="W110" s="195"/>
      <c r="X110" s="195"/>
      <c r="Y110" s="195"/>
      <c r="Z110" s="195"/>
      <c r="AA110" s="195"/>
      <c r="AB110" s="195"/>
      <c r="AC110" s="195"/>
    </row>
    <row r="111" spans="2:29" ht="15.75" customHeight="1">
      <c r="B111" s="2421">
        <v>90</v>
      </c>
      <c r="C111" s="2447" t="str">
        <f>Master!CC3</f>
        <v>Fenchugonj CCPP Phase-2</v>
      </c>
      <c r="D111" s="1908"/>
      <c r="E111" s="2421" t="str">
        <f>Master!CC5</f>
        <v>Gas</v>
      </c>
      <c r="F111" s="224" t="str">
        <f>Master!CC4</f>
        <v>PDB</v>
      </c>
      <c r="G111" s="241" t="str">
        <f>Master!CC6</f>
        <v>2*35+1*35</v>
      </c>
      <c r="H111" s="2421">
        <f>Master!CC7</f>
        <v>104</v>
      </c>
      <c r="I111" s="2422">
        <f>Master!CC8</f>
        <v>90</v>
      </c>
      <c r="J111" s="2418">
        <f>YesterdayGen!CC33</f>
        <v>0</v>
      </c>
      <c r="K111" s="2419">
        <f>YesterdayGen!CC34</f>
        <v>0</v>
      </c>
      <c r="L111" s="2427">
        <f>YesterdayGen!CC36</f>
        <v>0</v>
      </c>
      <c r="M111" s="2426">
        <f>YesterdayGen!CC35</f>
        <v>0</v>
      </c>
      <c r="N111" s="2424"/>
      <c r="O111" s="2420">
        <f>I111-M111</f>
        <v>90</v>
      </c>
      <c r="P111" s="4517" t="s">
        <v>1597</v>
      </c>
      <c r="Q111" s="226"/>
      <c r="R111" s="4582"/>
      <c r="S111" s="220"/>
      <c r="T111" s="195"/>
      <c r="U111" s="195"/>
      <c r="V111" s="195"/>
      <c r="W111" s="195"/>
      <c r="X111" s="195"/>
      <c r="Y111" s="195"/>
      <c r="Z111" s="195"/>
      <c r="AA111" s="195"/>
      <c r="AB111" s="195"/>
      <c r="AC111" s="195"/>
    </row>
    <row r="112" spans="2:29" ht="15.75" customHeight="1">
      <c r="B112" s="2421">
        <v>91</v>
      </c>
      <c r="C112" s="2447" t="str">
        <f>Master!CF3</f>
        <v>Kushiara 163 MW CCPP (KP)</v>
      </c>
      <c r="D112" s="1908"/>
      <c r="E112" s="2421" t="str">
        <f>Master!CF5</f>
        <v>Gas</v>
      </c>
      <c r="F112" s="224" t="str">
        <f>Master!CF4</f>
        <v>IPP</v>
      </c>
      <c r="G112" s="234" t="str">
        <f>Master!CF6</f>
        <v>1*109+1*54</v>
      </c>
      <c r="H112" s="2421">
        <f>Master!CF7</f>
        <v>163</v>
      </c>
      <c r="I112" s="2422">
        <f>Master!CF8</f>
        <v>163</v>
      </c>
      <c r="J112" s="2418">
        <f>YesterdayGen!CF33</f>
        <v>163</v>
      </c>
      <c r="K112" s="2419">
        <f>YesterdayGen!CF34</f>
        <v>163</v>
      </c>
      <c r="L112" s="2427">
        <f>YesterdayGen!CF36</f>
        <v>163</v>
      </c>
      <c r="M112" s="2426">
        <f>YesterdayGen!CF35</f>
        <v>163</v>
      </c>
      <c r="N112" s="2424"/>
      <c r="O112" s="2420"/>
      <c r="P112" s="4517"/>
      <c r="Q112" s="226"/>
      <c r="R112" s="4582"/>
      <c r="S112" s="220"/>
      <c r="T112" s="195"/>
      <c r="U112" s="195"/>
      <c r="V112" s="195"/>
      <c r="W112" s="195"/>
      <c r="X112" s="195"/>
      <c r="Y112" s="195"/>
      <c r="Z112" s="195"/>
      <c r="AA112" s="195"/>
      <c r="AB112" s="195"/>
      <c r="AC112" s="195"/>
    </row>
    <row r="113" spans="2:29" ht="15.75" customHeight="1">
      <c r="B113" s="2421">
        <v>92</v>
      </c>
      <c r="C113" s="2447" t="str">
        <f>Master!CG3</f>
        <v>Shajibazar 330 MW CCPP</v>
      </c>
      <c r="D113" s="1908"/>
      <c r="E113" s="2421" t="str">
        <f>Master!CG5</f>
        <v>Gas</v>
      </c>
      <c r="F113" s="224" t="str">
        <f>Master!CG4</f>
        <v>PDB</v>
      </c>
      <c r="G113" s="234" t="str">
        <f>Master!CG6</f>
        <v>3*110</v>
      </c>
      <c r="H113" s="2421">
        <f>Master!CG7</f>
        <v>330</v>
      </c>
      <c r="I113" s="2422">
        <f>Master!CG8</f>
        <v>330</v>
      </c>
      <c r="J113" s="2418">
        <f>YesterdayGen!CG33</f>
        <v>0</v>
      </c>
      <c r="K113" s="2419">
        <f>YesterdayGen!CG34</f>
        <v>0</v>
      </c>
      <c r="L113" s="2427">
        <f>YesterdayGen!CG36</f>
        <v>0</v>
      </c>
      <c r="M113" s="2428">
        <f>YesterdayGen!CG35</f>
        <v>0</v>
      </c>
      <c r="N113" s="2424"/>
      <c r="O113" s="2420">
        <f>I113-M113</f>
        <v>330</v>
      </c>
      <c r="P113" s="4220" t="s">
        <v>117</v>
      </c>
      <c r="Q113" s="226"/>
      <c r="R113" s="4581"/>
      <c r="S113" s="220"/>
      <c r="T113" s="195"/>
      <c r="U113" s="195"/>
      <c r="V113" s="195"/>
      <c r="W113" s="195"/>
      <c r="X113" s="195"/>
      <c r="Y113" s="195"/>
      <c r="Z113" s="195"/>
      <c r="AA113" s="195"/>
      <c r="AB113" s="195"/>
      <c r="AC113" s="195"/>
    </row>
    <row r="114" spans="2:29" ht="16.5" customHeight="1">
      <c r="B114" s="2421">
        <v>93</v>
      </c>
      <c r="C114" s="2496" t="str">
        <f>Master!CD3</f>
        <v xml:space="preserve">Fenchugonj 51 MW PP  (Barakatullah) </v>
      </c>
      <c r="D114" s="2440"/>
      <c r="E114" s="2421" t="str">
        <f>Master!CD5</f>
        <v>Gas</v>
      </c>
      <c r="F114" s="224" t="str">
        <f>Master!CD4</f>
        <v xml:space="preserve">RPP </v>
      </c>
      <c r="G114" s="235" t="str">
        <f>Master!CD6</f>
        <v>19*2.90</v>
      </c>
      <c r="H114" s="2421">
        <f>Master!CD7</f>
        <v>51</v>
      </c>
      <c r="I114" s="2422">
        <f>Master!CD8</f>
        <v>51</v>
      </c>
      <c r="J114" s="2423">
        <f>YesterdayGen!CD33</f>
        <v>51</v>
      </c>
      <c r="K114" s="2424">
        <f>YesterdayGen!CD34</f>
        <v>51</v>
      </c>
      <c r="L114" s="2427">
        <f>YesterdayGen!CD36</f>
        <v>51</v>
      </c>
      <c r="M114" s="2426">
        <f>YesterdayGen!CD35</f>
        <v>51</v>
      </c>
      <c r="N114" s="2424"/>
      <c r="O114" s="2420"/>
      <c r="P114" s="3673"/>
      <c r="Q114" s="226"/>
      <c r="R114" s="4582"/>
      <c r="S114" s="220"/>
      <c r="T114" s="195"/>
      <c r="U114" s="195"/>
      <c r="V114" s="195"/>
      <c r="W114" s="195"/>
      <c r="X114" s="195"/>
      <c r="Y114" s="195"/>
      <c r="Z114" s="195"/>
      <c r="AA114" s="195"/>
      <c r="AB114" s="195"/>
      <c r="AC114" s="195"/>
    </row>
    <row r="115" spans="2:29" ht="16.5" customHeight="1">
      <c r="B115" s="3120"/>
      <c r="C115" s="4205" t="str">
        <f>Master!CE3</f>
        <v>Fenchuganj  44MW (Energyprima)</v>
      </c>
      <c r="D115" s="4206"/>
      <c r="E115" s="3120" t="str">
        <f>Master!CE5</f>
        <v>Gas</v>
      </c>
      <c r="F115" s="3123" t="str">
        <f>Master!CE4</f>
        <v>RPP</v>
      </c>
      <c r="G115" s="4207" t="str">
        <f>Master!CE6</f>
        <v>12*3.3+5*2</v>
      </c>
      <c r="H115" s="3120">
        <f>Master!CE7</f>
        <v>0</v>
      </c>
      <c r="I115" s="3125">
        <f>Master!CE8</f>
        <v>0</v>
      </c>
      <c r="J115" s="3126">
        <f>YesterdayGen!CE33</f>
        <v>0</v>
      </c>
      <c r="K115" s="3127">
        <f>YesterdayGen!CE34</f>
        <v>0</v>
      </c>
      <c r="L115" s="3128">
        <f>YesterdayGen!CE36</f>
        <v>0</v>
      </c>
      <c r="M115" s="3129">
        <f>YesterdayGen!CE35</f>
        <v>0</v>
      </c>
      <c r="N115" s="3127"/>
      <c r="O115" s="3130"/>
      <c r="P115" s="3131" t="s">
        <v>900</v>
      </c>
      <c r="Q115" s="3132"/>
      <c r="R115" s="4594"/>
      <c r="S115" s="220"/>
      <c r="T115" s="195"/>
      <c r="U115" s="195"/>
      <c r="V115" s="195"/>
      <c r="W115" s="195"/>
      <c r="X115" s="195"/>
      <c r="Y115" s="195"/>
      <c r="Z115" s="195"/>
      <c r="AA115" s="195"/>
      <c r="AB115" s="195"/>
      <c r="AC115" s="195"/>
    </row>
    <row r="116" spans="2:29" ht="16.5" customHeight="1">
      <c r="B116" s="2421">
        <v>94</v>
      </c>
      <c r="C116" s="2496" t="str">
        <f>Master!CQ3</f>
        <v>Hobiganj  11MW PP Cofidence-E</v>
      </c>
      <c r="D116" s="2440"/>
      <c r="E116" s="2421" t="str">
        <f>Master!CQ5</f>
        <v>Gas</v>
      </c>
      <c r="F116" s="228" t="str">
        <f>Master!CQ4</f>
        <v>SIPP, REB</v>
      </c>
      <c r="G116" s="235" t="str">
        <f>Master!CQ6</f>
        <v>4*2.90</v>
      </c>
      <c r="H116" s="2421">
        <f>Master!CQ7</f>
        <v>11</v>
      </c>
      <c r="I116" s="2422">
        <f>Master!CQ8</f>
        <v>11</v>
      </c>
      <c r="J116" s="2423">
        <f>YesterdayGen!CQ33</f>
        <v>0</v>
      </c>
      <c r="K116" s="2424">
        <f>YesterdayGen!CQ34</f>
        <v>11</v>
      </c>
      <c r="L116" s="2427">
        <f>YesterdayGen!CQ36</f>
        <v>11</v>
      </c>
      <c r="M116" s="2426">
        <f>YesterdayGen!CQ35</f>
        <v>11</v>
      </c>
      <c r="N116" s="2424"/>
      <c r="O116" s="2580"/>
      <c r="P116" s="1887"/>
      <c r="Q116" s="226"/>
      <c r="R116" s="4581"/>
      <c r="S116" s="220"/>
      <c r="T116" s="195"/>
      <c r="U116" s="195"/>
      <c r="V116" s="195"/>
      <c r="W116" s="195"/>
      <c r="X116" s="195"/>
      <c r="Y116" s="195"/>
      <c r="Z116" s="195"/>
      <c r="AA116" s="195"/>
      <c r="AB116" s="195"/>
      <c r="AC116" s="195"/>
    </row>
    <row r="117" spans="2:29" ht="16.5" customHeight="1">
      <c r="B117" s="2421">
        <v>95</v>
      </c>
      <c r="C117" s="2447" t="str">
        <f>Master!CH3</f>
        <v xml:space="preserve">Shahjibazar GTPP Unit- 8 &amp; 9 </v>
      </c>
      <c r="D117" s="1908"/>
      <c r="E117" s="2421" t="str">
        <f>Master!CH5</f>
        <v>Gas</v>
      </c>
      <c r="F117" s="224" t="str">
        <f>Master!CH4</f>
        <v>PDB</v>
      </c>
      <c r="G117" s="234" t="str">
        <f>Master!CH6</f>
        <v>2*35</v>
      </c>
      <c r="H117" s="2429">
        <f>Master!CH7</f>
        <v>70</v>
      </c>
      <c r="I117" s="2430">
        <f>Master!CH8</f>
        <v>66</v>
      </c>
      <c r="J117" s="2423">
        <f>YesterdayGen!CH33</f>
        <v>64</v>
      </c>
      <c r="K117" s="2424">
        <f>YesterdayGen!CH34</f>
        <v>70</v>
      </c>
      <c r="L117" s="2423">
        <f>YesterdayGen!CH36</f>
        <v>72</v>
      </c>
      <c r="M117" s="2424">
        <f>YesterdayGen!CH35</f>
        <v>72</v>
      </c>
      <c r="N117" s="2424"/>
      <c r="O117" s="2580"/>
      <c r="P117" s="3864"/>
      <c r="Q117" s="226"/>
      <c r="R117" s="4581"/>
      <c r="S117" s="220"/>
      <c r="T117" s="195"/>
      <c r="U117" s="195"/>
      <c r="V117" s="195"/>
      <c r="W117" s="195"/>
      <c r="X117" s="195"/>
      <c r="Y117" s="195"/>
      <c r="Z117" s="195"/>
      <c r="AA117" s="195"/>
      <c r="AB117" s="195"/>
      <c r="AC117" s="195"/>
    </row>
    <row r="118" spans="2:29" ht="16.5" customHeight="1">
      <c r="B118" s="2421">
        <v>96</v>
      </c>
      <c r="C118" s="2447" t="str">
        <f>Master!CI3</f>
        <v>Shahjibazar 86MW PP (Shahjibazar)</v>
      </c>
      <c r="D118" s="1908"/>
      <c r="E118" s="2421" t="str">
        <f>Master!CI5</f>
        <v>Gas</v>
      </c>
      <c r="F118" s="224" t="str">
        <f>Master!CI4</f>
        <v xml:space="preserve">RPP </v>
      </c>
      <c r="G118" s="234" t="str">
        <f>Master!CI6</f>
        <v>32*2.90</v>
      </c>
      <c r="H118" s="2429">
        <f>Master!CI7</f>
        <v>86</v>
      </c>
      <c r="I118" s="2430">
        <f>Master!CI8</f>
        <v>86</v>
      </c>
      <c r="J118" s="2423">
        <f>YesterdayGen!CI33</f>
        <v>75</v>
      </c>
      <c r="K118" s="2424">
        <f>YesterdayGen!CI34</f>
        <v>79</v>
      </c>
      <c r="L118" s="2427">
        <f>YesterdayGen!CI36</f>
        <v>81</v>
      </c>
      <c r="M118" s="2426">
        <f>YesterdayGen!CI35</f>
        <v>81</v>
      </c>
      <c r="N118" s="2424"/>
      <c r="O118" s="2420"/>
      <c r="P118" s="1887"/>
      <c r="Q118" s="226"/>
      <c r="R118" s="4581"/>
      <c r="S118" s="220"/>
      <c r="T118" s="195"/>
      <c r="U118" s="195"/>
      <c r="V118" s="195"/>
      <c r="W118" s="195"/>
      <c r="X118" s="195"/>
      <c r="Y118" s="195"/>
      <c r="Z118" s="195"/>
      <c r="AA118" s="195"/>
      <c r="AB118" s="195"/>
      <c r="AC118" s="195"/>
    </row>
    <row r="119" spans="2:29" ht="16.5" customHeight="1">
      <c r="B119" s="3852">
        <v>97</v>
      </c>
      <c r="C119" s="3853" t="str">
        <f>Master!DS3</f>
        <v>Shahjibazar 100 MW GTPP</v>
      </c>
      <c r="D119" s="3854"/>
      <c r="E119" s="3855" t="str">
        <f>Master!DS5</f>
        <v>Gas</v>
      </c>
      <c r="F119" s="3856" t="str">
        <f>Master!DS4</f>
        <v>PDB</v>
      </c>
      <c r="G119" s="3857" t="str">
        <f>Master!DS6</f>
        <v>1*100</v>
      </c>
      <c r="H119" s="3858">
        <f>Master!DS7</f>
        <v>100</v>
      </c>
      <c r="I119" s="3859">
        <f>Master!DS8</f>
        <v>100</v>
      </c>
      <c r="J119" s="3860">
        <f>YesterdayGen!DS33</f>
        <v>0</v>
      </c>
      <c r="K119" s="3861">
        <f>YesterdayGen!DS34</f>
        <v>0</v>
      </c>
      <c r="L119" s="3862">
        <f>YesterdayGen!DS36</f>
        <v>0</v>
      </c>
      <c r="M119" s="3863">
        <f>YesterdayGen!DS35</f>
        <v>0</v>
      </c>
      <c r="N119" s="3861"/>
      <c r="O119" s="2591">
        <f>I119-M119</f>
        <v>100</v>
      </c>
      <c r="P119" s="3864" t="s">
        <v>1314</v>
      </c>
      <c r="Q119" s="3865"/>
      <c r="R119" s="4595"/>
      <c r="S119" s="220"/>
      <c r="T119" s="195"/>
      <c r="U119" s="195"/>
      <c r="V119" s="195"/>
      <c r="W119" s="195"/>
      <c r="X119" s="195"/>
      <c r="Y119" s="195"/>
      <c r="Z119" s="195"/>
      <c r="AA119" s="195"/>
      <c r="AB119" s="195"/>
      <c r="AC119" s="195"/>
    </row>
    <row r="120" spans="2:29" ht="16.5" customHeight="1">
      <c r="B120" s="2421">
        <v>98</v>
      </c>
      <c r="C120" s="2496" t="str">
        <f>Master!CK3</f>
        <v>Sylhet 225 MW CCPP</v>
      </c>
      <c r="D120" s="2440"/>
      <c r="E120" s="2421" t="str">
        <f>Master!CK5</f>
        <v>Gas</v>
      </c>
      <c r="F120" s="224" t="str">
        <f>Master!CK4</f>
        <v>PDB</v>
      </c>
      <c r="G120" s="235" t="str">
        <f>Master!CK6</f>
        <v>1*142+1*89</v>
      </c>
      <c r="H120" s="2421">
        <f>Master!CK7</f>
        <v>231</v>
      </c>
      <c r="I120" s="2422">
        <f>Master!CK8</f>
        <v>231</v>
      </c>
      <c r="J120" s="2423">
        <f>YesterdayGen!CK33</f>
        <v>165</v>
      </c>
      <c r="K120" s="2424">
        <f>YesterdayGen!CK34</f>
        <v>190</v>
      </c>
      <c r="L120" s="2427">
        <f>YesterdayGen!CK36</f>
        <v>190</v>
      </c>
      <c r="M120" s="2426">
        <f>YesterdayGen!CK35</f>
        <v>190</v>
      </c>
      <c r="N120" s="2424"/>
      <c r="O120" s="2570">
        <f>I120-M120</f>
        <v>41</v>
      </c>
      <c r="P120" s="3864" t="s">
        <v>1314</v>
      </c>
      <c r="Q120" s="226"/>
      <c r="R120" s="4581"/>
      <c r="S120" s="220">
        <v>299798</v>
      </c>
      <c r="T120" s="195"/>
      <c r="U120" s="195"/>
      <c r="V120" s="195"/>
      <c r="W120" s="195"/>
      <c r="X120" s="195"/>
      <c r="Y120" s="195"/>
      <c r="Z120" s="195"/>
      <c r="AA120" s="195"/>
      <c r="AB120" s="195"/>
      <c r="AC120" s="195"/>
    </row>
    <row r="121" spans="2:29" ht="16.5" customHeight="1">
      <c r="B121" s="2421">
        <v>99</v>
      </c>
      <c r="C121" s="2447" t="str">
        <f>Master!CL3</f>
        <v>Sylhet  20 MW GTPP</v>
      </c>
      <c r="D121" s="1908"/>
      <c r="E121" s="2421" t="str">
        <f>Master!CL5</f>
        <v>Gas</v>
      </c>
      <c r="F121" s="224" t="str">
        <f>Master!CL4</f>
        <v>PDB</v>
      </c>
      <c r="G121" s="234" t="str">
        <f>Master!CL6</f>
        <v>1*20</v>
      </c>
      <c r="H121" s="2421">
        <f>Master!CL7</f>
        <v>20</v>
      </c>
      <c r="I121" s="2422">
        <f>Master!CL8</f>
        <v>20</v>
      </c>
      <c r="J121" s="2423">
        <f>YesterdayGen!CL33</f>
        <v>18</v>
      </c>
      <c r="K121" s="2424">
        <f>YesterdayGen!CL34</f>
        <v>18</v>
      </c>
      <c r="L121" s="2431">
        <f>YesterdayGen!CL36</f>
        <v>18</v>
      </c>
      <c r="M121" s="2432">
        <f>YesterdayGen!CL35</f>
        <v>18</v>
      </c>
      <c r="N121" s="2424"/>
      <c r="O121" s="2581"/>
      <c r="P121" s="3349"/>
      <c r="Q121" s="226"/>
      <c r="R121" s="4581"/>
      <c r="S121" s="220"/>
      <c r="T121" s="195"/>
      <c r="U121" s="195"/>
      <c r="V121" s="195"/>
      <c r="W121" s="195"/>
      <c r="X121" s="195"/>
      <c r="Y121" s="195"/>
      <c r="Z121" s="195"/>
      <c r="AA121" s="195"/>
      <c r="AB121" s="195"/>
      <c r="AC121" s="195"/>
    </row>
    <row r="122" spans="2:29" s="181" customFormat="1" ht="16.5" customHeight="1">
      <c r="B122" s="3120"/>
      <c r="C122" s="3121" t="str">
        <f>Master!CM3</f>
        <v>Sylhet  50MW PP (EPL)</v>
      </c>
      <c r="D122" s="3122"/>
      <c r="E122" s="3120" t="str">
        <f>Master!CM5</f>
        <v>Gas</v>
      </c>
      <c r="F122" s="3123" t="str">
        <f>Master!CM4</f>
        <v xml:space="preserve">RPP </v>
      </c>
      <c r="G122" s="3124" t="str">
        <f>Master!CM6</f>
        <v>27*2</v>
      </c>
      <c r="H122" s="3120">
        <f>Master!CM7</f>
        <v>0</v>
      </c>
      <c r="I122" s="3125">
        <f>Master!CM8</f>
        <v>0</v>
      </c>
      <c r="J122" s="3126">
        <f>YesterdayGen!CM33</f>
        <v>0</v>
      </c>
      <c r="K122" s="3127">
        <f>YesterdayGen!CM34</f>
        <v>0</v>
      </c>
      <c r="L122" s="3128">
        <f>YesterdayGen!CM36</f>
        <v>0</v>
      </c>
      <c r="M122" s="3129">
        <f>YesterdayGen!CM35</f>
        <v>0</v>
      </c>
      <c r="N122" s="3127"/>
      <c r="O122" s="3130"/>
      <c r="P122" s="3131" t="s">
        <v>900</v>
      </c>
      <c r="Q122" s="3132"/>
      <c r="R122" s="4594"/>
      <c r="S122" s="220"/>
      <c r="T122" s="227"/>
      <c r="U122" s="227"/>
      <c r="V122" s="227"/>
      <c r="W122" s="227"/>
      <c r="X122" s="227"/>
      <c r="Y122" s="227"/>
      <c r="Z122" s="227"/>
      <c r="AA122" s="227"/>
      <c r="AB122" s="227"/>
      <c r="AC122" s="227"/>
    </row>
    <row r="123" spans="2:29" ht="16.5" customHeight="1">
      <c r="B123" s="2421">
        <v>100</v>
      </c>
      <c r="C123" s="2447" t="str">
        <f>Master!CP3</f>
        <v>Shahjahanulla 25 MW PP</v>
      </c>
      <c r="D123" s="1908"/>
      <c r="E123" s="2451" t="str">
        <f>Master!CP5</f>
        <v>Gas</v>
      </c>
      <c r="F123" s="2463" t="str">
        <f>Master!CP4</f>
        <v>SIPP, REB</v>
      </c>
      <c r="G123" s="235" t="str">
        <f>Master!CP6</f>
        <v>3*9.34</v>
      </c>
      <c r="H123" s="2451">
        <f>Master!CP7</f>
        <v>25</v>
      </c>
      <c r="I123" s="2454">
        <f>Master!CP8</f>
        <v>25</v>
      </c>
      <c r="J123" s="2455">
        <f>YesterdayGen!CP33</f>
        <v>21</v>
      </c>
      <c r="K123" s="2456">
        <f>YesterdayGen!CP34</f>
        <v>24</v>
      </c>
      <c r="L123" s="2457">
        <f>YesterdayGen!CP36</f>
        <v>24</v>
      </c>
      <c r="M123" s="2458">
        <f>YesterdayGen!CP35</f>
        <v>24</v>
      </c>
      <c r="N123" s="2424"/>
      <c r="O123" s="2420"/>
      <c r="P123" s="3753"/>
      <c r="Q123" s="226"/>
      <c r="R123" s="4581"/>
      <c r="S123" s="220"/>
      <c r="T123" s="195"/>
      <c r="U123" s="195"/>
      <c r="V123" s="195"/>
      <c r="W123" s="195"/>
      <c r="X123" s="195"/>
      <c r="Y123" s="195"/>
      <c r="Z123" s="195"/>
      <c r="AA123" s="195"/>
      <c r="AB123" s="195"/>
      <c r="AC123" s="195"/>
    </row>
    <row r="124" spans="2:29" ht="16.5" customHeight="1">
      <c r="B124" s="2421">
        <v>101</v>
      </c>
      <c r="C124" s="2447" t="str">
        <f>Master!CO3</f>
        <v>Bibiana-II 341 MW CCPP (Summit)</v>
      </c>
      <c r="D124" s="2566"/>
      <c r="E124" s="2421" t="str">
        <f>Master!CO5</f>
        <v>Gas</v>
      </c>
      <c r="F124" s="2463" t="str">
        <f>Master!CO4</f>
        <v>IPP</v>
      </c>
      <c r="G124" s="236" t="str">
        <f>Master!CO6</f>
        <v>1*222+1*119</v>
      </c>
      <c r="H124" s="2451">
        <f>Master!CO7</f>
        <v>341</v>
      </c>
      <c r="I124" s="2454">
        <f>Master!CO8</f>
        <v>341</v>
      </c>
      <c r="J124" s="2455">
        <f>YesterdayGen!CO33</f>
        <v>290</v>
      </c>
      <c r="K124" s="2456">
        <f>YesterdayGen!CO34</f>
        <v>300</v>
      </c>
      <c r="L124" s="2457">
        <f>YesterdayGen!CO36</f>
        <v>330</v>
      </c>
      <c r="M124" s="2458">
        <f>YesterdayGen!CO35</f>
        <v>330</v>
      </c>
      <c r="N124" s="2456"/>
      <c r="O124" s="2420"/>
      <c r="P124" s="1886"/>
      <c r="Q124" s="1876"/>
      <c r="R124" s="4581"/>
      <c r="S124" s="220"/>
      <c r="T124" s="195"/>
      <c r="U124" s="195"/>
      <c r="V124" s="195"/>
      <c r="W124" s="195"/>
      <c r="X124" s="195"/>
      <c r="Y124" s="195"/>
      <c r="Z124" s="195"/>
      <c r="AA124" s="195"/>
      <c r="AB124" s="195"/>
      <c r="AC124" s="195"/>
    </row>
    <row r="125" spans="2:29" ht="16.5" customHeight="1">
      <c r="B125" s="2448">
        <v>102</v>
      </c>
      <c r="C125" s="2582" t="str">
        <f>Master!DC3</f>
        <v>Bibiyana-III     400 MW CCPP</v>
      </c>
      <c r="D125" s="2583"/>
      <c r="E125" s="2584" t="str">
        <f>Master!DC5</f>
        <v>Gas</v>
      </c>
      <c r="F125" s="2585" t="str">
        <f>Master!DC4</f>
        <v>PDB</v>
      </c>
      <c r="G125" s="1670" t="str">
        <f>Master!DC6</f>
        <v>400 MW</v>
      </c>
      <c r="H125" s="2584">
        <f>Master!DC7</f>
        <v>400</v>
      </c>
      <c r="I125" s="2586">
        <f>Master!DC8</f>
        <v>400</v>
      </c>
      <c r="J125" s="2587">
        <f>YesterdayGen!DC33</f>
        <v>0</v>
      </c>
      <c r="K125" s="2588">
        <f>YesterdayGen!DC34</f>
        <v>0</v>
      </c>
      <c r="L125" s="2589">
        <f>YesterdayGen!DC36</f>
        <v>0</v>
      </c>
      <c r="M125" s="2590">
        <f>YesterdayGen!DC35</f>
        <v>0</v>
      </c>
      <c r="N125" s="2588"/>
      <c r="O125" s="2591">
        <v>400</v>
      </c>
      <c r="P125" s="1886" t="s">
        <v>1181</v>
      </c>
      <c r="Q125" s="1888"/>
      <c r="R125" s="4596"/>
      <c r="S125" s="220"/>
      <c r="T125" s="195"/>
      <c r="U125" s="195"/>
      <c r="V125" s="195"/>
      <c r="W125" s="195"/>
      <c r="X125" s="195"/>
      <c r="Y125" s="195"/>
      <c r="Z125" s="195"/>
      <c r="AA125" s="195"/>
      <c r="AB125" s="195"/>
      <c r="AC125" s="195"/>
    </row>
    <row r="126" spans="2:29" ht="16.5" customHeight="1">
      <c r="B126" s="2421">
        <v>103</v>
      </c>
      <c r="C126" s="2461" t="str">
        <f>Master!CN3</f>
        <v xml:space="preserve">Sylhet 10MW PP (Desh)  </v>
      </c>
      <c r="D126" s="2566"/>
      <c r="E126" s="2451" t="str">
        <f>Master!CN5</f>
        <v>Gas</v>
      </c>
      <c r="F126" s="2463" t="str">
        <f>Master!CN4</f>
        <v xml:space="preserve">RPP </v>
      </c>
      <c r="G126" s="245" t="str">
        <f>Master!CN6</f>
        <v>6*1.95</v>
      </c>
      <c r="H126" s="2451">
        <f>Master!CN7</f>
        <v>10</v>
      </c>
      <c r="I126" s="2454">
        <f>Master!CN8</f>
        <v>10</v>
      </c>
      <c r="J126" s="2455">
        <f>YesterdayGen!CN33</f>
        <v>10</v>
      </c>
      <c r="K126" s="2456">
        <f>YesterdayGen!CN34</f>
        <v>10</v>
      </c>
      <c r="L126" s="2457">
        <f>YesterdayGen!CN36</f>
        <v>10</v>
      </c>
      <c r="M126" s="2458">
        <f>YesterdayGen!CN35</f>
        <v>10</v>
      </c>
      <c r="N126" s="2456"/>
      <c r="O126" s="3459"/>
      <c r="P126" s="4599"/>
      <c r="Q126" s="239"/>
      <c r="R126" s="4591"/>
      <c r="S126" s="220"/>
      <c r="T126" s="195"/>
      <c r="U126" s="195"/>
      <c r="V126" s="195"/>
      <c r="W126" s="195"/>
      <c r="X126" s="195"/>
      <c r="Y126" s="195"/>
      <c r="Z126" s="195"/>
      <c r="AA126" s="195"/>
      <c r="AB126" s="195"/>
      <c r="AC126" s="195"/>
    </row>
    <row r="127" spans="2:29" ht="16.5" customHeight="1" thickBot="1">
      <c r="B127" s="3446">
        <v>104</v>
      </c>
      <c r="C127" s="3449" t="str">
        <f>Master!DN3</f>
        <v>Bibiyana South 400 MW</v>
      </c>
      <c r="D127" s="3450"/>
      <c r="E127" s="3446" t="str">
        <f>Master!DN5</f>
        <v>Gas</v>
      </c>
      <c r="F127" s="3446" t="str">
        <f>Master!DN4</f>
        <v>PDB</v>
      </c>
      <c r="G127" s="3446" t="str">
        <f>Master!DN6</f>
        <v>400 MW</v>
      </c>
      <c r="H127" s="3446">
        <f>Master!DN7</f>
        <v>383</v>
      </c>
      <c r="I127" s="3446">
        <f>Master!DN8</f>
        <v>383</v>
      </c>
      <c r="J127" s="3447">
        <f>YesterdayGen!DN33</f>
        <v>200</v>
      </c>
      <c r="K127" s="3447">
        <f>YesterdayGen!DN34</f>
        <v>200</v>
      </c>
      <c r="L127" s="3448">
        <f>YesterdayGen!DN36</f>
        <v>400</v>
      </c>
      <c r="M127" s="3448">
        <f>YesterdayGen!DN35</f>
        <v>400</v>
      </c>
      <c r="N127" s="3447"/>
      <c r="O127" s="3460"/>
      <c r="P127" s="1886"/>
      <c r="Q127" s="3461"/>
      <c r="R127" s="4597"/>
      <c r="S127" s="220"/>
      <c r="T127" s="195"/>
      <c r="U127" s="195"/>
      <c r="V127" s="195"/>
      <c r="W127" s="195"/>
      <c r="X127" s="195"/>
      <c r="Y127" s="195"/>
      <c r="Z127" s="195"/>
      <c r="AA127" s="195"/>
      <c r="AB127" s="195"/>
      <c r="AC127" s="195"/>
    </row>
    <row r="128" spans="2:29" ht="16.5" customHeight="1" thickBot="1">
      <c r="B128" s="2079"/>
      <c r="C128" s="2487" t="s">
        <v>41</v>
      </c>
      <c r="D128" s="2487"/>
      <c r="E128" s="965"/>
      <c r="F128" s="965"/>
      <c r="G128" s="965"/>
      <c r="H128" s="2489">
        <f t="shared" ref="H128:O128" si="4">SUM(H110:H127)</f>
        <v>2422</v>
      </c>
      <c r="I128" s="2490">
        <f>SUM(I110:I127)</f>
        <v>2377</v>
      </c>
      <c r="J128" s="2489">
        <f t="shared" si="4"/>
        <v>1100</v>
      </c>
      <c r="K128" s="2489">
        <f t="shared" si="4"/>
        <v>1159</v>
      </c>
      <c r="L128" s="2490">
        <f t="shared" si="4"/>
        <v>1392</v>
      </c>
      <c r="M128" s="2489">
        <f t="shared" si="4"/>
        <v>1392</v>
      </c>
      <c r="N128" s="2489">
        <f t="shared" si="4"/>
        <v>0</v>
      </c>
      <c r="O128" s="2491">
        <f t="shared" si="4"/>
        <v>989</v>
      </c>
      <c r="P128" s="1901"/>
      <c r="Q128" s="1897"/>
      <c r="R128" s="4575"/>
      <c r="S128" s="220"/>
      <c r="T128" s="1250"/>
      <c r="U128" s="195"/>
      <c r="V128" s="195"/>
      <c r="W128" s="195"/>
      <c r="X128" s="195"/>
      <c r="Y128" s="195"/>
      <c r="Z128" s="195"/>
      <c r="AA128" s="195"/>
      <c r="AB128" s="195"/>
      <c r="AC128" s="195"/>
    </row>
    <row r="129" spans="2:29" ht="16.5" customHeight="1">
      <c r="B129" s="2416">
        <v>105</v>
      </c>
      <c r="C129" s="2493" t="str">
        <f>Master!DZ3</f>
        <v>Bheramara GTPP Unit-3</v>
      </c>
      <c r="D129" s="1906"/>
      <c r="E129" s="2416" t="str">
        <f>Master!DZ5</f>
        <v>HSD</v>
      </c>
      <c r="F129" s="2494" t="str">
        <f>Master!DZ4</f>
        <v>PDB</v>
      </c>
      <c r="G129" s="233" t="str">
        <f>Master!DZ6</f>
        <v>1*20</v>
      </c>
      <c r="H129" s="2416">
        <f>Master!DZ7</f>
        <v>20</v>
      </c>
      <c r="I129" s="2417">
        <f>Master!DZ8</f>
        <v>16</v>
      </c>
      <c r="J129" s="2592">
        <f>YesterdayGen!DZ33</f>
        <v>0</v>
      </c>
      <c r="K129" s="2419">
        <f>YesterdayGen!DZ34</f>
        <v>0</v>
      </c>
      <c r="L129" s="2568">
        <f>YesterdayGen!DZ36</f>
        <v>0</v>
      </c>
      <c r="M129" s="2569">
        <f>YesterdayGen!DZ35</f>
        <v>0</v>
      </c>
      <c r="N129" s="2419"/>
      <c r="O129" s="2420"/>
      <c r="P129" s="1894"/>
      <c r="Q129" s="2158"/>
      <c r="R129" s="215"/>
      <c r="S129" s="220"/>
      <c r="T129" s="195"/>
      <c r="U129" s="195"/>
      <c r="V129" s="195"/>
      <c r="W129" s="195"/>
      <c r="X129" s="195"/>
      <c r="Y129" s="195"/>
      <c r="Z129" s="195"/>
      <c r="AA129" s="195"/>
      <c r="AB129" s="195"/>
      <c r="AC129" s="195"/>
    </row>
    <row r="130" spans="2:29" ht="16.5" customHeight="1">
      <c r="B130" s="2421" t="s">
        <v>143</v>
      </c>
      <c r="C130" s="2593" t="str">
        <f>Master!DY3</f>
        <v>Bheramara (HVDC )</v>
      </c>
      <c r="D130" s="1908"/>
      <c r="E130" s="2421">
        <f>Master!DY5</f>
        <v>0</v>
      </c>
      <c r="F130" s="224" t="str">
        <f>Master!DY4</f>
        <v>Imported power</v>
      </c>
      <c r="G130" s="234" t="str">
        <f>Master!DY6</f>
        <v>2*500</v>
      </c>
      <c r="H130" s="2421">
        <f>Master!DY7</f>
        <v>1000</v>
      </c>
      <c r="I130" s="2422">
        <f>Master!DY8</f>
        <v>1000</v>
      </c>
      <c r="J130" s="2592">
        <f>YesterdayGen!DY33</f>
        <v>610</v>
      </c>
      <c r="K130" s="2419">
        <f>YesterdayGen!DY34</f>
        <v>658</v>
      </c>
      <c r="L130" s="2427">
        <f>YesterdayGen!DY36</f>
        <v>667</v>
      </c>
      <c r="M130" s="2426">
        <f>YesterdayGen!DY35</f>
        <v>715</v>
      </c>
      <c r="N130" s="2424"/>
      <c r="O130" s="2420"/>
      <c r="P130" s="1635"/>
      <c r="Q130" s="226"/>
      <c r="R130" s="219"/>
      <c r="S130" s="220"/>
      <c r="T130" s="195"/>
      <c r="U130" s="195"/>
      <c r="V130" s="195"/>
      <c r="W130" s="195"/>
      <c r="X130" s="195"/>
      <c r="Y130" s="195"/>
      <c r="Z130" s="195"/>
      <c r="AA130" s="195"/>
      <c r="AB130" s="195"/>
      <c r="AC130" s="195"/>
    </row>
    <row r="131" spans="2:29" s="4494" customFormat="1" ht="16.5" customHeight="1">
      <c r="B131" s="3970">
        <v>106</v>
      </c>
      <c r="C131" s="4486" t="str">
        <f>Master!EC3</f>
        <v>Khulna 115 PP MW (KPCL-2)</v>
      </c>
      <c r="D131" s="4487"/>
      <c r="E131" s="3970" t="str">
        <f>Master!EC5</f>
        <v>HFO</v>
      </c>
      <c r="F131" s="3974" t="str">
        <f>Master!EC4</f>
        <v>QRPP</v>
      </c>
      <c r="G131" s="3973" t="str">
        <f>Master!EC6</f>
        <v>7*17</v>
      </c>
      <c r="H131" s="3970">
        <f>Master!EC7</f>
        <v>115</v>
      </c>
      <c r="I131" s="3975">
        <f>Master!EC8</f>
        <v>0</v>
      </c>
      <c r="J131" s="4488">
        <f>YesterdayGen!EC33</f>
        <v>0</v>
      </c>
      <c r="K131" s="3977">
        <f>YesterdayGen!EC34</f>
        <v>0</v>
      </c>
      <c r="L131" s="4489">
        <f>YesterdayGen!EC36</f>
        <v>0</v>
      </c>
      <c r="M131" s="3979">
        <f>YesterdayGen!EC35</f>
        <v>0</v>
      </c>
      <c r="N131" s="3977"/>
      <c r="O131" s="4490"/>
      <c r="P131" s="4495" t="s">
        <v>900</v>
      </c>
      <c r="Q131" s="4491"/>
      <c r="R131" s="3983"/>
      <c r="S131" s="4492"/>
      <c r="T131" s="4493"/>
      <c r="U131" s="4493"/>
      <c r="V131" s="4493"/>
      <c r="W131" s="4493"/>
      <c r="X131" s="4493"/>
      <c r="Y131" s="4493"/>
      <c r="Z131" s="4493"/>
      <c r="AA131" s="4493"/>
      <c r="AB131" s="4493"/>
      <c r="AC131" s="4493"/>
    </row>
    <row r="132" spans="2:29" ht="16.5" customHeight="1">
      <c r="B132" s="2421">
        <v>107</v>
      </c>
      <c r="C132" s="2447" t="str">
        <f>Master!EG3</f>
        <v>Faridpur 50 MW Peaking PP</v>
      </c>
      <c r="D132" s="1908"/>
      <c r="E132" s="2421" t="str">
        <f>Master!EG5</f>
        <v>HFO</v>
      </c>
      <c r="F132" s="224" t="str">
        <f>Master!EG4</f>
        <v>PDB</v>
      </c>
      <c r="G132" s="234" t="str">
        <f>Master!EG6</f>
        <v>8*6.89</v>
      </c>
      <c r="H132" s="2421">
        <f>Master!EG7</f>
        <v>54</v>
      </c>
      <c r="I132" s="2422">
        <f>Master!EG8</f>
        <v>54</v>
      </c>
      <c r="J132" s="2594">
        <f>YesterdayGen!EG33</f>
        <v>0</v>
      </c>
      <c r="K132" s="2424">
        <f>YesterdayGen!EG34</f>
        <v>34</v>
      </c>
      <c r="L132" s="2427">
        <f>YesterdayGen!EG36</f>
        <v>0</v>
      </c>
      <c r="M132" s="2426">
        <f>YesterdayGen!EG35</f>
        <v>35</v>
      </c>
      <c r="N132" s="2424"/>
      <c r="O132" s="2420">
        <f>I132-M132</f>
        <v>19</v>
      </c>
      <c r="P132" s="3828" t="s">
        <v>126</v>
      </c>
      <c r="Q132" s="226"/>
      <c r="R132" s="219"/>
      <c r="S132" s="220"/>
      <c r="T132" s="1250"/>
      <c r="U132" s="195"/>
      <c r="V132" s="195"/>
      <c r="W132" s="195"/>
      <c r="X132" s="195"/>
      <c r="Y132" s="195"/>
      <c r="Z132" s="195"/>
      <c r="AA132" s="195"/>
      <c r="AB132" s="195"/>
      <c r="AC132" s="195"/>
    </row>
    <row r="133" spans="2:29" ht="16.5" customHeight="1">
      <c r="B133" s="2421">
        <v>108</v>
      </c>
      <c r="C133" s="2447" t="str">
        <f>Master!ED3</f>
        <v>Khulna  225 MW CCPP</v>
      </c>
      <c r="D133" s="1908"/>
      <c r="E133" s="2421" t="str">
        <f>Master!ED5</f>
        <v>HSD</v>
      </c>
      <c r="F133" s="224" t="str">
        <f>Master!ED4</f>
        <v>NWPGCL</v>
      </c>
      <c r="G133" s="234" t="str">
        <f>Master!ED6</f>
        <v>1*150+1*75</v>
      </c>
      <c r="H133" s="2429">
        <f>Master!ED7</f>
        <v>230</v>
      </c>
      <c r="I133" s="2430">
        <f>Master!ED8</f>
        <v>230</v>
      </c>
      <c r="J133" s="2594">
        <f>YesterdayGen!ED33</f>
        <v>0</v>
      </c>
      <c r="K133" s="2424">
        <f>YesterdayGen!ED34</f>
        <v>0</v>
      </c>
      <c r="L133" s="2427">
        <f>YesterdayGen!ED36</f>
        <v>0</v>
      </c>
      <c r="M133" s="2426">
        <f>YesterdayGen!ED35</f>
        <v>220</v>
      </c>
      <c r="N133" s="2424"/>
      <c r="O133" s="2420"/>
      <c r="P133" s="3829"/>
      <c r="Q133" s="226"/>
      <c r="R133" s="219"/>
      <c r="S133" s="220"/>
      <c r="T133" s="195"/>
      <c r="U133" s="195"/>
      <c r="V133" s="195"/>
      <c r="W133" s="195"/>
      <c r="X133" s="195"/>
      <c r="Y133" s="195"/>
      <c r="Z133" s="195"/>
      <c r="AA133" s="195"/>
      <c r="AB133" s="195"/>
      <c r="AC133" s="195"/>
    </row>
    <row r="134" spans="2:29" ht="16.5" customHeight="1">
      <c r="B134" s="2421">
        <v>109</v>
      </c>
      <c r="C134" s="2447" t="str">
        <f>Master!EH3</f>
        <v>Gopalganj 100 MW Peaking PP</v>
      </c>
      <c r="D134" s="1908"/>
      <c r="E134" s="2421" t="str">
        <f>Master!EH5</f>
        <v>HFO</v>
      </c>
      <c r="F134" s="224" t="str">
        <f>Master!EH4</f>
        <v>PDB</v>
      </c>
      <c r="G134" s="234" t="str">
        <f>Master!EH6</f>
        <v>16*6.98</v>
      </c>
      <c r="H134" s="2429">
        <f>Master!EH7</f>
        <v>109</v>
      </c>
      <c r="I134" s="2595">
        <f>Master!EH8</f>
        <v>109</v>
      </c>
      <c r="J134" s="2594">
        <f>YesterdayGen!EH33</f>
        <v>0</v>
      </c>
      <c r="K134" s="2424">
        <f>YesterdayGen!EH34</f>
        <v>0</v>
      </c>
      <c r="L134" s="2427">
        <f>YesterdayGen!EH36</f>
        <v>0</v>
      </c>
      <c r="M134" s="2426">
        <f>YesterdayGen!EH35</f>
        <v>40</v>
      </c>
      <c r="N134" s="2424"/>
      <c r="O134" s="2420">
        <f>I134-M134</f>
        <v>69</v>
      </c>
      <c r="P134" s="3827" t="s">
        <v>126</v>
      </c>
      <c r="Q134" s="226"/>
      <c r="R134" s="4577"/>
      <c r="S134" s="220"/>
      <c r="T134" s="195"/>
      <c r="U134" s="195"/>
      <c r="V134" s="195"/>
      <c r="W134" s="195"/>
      <c r="X134" s="195"/>
      <c r="Y134" s="195"/>
      <c r="Z134" s="195"/>
      <c r="AA134" s="195"/>
      <c r="AB134" s="195"/>
      <c r="AC134" s="195"/>
    </row>
    <row r="135" spans="2:29" ht="16.5" customHeight="1">
      <c r="B135" s="2421">
        <v>110</v>
      </c>
      <c r="C135" s="2596" t="str">
        <f>Master!EA3</f>
        <v>Bheramara 410 MW CCPP</v>
      </c>
      <c r="D135" s="1908"/>
      <c r="E135" s="2421" t="str">
        <f>Master!EA5</f>
        <v>Gas</v>
      </c>
      <c r="F135" s="224" t="str">
        <f>Master!EA4</f>
        <v>NWPGCL</v>
      </c>
      <c r="G135" s="234" t="str">
        <f>Master!EA6</f>
        <v>1*278+1*132</v>
      </c>
      <c r="H135" s="2429">
        <f>Master!EA7</f>
        <v>410</v>
      </c>
      <c r="I135" s="2430">
        <f>Master!EA8</f>
        <v>410</v>
      </c>
      <c r="J135" s="2594">
        <f>YesterdayGen!EA33</f>
        <v>0</v>
      </c>
      <c r="K135" s="2424">
        <f>YesterdayGen!EA34</f>
        <v>0</v>
      </c>
      <c r="L135" s="2427">
        <f>YesterdayGen!EA36</f>
        <v>0</v>
      </c>
      <c r="M135" s="2426">
        <f>YesterdayGen!EA35</f>
        <v>0</v>
      </c>
      <c r="N135" s="2424">
        <f>I135-M135</f>
        <v>410</v>
      </c>
      <c r="O135" s="2420"/>
      <c r="P135" s="1923" t="s">
        <v>174</v>
      </c>
      <c r="Q135" s="226"/>
      <c r="R135" s="219"/>
      <c r="S135" s="220"/>
      <c r="T135" s="195"/>
      <c r="U135" s="195"/>
      <c r="V135" s="195"/>
      <c r="W135" s="195"/>
      <c r="X135" s="195"/>
      <c r="Y135" s="195"/>
      <c r="Z135" s="195"/>
      <c r="AA135" s="195"/>
      <c r="AB135" s="195"/>
      <c r="AC135" s="195"/>
    </row>
    <row r="136" spans="2:29" ht="16.5" customHeight="1">
      <c r="B136" s="3120"/>
      <c r="C136" s="4509" t="str">
        <f>Master!EI3</f>
        <v>Noapara 40 MW PP (Khanjahan Ali)</v>
      </c>
      <c r="D136" s="4514"/>
      <c r="E136" s="4472" t="str">
        <f>Master!EI5</f>
        <v>HFO</v>
      </c>
      <c r="F136" s="4473" t="str">
        <f>Master!EI4</f>
        <v>QRPP</v>
      </c>
      <c r="G136" s="4510" t="str">
        <f>Master!EI6</f>
        <v>5*8.5</v>
      </c>
      <c r="H136" s="4474">
        <f>Master!EI7</f>
        <v>0</v>
      </c>
      <c r="I136" s="4475">
        <f>Master!EI8</f>
        <v>0</v>
      </c>
      <c r="J136" s="4476">
        <f>YesterdayGen!EI33</f>
        <v>0</v>
      </c>
      <c r="K136" s="3127">
        <f>YesterdayGen!EI34</f>
        <v>0</v>
      </c>
      <c r="L136" s="4511">
        <f>YesterdayGen!EI36</f>
        <v>0</v>
      </c>
      <c r="M136" s="4512">
        <f>YesterdayGen!EI35</f>
        <v>0</v>
      </c>
      <c r="N136" s="3127"/>
      <c r="O136" s="4513"/>
      <c r="P136" s="3131" t="s">
        <v>900</v>
      </c>
      <c r="Q136" s="4477"/>
      <c r="R136" s="3133"/>
      <c r="S136" s="220"/>
      <c r="T136" s="195"/>
      <c r="U136" s="195"/>
      <c r="V136" s="195"/>
      <c r="W136" s="195"/>
      <c r="X136" s="195"/>
      <c r="Y136" s="195"/>
      <c r="Z136" s="195"/>
      <c r="AA136" s="195"/>
      <c r="AB136" s="195"/>
      <c r="AC136" s="195"/>
    </row>
    <row r="137" spans="2:29" ht="16.5" customHeight="1">
      <c r="B137" s="2421">
        <v>111</v>
      </c>
      <c r="C137" s="2447" t="str">
        <f>Master!FK3</f>
        <v xml:space="preserve"> Noapara 100 MW PP (Bangla Trac)</v>
      </c>
      <c r="D137" s="2566"/>
      <c r="E137" s="2421" t="str">
        <f>Master!FK5</f>
        <v>HSD</v>
      </c>
      <c r="F137" s="2463" t="str">
        <f>Master!FK4</f>
        <v>IPP</v>
      </c>
      <c r="G137" s="236" t="str">
        <f>Master!FK6</f>
        <v>70*1.4</v>
      </c>
      <c r="H137" s="2451">
        <f>Master!FK7</f>
        <v>100</v>
      </c>
      <c r="I137" s="2454">
        <f>Master!FK8</f>
        <v>100</v>
      </c>
      <c r="J137" s="2455">
        <f>YesterdayGen!FK33</f>
        <v>0</v>
      </c>
      <c r="K137" s="2456">
        <f>YesterdayGen!FK34</f>
        <v>0</v>
      </c>
      <c r="L137" s="2457">
        <f>YesterdayGen!FK36</f>
        <v>50</v>
      </c>
      <c r="M137" s="2458">
        <f>YesterdayGen!FK35</f>
        <v>100</v>
      </c>
      <c r="N137" s="2456"/>
      <c r="O137" s="2420"/>
      <c r="P137" s="1889"/>
      <c r="Q137" s="226"/>
      <c r="R137" s="223"/>
      <c r="S137" s="220"/>
      <c r="T137" s="195"/>
      <c r="U137" s="195"/>
      <c r="V137" s="195"/>
      <c r="W137" s="195"/>
      <c r="X137" s="195"/>
      <c r="Y137" s="195"/>
      <c r="Z137" s="195"/>
      <c r="AA137" s="195"/>
      <c r="AB137" s="195"/>
      <c r="AC137" s="195"/>
    </row>
    <row r="138" spans="2:29" ht="16.5" customHeight="1">
      <c r="B138" s="2421">
        <v>112</v>
      </c>
      <c r="C138" s="2461" t="str">
        <f>Master!FO3</f>
        <v>Rupsha 105 MW PP (Orion rupsha)</v>
      </c>
      <c r="D138" s="2566"/>
      <c r="E138" s="2451" t="str">
        <f>Master!FO5</f>
        <v>HFO</v>
      </c>
      <c r="F138" s="2463" t="str">
        <f>Master!FO4</f>
        <v>IPP</v>
      </c>
      <c r="G138" s="245" t="str">
        <f>Master!FO6</f>
        <v>6*18.445</v>
      </c>
      <c r="H138" s="2451">
        <f>Master!FO7</f>
        <v>105</v>
      </c>
      <c r="I138" s="2454">
        <f>Master!FO8</f>
        <v>105</v>
      </c>
      <c r="J138" s="2455">
        <f>YesterdayGen!FO33</f>
        <v>17</v>
      </c>
      <c r="K138" s="2456">
        <f>YesterdayGen!FO34</f>
        <v>105</v>
      </c>
      <c r="L138" s="2457">
        <f>YesterdayGen!FO36</f>
        <v>105</v>
      </c>
      <c r="M138" s="2458">
        <f>YesterdayGen!FO35</f>
        <v>105</v>
      </c>
      <c r="N138" s="2456"/>
      <c r="O138" s="2591"/>
      <c r="P138" s="4712"/>
      <c r="Q138" s="226"/>
      <c r="R138" s="4591"/>
      <c r="S138" s="220"/>
      <c r="T138" s="195"/>
      <c r="U138" s="195"/>
      <c r="V138" s="195"/>
      <c r="W138" s="195"/>
      <c r="X138" s="195"/>
      <c r="Y138" s="195"/>
      <c r="Z138" s="195"/>
      <c r="AA138" s="195"/>
      <c r="AB138" s="195"/>
      <c r="AC138" s="195"/>
    </row>
    <row r="139" spans="2:29" ht="16.5" customHeight="1">
      <c r="B139" s="3698">
        <v>113</v>
      </c>
      <c r="C139" s="3688" t="str">
        <f>Master!FR3</f>
        <v>Madhumati 100 MW PP</v>
      </c>
      <c r="D139" s="3689"/>
      <c r="E139" s="3690" t="str">
        <f>Master!FR5</f>
        <v>HFO</v>
      </c>
      <c r="F139" s="3690" t="str">
        <f>Master!FR4</f>
        <v>NWPGCL</v>
      </c>
      <c r="G139" s="3690" t="str">
        <f>Master!FR6</f>
        <v>100 MW</v>
      </c>
      <c r="H139" s="3690">
        <f>Master!FR7</f>
        <v>105</v>
      </c>
      <c r="I139" s="3690">
        <f>Master!FR8</f>
        <v>105</v>
      </c>
      <c r="J139" s="3692">
        <f>YesterdayGen!FR33</f>
        <v>0</v>
      </c>
      <c r="K139" s="3692">
        <f>YesterdayGen!FR34</f>
        <v>0</v>
      </c>
      <c r="L139" s="3693">
        <f>YesterdayGen!FR36</f>
        <v>0</v>
      </c>
      <c r="M139" s="3693">
        <f>YesterdayGen!FR35</f>
        <v>100</v>
      </c>
      <c r="N139" s="3692"/>
      <c r="O139" s="3694"/>
      <c r="P139" s="3687"/>
      <c r="Q139" s="3699"/>
      <c r="R139" s="3697"/>
      <c r="S139" s="220"/>
      <c r="T139" s="195"/>
      <c r="U139" s="195"/>
      <c r="V139" s="195"/>
      <c r="W139" s="195"/>
      <c r="X139" s="195"/>
      <c r="Y139" s="195"/>
      <c r="Z139" s="195"/>
      <c r="AA139" s="195"/>
      <c r="AB139" s="195"/>
      <c r="AC139" s="195"/>
    </row>
    <row r="140" spans="2:29" ht="16.5" customHeight="1" thickBot="1">
      <c r="B140" s="4803"/>
      <c r="C140" s="4801" t="str">
        <f>Master!GB3</f>
        <v>Mongla Orion 100 MW Solar PP</v>
      </c>
      <c r="D140" s="4802"/>
      <c r="E140" s="4803" t="str">
        <f>Master!GB5</f>
        <v>Solar</v>
      </c>
      <c r="F140" s="4803" t="str">
        <f>Master!GB4</f>
        <v>IPP</v>
      </c>
      <c r="G140" s="4906">
        <f>Master!GB6</f>
        <v>100</v>
      </c>
      <c r="H140" s="4803">
        <f>Master!GB7</f>
        <v>0</v>
      </c>
      <c r="I140" s="4852">
        <f>Master!GB8</f>
        <v>0</v>
      </c>
      <c r="J140" s="4796">
        <f>YesterdayGen!GB33</f>
        <v>72</v>
      </c>
      <c r="K140" s="4796">
        <f>YesterdayGen!GB34</f>
        <v>0</v>
      </c>
      <c r="L140" s="4853">
        <f>YesterdayGen!GB36</f>
        <v>11</v>
      </c>
      <c r="M140" s="4805">
        <f>YesterdayGen!GB35</f>
        <v>0</v>
      </c>
      <c r="N140" s="4796"/>
      <c r="O140" s="4854"/>
      <c r="P140" s="4907"/>
      <c r="Q140" s="4808"/>
      <c r="R140" s="4899"/>
      <c r="S140" s="220"/>
      <c r="T140" s="195"/>
      <c r="U140" s="195"/>
      <c r="V140" s="195"/>
      <c r="W140" s="195"/>
      <c r="X140" s="195"/>
      <c r="Y140" s="195"/>
      <c r="Z140" s="195"/>
      <c r="AA140" s="195"/>
      <c r="AB140" s="195"/>
      <c r="AC140" s="195"/>
    </row>
    <row r="141" spans="2:29" ht="16.5" customHeight="1" thickBot="1">
      <c r="B141" s="2079"/>
      <c r="C141" s="2487" t="s">
        <v>42</v>
      </c>
      <c r="D141" s="2487"/>
      <c r="E141" s="965"/>
      <c r="F141" s="965"/>
      <c r="G141" s="965"/>
      <c r="H141" s="2489">
        <f t="shared" ref="H141:O141" si="5">SUM(H129:H140)</f>
        <v>2248</v>
      </c>
      <c r="I141" s="2490">
        <f t="shared" si="5"/>
        <v>2129</v>
      </c>
      <c r="J141" s="2489">
        <f t="shared" si="5"/>
        <v>699</v>
      </c>
      <c r="K141" s="2489">
        <f t="shared" si="5"/>
        <v>797</v>
      </c>
      <c r="L141" s="2490">
        <f t="shared" si="5"/>
        <v>833</v>
      </c>
      <c r="M141" s="2489">
        <f t="shared" si="5"/>
        <v>1315</v>
      </c>
      <c r="N141" s="2489">
        <f t="shared" si="5"/>
        <v>410</v>
      </c>
      <c r="O141" s="2491">
        <f t="shared" si="5"/>
        <v>88</v>
      </c>
      <c r="P141" s="1901" t="s">
        <v>166</v>
      </c>
      <c r="Q141" s="1897"/>
      <c r="R141" s="4575"/>
      <c r="S141" s="220"/>
      <c r="T141" s="195"/>
      <c r="U141" s="195"/>
      <c r="V141" s="195"/>
      <c r="W141" s="195"/>
      <c r="X141" s="195"/>
      <c r="Y141" s="195"/>
      <c r="Z141" s="195"/>
      <c r="AA141" s="195"/>
      <c r="AB141" s="195"/>
      <c r="AC141" s="195"/>
    </row>
    <row r="142" spans="2:29" ht="16.5" customHeight="1">
      <c r="B142" s="2451">
        <v>114</v>
      </c>
      <c r="C142" s="2493" t="str">
        <f>Master!EL3</f>
        <v>Barisal 110 MW PP (Summit )</v>
      </c>
      <c r="D142" s="2597"/>
      <c r="E142" s="2416" t="str">
        <f>Master!EL5</f>
        <v>HFO</v>
      </c>
      <c r="F142" s="2494" t="str">
        <f>Master!EL4</f>
        <v>IPP</v>
      </c>
      <c r="G142" s="233" t="str">
        <f>Master!EL6</f>
        <v>7*17.076</v>
      </c>
      <c r="H142" s="2419">
        <f>Master!EL7</f>
        <v>110</v>
      </c>
      <c r="I142" s="2417">
        <f>Master!EL8</f>
        <v>110</v>
      </c>
      <c r="J142" s="2598">
        <f>YesterdayGen!EL33</f>
        <v>0</v>
      </c>
      <c r="K142" s="2599">
        <f>YesterdayGen!EL34</f>
        <v>0</v>
      </c>
      <c r="L142" s="2600">
        <f>YesterdayGen!EL36</f>
        <v>110</v>
      </c>
      <c r="M142" s="2601">
        <f>YesterdayGen!EL35</f>
        <v>110</v>
      </c>
      <c r="N142" s="2602"/>
      <c r="O142" s="2603"/>
      <c r="P142" s="2604"/>
      <c r="Q142" s="1421"/>
      <c r="R142" s="4578"/>
      <c r="S142" s="220"/>
      <c r="T142" s="1251"/>
      <c r="U142" s="217"/>
      <c r="V142" s="237"/>
      <c r="W142" s="237"/>
      <c r="X142" s="237"/>
      <c r="Y142" s="195"/>
      <c r="Z142" s="195"/>
      <c r="AA142" s="195"/>
      <c r="AB142" s="195"/>
      <c r="AC142" s="195"/>
    </row>
    <row r="143" spans="2:29" ht="16.5" customHeight="1">
      <c r="B143" s="2451">
        <v>115</v>
      </c>
      <c r="C143" s="2461" t="str">
        <f>Master!EK3</f>
        <v>Bhola  33 MW PP (Venture)</v>
      </c>
      <c r="D143" s="2566"/>
      <c r="E143" s="2451" t="str">
        <f>Master!EK5</f>
        <v>Gas</v>
      </c>
      <c r="F143" s="2463" t="str">
        <f>Master!EK4</f>
        <v>RPP</v>
      </c>
      <c r="G143" s="245" t="str">
        <f>Master!EK6</f>
        <v>1*34.50</v>
      </c>
      <c r="H143" s="2451">
        <f>Master!EK7</f>
        <v>33</v>
      </c>
      <c r="I143" s="2454">
        <f>Master!EK8</f>
        <v>33</v>
      </c>
      <c r="J143" s="2605">
        <f>YesterdayGen!EK33</f>
        <v>16</v>
      </c>
      <c r="K143" s="2456">
        <f>YesterdayGen!EK34</f>
        <v>20</v>
      </c>
      <c r="L143" s="2457">
        <f>YesterdayGen!EK36</f>
        <v>24</v>
      </c>
      <c r="M143" s="2458">
        <f>YesterdayGen!EK35</f>
        <v>24</v>
      </c>
      <c r="N143" s="2456"/>
      <c r="O143" s="2591">
        <f>I143-M143</f>
        <v>9</v>
      </c>
      <c r="P143" s="1691" t="s">
        <v>126</v>
      </c>
      <c r="Q143" s="1421"/>
      <c r="R143" s="219"/>
      <c r="S143" s="220"/>
      <c r="T143" s="217"/>
      <c r="U143" s="217"/>
      <c r="V143" s="217"/>
      <c r="W143" s="1008"/>
      <c r="X143" s="217"/>
      <c r="Y143" s="195"/>
      <c r="Z143" s="195"/>
      <c r="AA143" s="195"/>
      <c r="AB143" s="195"/>
      <c r="AC143" s="195"/>
    </row>
    <row r="144" spans="2:29" ht="16.5" customHeight="1">
      <c r="B144" s="3171">
        <v>116</v>
      </c>
      <c r="C144" s="3184" t="str">
        <f>Master!EJ3</f>
        <v>Bhola 225 MW  CCPP</v>
      </c>
      <c r="D144" s="2566"/>
      <c r="E144" s="3171" t="str">
        <f>Master!EJ5</f>
        <v>Gas</v>
      </c>
      <c r="F144" s="2463" t="str">
        <f>Master!EJ4</f>
        <v>PDB</v>
      </c>
      <c r="G144" s="245" t="str">
        <f>Master!EJ6</f>
        <v>2*63+1*68</v>
      </c>
      <c r="H144" s="2451">
        <f>Master!EJ7</f>
        <v>194</v>
      </c>
      <c r="I144" s="2454">
        <f>Master!EJ8</f>
        <v>194</v>
      </c>
      <c r="J144" s="3177">
        <f>YesterdayGen!EJ33</f>
        <v>91</v>
      </c>
      <c r="K144" s="2456">
        <f>YesterdayGen!EJ34</f>
        <v>91</v>
      </c>
      <c r="L144" s="2457">
        <f>YesterdayGen!EJ36</f>
        <v>91</v>
      </c>
      <c r="M144" s="2458">
        <f>YesterdayGen!EJ35</f>
        <v>91</v>
      </c>
      <c r="N144" s="2456">
        <f>I144-M144</f>
        <v>103</v>
      </c>
      <c r="O144" s="3399"/>
      <c r="P144" s="4957" t="s">
        <v>174</v>
      </c>
      <c r="Q144" s="226"/>
      <c r="R144" s="248"/>
      <c r="S144" s="220"/>
      <c r="T144" s="217"/>
      <c r="U144" s="217"/>
      <c r="V144" s="217"/>
      <c r="W144" s="1008"/>
      <c r="X144" s="217"/>
      <c r="Y144" s="195"/>
      <c r="Z144" s="195"/>
      <c r="AA144" s="195"/>
      <c r="AB144" s="195"/>
      <c r="AC144" s="195"/>
    </row>
    <row r="145" spans="2:29" ht="16.5" customHeight="1">
      <c r="B145" s="3171">
        <v>117</v>
      </c>
      <c r="C145" s="3168" t="str">
        <f>Master!FJ3</f>
        <v>Bhola 95 MW PP (Aggreko)</v>
      </c>
      <c r="D145" s="3172"/>
      <c r="E145" s="3173" t="str">
        <f>Master!FJ5</f>
        <v>Gas</v>
      </c>
      <c r="F145" s="3174" t="str">
        <f>Master!FJ4</f>
        <v>QRPP</v>
      </c>
      <c r="G145" s="3175" t="str">
        <f>Master!FJ6</f>
        <v>96*1.10</v>
      </c>
      <c r="H145" s="3173">
        <f>Master!FJ7</f>
        <v>95</v>
      </c>
      <c r="I145" s="3176">
        <f>Master!FJ8</f>
        <v>95</v>
      </c>
      <c r="J145" s="3177">
        <f>YesterdayGen!FJ33</f>
        <v>11</v>
      </c>
      <c r="K145" s="3178">
        <f>YesterdayGen!FJ34</f>
        <v>11</v>
      </c>
      <c r="L145" s="3179">
        <f>YesterdayGen!FJ36</f>
        <v>11</v>
      </c>
      <c r="M145" s="2458">
        <f>YesterdayGen!FJ35</f>
        <v>11</v>
      </c>
      <c r="N145" s="3178">
        <f>I145-M145</f>
        <v>84</v>
      </c>
      <c r="O145" s="3675"/>
      <c r="P145" s="1643" t="s">
        <v>174</v>
      </c>
      <c r="Q145" s="3180"/>
      <c r="R145" s="3181"/>
      <c r="S145" s="220"/>
      <c r="T145" s="217"/>
      <c r="U145" s="217"/>
      <c r="V145" s="217"/>
      <c r="W145" s="1008"/>
      <c r="X145" s="217"/>
      <c r="Y145" s="195"/>
      <c r="Z145" s="195"/>
      <c r="AA145" s="195"/>
      <c r="AB145" s="195"/>
      <c r="AC145" s="195"/>
    </row>
    <row r="146" spans="2:29" ht="16.5" customHeight="1">
      <c r="B146" s="3173">
        <v>118</v>
      </c>
      <c r="C146" s="3183" t="str">
        <f>Master!FW3</f>
        <v>Payra 1320 MW</v>
      </c>
      <c r="D146" s="3185"/>
      <c r="E146" s="3165" t="str">
        <f>Master!FW5</f>
        <v>Coal</v>
      </c>
      <c r="F146" s="3165" t="str">
        <f>Master!FW4</f>
        <v>BCPCL</v>
      </c>
      <c r="G146" s="3165" t="str">
        <f>Master!FW6</f>
        <v>2*622</v>
      </c>
      <c r="H146" s="3165">
        <f>Master!FW7</f>
        <v>1244</v>
      </c>
      <c r="I146" s="3165">
        <f>Master!FW8</f>
        <v>1244</v>
      </c>
      <c r="J146" s="3166">
        <f>YesterdayGen!FW33</f>
        <v>0</v>
      </c>
      <c r="K146" s="3166">
        <f>YesterdayGen!FW34</f>
        <v>190</v>
      </c>
      <c r="L146" s="3167">
        <f>YesterdayGen!FW36</f>
        <v>620</v>
      </c>
      <c r="M146" s="3167">
        <f>YesterdayGen!FW35</f>
        <v>620</v>
      </c>
      <c r="N146" s="3166"/>
      <c r="O146" s="3169"/>
      <c r="P146" s="3420"/>
      <c r="Q146" s="3182"/>
      <c r="R146" s="3170"/>
      <c r="S146" s="220"/>
      <c r="T146" s="217"/>
      <c r="U146" s="217"/>
      <c r="V146" s="217"/>
      <c r="W146" s="1008"/>
      <c r="X146" s="217"/>
      <c r="Y146" s="195"/>
      <c r="Z146" s="195"/>
      <c r="AA146" s="195"/>
      <c r="AB146" s="195"/>
      <c r="AC146" s="195"/>
    </row>
    <row r="147" spans="2:29" ht="16.5" customHeight="1">
      <c r="B147" s="3779">
        <v>119</v>
      </c>
      <c r="C147" s="3780" t="s">
        <v>1284</v>
      </c>
      <c r="D147" s="3781"/>
      <c r="E147" s="3779" t="str">
        <f>Master!FX5</f>
        <v>Gas</v>
      </c>
      <c r="F147" s="3779" t="str">
        <f>Master!FX4</f>
        <v>IPP</v>
      </c>
      <c r="G147" s="3779">
        <f>Master!FX6</f>
        <v>220</v>
      </c>
      <c r="H147" s="3779">
        <f>Master!FX7</f>
        <v>220</v>
      </c>
      <c r="I147" s="3779">
        <f>Master!FX8</f>
        <v>220</v>
      </c>
      <c r="J147" s="3782">
        <f>YesterdayGen!FX33</f>
        <v>194</v>
      </c>
      <c r="K147" s="3782">
        <f>YesterdayGen!FX34</f>
        <v>221</v>
      </c>
      <c r="L147" s="3783">
        <f>YesterdayGen!FX36</f>
        <v>200</v>
      </c>
      <c r="M147" s="3783">
        <f>YesterdayGen!FX35</f>
        <v>220</v>
      </c>
      <c r="N147" s="3782"/>
      <c r="O147" s="3784"/>
      <c r="P147" s="3785"/>
      <c r="Q147" s="3786"/>
      <c r="R147" s="3787"/>
      <c r="S147" s="220"/>
      <c r="T147" s="217"/>
      <c r="U147" s="217"/>
      <c r="V147" s="217"/>
      <c r="W147" s="1008"/>
      <c r="X147" s="217"/>
      <c r="Y147" s="195"/>
      <c r="Z147" s="195"/>
      <c r="AA147" s="195"/>
      <c r="AB147" s="195"/>
      <c r="AC147" s="195"/>
    </row>
    <row r="148" spans="2:29" ht="16.5" customHeight="1" thickBot="1">
      <c r="B148" s="3788">
        <v>120</v>
      </c>
      <c r="C148" s="4024" t="str">
        <f>Master!FZ3</f>
        <v>United Payra Power Ltd.</v>
      </c>
      <c r="D148" s="4025"/>
      <c r="E148" s="4026" t="str">
        <f>Master!FZ5</f>
        <v>HFO</v>
      </c>
      <c r="F148" s="4026" t="str">
        <f>Master!FZ4</f>
        <v>IPP</v>
      </c>
      <c r="G148" s="3789" t="str">
        <f>Master!FZ6</f>
        <v>8*18.5+1*9.5</v>
      </c>
      <c r="H148" s="3790">
        <f>Master!FZ7</f>
        <v>150</v>
      </c>
      <c r="I148" s="3789">
        <f>Master!FZ8</f>
        <v>150</v>
      </c>
      <c r="J148" s="3791">
        <f>YesterdayGen!FZ33</f>
        <v>0</v>
      </c>
      <c r="K148" s="3791">
        <f>YesterdayGen!FZ34</f>
        <v>0</v>
      </c>
      <c r="L148" s="3792">
        <f>YesterdayGen!FZ36</f>
        <v>0</v>
      </c>
      <c r="M148" s="3793">
        <f>YesterdayGen!FZ35</f>
        <v>150</v>
      </c>
      <c r="N148" s="3791"/>
      <c r="O148" s="3794"/>
      <c r="P148" s="3795"/>
      <c r="Q148" s="3796"/>
      <c r="R148" s="3797"/>
      <c r="S148" s="220"/>
      <c r="T148" s="217"/>
      <c r="U148" s="217"/>
      <c r="V148" s="217"/>
      <c r="W148" s="1008"/>
      <c r="X148" s="217"/>
      <c r="Y148" s="195"/>
      <c r="Z148" s="195"/>
      <c r="AA148" s="195"/>
      <c r="AB148" s="195"/>
      <c r="AC148" s="195"/>
    </row>
    <row r="149" spans="2:29" ht="16.5" customHeight="1" thickBot="1">
      <c r="B149" s="2079"/>
      <c r="C149" s="4027" t="s">
        <v>43</v>
      </c>
      <c r="D149" s="4027"/>
      <c r="E149" s="4028"/>
      <c r="F149" s="4028"/>
      <c r="G149" s="965"/>
      <c r="H149" s="2489">
        <f t="shared" ref="H149:O149" si="6">SUM(H142:H148)</f>
        <v>2046</v>
      </c>
      <c r="I149" s="2490">
        <f t="shared" si="6"/>
        <v>2046</v>
      </c>
      <c r="J149" s="2489">
        <f t="shared" si="6"/>
        <v>312</v>
      </c>
      <c r="K149" s="2489">
        <f t="shared" si="6"/>
        <v>533</v>
      </c>
      <c r="L149" s="2490">
        <f t="shared" si="6"/>
        <v>1056</v>
      </c>
      <c r="M149" s="2489">
        <f t="shared" si="6"/>
        <v>1226</v>
      </c>
      <c r="N149" s="2489">
        <f t="shared" si="6"/>
        <v>187</v>
      </c>
      <c r="O149" s="2491">
        <f t="shared" si="6"/>
        <v>9</v>
      </c>
      <c r="P149" s="1901" t="s">
        <v>166</v>
      </c>
      <c r="Q149" s="1897"/>
      <c r="R149" s="4575"/>
      <c r="S149" s="220"/>
      <c r="T149" s="217"/>
      <c r="U149" s="217"/>
      <c r="V149" s="217"/>
      <c r="W149" s="1008"/>
      <c r="X149" s="217"/>
      <c r="Y149" s="195"/>
      <c r="Z149" s="195"/>
      <c r="AA149" s="195"/>
      <c r="AB149" s="195"/>
      <c r="AC149" s="195"/>
    </row>
    <row r="150" spans="2:29" ht="16.5" customHeight="1">
      <c r="B150" s="2606">
        <v>121</v>
      </c>
      <c r="C150" s="2493" t="str">
        <f>Master!EO3</f>
        <v>Baghabari 71 MW GTPP</v>
      </c>
      <c r="D150" s="1906"/>
      <c r="E150" s="2416" t="str">
        <f>Master!EO5</f>
        <v>Gas</v>
      </c>
      <c r="F150" s="2494" t="str">
        <f>Master!EO4</f>
        <v>PDB</v>
      </c>
      <c r="G150" s="233" t="str">
        <f>Master!EO6</f>
        <v>1*71</v>
      </c>
      <c r="H150" s="2416">
        <f>Master!EO7</f>
        <v>71</v>
      </c>
      <c r="I150" s="2417">
        <f>Master!EO8</f>
        <v>71</v>
      </c>
      <c r="J150" s="2592">
        <f>YesterdayGen!EO33</f>
        <v>0</v>
      </c>
      <c r="K150" s="2419">
        <f>YesterdayGen!EO34</f>
        <v>0</v>
      </c>
      <c r="L150" s="2568">
        <f>YesterdayGen!EO36</f>
        <v>0</v>
      </c>
      <c r="M150" s="2569">
        <f>YesterdayGen!EO35</f>
        <v>0</v>
      </c>
      <c r="N150" s="2419">
        <v>70</v>
      </c>
      <c r="O150" s="2420"/>
      <c r="P150" s="1643" t="s">
        <v>174</v>
      </c>
      <c r="Q150" s="1421"/>
      <c r="R150" s="215"/>
      <c r="S150" s="220"/>
      <c r="T150" s="217"/>
      <c r="U150" s="217"/>
      <c r="V150" s="217"/>
      <c r="W150" s="217"/>
      <c r="X150" s="217"/>
      <c r="Y150" s="195"/>
      <c r="Z150" s="195"/>
      <c r="AA150" s="195"/>
      <c r="AB150" s="195"/>
      <c r="AC150" s="195"/>
    </row>
    <row r="151" spans="2:29" ht="16.5" customHeight="1">
      <c r="B151" s="2607"/>
      <c r="C151" s="2447" t="str">
        <f>Master!EN3</f>
        <v>Baghabari  100 MW GTPP</v>
      </c>
      <c r="D151" s="1908"/>
      <c r="E151" s="2421" t="str">
        <f>Master!EN5</f>
        <v>Gas</v>
      </c>
      <c r="F151" s="224" t="str">
        <f>Master!EN4</f>
        <v>PDB</v>
      </c>
      <c r="G151" s="234" t="str">
        <f>Master!EN6</f>
        <v>1*100</v>
      </c>
      <c r="H151" s="2421">
        <f>Master!EN7</f>
        <v>100</v>
      </c>
      <c r="I151" s="2422">
        <f>Master!EN8</f>
        <v>100</v>
      </c>
      <c r="J151" s="2594">
        <f>YesterdayGen!EN33</f>
        <v>0</v>
      </c>
      <c r="K151" s="2424">
        <f>YesterdayGen!EN34</f>
        <v>0</v>
      </c>
      <c r="L151" s="2427">
        <f>YesterdayGen!EN36</f>
        <v>0</v>
      </c>
      <c r="M151" s="2426">
        <f>YesterdayGen!EN35</f>
        <v>0</v>
      </c>
      <c r="N151" s="2424">
        <f>I151-M151</f>
        <v>100</v>
      </c>
      <c r="O151" s="2420"/>
      <c r="P151" s="1643" t="s">
        <v>174</v>
      </c>
      <c r="Q151" s="1421"/>
      <c r="R151" s="248"/>
      <c r="S151" s="220"/>
      <c r="T151" s="217"/>
      <c r="U151" s="217"/>
      <c r="V151" s="217"/>
      <c r="W151" s="217"/>
      <c r="X151" s="217"/>
      <c r="Y151" s="195"/>
      <c r="Z151" s="195"/>
      <c r="AA151" s="195"/>
      <c r="AB151" s="195"/>
      <c r="AC151" s="195"/>
    </row>
    <row r="152" spans="2:29" ht="15.75" customHeight="1">
      <c r="B152" s="2421">
        <v>122</v>
      </c>
      <c r="C152" s="2447" t="str">
        <f>Master!EP3</f>
        <v>Baghabari  50 MW Peaking PP</v>
      </c>
      <c r="D152" s="1908"/>
      <c r="E152" s="2421" t="str">
        <f>Master!EP5</f>
        <v>HFO</v>
      </c>
      <c r="F152" s="224" t="str">
        <f>Master!EP4</f>
        <v>PDB</v>
      </c>
      <c r="G152" s="234" t="str">
        <f>Master!EP6</f>
        <v>6*8.9</v>
      </c>
      <c r="H152" s="2421">
        <f>Master!EP7</f>
        <v>52</v>
      </c>
      <c r="I152" s="2422">
        <f>Master!EP8</f>
        <v>52</v>
      </c>
      <c r="J152" s="2594">
        <f>YesterdayGen!EP33</f>
        <v>0</v>
      </c>
      <c r="K152" s="2424">
        <f>YesterdayGen!EP34</f>
        <v>50</v>
      </c>
      <c r="L152" s="2427">
        <f>YesterdayGen!EP36</f>
        <v>50</v>
      </c>
      <c r="M152" s="2426">
        <f>YesterdayGen!EP35</f>
        <v>50</v>
      </c>
      <c r="N152" s="2424"/>
      <c r="O152" s="2420"/>
      <c r="P152" s="1612"/>
      <c r="Q152" s="1421"/>
      <c r="R152" s="219"/>
      <c r="S152" s="220"/>
      <c r="T152" s="217"/>
      <c r="U152" s="1252"/>
      <c r="V152" s="217"/>
      <c r="W152" s="217"/>
      <c r="X152" s="217"/>
      <c r="Y152" s="195"/>
      <c r="Z152" s="195"/>
      <c r="AA152" s="195"/>
      <c r="AB152" s="195"/>
      <c r="AC152" s="195"/>
    </row>
    <row r="153" spans="2:29" ht="15.75" customHeight="1">
      <c r="B153" s="2421">
        <v>123</v>
      </c>
      <c r="C153" s="2447" t="str">
        <f>Master!EQ3</f>
        <v>Bera 70 MW Peaking PP</v>
      </c>
      <c r="D153" s="2566"/>
      <c r="E153" s="2451" t="str">
        <f>Master!EQ5</f>
        <v>HFO</v>
      </c>
      <c r="F153" s="2463" t="str">
        <f>Master!EQ4</f>
        <v>PDB</v>
      </c>
      <c r="G153" s="245" t="str">
        <f>Master!EQ6</f>
        <v>9*8.29</v>
      </c>
      <c r="H153" s="2451">
        <f>Master!EQ7</f>
        <v>71</v>
      </c>
      <c r="I153" s="2454">
        <f>Master!EQ8</f>
        <v>71</v>
      </c>
      <c r="J153" s="2594">
        <f>YesterdayGen!EQ33</f>
        <v>0</v>
      </c>
      <c r="K153" s="2424">
        <f>YesterdayGen!EQ34</f>
        <v>25</v>
      </c>
      <c r="L153" s="2457">
        <f>YesterdayGen!EQ36</f>
        <v>30</v>
      </c>
      <c r="M153" s="2458">
        <f>YesterdayGen!EQ35</f>
        <v>30</v>
      </c>
      <c r="N153" s="2456"/>
      <c r="O153" s="2420">
        <f>I153-M153</f>
        <v>41</v>
      </c>
      <c r="P153" s="1612" t="s">
        <v>126</v>
      </c>
      <c r="Q153" s="1421"/>
      <c r="R153" s="4571"/>
      <c r="S153" s="220"/>
      <c r="T153" s="217"/>
      <c r="U153" s="217"/>
      <c r="V153" s="217"/>
      <c r="W153" s="217"/>
      <c r="X153" s="217"/>
      <c r="Y153" s="195"/>
      <c r="Z153" s="195"/>
      <c r="AA153" s="195"/>
      <c r="AB153" s="195"/>
      <c r="AC153" s="195"/>
    </row>
    <row r="154" spans="2:29" ht="16.5" customHeight="1">
      <c r="B154" s="2421">
        <v>124</v>
      </c>
      <c r="C154" s="2447" t="str">
        <f>Master!ES3</f>
        <v>Amnura 50 MW PP(Sinha)</v>
      </c>
      <c r="D154" s="2566"/>
      <c r="E154" s="2451" t="str">
        <f>Master!ES5</f>
        <v>HFO</v>
      </c>
      <c r="F154" s="2463" t="str">
        <f>Master!ES4</f>
        <v>QRPP</v>
      </c>
      <c r="G154" s="245" t="str">
        <f>Master!ES6</f>
        <v>7*7.79</v>
      </c>
      <c r="H154" s="2608">
        <f>Master!ES7</f>
        <v>50</v>
      </c>
      <c r="I154" s="2609">
        <f>Master!ES8</f>
        <v>50</v>
      </c>
      <c r="J154" s="2594">
        <f>YesterdayGen!ES33</f>
        <v>0</v>
      </c>
      <c r="K154" s="2424">
        <f>YesterdayGen!ES34</f>
        <v>0</v>
      </c>
      <c r="L154" s="2457">
        <f>YesterdayGen!ES36</f>
        <v>25</v>
      </c>
      <c r="M154" s="2458">
        <f>YesterdayGen!ES35</f>
        <v>25</v>
      </c>
      <c r="N154" s="2456"/>
      <c r="O154" s="2947">
        <f>I154-M154</f>
        <v>25</v>
      </c>
      <c r="P154" s="1612" t="s">
        <v>126</v>
      </c>
      <c r="Q154" s="1421"/>
      <c r="R154" s="4576"/>
      <c r="S154" s="220"/>
      <c r="T154" s="217"/>
      <c r="U154" s="217"/>
      <c r="V154" s="217"/>
      <c r="W154" s="217"/>
      <c r="X154" s="217"/>
      <c r="Y154" s="195"/>
      <c r="Z154" s="195"/>
      <c r="AA154" s="195"/>
      <c r="AB154" s="195"/>
      <c r="AC154" s="195"/>
    </row>
    <row r="155" spans="2:29" ht="16.5" customHeight="1">
      <c r="B155" s="2421">
        <v>125</v>
      </c>
      <c r="C155" s="2447" t="str">
        <f>Master!ET3</f>
        <v>Katakhali 50 MW PP (Northern)</v>
      </c>
      <c r="D155" s="2566"/>
      <c r="E155" s="2451" t="str">
        <f>Master!ET5</f>
        <v>HFO</v>
      </c>
      <c r="F155" s="2463" t="str">
        <f>Master!ET4</f>
        <v>QRPP</v>
      </c>
      <c r="G155" s="245" t="str">
        <f>Master!ET6</f>
        <v>6*8.9</v>
      </c>
      <c r="H155" s="2608">
        <f>Master!ET7</f>
        <v>50</v>
      </c>
      <c r="I155" s="2609">
        <f>Master!ET8</f>
        <v>50</v>
      </c>
      <c r="J155" s="2594">
        <f>YesterdayGen!ET33</f>
        <v>0</v>
      </c>
      <c r="K155" s="2424">
        <f>YesterdayGen!ET34</f>
        <v>34</v>
      </c>
      <c r="L155" s="2457">
        <f>YesterdayGen!ET36</f>
        <v>43</v>
      </c>
      <c r="M155" s="2610">
        <f>YesterdayGen!ET35</f>
        <v>43</v>
      </c>
      <c r="N155" s="2456"/>
      <c r="O155" s="2947">
        <f>I155-M155</f>
        <v>7</v>
      </c>
      <c r="P155" s="1612" t="s">
        <v>126</v>
      </c>
      <c r="Q155" s="1421"/>
      <c r="R155" s="219"/>
      <c r="S155" s="220"/>
      <c r="T155" s="217"/>
      <c r="U155" s="217"/>
      <c r="V155" s="217"/>
      <c r="W155" s="217"/>
      <c r="X155" s="217"/>
      <c r="Y155" s="195"/>
      <c r="Z155" s="195"/>
      <c r="AA155" s="195"/>
      <c r="AB155" s="195"/>
      <c r="AC155" s="195"/>
    </row>
    <row r="156" spans="2:29" ht="16.5" customHeight="1">
      <c r="B156" s="2421">
        <v>126</v>
      </c>
      <c r="C156" s="2447" t="str">
        <f>Master!EU3</f>
        <v>Katakhali 50 MW Peaking PP</v>
      </c>
      <c r="D156" s="2566"/>
      <c r="E156" s="2451" t="str">
        <f>Master!EU5</f>
        <v>HFO</v>
      </c>
      <c r="F156" s="2463" t="str">
        <f>Master!EU4</f>
        <v>PDB</v>
      </c>
      <c r="G156" s="245" t="str">
        <f>Master!EU6</f>
        <v>6*8.7</v>
      </c>
      <c r="H156" s="2608">
        <f>Master!EU7</f>
        <v>50</v>
      </c>
      <c r="I156" s="2609">
        <f>Master!EU8</f>
        <v>50</v>
      </c>
      <c r="J156" s="2594">
        <f>YesterdayGen!EU33</f>
        <v>0</v>
      </c>
      <c r="K156" s="2424">
        <f>YesterdayGen!EU34</f>
        <v>32</v>
      </c>
      <c r="L156" s="2457">
        <f>YesterdayGen!EU36</f>
        <v>32</v>
      </c>
      <c r="M156" s="2458">
        <f>YesterdayGen!EU35</f>
        <v>32</v>
      </c>
      <c r="N156" s="2456"/>
      <c r="O156" s="2420">
        <f>I156-M156</f>
        <v>18</v>
      </c>
      <c r="P156" s="1890" t="s">
        <v>126</v>
      </c>
      <c r="Q156" s="1421"/>
      <c r="R156" s="219"/>
      <c r="S156" s="220"/>
      <c r="T156" s="1252"/>
      <c r="U156" s="217"/>
      <c r="V156" s="217"/>
      <c r="W156" s="217"/>
      <c r="X156" s="217"/>
      <c r="Y156" s="195"/>
      <c r="Z156" s="195"/>
      <c r="AA156" s="195"/>
      <c r="AB156" s="195"/>
      <c r="AC156" s="195"/>
    </row>
    <row r="157" spans="2:29" ht="16.5" customHeight="1">
      <c r="B157" s="2421">
        <v>127</v>
      </c>
      <c r="C157" s="2290" t="s">
        <v>1102</v>
      </c>
      <c r="D157" s="2566"/>
      <c r="E157" s="2451" t="s">
        <v>728</v>
      </c>
      <c r="F157" s="2463" t="str">
        <f>Master!FF4</f>
        <v>NWPGCL</v>
      </c>
      <c r="G157" s="245" t="str">
        <f>Master!FF6</f>
        <v>1*150+1*75</v>
      </c>
      <c r="H157" s="2608">
        <f>Master!FF7</f>
        <v>210</v>
      </c>
      <c r="I157" s="2609">
        <f>Master!FF8</f>
        <v>210</v>
      </c>
      <c r="J157" s="2594">
        <f>YesterdayGen!FF33+YesterdayGen!FG33</f>
        <v>0</v>
      </c>
      <c r="K157" s="2424">
        <f>YesterdayGen!FF34+YesterdayGen!FG34</f>
        <v>0</v>
      </c>
      <c r="L157" s="2457">
        <f>YesterdayGen!FF36+YesterdayGen!FG36</f>
        <v>0</v>
      </c>
      <c r="M157" s="2458">
        <f>YesterdayGen!FF35</f>
        <v>0</v>
      </c>
      <c r="N157" s="2456">
        <f>I157-M157</f>
        <v>210</v>
      </c>
      <c r="O157" s="2420"/>
      <c r="P157" s="1887" t="s">
        <v>174</v>
      </c>
      <c r="Q157" s="1421"/>
      <c r="R157" s="248"/>
      <c r="S157" s="220"/>
      <c r="T157" s="1252"/>
      <c r="U157" s="217"/>
      <c r="V157" s="217"/>
      <c r="W157" s="217"/>
      <c r="X157" s="217"/>
      <c r="Y157" s="195"/>
      <c r="Z157" s="195"/>
      <c r="AA157" s="195"/>
      <c r="AB157" s="195"/>
      <c r="AC157" s="195"/>
    </row>
    <row r="158" spans="2:29" ht="16.5" customHeight="1">
      <c r="B158" s="2421">
        <v>128</v>
      </c>
      <c r="C158" s="2290" t="s">
        <v>1103</v>
      </c>
      <c r="D158" s="2566"/>
      <c r="E158" s="2451" t="s">
        <v>728</v>
      </c>
      <c r="F158" s="2463" t="str">
        <f>Master!FH4</f>
        <v>NWPGCL</v>
      </c>
      <c r="G158" s="245" t="str">
        <f>Master!FH6</f>
        <v>1*150+1*75</v>
      </c>
      <c r="H158" s="2608">
        <f>Master!FH7</f>
        <v>220</v>
      </c>
      <c r="I158" s="2609">
        <f>Master!FH8</f>
        <v>220</v>
      </c>
      <c r="J158" s="2594">
        <f>YesterdayGen!FH33+YesterdayGen!FI33</f>
        <v>0</v>
      </c>
      <c r="K158" s="2424">
        <f>YesterdayGen!FH34+YesterdayGen!FI34</f>
        <v>0</v>
      </c>
      <c r="L158" s="2457">
        <f>YesterdayGen!FH36+YesterdayGen!FI36</f>
        <v>0</v>
      </c>
      <c r="M158" s="2458">
        <f>YesterdayGen!FH35+YesterdayGen!FI35</f>
        <v>0</v>
      </c>
      <c r="N158" s="2456">
        <f>I158-M158</f>
        <v>220</v>
      </c>
      <c r="O158" s="2420"/>
      <c r="P158" s="1887" t="s">
        <v>174</v>
      </c>
      <c r="Q158" s="1421"/>
      <c r="R158" s="248"/>
      <c r="S158" s="220"/>
      <c r="T158" s="1252"/>
      <c r="U158" s="217"/>
      <c r="V158" s="217"/>
      <c r="W158" s="217"/>
      <c r="X158" s="217"/>
      <c r="Y158" s="195"/>
      <c r="Z158" s="195"/>
      <c r="AA158" s="195"/>
      <c r="AB158" s="195"/>
      <c r="AC158" s="195"/>
    </row>
    <row r="159" spans="2:29" ht="16.5" customHeight="1">
      <c r="B159" s="2421">
        <v>129</v>
      </c>
      <c r="C159" s="2290" t="s">
        <v>1104</v>
      </c>
      <c r="D159" s="2566"/>
      <c r="E159" s="2451" t="s">
        <v>728</v>
      </c>
      <c r="F159" s="2463" t="str">
        <f>Master!FL4</f>
        <v>NWPGCL</v>
      </c>
      <c r="G159" s="245" t="str">
        <f>Master!FL6</f>
        <v>1*141</v>
      </c>
      <c r="H159" s="2608">
        <f>Master!FL7</f>
        <v>220</v>
      </c>
      <c r="I159" s="2609">
        <f>Master!FL8</f>
        <v>220</v>
      </c>
      <c r="J159" s="2594">
        <f>YesterdayGen!FL33+YesterdayGen!FM33</f>
        <v>208</v>
      </c>
      <c r="K159" s="2424">
        <f>YesterdayGen!FL34+YesterdayGen!FM34</f>
        <v>185</v>
      </c>
      <c r="L159" s="2457">
        <f>YesterdayGen!FL36+YesterdayGen!FM36</f>
        <v>200</v>
      </c>
      <c r="M159" s="2458">
        <f>YesterdayGen!FL35+YesterdayGen!FM35</f>
        <v>200</v>
      </c>
      <c r="N159" s="2456"/>
      <c r="O159" s="2420"/>
      <c r="P159" s="1887" t="s">
        <v>172</v>
      </c>
      <c r="Q159" s="1421"/>
      <c r="R159" s="248"/>
      <c r="S159" s="220"/>
      <c r="T159" s="1252"/>
      <c r="U159" s="217"/>
      <c r="V159" s="217"/>
      <c r="W159" s="217"/>
      <c r="X159" s="217"/>
      <c r="Y159" s="195"/>
      <c r="Z159" s="195"/>
      <c r="AA159" s="195"/>
      <c r="AB159" s="195"/>
      <c r="AC159" s="195"/>
    </row>
    <row r="160" spans="2:29" ht="16.5" customHeight="1">
      <c r="B160" s="2421">
        <v>130</v>
      </c>
      <c r="C160" s="2290" t="str">
        <f>Master!FN3</f>
        <v>Sirajgonj 400 MW CCPP Unit-4</v>
      </c>
      <c r="D160" s="2566"/>
      <c r="E160" s="2451" t="s">
        <v>728</v>
      </c>
      <c r="F160" s="2463" t="str">
        <f>Master!FN4</f>
        <v>SNWPGCL</v>
      </c>
      <c r="G160" s="245" t="str">
        <f>Master!FN6</f>
        <v>1*282+1*132</v>
      </c>
      <c r="H160" s="2608">
        <f>Master!FN7</f>
        <v>414</v>
      </c>
      <c r="I160" s="2609">
        <f>Master!FN8</f>
        <v>414</v>
      </c>
      <c r="J160" s="2594">
        <f>YesterdayGen!FN33+YesterdayGen!FT33</f>
        <v>414</v>
      </c>
      <c r="K160" s="2424">
        <f>YesterdayGen!FN34+YesterdayGen!FT34</f>
        <v>409</v>
      </c>
      <c r="L160" s="2457">
        <f>YesterdayGen!FN36+YesterdayGen!FT36</f>
        <v>400</v>
      </c>
      <c r="M160" s="2458">
        <f>YesterdayGen!FN35+YesterdayGen!FT35</f>
        <v>400</v>
      </c>
      <c r="N160" s="2456"/>
      <c r="O160" s="2420"/>
      <c r="P160" s="1691" t="s">
        <v>172</v>
      </c>
      <c r="Q160" s="1421"/>
      <c r="R160" s="248"/>
      <c r="S160" s="220"/>
      <c r="T160" s="1252"/>
      <c r="U160" s="217"/>
      <c r="V160" s="217"/>
      <c r="W160" s="217"/>
      <c r="X160" s="217"/>
      <c r="Y160" s="195"/>
      <c r="Z160" s="195"/>
      <c r="AA160" s="195"/>
      <c r="AB160" s="195"/>
      <c r="AC160" s="195"/>
    </row>
    <row r="161" spans="2:29" ht="16.5" customHeight="1">
      <c r="B161" s="2421">
        <v>131</v>
      </c>
      <c r="C161" s="2447" t="str">
        <f>Master!EW3</f>
        <v>Santahar  50 MW Peaking PP</v>
      </c>
      <c r="D161" s="2566"/>
      <c r="E161" s="2451" t="str">
        <f>Master!EW5</f>
        <v>HFO</v>
      </c>
      <c r="F161" s="2463" t="str">
        <f>Master!EW4</f>
        <v>PDB</v>
      </c>
      <c r="G161" s="245" t="str">
        <f>Master!EW6</f>
        <v>6*8.7</v>
      </c>
      <c r="H161" s="2608">
        <f>Master!EW7</f>
        <v>50</v>
      </c>
      <c r="I161" s="2609">
        <f>Master!EW8</f>
        <v>50</v>
      </c>
      <c r="J161" s="2594">
        <f>YesterdayGen!EW33</f>
        <v>0</v>
      </c>
      <c r="K161" s="2424">
        <f>YesterdayGen!EW34</f>
        <v>0</v>
      </c>
      <c r="L161" s="2457">
        <f>YesterdayGen!EW36</f>
        <v>0</v>
      </c>
      <c r="M161" s="2610">
        <f>YesterdayGen!EW35</f>
        <v>0</v>
      </c>
      <c r="N161" s="2456"/>
      <c r="O161" s="2420">
        <f>I161-M161</f>
        <v>50</v>
      </c>
      <c r="P161" s="1632" t="s">
        <v>1635</v>
      </c>
      <c r="Q161" s="1421"/>
      <c r="R161" s="246"/>
      <c r="S161" s="220"/>
      <c r="T161" s="195"/>
      <c r="U161" s="195"/>
      <c r="V161" s="195"/>
      <c r="W161" s="195"/>
      <c r="X161" s="195"/>
      <c r="Y161" s="195"/>
      <c r="Z161" s="195"/>
      <c r="AA161" s="195"/>
      <c r="AB161" s="195"/>
      <c r="AC161" s="195"/>
    </row>
    <row r="162" spans="2:29" ht="16.5" customHeight="1">
      <c r="B162" s="2421">
        <v>132</v>
      </c>
      <c r="C162" s="2495" t="str">
        <f>Master!EX3</f>
        <v>Bogra 22 MW PP (GBB)</v>
      </c>
      <c r="D162" s="2566"/>
      <c r="E162" s="2451" t="str">
        <f>Master!EX5</f>
        <v>Gas</v>
      </c>
      <c r="F162" s="2463" t="str">
        <f>Master!EX4</f>
        <v xml:space="preserve">RPP </v>
      </c>
      <c r="G162" s="245" t="str">
        <f>Master!EX6</f>
        <v>6*4</v>
      </c>
      <c r="H162" s="2608">
        <f>Master!EX7</f>
        <v>22</v>
      </c>
      <c r="I162" s="2609">
        <f>Master!EX8</f>
        <v>22</v>
      </c>
      <c r="J162" s="2594">
        <f>YesterdayGen!EX33</f>
        <v>22</v>
      </c>
      <c r="K162" s="2424">
        <f>YesterdayGen!EX34</f>
        <v>22</v>
      </c>
      <c r="L162" s="2457">
        <f>YesterdayGen!EX36</f>
        <v>22</v>
      </c>
      <c r="M162" s="2458">
        <f>YesterdayGen!EX35</f>
        <v>22</v>
      </c>
      <c r="N162" s="2456"/>
      <c r="O162" s="2420"/>
      <c r="P162" s="1612"/>
      <c r="Q162" s="1421"/>
      <c r="R162" s="223"/>
      <c r="S162" s="220"/>
      <c r="T162" s="252"/>
      <c r="U162" s="252"/>
      <c r="V162" s="252"/>
      <c r="W162" s="252"/>
      <c r="X162" s="252"/>
      <c r="Y162" s="195"/>
      <c r="Z162" s="195"/>
      <c r="AA162" s="195"/>
      <c r="AB162" s="195"/>
      <c r="AC162" s="195"/>
    </row>
    <row r="163" spans="2:29" ht="16.5" customHeight="1">
      <c r="B163" s="3120">
        <v>133</v>
      </c>
      <c r="C163" s="3736" t="str">
        <f>Master!EY3</f>
        <v>Bogura 20 MW PP (Energyprima)</v>
      </c>
      <c r="D163" s="3737"/>
      <c r="E163" s="3738" t="str">
        <f>Master!EY5</f>
        <v>Gas</v>
      </c>
      <c r="F163" s="3739" t="str">
        <f>Master!EY4</f>
        <v xml:space="preserve">RPP </v>
      </c>
      <c r="G163" s="3740" t="str">
        <f>Master!EY6</f>
        <v>5*3.3+5*2</v>
      </c>
      <c r="H163" s="3741">
        <f>Master!EY7</f>
        <v>20</v>
      </c>
      <c r="I163" s="3742">
        <f>Master!EY8</f>
        <v>0</v>
      </c>
      <c r="J163" s="3743">
        <f>YesterdayGen!EY33</f>
        <v>0</v>
      </c>
      <c r="K163" s="3744">
        <f>YesterdayGen!EY34</f>
        <v>0</v>
      </c>
      <c r="L163" s="3745">
        <f>YesterdayGen!EY36</f>
        <v>0</v>
      </c>
      <c r="M163" s="3746">
        <f>YesterdayGen!EY35</f>
        <v>0</v>
      </c>
      <c r="N163" s="3744"/>
      <c r="O163" s="3130"/>
      <c r="P163" s="3131" t="s">
        <v>900</v>
      </c>
      <c r="Q163" s="3132"/>
      <c r="R163" s="3747"/>
      <c r="S163" s="220"/>
      <c r="T163" s="252"/>
      <c r="U163" s="252"/>
      <c r="V163" s="252"/>
      <c r="W163" s="252"/>
      <c r="X163" s="252"/>
      <c r="Y163" s="195"/>
      <c r="Z163" s="195"/>
      <c r="AA163" s="195"/>
      <c r="AB163" s="195"/>
      <c r="AC163" s="195"/>
    </row>
    <row r="164" spans="2:29" ht="16.5" customHeight="1">
      <c r="B164" s="2421">
        <v>134</v>
      </c>
      <c r="C164" s="2447" t="str">
        <f>Master!EZ3</f>
        <v>Ullapara 11 MW PP  (Summit)</v>
      </c>
      <c r="D164" s="2566"/>
      <c r="E164" s="2451" t="str">
        <f>Master!EZ5</f>
        <v>Gas</v>
      </c>
      <c r="F164" s="2463" t="str">
        <f>Master!EZ4</f>
        <v>SIPP, REB</v>
      </c>
      <c r="G164" s="245" t="str">
        <f>Master!EZ6</f>
        <v>4*2.90</v>
      </c>
      <c r="H164" s="2451">
        <f>Master!EZ7</f>
        <v>11</v>
      </c>
      <c r="I164" s="2454">
        <f>Master!EZ8</f>
        <v>11</v>
      </c>
      <c r="J164" s="2605">
        <f>YesterdayGen!EZ33</f>
        <v>8</v>
      </c>
      <c r="K164" s="2456">
        <f>YesterdayGen!EZ34</f>
        <v>8</v>
      </c>
      <c r="L164" s="2457">
        <f>YesterdayGen!EZ36</f>
        <v>11</v>
      </c>
      <c r="M164" s="2458">
        <f>YesterdayGen!EZ35</f>
        <v>11</v>
      </c>
      <c r="N164" s="2456"/>
      <c r="O164" s="2420"/>
      <c r="P164" s="1636"/>
      <c r="Q164" s="1421"/>
      <c r="R164" s="4579"/>
      <c r="S164" s="220"/>
      <c r="T164" s="252"/>
      <c r="U164" s="252"/>
      <c r="V164" s="252"/>
      <c r="W164" s="252"/>
      <c r="X164" s="252"/>
      <c r="Y164" s="195"/>
      <c r="Z164" s="195"/>
      <c r="AA164" s="195"/>
      <c r="AB164" s="195"/>
      <c r="AC164" s="195"/>
    </row>
    <row r="165" spans="2:29" ht="16.5" customHeight="1">
      <c r="B165" s="2421">
        <v>135</v>
      </c>
      <c r="C165" s="2447" t="str">
        <f>Master!EV3</f>
        <v xml:space="preserve">Natore 52 MW PP (Rajlanka) </v>
      </c>
      <c r="D165" s="2566"/>
      <c r="E165" s="2451" t="str">
        <f>Master!EV5</f>
        <v>HFO</v>
      </c>
      <c r="F165" s="2508" t="str">
        <f>Master!EV4</f>
        <v>IPP</v>
      </c>
      <c r="G165" s="236">
        <f>Master!EV7</f>
        <v>52</v>
      </c>
      <c r="H165" s="2451">
        <f>Master!EV7</f>
        <v>52</v>
      </c>
      <c r="I165" s="2454">
        <f>Master!EV8</f>
        <v>52</v>
      </c>
      <c r="J165" s="2605">
        <f>YesterdayGen!EV33</f>
        <v>52</v>
      </c>
      <c r="K165" s="2456">
        <f>YesterdayGen!EV34</f>
        <v>43</v>
      </c>
      <c r="L165" s="2457">
        <f>YesterdayGen!EV36</f>
        <v>43</v>
      </c>
      <c r="M165" s="2458">
        <f>YesterdayGen!EV35</f>
        <v>52</v>
      </c>
      <c r="N165" s="2456"/>
      <c r="O165" s="4547"/>
      <c r="P165" s="1663"/>
      <c r="Q165" s="1421"/>
      <c r="R165" s="246"/>
      <c r="S165" s="220"/>
      <c r="T165" s="252"/>
      <c r="U165" s="252"/>
      <c r="V165" s="252"/>
      <c r="W165" s="252"/>
      <c r="X165" s="252"/>
      <c r="Y165" s="195"/>
      <c r="Z165" s="195"/>
      <c r="AA165" s="195"/>
      <c r="AB165" s="195"/>
      <c r="AC165" s="195"/>
    </row>
    <row r="166" spans="2:29" ht="16.5" customHeight="1">
      <c r="B166" s="2421">
        <v>136</v>
      </c>
      <c r="C166" s="2461" t="str">
        <f>Master!ER3</f>
        <v>Chapainawabganj 100 MW Peaking PP</v>
      </c>
      <c r="D166" s="2566"/>
      <c r="E166" s="2451" t="str">
        <f>Master!ER5</f>
        <v>HFO</v>
      </c>
      <c r="F166" s="2508" t="str">
        <f>Master!ER4</f>
        <v>PDB</v>
      </c>
      <c r="G166" s="236">
        <f>Master!ER8</f>
        <v>104</v>
      </c>
      <c r="H166" s="2456">
        <f>Master!ER7</f>
        <v>104</v>
      </c>
      <c r="I166" s="2454">
        <f>Master!ER8</f>
        <v>104</v>
      </c>
      <c r="J166" s="2605">
        <f>YesterdayGen!ER33</f>
        <v>0</v>
      </c>
      <c r="K166" s="2456">
        <f>YesterdayGen!ER34</f>
        <v>100</v>
      </c>
      <c r="L166" s="2457">
        <f>YesterdayGen!ER36</f>
        <v>90</v>
      </c>
      <c r="M166" s="2458">
        <f>YesterdayGen!ER35</f>
        <v>100</v>
      </c>
      <c r="N166" s="2456"/>
      <c r="O166" s="2570"/>
      <c r="P166" s="1663"/>
      <c r="Q166" s="1422"/>
      <c r="R166" s="246"/>
      <c r="S166" s="220"/>
      <c r="T166" s="252"/>
      <c r="U166" s="252"/>
      <c r="V166" s="252"/>
      <c r="W166" s="252"/>
      <c r="X166" s="252"/>
      <c r="Y166" s="195"/>
      <c r="Z166" s="195"/>
      <c r="AA166" s="195"/>
      <c r="AB166" s="195"/>
      <c r="AC166" s="195"/>
    </row>
    <row r="167" spans="2:29" ht="16.5" customHeight="1">
      <c r="B167" s="2421">
        <v>137</v>
      </c>
      <c r="C167" s="2461" t="str">
        <f>Master!FP3</f>
        <v>Baghabari 200 MW PP (Paramount)</v>
      </c>
      <c r="D167" s="2566"/>
      <c r="E167" s="2451" t="str">
        <f>Master!FP5</f>
        <v>HSD</v>
      </c>
      <c r="F167" s="2463" t="str">
        <f>Master!FP4</f>
        <v>IPP</v>
      </c>
      <c r="G167" s="245" t="str">
        <f>Master!FP6</f>
        <v>200 MW</v>
      </c>
      <c r="H167" s="2451">
        <f>Master!FP7</f>
        <v>200</v>
      </c>
      <c r="I167" s="2454">
        <f>Master!FP8</f>
        <v>200</v>
      </c>
      <c r="J167" s="2605">
        <f>YesterdayGen!FP33</f>
        <v>0</v>
      </c>
      <c r="K167" s="2456">
        <f>YesterdayGen!FP34</f>
        <v>0</v>
      </c>
      <c r="L167" s="2457">
        <v>200</v>
      </c>
      <c r="M167" s="2458">
        <v>200</v>
      </c>
      <c r="N167" s="2456"/>
      <c r="O167" s="2567"/>
      <c r="P167" s="1890"/>
      <c r="Q167" s="1421"/>
      <c r="R167" s="248"/>
      <c r="S167" s="220"/>
      <c r="T167" s="252"/>
      <c r="U167" s="252"/>
      <c r="V167" s="252"/>
      <c r="W167" s="252"/>
      <c r="X167" s="252"/>
      <c r="Y167" s="195"/>
      <c r="Z167" s="195"/>
      <c r="AA167" s="195"/>
      <c r="AB167" s="195"/>
      <c r="AC167" s="195"/>
    </row>
    <row r="168" spans="2:29" ht="16.5" customHeight="1">
      <c r="B168" s="2611">
        <v>138</v>
      </c>
      <c r="C168" s="2612" t="str">
        <f>Master!FQ3</f>
        <v>Bagura 113 MW PP (Confidence)-2</v>
      </c>
      <c r="D168" s="2613"/>
      <c r="E168" s="2611" t="str">
        <f>Master!FQ5</f>
        <v>HFO</v>
      </c>
      <c r="F168" s="2614" t="str">
        <f>Master!FQ4</f>
        <v>IPP</v>
      </c>
      <c r="G168" s="1751" t="str">
        <f>Master!FQ6</f>
        <v>113 MW</v>
      </c>
      <c r="H168" s="2611">
        <v>113</v>
      </c>
      <c r="I168" s="2615">
        <v>113</v>
      </c>
      <c r="J168" s="2616">
        <f>YesterdayGen!FQ33</f>
        <v>94</v>
      </c>
      <c r="K168" s="2617">
        <f>YesterdayGen!FQ34</f>
        <v>113</v>
      </c>
      <c r="L168" s="2618">
        <f>YesterdayGen!FQ36</f>
        <v>113</v>
      </c>
      <c r="M168" s="2458">
        <f>YesterdayGen!FQ35</f>
        <v>113</v>
      </c>
      <c r="N168" s="2617"/>
      <c r="O168" s="2619"/>
      <c r="P168" s="1890"/>
      <c r="Q168" s="3520"/>
      <c r="R168" s="2173"/>
      <c r="S168" s="220"/>
      <c r="T168" s="252"/>
      <c r="U168" s="252"/>
      <c r="V168" s="252"/>
      <c r="W168" s="252"/>
      <c r="X168" s="252"/>
      <c r="Y168" s="195"/>
      <c r="Z168" s="195"/>
      <c r="AA168" s="195"/>
      <c r="AB168" s="195"/>
      <c r="AC168" s="195"/>
    </row>
    <row r="169" spans="2:29" ht="16.5" customHeight="1">
      <c r="B169" s="2611">
        <v>139</v>
      </c>
      <c r="C169" s="4427" t="str">
        <f>Master!FV3</f>
        <v>Confidence Power Bogura Unit-1 113 MW</v>
      </c>
      <c r="D169" s="4428"/>
      <c r="E169" s="4429" t="str">
        <f>Master!FV5</f>
        <v>HFO</v>
      </c>
      <c r="F169" s="4430" t="str">
        <f>Master!FV4</f>
        <v>IPP</v>
      </c>
      <c r="G169" s="4431" t="str">
        <f>Master!FV6</f>
        <v>6*18.55</v>
      </c>
      <c r="H169" s="4429">
        <f>Master!FV7</f>
        <v>113</v>
      </c>
      <c r="I169" s="4432">
        <f>Master!FV8</f>
        <v>113</v>
      </c>
      <c r="J169" s="4433">
        <f>YesterdayGen!FV33</f>
        <v>90</v>
      </c>
      <c r="K169" s="4434">
        <f>YesterdayGen!FV34</f>
        <v>113</v>
      </c>
      <c r="L169" s="4435">
        <f>YesterdayGen!FV36</f>
        <v>113</v>
      </c>
      <c r="M169" s="2620">
        <f>YesterdayGen!FV35</f>
        <v>113</v>
      </c>
      <c r="N169" s="4434"/>
      <c r="O169" s="2619"/>
      <c r="P169" s="1890"/>
      <c r="Q169" s="4436"/>
      <c r="R169" s="4437"/>
      <c r="S169" s="220"/>
      <c r="T169" s="252"/>
      <c r="U169" s="252"/>
      <c r="V169" s="252"/>
      <c r="W169" s="252"/>
      <c r="X169" s="252"/>
      <c r="Y169" s="195"/>
      <c r="Z169" s="195"/>
      <c r="AA169" s="195"/>
      <c r="AB169" s="195"/>
      <c r="AC169" s="195"/>
    </row>
    <row r="170" spans="2:29" ht="16.5" customHeight="1" thickBot="1">
      <c r="B170" s="241">
        <v>140</v>
      </c>
      <c r="C170" s="4438" t="str">
        <f>Master!GA3</f>
        <v xml:space="preserve"> Sirajgonj 6.55 MW Solar</v>
      </c>
      <c r="D170" s="4439"/>
      <c r="E170" s="4440" t="str">
        <f>Master!GA5</f>
        <v>Solar</v>
      </c>
      <c r="F170" s="4440" t="str">
        <f>Master!GA4</f>
        <v>NWPGCL</v>
      </c>
      <c r="G170" s="4440" t="str">
        <f>Master!GA6</f>
        <v>1*6</v>
      </c>
      <c r="H170" s="4440">
        <f>Master!GA7</f>
        <v>6</v>
      </c>
      <c r="I170" s="4440">
        <f>Master!GA8</f>
        <v>6</v>
      </c>
      <c r="J170" s="4441">
        <f>YesterdayGen!GA33</f>
        <v>5</v>
      </c>
      <c r="K170" s="4441">
        <f>YesterdayGen!GA34</f>
        <v>0</v>
      </c>
      <c r="L170" s="4442">
        <f>YesterdayGen!GA36</f>
        <v>6</v>
      </c>
      <c r="M170" s="4443">
        <f>YesterdayGen!GA35</f>
        <v>0</v>
      </c>
      <c r="N170" s="4441"/>
      <c r="O170" s="4444"/>
      <c r="P170" s="4445"/>
      <c r="Q170" s="4446"/>
      <c r="R170" s="4447"/>
      <c r="S170" s="220"/>
      <c r="T170" s="252"/>
      <c r="U170" s="252"/>
      <c r="V170" s="252"/>
      <c r="W170" s="252"/>
      <c r="X170" s="252"/>
      <c r="Y170" s="195"/>
      <c r="Z170" s="195"/>
      <c r="AA170" s="195"/>
      <c r="AB170" s="195"/>
      <c r="AC170" s="195"/>
    </row>
    <row r="171" spans="2:29" ht="16.5" customHeight="1" thickBot="1">
      <c r="B171" s="2079"/>
      <c r="C171" s="2487" t="s">
        <v>44</v>
      </c>
      <c r="D171" s="2487"/>
      <c r="E171" s="965"/>
      <c r="F171" s="965"/>
      <c r="G171" s="965"/>
      <c r="H171" s="2489">
        <f t="shared" ref="H171:O171" si="7">SUM(H150:H170)</f>
        <v>2199</v>
      </c>
      <c r="I171" s="2489">
        <f t="shared" si="7"/>
        <v>2179</v>
      </c>
      <c r="J171" s="2489">
        <f t="shared" si="7"/>
        <v>893</v>
      </c>
      <c r="K171" s="2489">
        <f t="shared" si="7"/>
        <v>1134</v>
      </c>
      <c r="L171" s="2489">
        <f t="shared" si="7"/>
        <v>1378</v>
      </c>
      <c r="M171" s="2489">
        <f t="shared" si="7"/>
        <v>1391</v>
      </c>
      <c r="N171" s="2489">
        <f t="shared" si="7"/>
        <v>600</v>
      </c>
      <c r="O171" s="2489">
        <f t="shared" si="7"/>
        <v>141</v>
      </c>
      <c r="P171" s="1901" t="s">
        <v>166</v>
      </c>
      <c r="Q171" s="1897"/>
      <c r="R171" s="4575"/>
      <c r="S171" s="220"/>
      <c r="T171" s="252"/>
      <c r="U171" s="252"/>
      <c r="V171" s="252"/>
      <c r="W171" s="252"/>
      <c r="X171" s="252"/>
      <c r="Y171" s="195"/>
      <c r="Z171" s="195"/>
      <c r="AA171" s="195"/>
      <c r="AB171" s="195"/>
      <c r="AC171" s="195"/>
    </row>
    <row r="172" spans="2:29" ht="16.5" customHeight="1">
      <c r="B172" s="2602">
        <v>141</v>
      </c>
      <c r="C172" s="2621" t="str">
        <f>Master!FA3</f>
        <v xml:space="preserve">Barapukuria TPP Unit-1 </v>
      </c>
      <c r="D172" s="2622"/>
      <c r="E172" s="2602" t="str">
        <f>Master!FA5</f>
        <v>Coal</v>
      </c>
      <c r="F172" s="2623" t="str">
        <f>Master!FA4</f>
        <v>PDB</v>
      </c>
      <c r="G172" s="1675" t="str">
        <f>Master!FA6</f>
        <v>1*125</v>
      </c>
      <c r="H172" s="2624">
        <f>Master!FA7</f>
        <v>125</v>
      </c>
      <c r="I172" s="2625">
        <f>Master!FA8</f>
        <v>85</v>
      </c>
      <c r="J172" s="2626">
        <f>YesterdayGen!FA33</f>
        <v>0</v>
      </c>
      <c r="K172" s="2627">
        <f>YesterdayGen!FA34</f>
        <v>0</v>
      </c>
      <c r="L172" s="2628">
        <f>YesterdayGen!FA36</f>
        <v>0</v>
      </c>
      <c r="M172" s="2627">
        <f>YesterdayGen!FA35</f>
        <v>0</v>
      </c>
      <c r="N172" s="2629"/>
      <c r="O172" s="2630">
        <v>85</v>
      </c>
      <c r="P172" s="1890" t="s">
        <v>117</v>
      </c>
      <c r="Q172" s="1421"/>
      <c r="R172" s="4572"/>
      <c r="S172" s="220"/>
      <c r="T172" s="252"/>
      <c r="U172" s="252"/>
      <c r="V172" s="252"/>
      <c r="W172" s="252"/>
      <c r="X172" s="252"/>
      <c r="Y172" s="195"/>
      <c r="Z172" s="195"/>
      <c r="AA172" s="195"/>
      <c r="AB172" s="195"/>
      <c r="AC172" s="195"/>
    </row>
    <row r="173" spans="2:29" ht="16.5" customHeight="1">
      <c r="B173" s="2631"/>
      <c r="C173" s="2632" t="str">
        <f>Master!FB3</f>
        <v>Barapukuria TPP  Unit-2</v>
      </c>
      <c r="D173" s="1906"/>
      <c r="E173" s="2416" t="str">
        <f>Master!FB5</f>
        <v>Coal</v>
      </c>
      <c r="F173" s="2494" t="str">
        <f>Master!FB4</f>
        <v>PDB</v>
      </c>
      <c r="G173" s="233" t="str">
        <f>Master!FB6</f>
        <v>1*125</v>
      </c>
      <c r="H173" s="2416">
        <f>Master!FB7</f>
        <v>125</v>
      </c>
      <c r="I173" s="2417">
        <f>Master!FB8</f>
        <v>85</v>
      </c>
      <c r="J173" s="2592">
        <f>YesterdayGen!FB33</f>
        <v>0</v>
      </c>
      <c r="K173" s="2419">
        <f>YesterdayGen!FB34</f>
        <v>0</v>
      </c>
      <c r="L173" s="2568">
        <f>YesterdayGen!FB36</f>
        <v>0</v>
      </c>
      <c r="M173" s="2569">
        <f>YesterdayGen!FB35</f>
        <v>0</v>
      </c>
      <c r="N173" s="2629"/>
      <c r="O173" s="2420">
        <v>85</v>
      </c>
      <c r="P173" s="1890" t="s">
        <v>117</v>
      </c>
      <c r="Q173" s="1421"/>
      <c r="R173" s="242"/>
      <c r="S173" s="220"/>
      <c r="T173" s="252"/>
      <c r="U173" s="252"/>
      <c r="V173" s="252"/>
      <c r="W173" s="252"/>
      <c r="X173" s="252"/>
      <c r="Y173" s="195"/>
      <c r="Z173" s="195"/>
      <c r="AA173" s="195"/>
      <c r="AB173" s="195"/>
      <c r="AC173" s="195"/>
    </row>
    <row r="174" spans="2:29" ht="16.5" customHeight="1">
      <c r="B174" s="2633">
        <v>142</v>
      </c>
      <c r="C174" s="2495" t="str">
        <f>Master!FC3</f>
        <v>Barapukuria 275 MW TPP Unit-3</v>
      </c>
      <c r="D174" s="1906"/>
      <c r="E174" s="2416" t="str">
        <f>Master!FC5</f>
        <v>Coal</v>
      </c>
      <c r="F174" s="2494" t="str">
        <f>Master!FC4</f>
        <v>PDB</v>
      </c>
      <c r="G174" s="233" t="str">
        <f>Master!FC6</f>
        <v>1*275</v>
      </c>
      <c r="H174" s="2416">
        <f>Master!FC7</f>
        <v>274</v>
      </c>
      <c r="I174" s="2417">
        <f>Master!FC8</f>
        <v>274</v>
      </c>
      <c r="J174" s="2592">
        <f>YesterdayGen!FC33</f>
        <v>199</v>
      </c>
      <c r="K174" s="2419">
        <f>YesterdayGen!FC34</f>
        <v>199</v>
      </c>
      <c r="L174" s="2568">
        <f>YesterdayGen!FC36</f>
        <v>200</v>
      </c>
      <c r="M174" s="2634">
        <f>YesterdayGen!FC35</f>
        <v>200</v>
      </c>
      <c r="N174" s="2419">
        <f>I174-M174</f>
        <v>74</v>
      </c>
      <c r="O174" s="2420"/>
      <c r="P174" s="1890" t="s">
        <v>1468</v>
      </c>
      <c r="Q174" s="1421"/>
      <c r="R174" s="246"/>
      <c r="S174" s="220"/>
      <c r="T174" s="252"/>
      <c r="U174" s="252"/>
      <c r="V174" s="252"/>
      <c r="W174" s="252"/>
      <c r="X174" s="252"/>
      <c r="Y174" s="195"/>
      <c r="Z174" s="195"/>
      <c r="AA174" s="195"/>
      <c r="AB174" s="195"/>
      <c r="AC174" s="195"/>
    </row>
    <row r="175" spans="2:29" ht="16.5" customHeight="1">
      <c r="B175" s="2421">
        <v>143</v>
      </c>
      <c r="C175" s="2495" t="str">
        <f>Master!FD3</f>
        <v>Rangpur 20 MW  GTPP</v>
      </c>
      <c r="D175" s="1908"/>
      <c r="E175" s="2421" t="str">
        <f>Master!FD5</f>
        <v>HSD</v>
      </c>
      <c r="F175" s="224" t="str">
        <f>Master!FD4</f>
        <v>PDB</v>
      </c>
      <c r="G175" s="234" t="str">
        <f>Master!FD6</f>
        <v>1*20</v>
      </c>
      <c r="H175" s="2421">
        <f>Master!FD7</f>
        <v>20</v>
      </c>
      <c r="I175" s="2422">
        <f>Master!FD8</f>
        <v>20</v>
      </c>
      <c r="J175" s="2594">
        <f>YesterdayGen!FD33</f>
        <v>0</v>
      </c>
      <c r="K175" s="2424">
        <f>YesterdayGen!FD34</f>
        <v>0</v>
      </c>
      <c r="L175" s="2635">
        <f>YesterdayGen!FD36</f>
        <v>0</v>
      </c>
      <c r="M175" s="2428">
        <f>YesterdayGen!FD35</f>
        <v>0</v>
      </c>
      <c r="N175" s="2424"/>
      <c r="O175" s="2420">
        <f>I175-M175</f>
        <v>20</v>
      </c>
      <c r="P175" s="1890"/>
      <c r="Q175" s="1902"/>
      <c r="R175" s="4580"/>
      <c r="S175" s="1213"/>
      <c r="T175" s="252"/>
      <c r="U175" s="252"/>
      <c r="V175" s="252"/>
      <c r="W175" s="252"/>
      <c r="X175" s="252"/>
      <c r="Y175" s="195"/>
      <c r="Z175" s="195"/>
      <c r="AA175" s="195"/>
      <c r="AB175" s="195"/>
      <c r="AC175" s="195"/>
    </row>
    <row r="176" spans="2:29" ht="16.5" customHeight="1">
      <c r="B176" s="2451">
        <v>144</v>
      </c>
      <c r="C176" s="2636" t="str">
        <f>Master!FE3</f>
        <v>Saidpur 20 MW GTPP</v>
      </c>
      <c r="D176" s="2566"/>
      <c r="E176" s="2451" t="str">
        <f>Master!FE5</f>
        <v>HSD</v>
      </c>
      <c r="F176" s="2463" t="str">
        <f>Master!FE4</f>
        <v>PDB</v>
      </c>
      <c r="G176" s="245" t="str">
        <f>Master!FE6</f>
        <v>1*20</v>
      </c>
      <c r="H176" s="2451">
        <f>Master!FE7</f>
        <v>20</v>
      </c>
      <c r="I176" s="2454">
        <f>Master!FE8</f>
        <v>20</v>
      </c>
      <c r="J176" s="2605">
        <f>YesterdayGen!FE33</f>
        <v>0</v>
      </c>
      <c r="K176" s="2456">
        <f>YesterdayGen!FE34</f>
        <v>0</v>
      </c>
      <c r="L176" s="2637">
        <f>YesterdayGen!FE36</f>
        <v>0</v>
      </c>
      <c r="M176" s="2458">
        <f>YesterdayGen!FE35</f>
        <v>0</v>
      </c>
      <c r="N176" s="2456"/>
      <c r="O176" s="2420">
        <f>I176-M176</f>
        <v>20</v>
      </c>
      <c r="P176" s="1890"/>
      <c r="Q176" s="1421"/>
      <c r="R176" s="248"/>
      <c r="S176" s="1213"/>
      <c r="T176" s="252"/>
      <c r="U176" s="252"/>
      <c r="V176" s="252"/>
      <c r="W176" s="252"/>
      <c r="X176" s="252"/>
      <c r="Y176" s="195"/>
      <c r="Z176" s="195"/>
      <c r="AA176" s="195"/>
      <c r="AB176" s="195"/>
      <c r="AC176" s="195"/>
    </row>
    <row r="177" spans="2:33" ht="16.5" customHeight="1">
      <c r="B177" s="2638">
        <v>145</v>
      </c>
      <c r="C177" s="2639" t="str">
        <f>Master!FS3</f>
        <v xml:space="preserve">Rangpur 113 MW PP (Confidence)  </v>
      </c>
      <c r="D177" s="2640"/>
      <c r="E177" s="2638" t="str">
        <f>Master!FS5</f>
        <v>HFO</v>
      </c>
      <c r="F177" s="2641" t="str">
        <f>Master!FS4</f>
        <v>IPP</v>
      </c>
      <c r="G177" s="2015" t="str">
        <f>Master!FS6</f>
        <v>113 MW</v>
      </c>
      <c r="H177" s="2638">
        <v>113</v>
      </c>
      <c r="I177" s="2642">
        <v>113</v>
      </c>
      <c r="J177" s="2643">
        <f>YesterdayGen!FS33</f>
        <v>49</v>
      </c>
      <c r="K177" s="2644">
        <f>YesterdayGen!FS34</f>
        <v>112</v>
      </c>
      <c r="L177" s="2645">
        <f>YesterdayGen!FS36</f>
        <v>113</v>
      </c>
      <c r="M177" s="2646">
        <f>YesterdayGen!FS35</f>
        <v>113</v>
      </c>
      <c r="N177" s="2644"/>
      <c r="O177" s="2420"/>
      <c r="P177" s="1890"/>
      <c r="Q177" s="3520"/>
      <c r="R177" s="2014"/>
      <c r="S177" s="1213"/>
      <c r="T177" s="252"/>
      <c r="U177" s="252"/>
      <c r="V177" s="252"/>
      <c r="W177" s="252"/>
      <c r="X177" s="252"/>
      <c r="Y177" s="195"/>
      <c r="Z177" s="195"/>
      <c r="AA177" s="195"/>
      <c r="AB177" s="195"/>
      <c r="AC177" s="195"/>
    </row>
    <row r="178" spans="2:33" ht="16.5" customHeight="1">
      <c r="B178" s="241">
        <v>146</v>
      </c>
      <c r="C178" s="2647" t="str">
        <f>Master!FU3</f>
        <v>Sympa Solar Power 8MW</v>
      </c>
      <c r="D178" s="2648"/>
      <c r="E178" s="2156" t="str">
        <f>Master!FU5</f>
        <v>Solar</v>
      </c>
      <c r="F178" s="2156" t="str">
        <f>Master!FU4</f>
        <v>IPP</v>
      </c>
      <c r="G178" s="2156" t="str">
        <f>Master!FU6</f>
        <v>8 MW</v>
      </c>
      <c r="H178" s="2156">
        <f>Master!FU7</f>
        <v>8</v>
      </c>
      <c r="I178" s="2156">
        <f>Master!FU8</f>
        <v>8</v>
      </c>
      <c r="J178" s="2649">
        <f>YesterdayGen!FU33</f>
        <v>0</v>
      </c>
      <c r="K178" s="2649">
        <f>YesterdayGen!FU34</f>
        <v>0</v>
      </c>
      <c r="L178" s="2650">
        <f>YesterdayGen!FU36</f>
        <v>8</v>
      </c>
      <c r="M178" s="2651">
        <f>YesterdayGen!FU35</f>
        <v>0</v>
      </c>
      <c r="N178" s="2649"/>
      <c r="O178" s="2652"/>
      <c r="P178" s="2013"/>
      <c r="Q178" s="2012"/>
      <c r="R178" s="2011"/>
      <c r="S178" s="1213"/>
      <c r="T178" s="252"/>
      <c r="U178" s="252"/>
      <c r="V178" s="252"/>
      <c r="W178" s="252"/>
      <c r="X178" s="252"/>
      <c r="Y178" s="195"/>
      <c r="Z178" s="195"/>
      <c r="AA178" s="195"/>
      <c r="AB178" s="195"/>
      <c r="AC178" s="195"/>
    </row>
    <row r="179" spans="2:33" ht="16.5" customHeight="1" thickBot="1">
      <c r="B179" s="241"/>
      <c r="C179" s="4986" t="str">
        <f>Master!GC3</f>
        <v>Energypac Power Venture Thakurgaon Ltd.</v>
      </c>
      <c r="D179" s="2847"/>
      <c r="E179" s="299" t="str">
        <f>Master!GC5</f>
        <v>HFO</v>
      </c>
      <c r="F179" s="299" t="str">
        <f>Master!GC4</f>
        <v>IPP</v>
      </c>
      <c r="G179" s="299">
        <f>Master!GC6</f>
        <v>115</v>
      </c>
      <c r="H179" s="2509">
        <f>Master!GC7</f>
        <v>0</v>
      </c>
      <c r="I179" s="299">
        <f>Master!GC8</f>
        <v>0</v>
      </c>
      <c r="J179" s="4987">
        <f>YesterdayGen!GC33</f>
        <v>0</v>
      </c>
      <c r="K179" s="2473">
        <f>YesterdayGen!GC34</f>
        <v>0</v>
      </c>
      <c r="L179" s="4988">
        <f>YesterdayGen!GC36</f>
        <v>0</v>
      </c>
      <c r="M179" s="2287">
        <f>YesterdayGen!GC35</f>
        <v>0</v>
      </c>
      <c r="N179" s="2473"/>
      <c r="O179" s="2591"/>
      <c r="P179" s="4989"/>
      <c r="Q179" s="4990"/>
      <c r="R179" s="4571"/>
      <c r="S179" s="1213"/>
      <c r="T179" s="252"/>
      <c r="U179" s="252"/>
      <c r="V179" s="252"/>
      <c r="W179" s="252"/>
      <c r="X179" s="252"/>
      <c r="Y179" s="195"/>
      <c r="Z179" s="195"/>
      <c r="AA179" s="195"/>
      <c r="AB179" s="195"/>
      <c r="AC179" s="195"/>
    </row>
    <row r="180" spans="2:33" ht="16.5" customHeight="1" thickBot="1">
      <c r="B180" s="2079"/>
      <c r="C180" s="2487" t="s">
        <v>46</v>
      </c>
      <c r="D180" s="2487"/>
      <c r="E180" s="965"/>
      <c r="F180" s="965"/>
      <c r="G180" s="965"/>
      <c r="H180" s="2488">
        <f t="shared" ref="H180:O180" si="8">SUM(H172:H179)</f>
        <v>685</v>
      </c>
      <c r="I180" s="965">
        <f t="shared" si="8"/>
        <v>605</v>
      </c>
      <c r="J180" s="2653">
        <f t="shared" si="8"/>
        <v>248</v>
      </c>
      <c r="K180" s="2489">
        <f t="shared" si="8"/>
        <v>311</v>
      </c>
      <c r="L180" s="2490">
        <f t="shared" si="8"/>
        <v>321</v>
      </c>
      <c r="M180" s="2489">
        <f t="shared" si="8"/>
        <v>313</v>
      </c>
      <c r="N180" s="2489">
        <f t="shared" si="8"/>
        <v>74</v>
      </c>
      <c r="O180" s="2491">
        <f t="shared" si="8"/>
        <v>210</v>
      </c>
      <c r="P180" s="1895"/>
      <c r="Q180" s="1896"/>
      <c r="R180" s="1015"/>
      <c r="S180" s="1212"/>
      <c r="T180" s="252"/>
      <c r="U180" s="252"/>
      <c r="V180" s="252"/>
      <c r="W180" s="252"/>
      <c r="X180" s="252"/>
      <c r="Y180" s="195"/>
      <c r="Z180" s="195"/>
      <c r="AA180" s="195"/>
      <c r="AB180" s="195"/>
      <c r="AC180" s="195"/>
    </row>
    <row r="181" spans="2:33" ht="16.5" customHeight="1" thickBot="1">
      <c r="B181" s="3243"/>
      <c r="C181" s="3244" t="s">
        <v>47</v>
      </c>
      <c r="D181" s="3244"/>
      <c r="E181" s="3245"/>
      <c r="F181" s="3245"/>
      <c r="G181" s="3245"/>
      <c r="H181" s="3246">
        <f t="shared" ref="H181:O181" si="9">H51+H74+H100+H109+H128+H141+H149+H171+H180</f>
        <v>22031</v>
      </c>
      <c r="I181" s="3246">
        <f t="shared" si="9"/>
        <v>20934</v>
      </c>
      <c r="J181" s="3247">
        <f t="shared" si="9"/>
        <v>6932</v>
      </c>
      <c r="K181" s="3247">
        <f t="shared" si="9"/>
        <v>8218</v>
      </c>
      <c r="L181" s="3246">
        <f t="shared" si="9"/>
        <v>11196.6</v>
      </c>
      <c r="M181" s="3246">
        <f t="shared" si="9"/>
        <v>12061</v>
      </c>
      <c r="N181" s="3246">
        <f t="shared" si="9"/>
        <v>4455</v>
      </c>
      <c r="O181" s="3246">
        <f t="shared" si="9"/>
        <v>3310</v>
      </c>
      <c r="P181" s="3248"/>
      <c r="Q181" s="3249"/>
      <c r="R181" s="3250"/>
      <c r="S181" s="213"/>
      <c r="T181" s="252"/>
      <c r="U181" s="252"/>
      <c r="V181" s="252"/>
      <c r="W181" s="252"/>
      <c r="X181" s="252"/>
      <c r="Y181" s="195"/>
      <c r="Z181" s="195"/>
      <c r="AA181" s="195"/>
      <c r="AB181" s="195"/>
      <c r="AC181" s="195"/>
    </row>
    <row r="182" spans="2:33" ht="16.5" customHeight="1" thickBot="1">
      <c r="B182" s="2654"/>
      <c r="C182" s="2655" t="s">
        <v>308</v>
      </c>
      <c r="D182" s="2656"/>
      <c r="E182" s="2656"/>
      <c r="F182" s="2656"/>
      <c r="G182" s="2655"/>
      <c r="H182" s="2656"/>
      <c r="I182" s="2656"/>
      <c r="J182" s="2657">
        <f>J181*(1-V184)</f>
        <v>6748.9574105621805</v>
      </c>
      <c r="K182" s="2658">
        <f>K181*(1-V184)</f>
        <v>8001</v>
      </c>
      <c r="L182" s="2659">
        <f>L181*(1-V184)</f>
        <v>10900.948722316865</v>
      </c>
      <c r="M182" s="2660">
        <f>M181*(1-V184)</f>
        <v>11742.523850085179</v>
      </c>
      <c r="N182" s="2660"/>
      <c r="O182" s="2661"/>
      <c r="P182" s="1898"/>
      <c r="Q182" s="1897"/>
      <c r="R182" s="1015"/>
      <c r="S182" s="1214"/>
      <c r="T182" s="252"/>
      <c r="U182" s="252"/>
      <c r="V182" s="252"/>
      <c r="W182" s="252"/>
      <c r="X182" s="252"/>
      <c r="Y182" s="195"/>
      <c r="Z182" s="195"/>
      <c r="AA182" s="195"/>
      <c r="AB182" s="195"/>
      <c r="AC182" s="195"/>
    </row>
    <row r="183" spans="2:33" ht="22.5" customHeight="1" thickBot="1">
      <c r="B183" s="2662"/>
      <c r="C183" s="2656"/>
      <c r="D183" s="2656"/>
      <c r="E183" s="2656"/>
      <c r="F183" s="2656"/>
      <c r="G183" s="2655"/>
      <c r="H183" s="3707"/>
      <c r="I183" s="2655"/>
      <c r="J183" s="2655"/>
      <c r="K183" s="2655"/>
      <c r="L183" s="2655"/>
      <c r="M183" s="2663"/>
      <c r="N183" s="2655" t="s">
        <v>309</v>
      </c>
      <c r="O183" s="2655"/>
      <c r="P183" s="2655"/>
      <c r="Q183" s="2655"/>
      <c r="R183" s="2664"/>
      <c r="S183" s="1214"/>
      <c r="T183" s="252"/>
      <c r="U183" s="252"/>
      <c r="V183" s="252"/>
      <c r="W183" s="252"/>
      <c r="X183" s="252"/>
      <c r="Y183" s="231"/>
      <c r="Z183" s="231"/>
      <c r="AA183" s="195"/>
      <c r="AB183" s="195"/>
      <c r="AC183" s="195"/>
    </row>
    <row r="184" spans="2:33" ht="16.5" customHeight="1" thickBot="1">
      <c r="B184" s="2665" t="s">
        <v>310</v>
      </c>
      <c r="C184" s="2666"/>
      <c r="D184" s="2666">
        <f>K6</f>
        <v>43106</v>
      </c>
      <c r="E184" s="2656" t="s">
        <v>311</v>
      </c>
      <c r="F184" s="2656"/>
      <c r="G184" s="2667"/>
      <c r="H184" s="2655"/>
      <c r="I184" s="2668"/>
      <c r="J184" s="2655" t="str">
        <f>AG189</f>
        <v>Friday</v>
      </c>
      <c r="K184" s="2668" t="s">
        <v>312</v>
      </c>
      <c r="L184" s="2669"/>
      <c r="M184" s="2670"/>
      <c r="N184" s="2655"/>
      <c r="O184" s="2667"/>
      <c r="P184" s="2358"/>
      <c r="Q184" s="2358"/>
      <c r="R184" s="2359"/>
      <c r="S184" s="1214"/>
      <c r="T184" s="5233" t="s">
        <v>759</v>
      </c>
      <c r="U184" s="5234"/>
      <c r="V184" s="743">
        <f>1-P187/F188</f>
        <v>2.6405451448040851E-2</v>
      </c>
      <c r="W184" s="252"/>
      <c r="X184" s="252"/>
      <c r="Y184" s="961"/>
      <c r="Z184" s="231"/>
      <c r="AA184" s="195"/>
      <c r="AB184" s="195"/>
      <c r="AC184" s="195"/>
    </row>
    <row r="185" spans="2:33" ht="16.5" customHeight="1">
      <c r="B185" s="2671">
        <v>1</v>
      </c>
      <c r="C185" s="2672" t="s">
        <v>313</v>
      </c>
      <c r="D185" s="2673"/>
      <c r="E185" s="2674"/>
      <c r="F185" s="2675">
        <f>YesterdayGen!D40</f>
        <v>8218</v>
      </c>
      <c r="G185" s="2674" t="s">
        <v>314</v>
      </c>
      <c r="H185" s="2676">
        <f>YesterdayGen!E40</f>
        <v>0.8125</v>
      </c>
      <c r="I185" s="2677" t="s">
        <v>315</v>
      </c>
      <c r="J185" s="2678" t="s">
        <v>762</v>
      </c>
      <c r="K185" s="2678"/>
      <c r="L185" s="2678"/>
      <c r="M185" s="2674"/>
      <c r="N185" s="2679"/>
      <c r="O185" s="2680"/>
      <c r="P185" s="2681">
        <f>EvReport!L6</f>
        <v>0.8125</v>
      </c>
      <c r="Q185" s="2678" t="s">
        <v>316</v>
      </c>
      <c r="R185" s="2682"/>
      <c r="S185" s="261"/>
      <c r="T185" s="252"/>
      <c r="U185" s="252"/>
      <c r="V185" s="252"/>
      <c r="W185" s="252"/>
      <c r="X185" s="252"/>
      <c r="Y185" s="231"/>
      <c r="Z185" s="231"/>
      <c r="AA185" s="195"/>
      <c r="AB185" s="195"/>
      <c r="AC185" s="195"/>
    </row>
    <row r="186" spans="2:33" ht="16.5" customHeight="1">
      <c r="B186" s="2683">
        <v>2</v>
      </c>
      <c r="C186" s="2684" t="s">
        <v>317</v>
      </c>
      <c r="D186" s="2685"/>
      <c r="E186" s="2686"/>
      <c r="F186" s="2687">
        <f>YesterdayGen!D39</f>
        <v>5848</v>
      </c>
      <c r="G186" s="2686" t="s">
        <v>314</v>
      </c>
      <c r="H186" s="2688">
        <f>YesterdayGen!E39</f>
        <v>0.20833333333333401</v>
      </c>
      <c r="I186" s="2422" t="s">
        <v>315</v>
      </c>
      <c r="J186" s="2689" t="s">
        <v>318</v>
      </c>
      <c r="K186" s="2690"/>
      <c r="L186" s="2690"/>
      <c r="M186" s="2686"/>
      <c r="N186" s="2691"/>
      <c r="O186" s="2689" t="s">
        <v>18</v>
      </c>
      <c r="P186" s="2692">
        <f>EvReport!D182</f>
        <v>8218</v>
      </c>
      <c r="Q186" s="2689" t="s">
        <v>319</v>
      </c>
      <c r="R186" s="2693"/>
      <c r="S186" s="727"/>
      <c r="T186" s="5235" t="s">
        <v>769</v>
      </c>
      <c r="U186" s="5235"/>
      <c r="V186" s="744">
        <f>G204</f>
        <v>9200</v>
      </c>
      <c r="W186" s="252"/>
      <c r="X186" s="252"/>
      <c r="Y186" s="231"/>
      <c r="Z186" s="231"/>
      <c r="AA186" s="195"/>
      <c r="AB186" s="195"/>
      <c r="AC186" s="195"/>
    </row>
    <row r="187" spans="2:33" ht="16.5" customHeight="1">
      <c r="B187" s="2683">
        <v>3</v>
      </c>
      <c r="C187" s="2684" t="s">
        <v>1140</v>
      </c>
      <c r="D187" s="2685"/>
      <c r="E187" s="2686"/>
      <c r="F187" s="2687">
        <f>YesterdayGen!D41</f>
        <v>6932</v>
      </c>
      <c r="G187" s="2686" t="s">
        <v>314</v>
      </c>
      <c r="H187" s="2688">
        <f>YesterdayGen!E41</f>
        <v>0.5</v>
      </c>
      <c r="I187" s="2422" t="s">
        <v>315</v>
      </c>
      <c r="J187" s="2689" t="s">
        <v>763</v>
      </c>
      <c r="K187" s="2689"/>
      <c r="L187" s="2689"/>
      <c r="M187" s="2686"/>
      <c r="N187" s="2691"/>
      <c r="O187" s="2689"/>
      <c r="P187" s="2694">
        <f>K201</f>
        <v>8001</v>
      </c>
      <c r="Q187" s="2689" t="s">
        <v>319</v>
      </c>
      <c r="R187" s="2693"/>
      <c r="S187" s="727"/>
      <c r="T187" s="252"/>
      <c r="U187" s="252"/>
      <c r="V187" s="252"/>
      <c r="W187" s="252"/>
      <c r="X187" s="252"/>
      <c r="Y187" s="231"/>
      <c r="Z187" s="231"/>
      <c r="AA187" s="195"/>
      <c r="AB187" s="195"/>
      <c r="AC187" s="195"/>
    </row>
    <row r="188" spans="2:33" ht="16.5" customHeight="1" thickBot="1">
      <c r="B188" s="2695">
        <v>4</v>
      </c>
      <c r="C188" s="2956" t="s">
        <v>1141</v>
      </c>
      <c r="D188" s="2696"/>
      <c r="E188" s="2697"/>
      <c r="F188" s="2698">
        <f>YesterdayGen!D42</f>
        <v>8218</v>
      </c>
      <c r="G188" s="2697" t="s">
        <v>314</v>
      </c>
      <c r="H188" s="2699">
        <f>YesterdayGen!E42</f>
        <v>0.8125</v>
      </c>
      <c r="I188" s="2700" t="s">
        <v>315</v>
      </c>
      <c r="J188" s="2701" t="s">
        <v>764</v>
      </c>
      <c r="K188" s="2702"/>
      <c r="L188" s="2702"/>
      <c r="M188" s="2697"/>
      <c r="N188" s="2703"/>
      <c r="O188" s="2701"/>
      <c r="P188" s="2704">
        <f>N201</f>
        <v>0</v>
      </c>
      <c r="Q188" s="2701" t="s">
        <v>319</v>
      </c>
      <c r="R188" s="2705"/>
      <c r="S188" s="727"/>
      <c r="T188" s="5243" t="s">
        <v>758</v>
      </c>
      <c r="U188" s="5241" t="s">
        <v>774</v>
      </c>
      <c r="V188" s="5238" t="s">
        <v>775</v>
      </c>
      <c r="W188" s="5238" t="s">
        <v>770</v>
      </c>
      <c r="X188" s="5238" t="s">
        <v>778</v>
      </c>
      <c r="Y188" s="5240" t="s">
        <v>771</v>
      </c>
      <c r="Z188" s="5240" t="s">
        <v>772</v>
      </c>
      <c r="AA188" s="195"/>
      <c r="AB188" s="195"/>
      <c r="AC188" s="5231" t="s">
        <v>479</v>
      </c>
      <c r="AD188" s="5232"/>
      <c r="AE188" s="747" t="s">
        <v>748</v>
      </c>
      <c r="AF188" s="746">
        <f>WEEKDAY(E3)</f>
        <v>7</v>
      </c>
      <c r="AG188" s="746" t="str">
        <f>VLOOKUP(AF188,AC192:AD198,2)</f>
        <v>Saturday</v>
      </c>
    </row>
    <row r="189" spans="2:33" ht="16.5" customHeight="1" thickBot="1">
      <c r="B189" s="2706">
        <v>5</v>
      </c>
      <c r="C189" s="2955" t="s">
        <v>1142</v>
      </c>
      <c r="D189" s="1010"/>
      <c r="E189" s="2707">
        <f>D190+D191+H189+H190+H191+H211+H212</f>
        <v>166.23389600000002</v>
      </c>
      <c r="F189" s="2708" t="s">
        <v>320</v>
      </c>
      <c r="G189" s="2709" t="s">
        <v>838</v>
      </c>
      <c r="H189" s="2710">
        <f>YesterdayGen!GR31/1000000</f>
        <v>1.088598</v>
      </c>
      <c r="I189" s="2709" t="s">
        <v>320</v>
      </c>
      <c r="J189" s="2711" t="s">
        <v>321</v>
      </c>
      <c r="K189" s="2712"/>
      <c r="L189" s="2712"/>
      <c r="M189" s="2713"/>
      <c r="N189" s="2712"/>
      <c r="O189" s="2714"/>
      <c r="P189" s="2715" t="s">
        <v>322</v>
      </c>
      <c r="Q189" s="1899"/>
      <c r="R189" s="1897"/>
      <c r="S189" s="1900"/>
      <c r="T189" s="5243"/>
      <c r="U189" s="5242"/>
      <c r="V189" s="5239"/>
      <c r="W189" s="5239"/>
      <c r="X189" s="5239"/>
      <c r="Y189" s="5240"/>
      <c r="Z189" s="5240"/>
      <c r="AA189" s="195"/>
      <c r="AB189" s="195"/>
      <c r="AC189" s="5231" t="s">
        <v>101</v>
      </c>
      <c r="AD189" s="5232"/>
      <c r="AE189" s="747" t="s">
        <v>748</v>
      </c>
      <c r="AF189" s="746">
        <f>WEEKDAY(D184)</f>
        <v>6</v>
      </c>
      <c r="AG189" s="746" t="str">
        <f>VLOOKUP(AF189,AC192:AD198,2)</f>
        <v>Friday</v>
      </c>
    </row>
    <row r="190" spans="2:33" ht="16.5" customHeight="1">
      <c r="B190" s="2716"/>
      <c r="C190" s="2717" t="s">
        <v>1143</v>
      </c>
      <c r="D190" s="2718">
        <f>(YesterdayGen!GH31+YesterdayGen!GJ31)/1000000</f>
        <v>93.789595000000006</v>
      </c>
      <c r="E190" s="2719" t="s">
        <v>323</v>
      </c>
      <c r="F190" s="2720"/>
      <c r="G190" s="2721" t="s">
        <v>324</v>
      </c>
      <c r="H190" s="2722">
        <f>(YesterdayGen!GK31+YesterdayGen!GL31+YesterdayGen!GO31+YesterdayGen!GP31)/1000000</f>
        <v>48.182254</v>
      </c>
      <c r="I190" s="2597" t="s">
        <v>325</v>
      </c>
      <c r="J190" s="2723" t="s">
        <v>326</v>
      </c>
      <c r="K190" s="2719"/>
      <c r="L190" s="2719"/>
      <c r="M190" s="2719"/>
      <c r="N190" s="2719"/>
      <c r="O190" s="2724"/>
      <c r="P190" s="2725" t="s">
        <v>327</v>
      </c>
      <c r="Q190" s="2721"/>
      <c r="R190" s="2726"/>
      <c r="S190" s="727"/>
      <c r="T190" s="736" t="s">
        <v>10</v>
      </c>
      <c r="U190" s="737">
        <v>36.74</v>
      </c>
      <c r="V190" s="738">
        <v>140</v>
      </c>
      <c r="W190" s="733">
        <f>(V186-V199)*(1-V184)*U190/100+V190</f>
        <v>3341.4028023850087</v>
      </c>
      <c r="X190" s="734">
        <v>3697</v>
      </c>
      <c r="Y190" s="733">
        <f>IF(V186&gt;G205,W190-X190,0)</f>
        <v>0</v>
      </c>
      <c r="Z190" s="735">
        <f>Y190/X190</f>
        <v>0</v>
      </c>
      <c r="AA190" s="195"/>
      <c r="AB190" s="195"/>
      <c r="AC190" s="716"/>
      <c r="AD190" s="717"/>
      <c r="AE190" s="717"/>
      <c r="AF190" s="719"/>
      <c r="AG190" s="1006"/>
    </row>
    <row r="191" spans="2:33" ht="16.5" customHeight="1" thickBot="1">
      <c r="B191" s="2727"/>
      <c r="C191" s="2957" t="s">
        <v>1144</v>
      </c>
      <c r="D191" s="2728">
        <f>YesterdayGen!GM31/1000000</f>
        <v>6.6847000000000003</v>
      </c>
      <c r="E191" s="2729" t="s">
        <v>328</v>
      </c>
      <c r="F191" s="2730"/>
      <c r="G191" s="2731" t="s">
        <v>329</v>
      </c>
      <c r="H191" s="2728">
        <f>YesterdayGen!GN31/1000000</f>
        <v>1.8148</v>
      </c>
      <c r="I191" s="2732" t="s">
        <v>325</v>
      </c>
      <c r="J191" s="2733" t="s">
        <v>52</v>
      </c>
      <c r="K191" s="2734" t="s">
        <v>105</v>
      </c>
      <c r="L191" s="2735" t="s">
        <v>330</v>
      </c>
      <c r="M191" s="2736"/>
      <c r="N191" s="2737" t="s">
        <v>331</v>
      </c>
      <c r="O191" s="2738"/>
      <c r="P191" s="2739" t="s">
        <v>332</v>
      </c>
      <c r="Q191" s="2740"/>
      <c r="R191" s="2741" t="s">
        <v>331</v>
      </c>
      <c r="S191" s="727"/>
      <c r="T191" s="736" t="s">
        <v>16</v>
      </c>
      <c r="U191" s="737">
        <v>12.76</v>
      </c>
      <c r="V191" s="738">
        <v>20</v>
      </c>
      <c r="W191" s="733">
        <f>(V186-V199)*(1-V184)*U191/100+V191</f>
        <v>1131.8644463373084</v>
      </c>
      <c r="X191" s="734">
        <v>946</v>
      </c>
      <c r="Y191" s="733">
        <f>IF(V186&gt;G205,W191-X191,0)</f>
        <v>0</v>
      </c>
      <c r="Z191" s="735">
        <f t="shared" ref="Z191:Z198" si="10">Y191/X191</f>
        <v>0</v>
      </c>
      <c r="AA191" s="195"/>
      <c r="AB191" s="195"/>
      <c r="AC191" s="718"/>
      <c r="AD191" s="249"/>
      <c r="AE191" s="249"/>
      <c r="AF191" s="719"/>
      <c r="AG191" s="1006"/>
    </row>
    <row r="192" spans="2:33" ht="16.5" customHeight="1">
      <c r="B192" s="2742">
        <v>6</v>
      </c>
      <c r="C192" s="2958" t="s">
        <v>1145</v>
      </c>
      <c r="D192" s="2743"/>
      <c r="E192" s="2744" t="s">
        <v>856</v>
      </c>
      <c r="F192" s="2745"/>
      <c r="G192" s="2746"/>
      <c r="H192" s="2747">
        <f>N181</f>
        <v>4455</v>
      </c>
      <c r="I192" s="2748" t="s">
        <v>36</v>
      </c>
      <c r="J192" s="2749" t="s">
        <v>10</v>
      </c>
      <c r="K192" s="2750">
        <f>EvReport!H191</f>
        <v>2722</v>
      </c>
      <c r="L192" s="2751">
        <f>EvReport!E191</f>
        <v>2722</v>
      </c>
      <c r="M192" s="2750"/>
      <c r="N192" s="723">
        <f>EvReport!J191</f>
        <v>0</v>
      </c>
      <c r="O192" s="2752"/>
      <c r="P192" s="2753"/>
      <c r="Q192" s="2754"/>
      <c r="R192" s="2755"/>
      <c r="S192" s="261"/>
      <c r="T192" s="736" t="s">
        <v>5</v>
      </c>
      <c r="U192" s="737">
        <v>11.48</v>
      </c>
      <c r="V192" s="738">
        <v>13</v>
      </c>
      <c r="W192" s="733">
        <f>(V186-V199)*(1-V184)*U192/100+V192</f>
        <v>1013.329454855196</v>
      </c>
      <c r="X192" s="734">
        <v>846</v>
      </c>
      <c r="Y192" s="733">
        <f>IF(V186&gt;G205,W192-X192,0)</f>
        <v>0</v>
      </c>
      <c r="Z192" s="735">
        <f t="shared" si="10"/>
        <v>0</v>
      </c>
      <c r="AA192" s="195"/>
      <c r="AB192" s="195"/>
      <c r="AC192" s="1005">
        <v>1</v>
      </c>
      <c r="AD192" s="249" t="s">
        <v>302</v>
      </c>
      <c r="AE192" s="249"/>
      <c r="AF192" s="720"/>
      <c r="AG192" s="1006"/>
    </row>
    <row r="193" spans="2:33" ht="16.5" customHeight="1">
      <c r="B193" s="2756"/>
      <c r="C193" s="2757"/>
      <c r="D193" s="2758"/>
      <c r="E193" s="2759" t="s">
        <v>855</v>
      </c>
      <c r="F193" s="2686"/>
      <c r="G193" s="2760"/>
      <c r="H193" s="2761">
        <f>O181</f>
        <v>3310</v>
      </c>
      <c r="I193" s="2762" t="s">
        <v>36</v>
      </c>
      <c r="J193" s="2749" t="s">
        <v>333</v>
      </c>
      <c r="K193" s="2750">
        <f>EvReport!H192</f>
        <v>842</v>
      </c>
      <c r="L193" s="2751">
        <f>EvReport!E192</f>
        <v>842</v>
      </c>
      <c r="M193" s="2750"/>
      <c r="N193" s="723">
        <f>EvReport!J192</f>
        <v>0</v>
      </c>
      <c r="O193" s="2752"/>
      <c r="P193" s="2763">
        <v>0.75</v>
      </c>
      <c r="Q193" s="2764"/>
      <c r="R193" s="2765">
        <f>YesterdayGen!GS22</f>
        <v>0</v>
      </c>
      <c r="S193" s="729"/>
      <c r="T193" s="736" t="s">
        <v>55</v>
      </c>
      <c r="U193" s="737">
        <v>10.39</v>
      </c>
      <c r="V193" s="738">
        <v>10</v>
      </c>
      <c r="W193" s="733">
        <f>(V186-V199)*(1-V184)*U193/100+V193</f>
        <v>915.35043867120953</v>
      </c>
      <c r="X193" s="734">
        <v>764</v>
      </c>
      <c r="Y193" s="733">
        <f>IF(V186&gt;G205,W193-X193,0)</f>
        <v>0</v>
      </c>
      <c r="Z193" s="735">
        <f t="shared" si="10"/>
        <v>0</v>
      </c>
      <c r="AA193" s="195"/>
      <c r="AB193" s="195"/>
      <c r="AC193" s="1005">
        <v>2</v>
      </c>
      <c r="AD193" s="249" t="s">
        <v>303</v>
      </c>
      <c r="AE193" s="249"/>
      <c r="AF193" s="249"/>
      <c r="AG193" s="1006"/>
    </row>
    <row r="194" spans="2:33" ht="16.5" customHeight="1" thickBot="1">
      <c r="B194" s="2766"/>
      <c r="C194" s="2767"/>
      <c r="D194" s="2768"/>
      <c r="E194" s="2769" t="s">
        <v>768</v>
      </c>
      <c r="F194" s="2770"/>
      <c r="G194" s="2771"/>
      <c r="H194" s="2772">
        <f>H192+H193</f>
        <v>7765</v>
      </c>
      <c r="I194" s="2773" t="s">
        <v>36</v>
      </c>
      <c r="J194" s="2749" t="s">
        <v>334</v>
      </c>
      <c r="K194" s="2750">
        <f>EvReport!H193</f>
        <v>1015</v>
      </c>
      <c r="L194" s="2751">
        <f>EvReport!E193</f>
        <v>1015</v>
      </c>
      <c r="M194" s="2750"/>
      <c r="N194" s="723">
        <f>EvReport!J193</f>
        <v>0</v>
      </c>
      <c r="O194" s="2752"/>
      <c r="P194" s="2763">
        <v>0.77083333333333304</v>
      </c>
      <c r="Q194" s="2764"/>
      <c r="R194" s="2765">
        <f>YesterdayGen!GS23</f>
        <v>0</v>
      </c>
      <c r="S194" s="729"/>
      <c r="T194" s="736" t="s">
        <v>9</v>
      </c>
      <c r="U194" s="737">
        <v>9.3800000000000008</v>
      </c>
      <c r="V194" s="738">
        <v>10</v>
      </c>
      <c r="W194" s="733">
        <f>(V186-V199)*(1-V184)*U194/100+V194</f>
        <v>827.34235945485534</v>
      </c>
      <c r="X194" s="734">
        <v>690</v>
      </c>
      <c r="Y194" s="733">
        <f>IF(V186&gt;G205,W194-X194,0)</f>
        <v>0</v>
      </c>
      <c r="Z194" s="735">
        <f t="shared" si="10"/>
        <v>0</v>
      </c>
      <c r="AA194" s="195"/>
      <c r="AB194" s="195"/>
      <c r="AC194" s="1005">
        <v>3</v>
      </c>
      <c r="AD194" s="249" t="s">
        <v>304</v>
      </c>
      <c r="AE194" s="249"/>
      <c r="AF194" s="249"/>
      <c r="AG194" s="1006"/>
    </row>
    <row r="195" spans="2:33" ht="16.5" customHeight="1">
      <c r="B195" s="2774">
        <v>7</v>
      </c>
      <c r="C195" s="2775" t="s">
        <v>335</v>
      </c>
      <c r="D195" s="2776"/>
      <c r="E195" s="2777"/>
      <c r="F195" s="3962">
        <v>739.35</v>
      </c>
      <c r="G195" s="2778" t="s">
        <v>336</v>
      </c>
      <c r="H195" s="2779"/>
      <c r="I195" s="2780"/>
      <c r="J195" s="2749" t="s">
        <v>337</v>
      </c>
      <c r="K195" s="2750">
        <f>EvReport!H194</f>
        <v>858</v>
      </c>
      <c r="L195" s="2751">
        <f>EvReport!E194</f>
        <v>858</v>
      </c>
      <c r="M195" s="2750"/>
      <c r="N195" s="723">
        <f>EvReport!J194</f>
        <v>0</v>
      </c>
      <c r="O195" s="2752"/>
      <c r="P195" s="2763">
        <v>0.79166666666666696</v>
      </c>
      <c r="Q195" s="2764"/>
      <c r="R195" s="2765">
        <f>YesterdayGen!GS24</f>
        <v>0</v>
      </c>
      <c r="S195" s="729"/>
      <c r="T195" s="736" t="s">
        <v>346</v>
      </c>
      <c r="U195" s="737">
        <v>7.57</v>
      </c>
      <c r="V195" s="738">
        <v>8</v>
      </c>
      <c r="W195" s="733">
        <f>(V186-V199)*(1-V184)*U195/100+V195</f>
        <v>667.62491056218062</v>
      </c>
      <c r="X195" s="734">
        <v>557</v>
      </c>
      <c r="Y195" s="733">
        <f>IF(V186&gt;G205,W195-X195,0)</f>
        <v>0</v>
      </c>
      <c r="Z195" s="735">
        <f t="shared" si="10"/>
        <v>0</v>
      </c>
      <c r="AA195" s="195"/>
      <c r="AB195" s="195"/>
      <c r="AC195" s="1005">
        <v>4</v>
      </c>
      <c r="AD195" s="249" t="s">
        <v>747</v>
      </c>
      <c r="AE195" s="249"/>
      <c r="AF195" s="249"/>
      <c r="AG195" s="1006"/>
    </row>
    <row r="196" spans="2:33" ht="16.5" customHeight="1">
      <c r="B196" s="2781">
        <v>8</v>
      </c>
      <c r="C196" s="2684" t="s">
        <v>338</v>
      </c>
      <c r="D196" s="224" t="s">
        <v>339</v>
      </c>
      <c r="E196" s="2423" t="s">
        <v>340</v>
      </c>
      <c r="F196" s="2782">
        <f>YesterdayGen!GH32+YesterdayGen!GJ32</f>
        <v>95679992.172000006</v>
      </c>
      <c r="G196" s="2783" t="s">
        <v>341</v>
      </c>
      <c r="H196" s="2423" t="s">
        <v>340</v>
      </c>
      <c r="I196" s="2784">
        <f>YesterdayGen!GK32+YesterdayGen!GL32+YesterdayGen!GO32+YesterdayGen!GP32</f>
        <v>323219477.30999994</v>
      </c>
      <c r="J196" s="2749" t="s">
        <v>9</v>
      </c>
      <c r="K196" s="2750">
        <f>EvReport!H195</f>
        <v>700</v>
      </c>
      <c r="L196" s="2751">
        <f>EvReport!E195</f>
        <v>700</v>
      </c>
      <c r="M196" s="2750"/>
      <c r="N196" s="723">
        <f>EvReport!J195</f>
        <v>0</v>
      </c>
      <c r="O196" s="2752"/>
      <c r="P196" s="2763">
        <v>0.8125</v>
      </c>
      <c r="Q196" s="2764"/>
      <c r="R196" s="2765">
        <f>YesterdayGen!GS25</f>
        <v>0</v>
      </c>
      <c r="S196" s="729"/>
      <c r="T196" s="736" t="s">
        <v>4</v>
      </c>
      <c r="U196" s="737">
        <v>3.89</v>
      </c>
      <c r="V196" s="738">
        <v>40</v>
      </c>
      <c r="W196" s="733">
        <f>(V186-V199)*(1-V184)*U196/100+V196</f>
        <v>378.96181005110731</v>
      </c>
      <c r="X196" s="734">
        <v>322</v>
      </c>
      <c r="Y196" s="733">
        <f>IF(V186&gt;G205,W196-X196,0)</f>
        <v>0</v>
      </c>
      <c r="Z196" s="735">
        <f t="shared" si="10"/>
        <v>0</v>
      </c>
      <c r="AA196" s="195"/>
      <c r="AB196" s="195"/>
      <c r="AC196" s="1005">
        <v>5</v>
      </c>
      <c r="AD196" s="249" t="s">
        <v>305</v>
      </c>
      <c r="AE196" s="249"/>
      <c r="AF196" s="249"/>
      <c r="AG196" s="1006"/>
    </row>
    <row r="197" spans="2:33" ht="16.5" customHeight="1">
      <c r="B197" s="2781"/>
      <c r="C197" s="2684"/>
      <c r="D197" s="224" t="s">
        <v>342</v>
      </c>
      <c r="F197" s="2785">
        <f>YesterdayGen!GM32</f>
        <v>34335874</v>
      </c>
      <c r="G197" s="2783" t="s">
        <v>7</v>
      </c>
      <c r="H197" s="228" t="s">
        <v>340</v>
      </c>
      <c r="I197" s="2786">
        <f>Forecast!F196+Forecast!I196+Forecast!F197</f>
        <v>453235343.48199993</v>
      </c>
      <c r="J197" s="2749" t="s">
        <v>106</v>
      </c>
      <c r="K197" s="2750">
        <f>EvReport!H196</f>
        <v>742</v>
      </c>
      <c r="L197" s="2751">
        <f>EvReport!E196</f>
        <v>742</v>
      </c>
      <c r="M197" s="2750"/>
      <c r="N197" s="723">
        <f>EvReport!J196</f>
        <v>0</v>
      </c>
      <c r="O197" s="2752"/>
      <c r="P197" s="2763">
        <v>0.83333333333333304</v>
      </c>
      <c r="Q197" s="2764"/>
      <c r="R197" s="2765">
        <f>YesterdayGen!GS26</f>
        <v>0</v>
      </c>
      <c r="S197" s="729"/>
      <c r="T197" s="736" t="s">
        <v>56</v>
      </c>
      <c r="U197" s="737">
        <v>1.94</v>
      </c>
      <c r="V197" s="738">
        <v>3</v>
      </c>
      <c r="W197" s="733">
        <f>(V186-V199)*(1-V184)*U197/100+V197</f>
        <v>172.04522146507665</v>
      </c>
      <c r="X197" s="734">
        <v>144</v>
      </c>
      <c r="Y197" s="733">
        <f>IF(V186&gt;G205,W197-X197,0)</f>
        <v>0</v>
      </c>
      <c r="Z197" s="735">
        <f t="shared" si="10"/>
        <v>0</v>
      </c>
      <c r="AA197" s="195"/>
      <c r="AB197" s="195"/>
      <c r="AC197" s="1005">
        <v>6</v>
      </c>
      <c r="AD197" s="249" t="s">
        <v>306</v>
      </c>
      <c r="AE197" s="249"/>
      <c r="AF197" s="249"/>
      <c r="AG197" s="1006"/>
    </row>
    <row r="198" spans="2:33" ht="16.5" customHeight="1">
      <c r="B198" s="2787">
        <v>9</v>
      </c>
      <c r="C198" s="2673" t="s">
        <v>927</v>
      </c>
      <c r="D198" s="2673"/>
      <c r="E198" s="2423" t="s">
        <v>340</v>
      </c>
      <c r="F198" s="2719"/>
      <c r="G198" s="2674" t="s">
        <v>343</v>
      </c>
      <c r="H198" s="2788">
        <f>EWIC!C37/1000000</f>
        <v>0.42899999999996996</v>
      </c>
      <c r="I198" s="2789" t="s">
        <v>344</v>
      </c>
      <c r="J198" s="2749" t="s">
        <v>345</v>
      </c>
      <c r="K198" s="2750">
        <f>EvReport!H197</f>
        <v>313</v>
      </c>
      <c r="L198" s="2751">
        <f>EvReport!E197</f>
        <v>313</v>
      </c>
      <c r="M198" s="2750"/>
      <c r="N198" s="723">
        <f>EvReport!J197</f>
        <v>0</v>
      </c>
      <c r="O198" s="2752"/>
      <c r="P198" s="2763">
        <v>0.875</v>
      </c>
      <c r="Q198" s="2764"/>
      <c r="R198" s="2765">
        <f>YesterdayGen!GS27</f>
        <v>0</v>
      </c>
      <c r="S198" s="729"/>
      <c r="T198" s="736" t="s">
        <v>6</v>
      </c>
      <c r="U198" s="737">
        <v>5.84</v>
      </c>
      <c r="V198" s="738">
        <v>6</v>
      </c>
      <c r="W198" s="733">
        <f>(V186-V199)*(1-V184)*U198/100+V198</f>
        <v>514.87839863713793</v>
      </c>
      <c r="X198" s="734">
        <v>430</v>
      </c>
      <c r="Y198" s="733">
        <f>IF(V186&gt;G205,W198-X198,0)</f>
        <v>0</v>
      </c>
      <c r="Z198" s="735">
        <f t="shared" si="10"/>
        <v>0</v>
      </c>
      <c r="AA198" s="195"/>
      <c r="AB198" s="195"/>
      <c r="AC198" s="1005">
        <v>7</v>
      </c>
      <c r="AD198" s="249" t="s">
        <v>307</v>
      </c>
      <c r="AE198" s="249"/>
      <c r="AF198" s="249"/>
      <c r="AG198" s="1006"/>
    </row>
    <row r="199" spans="2:33" ht="16.5" customHeight="1">
      <c r="B199" s="2781"/>
      <c r="C199" s="2684" t="s">
        <v>347</v>
      </c>
      <c r="D199" s="2685"/>
      <c r="E199" s="2686"/>
      <c r="F199" s="2790">
        <f>EWIC!G18</f>
        <v>-56</v>
      </c>
      <c r="G199" s="2685" t="s">
        <v>928</v>
      </c>
      <c r="H199" s="2791">
        <f>EWIC!G19</f>
        <v>0.8125</v>
      </c>
      <c r="I199" s="2792" t="s">
        <v>315</v>
      </c>
      <c r="J199" s="2749" t="s">
        <v>349</v>
      </c>
      <c r="K199" s="2750">
        <f>EvReport!H198</f>
        <v>234</v>
      </c>
      <c r="L199" s="2751">
        <f>EvReport!E198</f>
        <v>234</v>
      </c>
      <c r="M199" s="2750"/>
      <c r="N199" s="723">
        <f>EvReport!J198</f>
        <v>0</v>
      </c>
      <c r="O199" s="2752"/>
      <c r="P199" s="2763">
        <v>0.91666666666666696</v>
      </c>
      <c r="Q199" s="2764"/>
      <c r="R199" s="2765">
        <f>YesterdayGen!GS28</f>
        <v>0</v>
      </c>
      <c r="S199" s="729"/>
      <c r="T199" s="739" t="s">
        <v>760</v>
      </c>
      <c r="U199" s="740">
        <f>SUM(U190:U198)</f>
        <v>99.99</v>
      </c>
      <c r="V199" s="741">
        <f>SUM(V190:V198)</f>
        <v>250</v>
      </c>
      <c r="W199" s="741">
        <f>SUM(W190:W198)</f>
        <v>8962.7998424190791</v>
      </c>
      <c r="X199" s="741">
        <f>SUM(X190:X198)</f>
        <v>8396</v>
      </c>
      <c r="Y199" s="741">
        <f>IF(SUM(Y190:Y198) &lt;2,0,SUM(Y190:Y198))</f>
        <v>0</v>
      </c>
      <c r="Z199" s="742">
        <f>Y199/X199</f>
        <v>0</v>
      </c>
      <c r="AA199" s="195"/>
      <c r="AB199" s="195"/>
      <c r="AC199" s="721"/>
      <c r="AD199" s="722"/>
      <c r="AE199" s="722"/>
      <c r="AF199" s="722"/>
      <c r="AG199" s="1007"/>
    </row>
    <row r="200" spans="2:33" ht="16.5" customHeight="1">
      <c r="B200" s="2793"/>
      <c r="C200" s="2794" t="s">
        <v>350</v>
      </c>
      <c r="D200" s="2795"/>
      <c r="E200" s="2796"/>
      <c r="F200" s="2797">
        <f>EWIC!G14</f>
        <v>-276</v>
      </c>
      <c r="G200" s="2696" t="s">
        <v>348</v>
      </c>
      <c r="H200" s="2798">
        <f>EWIC!G15</f>
        <v>0.33333333333333331</v>
      </c>
      <c r="I200" s="2799" t="s">
        <v>315</v>
      </c>
      <c r="J200" s="2749" t="s">
        <v>351</v>
      </c>
      <c r="K200" s="2750">
        <f>EvReport!H199</f>
        <v>575</v>
      </c>
      <c r="L200" s="2751">
        <f>EvReport!E199</f>
        <v>575</v>
      </c>
      <c r="M200" s="2750"/>
      <c r="N200" s="723">
        <f>EvReport!J199</f>
        <v>0</v>
      </c>
      <c r="O200" s="2752"/>
      <c r="P200" s="2763">
        <v>0.95833333333333304</v>
      </c>
      <c r="Q200" s="2800"/>
      <c r="R200" s="2765">
        <f>YesterdayGen!GS29</f>
        <v>0</v>
      </c>
      <c r="S200" s="729"/>
      <c r="T200" s="860" t="s">
        <v>761</v>
      </c>
      <c r="U200" s="861"/>
      <c r="V200" s="863">
        <f>(G204-G205)*(1-V184)</f>
        <v>-2785.4540034071551</v>
      </c>
      <c r="W200" s="862" t="s">
        <v>36</v>
      </c>
      <c r="X200" s="770" t="s">
        <v>787</v>
      </c>
      <c r="Y200" s="864">
        <f>V200-Y199</f>
        <v>-2785.4540034071551</v>
      </c>
      <c r="Z200" s="745" t="s">
        <v>36</v>
      </c>
      <c r="AA200" s="195"/>
      <c r="AB200" s="195"/>
      <c r="AC200" s="195"/>
    </row>
    <row r="201" spans="2:33" ht="16.5" customHeight="1" thickBot="1">
      <c r="B201" s="2801">
        <v>10</v>
      </c>
      <c r="C201" s="2802" t="s">
        <v>352</v>
      </c>
      <c r="D201" s="2803"/>
      <c r="E201" s="2729"/>
      <c r="F201" s="2804"/>
      <c r="G201" s="4518" t="s">
        <v>1718</v>
      </c>
      <c r="H201" s="2803"/>
      <c r="I201" s="2805"/>
      <c r="J201" s="2806" t="s">
        <v>12</v>
      </c>
      <c r="K201" s="2807">
        <f>SUM(K192:K200)</f>
        <v>8001</v>
      </c>
      <c r="L201" s="2807">
        <f>SUM(L192:L200)</f>
        <v>8001</v>
      </c>
      <c r="M201" s="2807"/>
      <c r="N201" s="2807">
        <f>SUM(N192:N200)</f>
        <v>0</v>
      </c>
      <c r="O201" s="2808"/>
      <c r="P201" s="2809"/>
      <c r="Q201" s="2810"/>
      <c r="R201" s="2811"/>
      <c r="S201" s="4554"/>
      <c r="T201" s="5236"/>
      <c r="U201" s="5236"/>
      <c r="V201" s="5236"/>
      <c r="W201" s="5236"/>
      <c r="X201" s="5236"/>
      <c r="Y201" s="5237"/>
      <c r="Z201" s="5237"/>
      <c r="AA201" s="195"/>
      <c r="AB201" s="195"/>
      <c r="AC201" s="195"/>
    </row>
    <row r="202" spans="2:33" ht="16.5" customHeight="1" thickBot="1">
      <c r="B202" s="2812" t="s">
        <v>353</v>
      </c>
      <c r="C202" s="2813"/>
      <c r="D202" s="2813">
        <f>L6</f>
        <v>43107</v>
      </c>
      <c r="E202" s="2713" t="s">
        <v>354</v>
      </c>
      <c r="F202" s="2814" t="s">
        <v>169</v>
      </c>
      <c r="G202" s="2713"/>
      <c r="H202" s="2713"/>
      <c r="I202" s="2815" t="str">
        <f>G3</f>
        <v>Saturday</v>
      </c>
      <c r="J202" s="2713"/>
      <c r="K202" s="2814"/>
      <c r="L202" s="2814" t="s">
        <v>355</v>
      </c>
      <c r="M202" s="2816"/>
      <c r="N202" s="2816"/>
      <c r="O202" s="4234" t="s">
        <v>1719</v>
      </c>
      <c r="P202" s="2817"/>
      <c r="Q202" s="2817"/>
      <c r="R202" s="2818"/>
      <c r="S202" s="730"/>
      <c r="T202" s="732"/>
      <c r="U202" s="726"/>
      <c r="V202" s="731"/>
      <c r="W202" s="731"/>
      <c r="X202" s="252"/>
      <c r="Y202" s="231"/>
      <c r="Z202" s="231"/>
      <c r="AA202" s="195"/>
      <c r="AB202" s="195"/>
      <c r="AC202" s="195"/>
    </row>
    <row r="203" spans="2:33" ht="16.5" customHeight="1" thickBot="1">
      <c r="B203" s="2819" t="s">
        <v>356</v>
      </c>
      <c r="C203" s="2820"/>
      <c r="D203" s="2820"/>
      <c r="E203" s="2820"/>
      <c r="F203" s="2820"/>
      <c r="G203" s="2656"/>
      <c r="H203" s="2656"/>
      <c r="I203" s="2821"/>
      <c r="J203" s="2656"/>
      <c r="K203" s="2822"/>
      <c r="L203" s="2823"/>
      <c r="M203" s="2823" t="s">
        <v>357</v>
      </c>
      <c r="N203" s="2656"/>
      <c r="O203" s="2656"/>
      <c r="P203" s="2824"/>
      <c r="Q203" s="2824"/>
      <c r="R203" s="2825"/>
      <c r="S203" s="728"/>
      <c r="T203" s="258"/>
      <c r="U203" s="726"/>
      <c r="V203" s="251"/>
      <c r="W203" s="251"/>
      <c r="X203" s="252"/>
      <c r="Y203" s="231"/>
      <c r="Z203" s="231"/>
      <c r="AA203" s="195"/>
      <c r="AB203" s="195"/>
      <c r="AC203" s="195"/>
    </row>
    <row r="204" spans="2:33" ht="16.5" customHeight="1">
      <c r="B204" s="2826">
        <v>1</v>
      </c>
      <c r="C204" s="2674" t="s">
        <v>358</v>
      </c>
      <c r="D204" s="2418"/>
      <c r="E204" s="2827"/>
      <c r="F204" s="2828"/>
      <c r="G204" s="2829">
        <v>9200</v>
      </c>
      <c r="H204" s="2827" t="s">
        <v>1163</v>
      </c>
      <c r="I204" s="1906" t="s">
        <v>18</v>
      </c>
      <c r="J204" s="2830" t="s">
        <v>359</v>
      </c>
      <c r="K204" s="2831"/>
      <c r="L204" s="2832"/>
      <c r="M204" s="2833"/>
      <c r="N204" s="2832"/>
      <c r="O204" s="2834">
        <f>IF(SUM(J209:R209)&lt;2,0,SUM(J209:R209))</f>
        <v>0</v>
      </c>
      <c r="P204" s="2835" t="s">
        <v>36</v>
      </c>
      <c r="Q204" s="2835"/>
      <c r="R204" s="2836"/>
      <c r="S204" s="261"/>
      <c r="T204" s="258"/>
      <c r="U204" s="726"/>
      <c r="V204" s="251"/>
      <c r="W204" s="251"/>
      <c r="X204" s="252"/>
      <c r="Y204" s="231"/>
      <c r="Z204" s="231"/>
      <c r="AA204" s="195"/>
      <c r="AB204" s="195"/>
      <c r="AC204" s="195"/>
    </row>
    <row r="205" spans="2:33" ht="16.5" customHeight="1">
      <c r="B205" s="2837">
        <v>2</v>
      </c>
      <c r="C205" s="2686" t="s">
        <v>360</v>
      </c>
      <c r="D205" s="2423"/>
      <c r="E205" s="2783"/>
      <c r="F205" s="2838"/>
      <c r="G205" s="2839">
        <f>M181</f>
        <v>12061</v>
      </c>
      <c r="H205" s="2783" t="s">
        <v>361</v>
      </c>
      <c r="I205" s="1908"/>
      <c r="J205" s="2840" t="s">
        <v>362</v>
      </c>
      <c r="K205" s="2841"/>
      <c r="L205" s="2842"/>
      <c r="M205" s="2840"/>
      <c r="N205" s="2840"/>
      <c r="O205" s="2843"/>
      <c r="P205" s="2843"/>
      <c r="Q205" s="2843"/>
      <c r="R205" s="2844"/>
      <c r="S205" s="261"/>
      <c r="T205" s="258"/>
      <c r="U205" s="2"/>
      <c r="V205" s="251"/>
      <c r="W205" s="251"/>
      <c r="X205" s="252"/>
      <c r="Y205" s="231"/>
      <c r="Z205" s="231"/>
      <c r="AA205" s="195"/>
      <c r="AB205" s="195"/>
      <c r="AC205" s="195"/>
    </row>
    <row r="206" spans="2:33" ht="16.5" customHeight="1" thickBot="1">
      <c r="B206" s="2837">
        <v>3</v>
      </c>
      <c r="C206" s="2674" t="s">
        <v>363</v>
      </c>
      <c r="D206" s="2418"/>
      <c r="E206" s="2827"/>
      <c r="F206" s="2845"/>
      <c r="G206" s="2846">
        <v>7300</v>
      </c>
      <c r="H206" s="2783" t="s">
        <v>361</v>
      </c>
      <c r="I206" s="1908"/>
      <c r="J206" s="2847"/>
      <c r="K206" s="2848"/>
      <c r="L206" s="2849"/>
      <c r="M206" s="2847"/>
      <c r="N206" s="2847"/>
      <c r="O206" s="2850"/>
      <c r="P206" s="2850"/>
      <c r="Q206" s="2850"/>
      <c r="R206" s="2851"/>
      <c r="S206" s="261"/>
      <c r="T206" s="258"/>
      <c r="U206" s="2"/>
      <c r="V206" s="252"/>
      <c r="W206" s="252"/>
      <c r="X206" s="252"/>
      <c r="Y206" s="231"/>
      <c r="Z206" s="231"/>
      <c r="AA206" s="195"/>
      <c r="AB206" s="195"/>
      <c r="AC206" s="195"/>
    </row>
    <row r="207" spans="2:33" ht="16.5" customHeight="1">
      <c r="B207" s="2837">
        <v>4</v>
      </c>
      <c r="C207" s="2686" t="s">
        <v>364</v>
      </c>
      <c r="D207" s="2852"/>
      <c r="E207" s="2783"/>
      <c r="F207" s="2853"/>
      <c r="G207" s="2839">
        <f>IF((G205-G204) &gt; 0,(G205-G204),"-")</f>
        <v>2861</v>
      </c>
      <c r="H207" s="2783" t="s">
        <v>361</v>
      </c>
      <c r="I207" s="2440"/>
      <c r="J207" s="2854" t="s">
        <v>10</v>
      </c>
      <c r="K207" s="2855" t="s">
        <v>333</v>
      </c>
      <c r="L207" s="2856" t="s">
        <v>334</v>
      </c>
      <c r="M207" s="2857" t="s">
        <v>337</v>
      </c>
      <c r="N207" s="2858" t="s">
        <v>9</v>
      </c>
      <c r="O207" s="2858" t="s">
        <v>106</v>
      </c>
      <c r="P207" s="2859" t="s">
        <v>345</v>
      </c>
      <c r="Q207" s="2859" t="s">
        <v>349</v>
      </c>
      <c r="R207" s="2860" t="s">
        <v>351</v>
      </c>
      <c r="S207" s="262"/>
      <c r="T207" s="264"/>
      <c r="U207" s="265"/>
      <c r="V207" s="266"/>
      <c r="W207" s="266"/>
      <c r="X207" s="266"/>
      <c r="Y207" s="231"/>
      <c r="Z207" s="231"/>
      <c r="AA207" s="195"/>
      <c r="AB207" s="195"/>
      <c r="AC207" s="195"/>
    </row>
    <row r="208" spans="2:33" ht="16.5" customHeight="1">
      <c r="B208" s="2861">
        <v>5</v>
      </c>
      <c r="C208" s="2697" t="s">
        <v>365</v>
      </c>
      <c r="D208" s="2455"/>
      <c r="E208" s="2783"/>
      <c r="F208" s="2845"/>
      <c r="G208" s="2839">
        <f>(G204*YesterdayGen!D45*1000*24)/1000000</f>
        <v>186.09781494280844</v>
      </c>
      <c r="H208" s="2783" t="s">
        <v>366</v>
      </c>
      <c r="I208" s="2417"/>
      <c r="J208" s="2862" t="s">
        <v>36</v>
      </c>
      <c r="K208" s="2863" t="s">
        <v>36</v>
      </c>
      <c r="L208" s="2863" t="s">
        <v>36</v>
      </c>
      <c r="M208" s="2863" t="s">
        <v>36</v>
      </c>
      <c r="N208" s="2863" t="s">
        <v>36</v>
      </c>
      <c r="O208" s="2863" t="s">
        <v>36</v>
      </c>
      <c r="P208" s="2863" t="s">
        <v>36</v>
      </c>
      <c r="Q208" s="2863" t="s">
        <v>36</v>
      </c>
      <c r="R208" s="2864" t="s">
        <v>36</v>
      </c>
      <c r="S208" s="262"/>
      <c r="T208" s="264"/>
      <c r="U208" s="265"/>
      <c r="V208" s="266"/>
      <c r="W208" s="266"/>
      <c r="X208" s="266"/>
      <c r="Y208" s="231"/>
      <c r="Z208" s="231"/>
      <c r="AA208" s="195"/>
      <c r="AB208" s="195"/>
      <c r="AC208" s="195"/>
    </row>
    <row r="209" spans="2:29" ht="16.5" customHeight="1" thickBot="1">
      <c r="B209" s="2865">
        <v>6</v>
      </c>
      <c r="C209" s="2770" t="s">
        <v>367</v>
      </c>
      <c r="D209" s="2866"/>
      <c r="E209" s="2867"/>
      <c r="F209" s="2868"/>
      <c r="G209" s="2869">
        <f>Master!D48</f>
        <v>5475</v>
      </c>
      <c r="H209" s="2867" t="s">
        <v>314</v>
      </c>
      <c r="I209" s="2870">
        <f>Master!E48</f>
        <v>0.20833333333333401</v>
      </c>
      <c r="J209" s="2871">
        <f>Y190</f>
        <v>0</v>
      </c>
      <c r="K209" s="2872">
        <f>Y191</f>
        <v>0</v>
      </c>
      <c r="L209" s="2872">
        <f>Y192</f>
        <v>0</v>
      </c>
      <c r="M209" s="2872">
        <f>Y193</f>
        <v>0</v>
      </c>
      <c r="N209" s="2872">
        <f>Y194</f>
        <v>0</v>
      </c>
      <c r="O209" s="2872">
        <f>Y195</f>
        <v>0</v>
      </c>
      <c r="P209" s="2872">
        <f>Y196</f>
        <v>0</v>
      </c>
      <c r="Q209" s="2872">
        <f>Y197</f>
        <v>0</v>
      </c>
      <c r="R209" s="2873">
        <f>Y198</f>
        <v>0</v>
      </c>
      <c r="S209" s="267"/>
      <c r="T209" s="264"/>
      <c r="U209" s="265"/>
      <c r="V209" s="266"/>
      <c r="W209" s="266"/>
      <c r="X209" s="266"/>
      <c r="Y209" s="195"/>
      <c r="Z209" s="195"/>
      <c r="AA209" s="195"/>
      <c r="AB209" s="195"/>
      <c r="AC209" s="195"/>
    </row>
    <row r="210" spans="2:29" ht="16.5" customHeight="1" thickBot="1">
      <c r="B210" s="2874" t="s">
        <v>18</v>
      </c>
      <c r="C210" s="2847"/>
      <c r="D210" s="2847"/>
      <c r="E210" s="2847"/>
      <c r="F210" s="2847"/>
      <c r="G210" s="2847"/>
      <c r="H210" s="2847"/>
      <c r="I210" s="2875"/>
      <c r="J210" s="2847"/>
      <c r="K210" s="2472"/>
      <c r="L210" s="2848"/>
      <c r="M210" s="2849"/>
      <c r="N210" s="2847"/>
      <c r="O210" s="2847" t="s">
        <v>368</v>
      </c>
      <c r="P210" s="2850" t="s">
        <v>357</v>
      </c>
      <c r="Q210" s="2850"/>
      <c r="R210" s="2876"/>
      <c r="S210" s="267"/>
      <c r="T210" s="264"/>
      <c r="U210" s="265"/>
      <c r="V210" s="266"/>
      <c r="W210" s="266"/>
      <c r="X210" s="266"/>
      <c r="Y210" s="195"/>
      <c r="Z210" s="195"/>
      <c r="AA210" s="195"/>
      <c r="AB210" s="195"/>
      <c r="AC210" s="195"/>
    </row>
    <row r="211" spans="2:29" ht="16.5" customHeight="1">
      <c r="B211" s="2711" t="s">
        <v>369</v>
      </c>
      <c r="C211" s="1010"/>
      <c r="D211" s="2713"/>
      <c r="E211" s="2713"/>
      <c r="F211" s="2713"/>
      <c r="G211" s="2713" t="s">
        <v>343</v>
      </c>
      <c r="H211" s="2877">
        <f>YesterdayGen!GI31/1000000</f>
        <v>12.730909</v>
      </c>
      <c r="I211" s="2878" t="s">
        <v>344</v>
      </c>
      <c r="J211" s="2713" t="s">
        <v>777</v>
      </c>
      <c r="K211" s="2713"/>
      <c r="L211" s="2879">
        <f>YesterdayGen!D44</f>
        <v>658</v>
      </c>
      <c r="M211" s="2713" t="s">
        <v>370</v>
      </c>
      <c r="N211" s="2880">
        <f>H188</f>
        <v>0.8125</v>
      </c>
      <c r="O211" s="2881" t="s">
        <v>316</v>
      </c>
      <c r="P211" s="2713"/>
      <c r="Q211" s="2882"/>
      <c r="R211" s="2883"/>
      <c r="S211" s="269"/>
      <c r="T211" s="264"/>
      <c r="U211" s="265"/>
      <c r="V211" s="266"/>
      <c r="W211" s="266"/>
      <c r="X211" s="266"/>
      <c r="Y211" s="195"/>
      <c r="Z211" s="195"/>
      <c r="AA211" s="195"/>
      <c r="AB211" s="195"/>
      <c r="AC211" s="195"/>
    </row>
    <row r="212" spans="2:29" ht="16.5" customHeight="1">
      <c r="B212" s="2874" t="s">
        <v>371</v>
      </c>
      <c r="C212" s="2847"/>
      <c r="D212" s="2847"/>
      <c r="E212" s="2847"/>
      <c r="F212" s="2847"/>
      <c r="G212" s="2847" t="s">
        <v>343</v>
      </c>
      <c r="H212" s="2884">
        <f>YesterdayGen!GQ31/1000000</f>
        <v>1.9430400000000001</v>
      </c>
      <c r="I212" s="2885" t="s">
        <v>344</v>
      </c>
      <c r="J212" s="2847" t="s">
        <v>776</v>
      </c>
      <c r="K212" s="2847"/>
      <c r="L212" s="2886">
        <f>YesterdayGen!D43</f>
        <v>658</v>
      </c>
      <c r="M212" s="2847" t="s">
        <v>370</v>
      </c>
      <c r="N212" s="2887">
        <f>YesterdayGen!E43</f>
        <v>0.8125</v>
      </c>
      <c r="O212" s="2887" t="s">
        <v>316</v>
      </c>
      <c r="P212" s="2850"/>
      <c r="Q212" s="2850"/>
      <c r="R212" s="2876"/>
      <c r="S212" s="267"/>
      <c r="T212" s="264"/>
      <c r="U212" s="265"/>
      <c r="V212" s="266"/>
      <c r="W212" s="266"/>
      <c r="X212" s="266"/>
      <c r="Y212" s="195"/>
      <c r="Z212" s="195"/>
      <c r="AA212" s="195"/>
      <c r="AB212" s="195"/>
      <c r="AC212" s="195"/>
    </row>
    <row r="213" spans="2:29" ht="16.5" customHeight="1" thickBot="1">
      <c r="B213" s="2888" t="s">
        <v>767</v>
      </c>
      <c r="C213" s="2803"/>
      <c r="D213" s="2803"/>
      <c r="E213" s="2803"/>
      <c r="F213" s="2803"/>
      <c r="G213" s="2803"/>
      <c r="H213" s="2803"/>
      <c r="I213" s="2803"/>
      <c r="J213" s="2803"/>
      <c r="K213" s="2803"/>
      <c r="L213" s="2803"/>
      <c r="M213" s="2803"/>
      <c r="N213" s="2803"/>
      <c r="O213" s="2803"/>
      <c r="P213" s="2889"/>
      <c r="Q213" s="2889"/>
      <c r="R213" s="2890"/>
      <c r="S213" s="267"/>
      <c r="T213" s="264"/>
      <c r="U213" s="265"/>
      <c r="V213" s="266"/>
      <c r="W213" s="266"/>
      <c r="X213" s="266"/>
      <c r="Y213" s="195"/>
      <c r="Z213" s="195"/>
      <c r="AA213" s="195"/>
      <c r="AB213" s="195"/>
      <c r="AC213" s="195"/>
    </row>
    <row r="214" spans="2:29" ht="18" customHeight="1" thickBot="1">
      <c r="B214" s="2711" t="s">
        <v>372</v>
      </c>
      <c r="C214" s="2891"/>
      <c r="D214" s="2891"/>
      <c r="E214" s="2891"/>
      <c r="F214" s="2891"/>
      <c r="G214" s="3004" t="s">
        <v>1182</v>
      </c>
      <c r="H214" s="2893">
        <f>YesterdayGen!GT10</f>
        <v>97.48</v>
      </c>
      <c r="I214" s="2894"/>
      <c r="J214" s="2895" t="s">
        <v>373</v>
      </c>
      <c r="K214" s="4713">
        <f>Master!GT19</f>
        <v>97.25</v>
      </c>
      <c r="L214" s="2896"/>
      <c r="M214" s="2713" t="s">
        <v>374</v>
      </c>
      <c r="N214" s="2891"/>
      <c r="O214" s="2893">
        <f>GEntry!GF2</f>
        <v>101.67</v>
      </c>
      <c r="P214" s="2897"/>
      <c r="Q214" s="2892"/>
      <c r="R214" s="2898"/>
      <c r="S214" s="267"/>
      <c r="T214" s="264"/>
      <c r="U214" s="265"/>
      <c r="V214" s="266"/>
      <c r="W214" s="266"/>
      <c r="X214" s="266"/>
      <c r="Y214" s="195"/>
      <c r="Z214" s="195"/>
      <c r="AA214" s="195"/>
      <c r="AB214" s="195"/>
      <c r="AC214" s="195"/>
    </row>
    <row r="215" spans="2:29" ht="16.5" customHeight="1">
      <c r="B215" s="1016"/>
      <c r="C215" s="1017"/>
      <c r="D215" s="1017"/>
      <c r="E215" s="1017"/>
      <c r="F215" s="1017"/>
      <c r="G215" s="1018"/>
      <c r="H215" s="1017" t="s">
        <v>375</v>
      </c>
      <c r="I215" s="1019"/>
      <c r="J215" s="1017" t="s">
        <v>376</v>
      </c>
      <c r="K215" s="1020"/>
      <c r="L215" s="769"/>
      <c r="M215" s="1021"/>
      <c r="N215" s="1017"/>
      <c r="O215" s="1017"/>
      <c r="P215" s="1022" t="s">
        <v>18</v>
      </c>
      <c r="Q215" s="1022"/>
      <c r="R215" s="1023"/>
      <c r="S215" s="267"/>
      <c r="T215" s="264"/>
      <c r="U215" s="265"/>
      <c r="V215" s="266"/>
      <c r="W215" s="266"/>
      <c r="X215" s="266"/>
      <c r="Y215" s="195"/>
      <c r="Z215" s="195"/>
      <c r="AA215" s="195"/>
      <c r="AB215" s="195"/>
      <c r="AC215" s="195"/>
    </row>
    <row r="216" spans="2:29" ht="16.5" customHeight="1">
      <c r="B216" s="270"/>
      <c r="C216" s="271"/>
      <c r="D216" s="271"/>
      <c r="E216" s="271"/>
      <c r="F216" s="271"/>
      <c r="G216" s="271"/>
      <c r="H216" s="271"/>
      <c r="I216" s="272"/>
      <c r="J216" s="210"/>
      <c r="K216" s="273"/>
      <c r="L216" s="259"/>
      <c r="M216" s="268"/>
      <c r="N216" s="271"/>
      <c r="O216" s="271"/>
      <c r="P216" s="274"/>
      <c r="Q216" s="274" t="s">
        <v>18</v>
      </c>
      <c r="R216" s="275"/>
      <c r="S216" s="267"/>
      <c r="T216" s="264"/>
      <c r="U216" s="265"/>
      <c r="V216" s="266"/>
      <c r="W216" s="266"/>
      <c r="X216" s="266"/>
      <c r="Y216" s="195"/>
      <c r="Z216" s="195"/>
      <c r="AA216" s="195"/>
      <c r="AB216" s="195"/>
      <c r="AC216" s="195"/>
    </row>
    <row r="217" spans="2:29" ht="16.5" customHeight="1">
      <c r="B217" s="276"/>
      <c r="C217" s="277"/>
      <c r="D217" s="277"/>
      <c r="E217" s="277"/>
      <c r="F217" s="277"/>
      <c r="G217" s="277"/>
      <c r="H217" s="277"/>
      <c r="I217" s="277"/>
      <c r="J217" s="278"/>
      <c r="K217" s="274"/>
      <c r="L217" s="260"/>
      <c r="M217" s="260"/>
      <c r="N217" s="274"/>
      <c r="O217" s="274"/>
      <c r="P217" s="279"/>
      <c r="Q217" s="279"/>
      <c r="R217" s="275"/>
      <c r="S217" s="280"/>
      <c r="T217" s="280"/>
      <c r="U217" s="280"/>
      <c r="V217" s="280"/>
      <c r="W217" s="280"/>
      <c r="X217" s="195"/>
      <c r="Y217" s="195"/>
      <c r="Z217" s="195"/>
      <c r="AA217" s="195"/>
      <c r="AB217" s="195"/>
      <c r="AC217" s="195"/>
    </row>
    <row r="218" spans="2:29" ht="16.5" customHeight="1">
      <c r="B218" s="281"/>
      <c r="C218" s="274"/>
      <c r="D218" s="274"/>
      <c r="E218" s="274"/>
      <c r="F218" s="274"/>
      <c r="G218" s="271"/>
      <c r="H218" s="274"/>
      <c r="I218" s="282"/>
      <c r="J218" s="283"/>
      <c r="K218" s="283"/>
      <c r="L218" s="283"/>
      <c r="M218" s="283"/>
      <c r="N218" s="283"/>
      <c r="O218" s="283"/>
      <c r="P218" s="283"/>
      <c r="Q218" s="283"/>
      <c r="R218" s="4568"/>
      <c r="S218" s="280"/>
      <c r="T218" s="280"/>
      <c r="U218" s="280"/>
      <c r="V218" s="280"/>
      <c r="W218" s="280"/>
      <c r="X218" s="195"/>
      <c r="Y218" s="195"/>
      <c r="Z218" s="195"/>
      <c r="AA218" s="195"/>
      <c r="AB218" s="195"/>
      <c r="AC218" s="195"/>
    </row>
    <row r="219" spans="2:29" s="286" customFormat="1" ht="16.5" customHeight="1">
      <c r="B219" s="281"/>
      <c r="C219" s="274"/>
      <c r="D219" s="274"/>
      <c r="E219" s="274"/>
      <c r="F219" s="232"/>
      <c r="G219" s="232"/>
      <c r="H219" s="232"/>
      <c r="I219" s="232"/>
      <c r="J219" s="232"/>
      <c r="K219" s="232"/>
      <c r="L219" s="232"/>
      <c r="M219" s="232"/>
      <c r="N219" s="284"/>
      <c r="O219" s="284"/>
      <c r="P219" s="283"/>
      <c r="Q219" s="283"/>
      <c r="R219" s="4568"/>
      <c r="S219" s="285"/>
      <c r="T219" s="285"/>
      <c r="U219" s="285"/>
      <c r="V219" s="285"/>
      <c r="W219" s="285"/>
      <c r="X219" s="285"/>
      <c r="Y219" s="285"/>
      <c r="Z219" s="285"/>
      <c r="AA219" s="285"/>
      <c r="AB219" s="285"/>
      <c r="AC219" s="285"/>
    </row>
    <row r="220" spans="2:29" s="286" customFormat="1" ht="16.5" customHeight="1">
      <c r="B220" s="281"/>
      <c r="C220" s="274"/>
      <c r="D220" s="274"/>
      <c r="E220" s="274"/>
      <c r="F220" s="232"/>
      <c r="G220" s="232"/>
      <c r="H220" s="232"/>
      <c r="I220" s="232"/>
      <c r="J220" s="232"/>
      <c r="K220" s="232"/>
      <c r="L220" s="232"/>
      <c r="M220" s="232"/>
      <c r="N220" s="284"/>
      <c r="O220" s="284"/>
      <c r="P220" s="283"/>
      <c r="Q220" s="283"/>
      <c r="R220" s="4568"/>
      <c r="S220" s="285"/>
      <c r="T220" s="285"/>
      <c r="U220" s="285"/>
      <c r="V220" s="285"/>
      <c r="W220" s="285"/>
      <c r="X220" s="285"/>
      <c r="Y220" s="285"/>
      <c r="Z220" s="285"/>
      <c r="AA220" s="285"/>
      <c r="AB220" s="285"/>
      <c r="AC220" s="285"/>
    </row>
    <row r="221" spans="2:29" s="286" customFormat="1" ht="20.25" customHeight="1">
      <c r="B221" s="281"/>
      <c r="C221" s="274"/>
      <c r="D221" s="274"/>
      <c r="E221" s="274"/>
      <c r="F221" s="440" t="s">
        <v>377</v>
      </c>
      <c r="G221" s="1560"/>
      <c r="H221" s="440"/>
      <c r="I221" s="1560"/>
      <c r="J221" s="1561"/>
      <c r="K221" s="1561"/>
      <c r="L221" s="1561"/>
      <c r="M221" s="1561" t="s">
        <v>378</v>
      </c>
      <c r="N221" s="433"/>
      <c r="O221" s="434"/>
      <c r="P221" s="274"/>
      <c r="Q221" s="274"/>
      <c r="R221" s="275"/>
      <c r="S221" s="285"/>
      <c r="T221" s="285"/>
      <c r="U221" s="285"/>
      <c r="V221" s="285"/>
      <c r="W221" s="285"/>
      <c r="X221" s="285"/>
      <c r="Y221" s="285"/>
      <c r="Z221" s="285"/>
      <c r="AA221" s="285"/>
      <c r="AB221" s="285"/>
      <c r="AC221" s="285"/>
    </row>
    <row r="222" spans="2:29" s="286" customFormat="1" ht="20.25" customHeight="1" thickBot="1">
      <c r="B222" s="1024"/>
      <c r="C222" s="287"/>
      <c r="D222" s="287"/>
      <c r="E222" s="287"/>
      <c r="F222" s="1562" t="s">
        <v>379</v>
      </c>
      <c r="G222" s="1562"/>
      <c r="H222" s="1562"/>
      <c r="I222" s="1563"/>
      <c r="J222" s="1564"/>
      <c r="K222" s="1564"/>
      <c r="L222" s="1564"/>
      <c r="M222" s="1564" t="s">
        <v>380</v>
      </c>
      <c r="N222" s="1565"/>
      <c r="O222" s="1566"/>
      <c r="P222" s="288"/>
      <c r="Q222" s="288"/>
      <c r="R222" s="289"/>
      <c r="S222" s="285"/>
      <c r="T222" s="285"/>
      <c r="U222" s="285"/>
      <c r="V222" s="285"/>
      <c r="W222" s="285"/>
      <c r="X222" s="285"/>
      <c r="Y222" s="285"/>
      <c r="Z222" s="285"/>
      <c r="AA222" s="285"/>
      <c r="AB222" s="285"/>
      <c r="AC222" s="285"/>
    </row>
    <row r="223" spans="2:29" s="286" customFormat="1" ht="16.5" customHeight="1">
      <c r="B223" s="290"/>
      <c r="C223" s="290"/>
      <c r="D223" s="290"/>
      <c r="E223" s="290"/>
      <c r="F223" s="291" t="s">
        <v>18</v>
      </c>
      <c r="G223" s="291"/>
      <c r="H223" s="291"/>
      <c r="I223" s="291"/>
      <c r="J223" s="291"/>
      <c r="K223" s="292"/>
      <c r="L223" s="293"/>
      <c r="M223" s="293"/>
      <c r="N223" s="294"/>
      <c r="O223" s="231"/>
      <c r="P223" s="290"/>
      <c r="Q223" s="290"/>
      <c r="R223" s="290"/>
      <c r="S223" s="285"/>
      <c r="T223" s="285"/>
      <c r="U223" s="285"/>
      <c r="V223" s="285"/>
      <c r="W223" s="285"/>
      <c r="X223" s="285"/>
      <c r="Y223" s="285"/>
      <c r="Z223" s="285"/>
      <c r="AA223" s="285"/>
      <c r="AB223" s="285"/>
      <c r="AC223" s="285"/>
    </row>
    <row r="224" spans="2:29" ht="16.5" customHeight="1">
      <c r="B224" s="195"/>
      <c r="C224" s="195"/>
      <c r="D224" s="195"/>
      <c r="E224" s="195"/>
      <c r="F224" s="295"/>
      <c r="G224" s="295"/>
      <c r="H224" s="296"/>
      <c r="I224" s="297"/>
      <c r="J224" s="290"/>
      <c r="K224" s="195"/>
      <c r="L224" s="298"/>
      <c r="M224" s="298"/>
      <c r="N224" s="290"/>
      <c r="O224" s="195"/>
      <c r="P224" s="195"/>
      <c r="Q224" s="195"/>
      <c r="R224" s="195"/>
      <c r="S224" s="280"/>
      <c r="T224" s="280"/>
      <c r="U224" s="280"/>
      <c r="V224" s="280"/>
      <c r="W224" s="280"/>
      <c r="X224" s="195"/>
      <c r="Y224" s="195"/>
      <c r="Z224" s="195"/>
      <c r="AA224" s="195"/>
      <c r="AB224" s="195"/>
      <c r="AC224" s="195"/>
    </row>
    <row r="225" spans="2:29" ht="21.95" customHeight="1">
      <c r="B225" s="195"/>
      <c r="C225" s="195"/>
      <c r="D225" s="210"/>
      <c r="E225" s="240"/>
      <c r="F225" s="240"/>
      <c r="G225" s="299"/>
      <c r="H225" s="300"/>
      <c r="I225" s="300"/>
      <c r="J225" s="300"/>
      <c r="K225" s="300"/>
      <c r="L225" s="301"/>
      <c r="M225" s="302"/>
      <c r="N225" s="303"/>
      <c r="O225" s="247"/>
      <c r="P225" s="244"/>
      <c r="Q225" s="304"/>
      <c r="R225" s="305"/>
      <c r="S225" s="306"/>
      <c r="T225" s="280"/>
      <c r="U225" s="280"/>
      <c r="V225" s="280"/>
      <c r="W225" s="280"/>
      <c r="X225" s="195"/>
      <c r="Y225" s="195"/>
      <c r="Z225" s="195"/>
      <c r="AA225" s="195"/>
      <c r="AB225" s="195"/>
      <c r="AC225" s="195"/>
    </row>
    <row r="226" spans="2:29" ht="21.95" customHeight="1">
      <c r="B226" s="195"/>
      <c r="C226" s="195"/>
      <c r="D226" s="195"/>
      <c r="E226" s="195"/>
      <c r="F226" s="195"/>
      <c r="G226" s="195"/>
      <c r="H226" s="195"/>
      <c r="I226" s="195"/>
      <c r="J226" s="195"/>
      <c r="K226" s="195"/>
      <c r="L226" s="227"/>
      <c r="M226" s="307"/>
      <c r="N226" s="195"/>
      <c r="O226" s="195"/>
      <c r="P226" s="195"/>
      <c r="Q226" s="195"/>
      <c r="R226" s="195"/>
      <c r="S226" s="280"/>
      <c r="T226" s="280"/>
      <c r="U226" s="280"/>
      <c r="V226" s="280"/>
      <c r="W226" s="280"/>
      <c r="X226" s="195"/>
      <c r="Y226" s="195"/>
      <c r="Z226" s="195"/>
      <c r="AA226" s="195"/>
      <c r="AB226" s="195"/>
      <c r="AC226" s="195"/>
    </row>
    <row r="227" spans="2:29" ht="21.95" customHeight="1">
      <c r="B227" s="195"/>
      <c r="C227" s="195"/>
      <c r="D227" s="195"/>
      <c r="E227" s="195"/>
      <c r="F227" s="195"/>
      <c r="G227" s="195"/>
      <c r="H227" s="195"/>
      <c r="I227" s="195"/>
      <c r="J227" s="195"/>
      <c r="K227" s="210"/>
      <c r="L227" s="227"/>
      <c r="M227" s="227"/>
      <c r="N227" s="195"/>
      <c r="O227" s="195"/>
      <c r="P227" s="195"/>
      <c r="Q227" s="195"/>
      <c r="R227" s="195"/>
      <c r="S227" s="280"/>
      <c r="T227" s="280"/>
      <c r="U227" s="280"/>
      <c r="V227" s="280"/>
      <c r="W227" s="280"/>
      <c r="X227" s="195"/>
      <c r="Y227" s="195"/>
      <c r="Z227" s="195"/>
      <c r="AA227" s="195"/>
      <c r="AB227" s="195"/>
      <c r="AC227" s="195"/>
    </row>
    <row r="228" spans="2:29" ht="21.95" customHeight="1">
      <c r="G228" s="3005"/>
      <c r="K228" s="308"/>
      <c r="S228" s="309"/>
      <c r="T228" s="309"/>
      <c r="U228" s="309"/>
      <c r="V228" s="309"/>
      <c r="W228" s="309"/>
    </row>
    <row r="229" spans="2:29" ht="21.95" customHeight="1">
      <c r="J229" s="3083"/>
      <c r="K229" s="308"/>
      <c r="S229" s="309"/>
      <c r="T229" s="309"/>
      <c r="U229" s="309"/>
      <c r="V229" s="309"/>
      <c r="W229" s="309"/>
    </row>
    <row r="230" spans="2:29" ht="21.95" customHeight="1">
      <c r="J230" s="3008"/>
      <c r="K230" s="308"/>
      <c r="S230" s="309"/>
      <c r="T230" s="309"/>
      <c r="U230" s="309"/>
      <c r="V230" s="309"/>
      <c r="W230" s="309"/>
    </row>
    <row r="231" spans="2:29" ht="21.95" customHeight="1">
      <c r="J231" s="3008"/>
      <c r="K231" s="308"/>
      <c r="S231" s="309"/>
      <c r="T231" s="309"/>
      <c r="U231" s="309"/>
      <c r="V231" s="309"/>
      <c r="W231" s="309"/>
    </row>
    <row r="232" spans="2:29" ht="21.95" customHeight="1">
      <c r="J232" s="3008"/>
      <c r="K232" s="308"/>
      <c r="N232" s="310"/>
      <c r="S232" s="309"/>
      <c r="T232" s="309"/>
      <c r="U232" s="309"/>
      <c r="V232" s="309"/>
      <c r="W232" s="309"/>
    </row>
    <row r="233" spans="2:29" ht="21.95" customHeight="1">
      <c r="J233" s="3008"/>
      <c r="K233" s="308"/>
      <c r="N233" s="310"/>
      <c r="S233" s="309"/>
      <c r="T233" s="309"/>
      <c r="U233" s="309"/>
      <c r="V233" s="309"/>
      <c r="W233" s="309"/>
    </row>
    <row r="234" spans="2:29" ht="21.95" customHeight="1">
      <c r="J234" s="3008"/>
      <c r="K234" s="308"/>
      <c r="N234" s="19"/>
      <c r="S234" s="309"/>
      <c r="T234" s="309"/>
      <c r="U234" s="309"/>
      <c r="V234" s="309"/>
      <c r="W234" s="309"/>
    </row>
    <row r="235" spans="2:29" ht="21.95" customHeight="1">
      <c r="J235" s="3008"/>
      <c r="K235" s="308"/>
      <c r="N235" s="311"/>
    </row>
    <row r="236" spans="2:29" ht="21.95" customHeight="1">
      <c r="J236" s="3008"/>
      <c r="K236" s="308"/>
    </row>
    <row r="237" spans="2:29" ht="21.95" customHeight="1">
      <c r="J237" s="3008"/>
    </row>
    <row r="238" spans="2:29" ht="21.95" customHeight="1">
      <c r="E238" s="283"/>
      <c r="F238" s="283"/>
      <c r="I238" s="283"/>
      <c r="J238" s="3009"/>
      <c r="K238" s="283"/>
    </row>
    <row r="239" spans="2:29" ht="21.95" customHeight="1">
      <c r="C239" s="283"/>
      <c r="D239" s="283"/>
      <c r="E239" s="283"/>
      <c r="F239" s="283"/>
      <c r="G239" s="283"/>
      <c r="H239" s="283"/>
      <c r="I239" s="283"/>
      <c r="J239" s="283"/>
      <c r="K239" s="283"/>
    </row>
    <row r="240" spans="2:29" ht="21.95" customHeight="1">
      <c r="C240" s="283"/>
      <c r="D240" s="283"/>
      <c r="I240" s="283"/>
      <c r="J240" s="283"/>
      <c r="K240" s="283"/>
    </row>
    <row r="241" spans="3:11" ht="21.95" customHeight="1"/>
    <row r="243" spans="3:11" ht="21.95" customHeight="1"/>
    <row r="244" spans="3:11" ht="21.95" customHeight="1"/>
    <row r="245" spans="3:11" ht="21.95" customHeight="1">
      <c r="E245" s="283"/>
      <c r="F245" s="283"/>
      <c r="I245" s="283"/>
      <c r="J245" s="283"/>
      <c r="K245" s="283"/>
    </row>
    <row r="246" spans="3:11" ht="21.95" customHeight="1">
      <c r="C246" s="283"/>
      <c r="D246" s="283"/>
      <c r="E246" s="283"/>
      <c r="F246" s="283"/>
      <c r="G246" s="283"/>
      <c r="H246" s="283"/>
      <c r="I246" s="283"/>
      <c r="J246" s="283"/>
      <c r="K246" s="283"/>
    </row>
    <row r="247" spans="3:11" ht="21.95" customHeight="1">
      <c r="C247" s="283"/>
      <c r="D247" s="283"/>
      <c r="I247" s="283"/>
      <c r="J247" s="283"/>
      <c r="K247" s="283"/>
    </row>
    <row r="250" spans="3:11" ht="21.95" customHeight="1"/>
    <row r="253" spans="3:11" ht="21.95" customHeight="1"/>
    <row r="254" spans="3:11" ht="21.95" customHeight="1"/>
    <row r="255" spans="3:11" ht="21.95" customHeight="1"/>
    <row r="258" ht="21.95" customHeight="1"/>
    <row r="260" ht="21.95" customHeight="1"/>
    <row r="262" ht="21.95" customHeight="1"/>
    <row r="263" ht="21.95" customHeight="1"/>
  </sheetData>
  <customSheetViews>
    <customSheetView guid="{7C71EF2A-5ADA-494C-8F58-DDA71753DD90}" scale="110" showPageBreaks="1" printArea="1" topLeftCell="A3">
      <selection activeCell="F163" sqref="F163"/>
      <rowBreaks count="1" manualBreakCount="1">
        <brk id="118" min="1" max="17" man="1"/>
      </rowBreaks>
      <pageMargins left="0.21" right="0.21" top="0.16" bottom="0.16" header="0.16" footer="0.16"/>
      <printOptions horizontalCentered="1"/>
      <pageSetup paperSize="9" scale="40" orientation="portrait" horizontalDpi="4294967295" verticalDpi="4294967295" r:id="rId1"/>
    </customSheetView>
    <customSheetView guid="{B91C2E87-5EDA-40AE-AC27-0E2C17E803CE}" scale="85" showPageBreaks="1" printArea="1" topLeftCell="A130">
      <selection activeCell="D21" sqref="D21"/>
      <rowBreaks count="1" manualBreakCount="1">
        <brk id="118" min="1" max="17" man="1"/>
      </rowBreaks>
      <pageMargins left="0.21" right="0.21" top="0.16" bottom="0.16" header="0.16" footer="0.16"/>
      <printOptions horizontalCentered="1"/>
      <pageSetup paperSize="9" scale="39" orientation="portrait" r:id="rId2"/>
    </customSheetView>
    <customSheetView guid="{23F4DC00-BC97-4745-AA5C-F05D469CB1EF}" showPageBreaks="1" printArea="1" topLeftCell="A7">
      <selection activeCell="G20" sqref="G20"/>
      <rowBreaks count="1" manualBreakCount="1">
        <brk id="108" min="1" max="17" man="1"/>
      </rowBreaks>
      <pageMargins left="0.21" right="0.21" top="0.16" bottom="0.16" header="0.16" footer="0.16"/>
      <printOptions horizontalCentered="1"/>
      <pageSetup paperSize="9" scale="43" orientation="portrait" r:id="rId3"/>
    </customSheetView>
    <customSheetView guid="{4593F3EE-0998-4E0E-994A-E02D6BAF3A4B}" scale="85" showPageBreaks="1" printArea="1">
      <selection activeCell="I153" sqref="I153"/>
      <rowBreaks count="1" manualBreakCount="1">
        <brk id="111" min="1" max="17" man="1"/>
      </rowBreaks>
      <pageMargins left="0.21" right="0.21" top="0.16" bottom="0.16" header="0.16" footer="0.16"/>
      <printOptions horizontalCentered="1"/>
      <pageSetup paperSize="9" scale="42" orientation="portrait" r:id="rId4"/>
    </customSheetView>
    <customSheetView guid="{917057C8-5E5F-4164-B84C-85103677A2E5}" scale="85">
      <pane ySplit="5" topLeftCell="A95" activePane="bottomLeft" state="frozen"/>
      <selection pane="bottomLeft" activeCell="C20" sqref="C20"/>
      <rowBreaks count="1" manualBreakCount="1">
        <brk id="124" min="1" max="17" man="1"/>
      </rowBreaks>
      <pageMargins left="0.21" right="0.21" top="0.16" bottom="0.16" header="0.16" footer="0.16"/>
      <printOptions horizontalCentered="1"/>
      <pageSetup paperSize="9" scale="38" orientation="portrait" r:id="rId5"/>
    </customSheetView>
    <customSheetView guid="{5A803268-F6C5-4035-B3E1-A94CB9AA8994}" showPageBreaks="1" printArea="1" topLeftCell="B174">
      <selection activeCell="A70" sqref="A70:XFD70"/>
      <rowBreaks count="1" manualBreakCount="1">
        <brk id="109" min="1" max="17" man="1"/>
      </rowBreaks>
      <pageMargins left="0.21" right="0.21" top="0.16" bottom="0.16" header="0.16" footer="0.16"/>
      <printOptions horizontalCentered="1"/>
      <pageSetup paperSize="9" scale="43" orientation="portrait" r:id="rId6"/>
    </customSheetView>
    <customSheetView guid="{751D391F-C74F-4B53-B5B5-25E01AC12EA4}" scale="115">
      <selection activeCell="B99" sqref="B99"/>
      <rowBreaks count="1" manualBreakCount="1">
        <brk id="127" min="1" max="17" man="1"/>
      </rowBreaks>
      <pageMargins left="0.21" right="0.21" top="0.16" bottom="0.16" header="0.16" footer="0.16"/>
      <printOptions horizontalCentered="1"/>
      <pageSetup paperSize="9" scale="37" orientation="portrait" r:id="rId7"/>
    </customSheetView>
    <customSheetView guid="{D1D1E152-95AB-45D3-AC07-4EC0834D3E0C}" scale="115" showPageBreaks="1" printArea="1" topLeftCell="A173">
      <selection activeCell="F195" sqref="F195"/>
      <rowBreaks count="1" manualBreakCount="1">
        <brk id="127" min="1" max="17" man="1"/>
      </rowBreaks>
      <pageMargins left="0.21" right="0.21" top="0.16" bottom="0.16" header="0.16" footer="0.16"/>
      <printOptions horizontalCentered="1"/>
      <pageSetup paperSize="9" scale="37" orientation="portrait" r:id="rId8"/>
    </customSheetView>
    <customSheetView guid="{4DB6C640-CE65-4513-9E5A-F6CDD1F4B8AF}" scale="110" showPageBreaks="1" topLeftCell="A145">
      <selection activeCell="A140" sqref="A140:XFD140"/>
      <rowBreaks count="1" manualBreakCount="1">
        <brk id="128" min="1" max="17" man="1"/>
      </rowBreaks>
      <pageMargins left="0.21" right="0.21" top="0.16" bottom="0.16" header="0.16" footer="0.16"/>
      <printOptions horizontalCentered="1"/>
      <pageSetup paperSize="9" scale="40" orientation="portrait" horizontalDpi="4294967295" verticalDpi="4294967295" r:id="rId9"/>
    </customSheetView>
    <customSheetView guid="{C3348F62-02F2-4500-9BF2-19F2DEA57A8D}" showPageBreaks="1" printArea="1">
      <selection sqref="A1:R224"/>
      <rowBreaks count="1" manualBreakCount="1">
        <brk id="109" min="1" max="17" man="1"/>
      </rowBreaks>
      <pageMargins left="0.17" right="0.16" top="0.16" bottom="0.16" header="0.16" footer="0.16"/>
      <printOptions horizontalCentered="1"/>
      <pageSetup paperSize="9" scale="42" orientation="portrait" r:id="rId10"/>
    </customSheetView>
  </customSheetViews>
  <mergeCells count="13">
    <mergeCell ref="AC188:AD188"/>
    <mergeCell ref="AC189:AD189"/>
    <mergeCell ref="T184:U184"/>
    <mergeCell ref="T186:U186"/>
    <mergeCell ref="T201:X201"/>
    <mergeCell ref="Y201:Z201"/>
    <mergeCell ref="X188:X189"/>
    <mergeCell ref="Y188:Y189"/>
    <mergeCell ref="Z188:Z189"/>
    <mergeCell ref="W188:W189"/>
    <mergeCell ref="V188:V189"/>
    <mergeCell ref="U188:U189"/>
    <mergeCell ref="T188:T189"/>
  </mergeCells>
  <printOptions horizontalCentered="1"/>
  <pageMargins left="0.17" right="0.16" top="0.16" bottom="0.16" header="0.16" footer="0.16"/>
  <pageSetup paperSize="9" scale="42" orientation="portrait" r:id="rId11"/>
  <rowBreaks count="1" manualBreakCount="1">
    <brk id="109" min="1" max="17" man="1"/>
  </rowBreaks>
  <drawing r:id="rId1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>
    <tabColor rgb="FF00B0F0"/>
  </sheetPr>
  <dimension ref="A1:P122"/>
  <sheetViews>
    <sheetView topLeftCell="A22" workbookViewId="0">
      <selection activeCell="B55" sqref="B55"/>
    </sheetView>
  </sheetViews>
  <sheetFormatPr defaultColWidth="9.140625" defaultRowHeight="15"/>
  <cols>
    <col min="1" max="1" width="20" style="6" customWidth="1"/>
    <col min="2" max="2" width="10.28515625" style="6" customWidth="1"/>
    <col min="3" max="3" width="14.28515625" style="6" customWidth="1"/>
    <col min="4" max="4" width="7.85546875" style="6" customWidth="1"/>
    <col min="5" max="5" width="12.28515625" style="6" customWidth="1"/>
    <col min="6" max="6" width="8.140625" style="6" customWidth="1"/>
    <col min="7" max="7" width="10" style="6" customWidth="1"/>
    <col min="8" max="8" width="6.7109375" style="6" customWidth="1"/>
    <col min="9" max="9" width="12.5703125" style="6" customWidth="1"/>
    <col min="10" max="10" width="34.28515625" style="6" customWidth="1"/>
    <col min="11" max="11" width="6.7109375" style="6" customWidth="1"/>
    <col min="12" max="14" width="9.140625" style="6" customWidth="1"/>
    <col min="15" max="16384" width="9.140625" style="6"/>
  </cols>
  <sheetData>
    <row r="1" spans="1:16">
      <c r="A1" s="312"/>
      <c r="B1" s="312" t="s">
        <v>18</v>
      </c>
      <c r="C1" s="312"/>
      <c r="D1" s="312"/>
      <c r="E1" s="312"/>
      <c r="F1" s="312"/>
      <c r="G1" s="312"/>
      <c r="H1" s="312"/>
      <c r="I1" s="312"/>
      <c r="J1" s="312"/>
      <c r="K1" s="312"/>
      <c r="L1" s="312"/>
    </row>
    <row r="2" spans="1:16" ht="18">
      <c r="A2" s="257"/>
      <c r="B2" s="257"/>
      <c r="C2" s="313"/>
      <c r="D2" s="314" t="s">
        <v>381</v>
      </c>
      <c r="E2" s="315"/>
      <c r="F2" s="257"/>
      <c r="G2" s="257"/>
      <c r="H2" s="316"/>
      <c r="I2" s="317"/>
      <c r="J2" s="316"/>
      <c r="K2" s="312"/>
      <c r="L2" s="312"/>
      <c r="P2" s="1401"/>
    </row>
    <row r="3" spans="1:16">
      <c r="A3" s="257"/>
      <c r="B3" s="257"/>
      <c r="C3" s="297"/>
      <c r="D3" s="297"/>
      <c r="E3" s="313"/>
      <c r="F3" s="257"/>
      <c r="G3" s="257"/>
      <c r="H3" s="316"/>
      <c r="I3" s="316"/>
      <c r="J3" s="257"/>
      <c r="K3" s="312"/>
      <c r="L3" s="312"/>
      <c r="P3" s="1401"/>
    </row>
    <row r="4" spans="1:16">
      <c r="A4" s="257"/>
      <c r="B4" s="257"/>
      <c r="C4" s="257"/>
      <c r="D4" s="257"/>
      <c r="E4" s="257"/>
      <c r="F4" s="257"/>
      <c r="G4" s="257"/>
      <c r="H4" s="257"/>
      <c r="I4" s="194"/>
      <c r="J4" s="257"/>
      <c r="K4" s="312"/>
      <c r="L4" s="312"/>
      <c r="P4" s="1401"/>
    </row>
    <row r="5" spans="1:16">
      <c r="A5" s="257"/>
      <c r="B5" s="257"/>
      <c r="C5" s="474" t="s">
        <v>382</v>
      </c>
      <c r="D5" s="257"/>
      <c r="E5" s="257"/>
      <c r="F5" s="257"/>
      <c r="G5" s="257"/>
      <c r="H5" s="257"/>
      <c r="I5" s="316"/>
      <c r="J5" s="257"/>
      <c r="K5" s="312"/>
      <c r="L5" s="318"/>
      <c r="P5" s="1401"/>
    </row>
    <row r="6" spans="1:16" ht="15.75">
      <c r="A6" s="257"/>
      <c r="B6" s="257"/>
      <c r="C6" s="507"/>
      <c r="D6" s="257"/>
      <c r="E6" s="257"/>
      <c r="F6" s="257"/>
      <c r="G6" s="319"/>
      <c r="H6" s="595" t="s">
        <v>383</v>
      </c>
      <c r="I6" s="774">
        <f>YesterdayGen!A2</f>
        <v>43106</v>
      </c>
      <c r="J6" s="257"/>
      <c r="K6" s="312"/>
      <c r="L6" s="318"/>
      <c r="P6" s="1401"/>
    </row>
    <row r="7" spans="1:16">
      <c r="A7" s="319"/>
      <c r="B7" s="319"/>
      <c r="C7" s="775" t="s">
        <v>384</v>
      </c>
      <c r="D7" s="319"/>
      <c r="E7" s="320">
        <f>EvReport!D182</f>
        <v>8218</v>
      </c>
      <c r="F7" s="773" t="s">
        <v>385</v>
      </c>
      <c r="G7" s="776">
        <f>EvReport!L6</f>
        <v>0.8125</v>
      </c>
      <c r="H7" s="776"/>
      <c r="I7" s="319"/>
      <c r="J7" s="319"/>
      <c r="K7" s="312"/>
      <c r="L7" s="318"/>
      <c r="P7" s="1401"/>
    </row>
    <row r="8" spans="1:16">
      <c r="A8" s="319"/>
      <c r="B8" s="319"/>
      <c r="C8" s="775" t="s">
        <v>386</v>
      </c>
      <c r="D8" s="319"/>
      <c r="E8" s="320">
        <f>EvReport!D183</f>
        <v>8218</v>
      </c>
      <c r="F8" s="773" t="s">
        <v>385</v>
      </c>
      <c r="G8" s="777" t="s">
        <v>387</v>
      </c>
      <c r="H8" s="319"/>
      <c r="I8" s="319"/>
      <c r="J8" s="319"/>
      <c r="K8" s="312"/>
      <c r="L8" s="318"/>
      <c r="P8" s="1401"/>
    </row>
    <row r="9" spans="1:16">
      <c r="A9" s="319"/>
      <c r="B9" s="319"/>
      <c r="C9" s="775" t="s">
        <v>388</v>
      </c>
      <c r="D9" s="319"/>
      <c r="E9" s="320">
        <f>G23</f>
        <v>0</v>
      </c>
      <c r="F9" s="773" t="s">
        <v>385</v>
      </c>
      <c r="G9" s="778" t="s">
        <v>387</v>
      </c>
      <c r="H9" s="319"/>
      <c r="I9" s="319"/>
      <c r="J9" s="319"/>
      <c r="K9" s="312"/>
      <c r="L9" s="318"/>
      <c r="P9" s="1401"/>
    </row>
    <row r="10" spans="1:16">
      <c r="A10" s="319"/>
      <c r="B10" s="319"/>
      <c r="C10" s="775" t="s">
        <v>389</v>
      </c>
      <c r="D10" s="319"/>
      <c r="E10" s="321">
        <f>E9/E8</f>
        <v>0</v>
      </c>
      <c r="F10" s="319"/>
      <c r="G10" s="319"/>
      <c r="H10" s="319"/>
      <c r="I10" s="319"/>
      <c r="J10" s="319"/>
      <c r="K10" s="312"/>
      <c r="L10" s="318"/>
      <c r="P10" s="1401"/>
    </row>
    <row r="11" spans="1:16">
      <c r="A11" s="319"/>
      <c r="B11" s="319"/>
      <c r="C11" s="322"/>
      <c r="D11" s="319"/>
      <c r="E11" s="319"/>
      <c r="F11" s="319"/>
      <c r="G11" s="319"/>
      <c r="H11" s="319"/>
      <c r="I11" s="319"/>
      <c r="J11" s="319"/>
      <c r="K11" s="312"/>
      <c r="L11" s="312"/>
      <c r="P11" s="1401"/>
    </row>
    <row r="12" spans="1:16" ht="15.75">
      <c r="A12" s="779" t="s">
        <v>52</v>
      </c>
      <c r="B12" s="780"/>
      <c r="C12" s="781" t="s">
        <v>390</v>
      </c>
      <c r="D12" s="782"/>
      <c r="E12" s="783" t="s">
        <v>391</v>
      </c>
      <c r="F12" s="782"/>
      <c r="G12" s="784" t="s">
        <v>392</v>
      </c>
      <c r="H12" s="782"/>
      <c r="I12" s="783" t="s">
        <v>393</v>
      </c>
      <c r="J12" s="785"/>
      <c r="K12" s="312"/>
      <c r="L12" s="312"/>
      <c r="P12" s="1401"/>
    </row>
    <row r="13" spans="1:16" ht="15.75">
      <c r="A13" s="786"/>
      <c r="B13" s="787"/>
      <c r="C13" s="788" t="s">
        <v>36</v>
      </c>
      <c r="D13" s="789"/>
      <c r="E13" s="790" t="s">
        <v>36</v>
      </c>
      <c r="F13" s="791"/>
      <c r="G13" s="790" t="s">
        <v>36</v>
      </c>
      <c r="H13" s="792"/>
      <c r="I13" s="787"/>
      <c r="J13" s="793"/>
      <c r="K13" s="312"/>
      <c r="L13" s="312"/>
      <c r="P13" s="1401"/>
    </row>
    <row r="14" spans="1:16" ht="15.75">
      <c r="A14" s="794" t="s">
        <v>10</v>
      </c>
      <c r="B14" s="795"/>
      <c r="C14" s="330">
        <f>EvReport!H191</f>
        <v>2722</v>
      </c>
      <c r="D14" s="796"/>
      <c r="E14" s="330">
        <f>EvReport!E191</f>
        <v>2722</v>
      </c>
      <c r="F14" s="796"/>
      <c r="G14" s="330">
        <f>EvReport!J191</f>
        <v>0</v>
      </c>
      <c r="H14" s="796"/>
      <c r="I14" s="797" t="str">
        <f t="shared" ref="I14:I22" si="0">IF(L14/C14&gt;0,L14/C14,"-")</f>
        <v>-</v>
      </c>
      <c r="J14" s="798"/>
      <c r="K14" s="312"/>
      <c r="L14" s="323">
        <f>Ch!C14-Ch!E14</f>
        <v>0</v>
      </c>
      <c r="P14" s="1401"/>
    </row>
    <row r="15" spans="1:16" ht="15.75">
      <c r="A15" s="799" t="s">
        <v>16</v>
      </c>
      <c r="B15" s="800"/>
      <c r="C15" s="330">
        <f>EvReport!H192</f>
        <v>842</v>
      </c>
      <c r="D15" s="801"/>
      <c r="E15" s="330">
        <f>EvReport!E192</f>
        <v>842</v>
      </c>
      <c r="F15" s="801"/>
      <c r="G15" s="330">
        <f>EvReport!J192</f>
        <v>0</v>
      </c>
      <c r="H15" s="801"/>
      <c r="I15" s="797" t="str">
        <f t="shared" si="0"/>
        <v>-</v>
      </c>
      <c r="J15" s="798"/>
      <c r="K15" s="312"/>
      <c r="L15" s="323">
        <f>Ch!C15-Ch!E15</f>
        <v>0</v>
      </c>
      <c r="O15" s="6" t="s">
        <v>18</v>
      </c>
      <c r="P15" s="1401"/>
    </row>
    <row r="16" spans="1:16" ht="15.75">
      <c r="A16" s="799" t="s">
        <v>334</v>
      </c>
      <c r="B16" s="800"/>
      <c r="C16" s="330">
        <f>EvReport!H193</f>
        <v>1015</v>
      </c>
      <c r="D16" s="801"/>
      <c r="E16" s="330">
        <f>EvReport!E193</f>
        <v>1015</v>
      </c>
      <c r="F16" s="801"/>
      <c r="G16" s="330">
        <f>EvReport!J193</f>
        <v>0</v>
      </c>
      <c r="H16" s="801"/>
      <c r="I16" s="797" t="str">
        <f t="shared" si="0"/>
        <v>-</v>
      </c>
      <c r="J16" s="798"/>
      <c r="K16" s="312"/>
      <c r="L16" s="323">
        <f>Ch!C16-Ch!E16</f>
        <v>0</v>
      </c>
      <c r="P16" s="1401"/>
    </row>
    <row r="17" spans="1:16" ht="15.75">
      <c r="A17" s="799" t="s">
        <v>55</v>
      </c>
      <c r="B17" s="800"/>
      <c r="C17" s="330">
        <f>EvReport!H194</f>
        <v>858</v>
      </c>
      <c r="D17" s="801"/>
      <c r="E17" s="330">
        <f>EvReport!E194</f>
        <v>858</v>
      </c>
      <c r="F17" s="801"/>
      <c r="G17" s="330">
        <f>EvReport!J194</f>
        <v>0</v>
      </c>
      <c r="H17" s="801"/>
      <c r="I17" s="797" t="str">
        <f t="shared" si="0"/>
        <v>-</v>
      </c>
      <c r="J17" s="798"/>
      <c r="K17" s="312"/>
      <c r="L17" s="323">
        <f>Ch!C17-Ch!E17</f>
        <v>0</v>
      </c>
      <c r="P17" s="1401"/>
    </row>
    <row r="18" spans="1:16" ht="15.75">
      <c r="A18" s="799" t="s">
        <v>9</v>
      </c>
      <c r="B18" s="800"/>
      <c r="C18" s="330">
        <f>EvReport!H195</f>
        <v>700</v>
      </c>
      <c r="D18" s="801"/>
      <c r="E18" s="330">
        <f>EvReport!E195</f>
        <v>700</v>
      </c>
      <c r="F18" s="801"/>
      <c r="G18" s="330">
        <f>EvReport!J195</f>
        <v>0</v>
      </c>
      <c r="H18" s="801"/>
      <c r="I18" s="797" t="str">
        <f t="shared" si="0"/>
        <v>-</v>
      </c>
      <c r="J18" s="798"/>
      <c r="K18" s="312"/>
      <c r="L18" s="323">
        <f>Ch!C18-Ch!E18</f>
        <v>0</v>
      </c>
      <c r="P18" s="1401"/>
    </row>
    <row r="19" spans="1:16" ht="15.75">
      <c r="A19" s="799" t="s">
        <v>106</v>
      </c>
      <c r="B19" s="800"/>
      <c r="C19" s="330">
        <f>EvReport!H196</f>
        <v>742</v>
      </c>
      <c r="D19" s="801"/>
      <c r="E19" s="330">
        <f>EvReport!E196</f>
        <v>742</v>
      </c>
      <c r="F19" s="801"/>
      <c r="G19" s="330">
        <f>EvReport!J196</f>
        <v>0</v>
      </c>
      <c r="H19" s="801"/>
      <c r="I19" s="797" t="str">
        <f t="shared" si="0"/>
        <v>-</v>
      </c>
      <c r="J19" s="802"/>
      <c r="K19" s="312"/>
      <c r="L19" s="323">
        <f>Ch!C19-Ch!E19</f>
        <v>0</v>
      </c>
      <c r="P19" s="1401"/>
    </row>
    <row r="20" spans="1:16" ht="15.75">
      <c r="A20" s="799" t="s">
        <v>4</v>
      </c>
      <c r="B20" s="800"/>
      <c r="C20" s="330">
        <f>EvReport!H197</f>
        <v>313</v>
      </c>
      <c r="D20" s="801"/>
      <c r="E20" s="330">
        <f>EvReport!E197</f>
        <v>313</v>
      </c>
      <c r="F20" s="801"/>
      <c r="G20" s="330">
        <f>EvReport!J197</f>
        <v>0</v>
      </c>
      <c r="H20" s="801"/>
      <c r="I20" s="797" t="str">
        <f t="shared" si="0"/>
        <v>-</v>
      </c>
      <c r="J20" s="798"/>
      <c r="K20" s="312"/>
      <c r="L20" s="323">
        <f>Ch!C20-Ch!E20</f>
        <v>0</v>
      </c>
      <c r="P20" s="1401"/>
    </row>
    <row r="21" spans="1:16" ht="15.75">
      <c r="A21" s="803" t="s">
        <v>56</v>
      </c>
      <c r="B21" s="800"/>
      <c r="C21" s="330">
        <f>EvReport!H198</f>
        <v>234</v>
      </c>
      <c r="D21" s="801"/>
      <c r="E21" s="330">
        <f>EvReport!E198</f>
        <v>234</v>
      </c>
      <c r="F21" s="801"/>
      <c r="G21" s="330">
        <f>EvReport!J198</f>
        <v>0</v>
      </c>
      <c r="H21" s="801"/>
      <c r="I21" s="797" t="str">
        <f t="shared" si="0"/>
        <v>-</v>
      </c>
      <c r="J21" s="802"/>
      <c r="K21" s="312"/>
      <c r="L21" s="323">
        <f>Ch!C21-Ch!E21</f>
        <v>0</v>
      </c>
      <c r="P21" s="1401"/>
    </row>
    <row r="22" spans="1:16" ht="15.75">
      <c r="A22" s="799" t="s">
        <v>6</v>
      </c>
      <c r="B22" s="804"/>
      <c r="C22" s="330">
        <f>EvReport!H199</f>
        <v>575</v>
      </c>
      <c r="D22" s="805"/>
      <c r="E22" s="330">
        <f>EvReport!E199</f>
        <v>575</v>
      </c>
      <c r="F22" s="805"/>
      <c r="G22" s="330">
        <f>EvReport!J199</f>
        <v>0</v>
      </c>
      <c r="H22" s="806"/>
      <c r="I22" s="797" t="str">
        <f t="shared" si="0"/>
        <v>-</v>
      </c>
      <c r="J22" s="798"/>
      <c r="K22" s="312"/>
      <c r="L22" s="323">
        <f>Ch!C22-Ch!E22</f>
        <v>0</v>
      </c>
      <c r="P22" s="1401"/>
    </row>
    <row r="23" spans="1:16" ht="15.75">
      <c r="A23" s="807" t="s">
        <v>12</v>
      </c>
      <c r="B23" s="787"/>
      <c r="C23" s="330">
        <f>SUM(C14:C22)</f>
        <v>8001</v>
      </c>
      <c r="D23" s="792"/>
      <c r="E23" s="330">
        <f>SUM(E14:E22)</f>
        <v>8001</v>
      </c>
      <c r="F23" s="330"/>
      <c r="G23" s="330">
        <f>SUM(G14:G22)</f>
        <v>0</v>
      </c>
      <c r="H23" s="792"/>
      <c r="I23" s="797"/>
      <c r="J23" s="808"/>
      <c r="K23" s="725"/>
      <c r="L23" s="324">
        <f>SUM(L14:L22)</f>
        <v>0</v>
      </c>
      <c r="M23" s="6">
        <f>SUM(E14:E22)</f>
        <v>8001</v>
      </c>
      <c r="P23" s="1401"/>
    </row>
    <row r="24" spans="1:16">
      <c r="A24" s="809"/>
      <c r="B24" s="810"/>
      <c r="C24" s="811"/>
      <c r="D24" s="810"/>
      <c r="E24" s="812"/>
      <c r="F24" s="810"/>
      <c r="G24" s="811"/>
      <c r="H24" s="810"/>
      <c r="I24" s="813"/>
      <c r="J24" s="810"/>
      <c r="K24" s="312"/>
      <c r="L24" s="324">
        <f>K23-M23</f>
        <v>-8001</v>
      </c>
      <c r="P24" s="1401"/>
    </row>
    <row r="25" spans="1:16">
      <c r="A25" s="213"/>
      <c r="B25" s="600"/>
      <c r="C25" s="814"/>
      <c r="D25" s="600"/>
      <c r="E25" s="814"/>
      <c r="F25" s="600"/>
      <c r="G25" s="814"/>
      <c r="H25" s="600"/>
      <c r="I25" s="815"/>
      <c r="J25" s="600"/>
      <c r="K25" s="312"/>
      <c r="L25" s="324"/>
      <c r="P25" s="1574"/>
    </row>
    <row r="26" spans="1:16" ht="18">
      <c r="A26" s="435"/>
      <c r="B26" s="257"/>
      <c r="C26" s="474" t="s">
        <v>394</v>
      </c>
      <c r="D26" s="507"/>
      <c r="E26" s="507"/>
      <c r="F26" s="507"/>
      <c r="G26" s="507"/>
      <c r="H26" s="507"/>
      <c r="I26" s="257"/>
      <c r="J26" s="257"/>
      <c r="K26" s="312"/>
      <c r="L26" s="312"/>
      <c r="P26" s="1401"/>
    </row>
    <row r="27" spans="1:16">
      <c r="A27" s="451"/>
      <c r="B27" s="507"/>
      <c r="C27" s="507"/>
      <c r="D27" s="507"/>
      <c r="E27" s="816"/>
      <c r="F27" s="507"/>
      <c r="G27" s="816"/>
      <c r="H27" s="507"/>
      <c r="I27" s="257"/>
      <c r="J27" s="257"/>
      <c r="K27" s="312"/>
      <c r="L27" s="312"/>
      <c r="P27" s="1401"/>
    </row>
    <row r="28" spans="1:16" ht="15.75">
      <c r="A28" s="817"/>
      <c r="B28" s="818"/>
      <c r="C28" s="775" t="s">
        <v>395</v>
      </c>
      <c r="D28" s="319"/>
      <c r="E28" s="771">
        <f>Forecast!G204</f>
        <v>9200</v>
      </c>
      <c r="F28" s="772" t="s">
        <v>36</v>
      </c>
      <c r="G28" s="817"/>
      <c r="H28" s="773" t="s">
        <v>383</v>
      </c>
      <c r="I28" s="774">
        <f>Forecast!E3</f>
        <v>43107</v>
      </c>
      <c r="J28" s="319"/>
      <c r="K28" s="312"/>
      <c r="L28" s="312"/>
      <c r="P28" s="1401"/>
    </row>
    <row r="29" spans="1:16" ht="15.75">
      <c r="A29" s="817"/>
      <c r="B29" s="818"/>
      <c r="C29" s="775" t="s">
        <v>396</v>
      </c>
      <c r="D29" s="817"/>
      <c r="E29" s="771">
        <f>Forecast!G205</f>
        <v>12061</v>
      </c>
      <c r="F29" s="772" t="s">
        <v>36</v>
      </c>
      <c r="G29" s="817"/>
      <c r="H29" s="817"/>
      <c r="I29" s="319"/>
      <c r="J29" s="319"/>
      <c r="K29" s="312"/>
      <c r="L29" s="312"/>
      <c r="M29" s="6" t="s">
        <v>397</v>
      </c>
    </row>
    <row r="30" spans="1:16" ht="15.75">
      <c r="A30" s="817"/>
      <c r="B30" s="818"/>
      <c r="C30" s="775" t="s">
        <v>398</v>
      </c>
      <c r="D30" s="817"/>
      <c r="E30" s="771">
        <f>Forecast!O204</f>
        <v>0</v>
      </c>
      <c r="F30" s="772" t="s">
        <v>36</v>
      </c>
      <c r="G30" s="817"/>
      <c r="H30" s="817"/>
      <c r="I30" s="319"/>
      <c r="J30" s="319"/>
      <c r="K30" s="312"/>
      <c r="L30" s="312"/>
    </row>
    <row r="31" spans="1:16" ht="15.75">
      <c r="A31" s="817"/>
      <c r="B31" s="817"/>
      <c r="C31" s="817"/>
      <c r="D31" s="817"/>
      <c r="E31" s="771"/>
      <c r="F31" s="817"/>
      <c r="G31" s="817"/>
      <c r="H31" s="817"/>
      <c r="I31" s="319"/>
      <c r="J31" s="319"/>
      <c r="K31" s="312"/>
      <c r="L31" s="312"/>
    </row>
    <row r="32" spans="1:16" ht="15.75">
      <c r="A32" s="817"/>
      <c r="B32" s="817"/>
      <c r="C32" s="817"/>
      <c r="D32" s="817"/>
      <c r="E32" s="817"/>
      <c r="F32" s="817"/>
      <c r="G32" s="817"/>
      <c r="H32" s="817"/>
      <c r="I32" s="319"/>
      <c r="J32" s="319"/>
      <c r="K32" s="312"/>
      <c r="L32" s="312"/>
    </row>
    <row r="33" spans="1:12" ht="15.75">
      <c r="A33" s="779" t="s">
        <v>52</v>
      </c>
      <c r="B33" s="780"/>
      <c r="C33" s="781" t="s">
        <v>399</v>
      </c>
      <c r="D33" s="782"/>
      <c r="E33" s="784" t="s">
        <v>400</v>
      </c>
      <c r="F33" s="782"/>
      <c r="G33" s="783" t="s">
        <v>401</v>
      </c>
      <c r="H33" s="785"/>
      <c r="I33" s="325" t="s">
        <v>402</v>
      </c>
      <c r="J33" s="326"/>
      <c r="K33" s="312"/>
      <c r="L33" s="312"/>
    </row>
    <row r="34" spans="1:12" ht="15.75">
      <c r="A34" s="819"/>
      <c r="B34" s="820"/>
      <c r="C34" s="821" t="s">
        <v>36</v>
      </c>
      <c r="D34" s="821"/>
      <c r="E34" s="821" t="s">
        <v>36</v>
      </c>
      <c r="F34" s="327"/>
      <c r="G34" s="327"/>
      <c r="H34" s="822"/>
      <c r="I34" s="328"/>
      <c r="J34" s="329"/>
      <c r="K34" s="312"/>
      <c r="L34" s="312"/>
    </row>
    <row r="35" spans="1:12" ht="15.75">
      <c r="A35" s="794" t="s">
        <v>10</v>
      </c>
      <c r="B35" s="795"/>
      <c r="C35" s="330">
        <f>Forecast!W190</f>
        <v>3341.4028023850087</v>
      </c>
      <c r="D35" s="331"/>
      <c r="E35" s="330">
        <f>Forecast!Y190</f>
        <v>0</v>
      </c>
      <c r="F35" s="331"/>
      <c r="G35" s="823">
        <f>Forecast!Z190</f>
        <v>0</v>
      </c>
      <c r="H35" s="824"/>
      <c r="I35" s="332"/>
      <c r="J35" s="333"/>
      <c r="K35" s="825"/>
      <c r="L35" s="334">
        <f>IF(E35&gt;0,E35,0)</f>
        <v>0</v>
      </c>
    </row>
    <row r="36" spans="1:12" ht="15.75">
      <c r="A36" s="799" t="s">
        <v>16</v>
      </c>
      <c r="B36" s="800"/>
      <c r="C36" s="330">
        <f>Forecast!W191</f>
        <v>1131.8644463373084</v>
      </c>
      <c r="D36" s="335"/>
      <c r="E36" s="330">
        <f>Forecast!Y191</f>
        <v>0</v>
      </c>
      <c r="F36" s="335"/>
      <c r="G36" s="823">
        <f>Forecast!Z191</f>
        <v>0</v>
      </c>
      <c r="H36" s="826"/>
      <c r="I36" s="336"/>
      <c r="J36" s="337"/>
      <c r="K36" s="825"/>
      <c r="L36" s="334">
        <f>IF(E36&gt;0,E36,0)</f>
        <v>0</v>
      </c>
    </row>
    <row r="37" spans="1:12" ht="15.75">
      <c r="A37" s="799" t="s">
        <v>334</v>
      </c>
      <c r="B37" s="800"/>
      <c r="C37" s="330">
        <f>Forecast!W192</f>
        <v>1013.329454855196</v>
      </c>
      <c r="D37" s="335"/>
      <c r="E37" s="330">
        <f>Forecast!Y192</f>
        <v>0</v>
      </c>
      <c r="F37" s="335"/>
      <c r="G37" s="823">
        <f>Forecast!Z192</f>
        <v>0</v>
      </c>
      <c r="H37" s="826"/>
      <c r="I37" s="336"/>
      <c r="J37" s="337"/>
      <c r="K37" s="825"/>
      <c r="L37" s="334">
        <f t="shared" ref="L37:L43" si="1">IF(E37&gt;0,E37,0)</f>
        <v>0</v>
      </c>
    </row>
    <row r="38" spans="1:12" ht="15.75">
      <c r="A38" s="799" t="s">
        <v>55</v>
      </c>
      <c r="B38" s="800"/>
      <c r="C38" s="330">
        <f>Forecast!W193</f>
        <v>915.35043867120953</v>
      </c>
      <c r="D38" s="335"/>
      <c r="E38" s="330">
        <f>Forecast!Y193</f>
        <v>0</v>
      </c>
      <c r="F38" s="335" t="s">
        <v>18</v>
      </c>
      <c r="G38" s="823">
        <f>Forecast!Z193</f>
        <v>0</v>
      </c>
      <c r="H38" s="826"/>
      <c r="I38" s="336"/>
      <c r="J38" s="337"/>
      <c r="K38" s="825"/>
      <c r="L38" s="334">
        <f t="shared" si="1"/>
        <v>0</v>
      </c>
    </row>
    <row r="39" spans="1:12" ht="15.75">
      <c r="A39" s="799" t="s">
        <v>9</v>
      </c>
      <c r="B39" s="800"/>
      <c r="C39" s="330">
        <f>Forecast!W194</f>
        <v>827.34235945485534</v>
      </c>
      <c r="D39" s="335"/>
      <c r="E39" s="330">
        <f>Forecast!Y194</f>
        <v>0</v>
      </c>
      <c r="F39" s="335"/>
      <c r="G39" s="823">
        <f>Forecast!Z194</f>
        <v>0</v>
      </c>
      <c r="H39" s="826"/>
      <c r="I39" s="336"/>
      <c r="J39" s="337"/>
      <c r="K39" s="827"/>
      <c r="L39" s="334">
        <f t="shared" si="1"/>
        <v>0</v>
      </c>
    </row>
    <row r="40" spans="1:12" ht="15.75">
      <c r="A40" s="828" t="s">
        <v>106</v>
      </c>
      <c r="B40" s="800"/>
      <c r="C40" s="330">
        <f>Forecast!W195</f>
        <v>667.62491056218062</v>
      </c>
      <c r="D40" s="335"/>
      <c r="E40" s="330">
        <f>Forecast!Y195</f>
        <v>0</v>
      </c>
      <c r="F40" s="335"/>
      <c r="G40" s="823">
        <f>Forecast!Z195</f>
        <v>0</v>
      </c>
      <c r="H40" s="826"/>
      <c r="I40" s="336"/>
      <c r="J40" s="337"/>
      <c r="K40" s="825"/>
      <c r="L40" s="334">
        <f t="shared" si="1"/>
        <v>0</v>
      </c>
    </row>
    <row r="41" spans="1:12" ht="15.75">
      <c r="A41" s="799" t="s">
        <v>4</v>
      </c>
      <c r="B41" s="800"/>
      <c r="C41" s="330">
        <f>Forecast!W196</f>
        <v>378.96181005110731</v>
      </c>
      <c r="D41" s="335"/>
      <c r="E41" s="330">
        <f>Forecast!Y196</f>
        <v>0</v>
      </c>
      <c r="F41" s="335"/>
      <c r="G41" s="823">
        <f>Forecast!Z196</f>
        <v>0</v>
      </c>
      <c r="H41" s="826"/>
      <c r="I41" s="336"/>
      <c r="J41" s="337"/>
      <c r="K41" s="825"/>
      <c r="L41" s="334">
        <f t="shared" si="1"/>
        <v>0</v>
      </c>
    </row>
    <row r="42" spans="1:12" ht="15.75">
      <c r="A42" s="829" t="s">
        <v>56</v>
      </c>
      <c r="B42" s="800"/>
      <c r="C42" s="330">
        <f>Forecast!W197</f>
        <v>172.04522146507665</v>
      </c>
      <c r="D42" s="335"/>
      <c r="E42" s="330">
        <f>Forecast!Y197</f>
        <v>0</v>
      </c>
      <c r="F42" s="335"/>
      <c r="G42" s="823">
        <f>Forecast!Z197</f>
        <v>0</v>
      </c>
      <c r="H42" s="826"/>
      <c r="I42" s="336"/>
      <c r="J42" s="337"/>
      <c r="K42" s="825"/>
      <c r="L42" s="334">
        <f t="shared" si="1"/>
        <v>0</v>
      </c>
    </row>
    <row r="43" spans="1:12" ht="15.75">
      <c r="A43" s="803" t="s">
        <v>6</v>
      </c>
      <c r="B43" s="830"/>
      <c r="C43" s="330">
        <f>Forecast!W198</f>
        <v>514.87839863713793</v>
      </c>
      <c r="D43" s="338"/>
      <c r="E43" s="330">
        <f>Forecast!Y198</f>
        <v>0</v>
      </c>
      <c r="F43" s="338"/>
      <c r="G43" s="823">
        <f>Forecast!Z198</f>
        <v>0</v>
      </c>
      <c r="H43" s="831"/>
      <c r="I43" s="336"/>
      <c r="J43" s="337"/>
      <c r="K43" s="825"/>
      <c r="L43" s="334">
        <f t="shared" si="1"/>
        <v>0</v>
      </c>
    </row>
    <row r="44" spans="1:12" ht="15.75">
      <c r="A44" s="832" t="s">
        <v>12</v>
      </c>
      <c r="B44" s="833"/>
      <c r="C44" s="339">
        <f>SUM(C35:C43)</f>
        <v>8962.7998424190791</v>
      </c>
      <c r="D44" s="339"/>
      <c r="E44" s="339">
        <f>Forecast!Y199</f>
        <v>0</v>
      </c>
      <c r="F44" s="340"/>
      <c r="G44" s="834"/>
      <c r="H44" s="835"/>
      <c r="I44" s="341"/>
      <c r="J44" s="342"/>
      <c r="K44" s="836"/>
      <c r="L44" s="334">
        <f>SUM(L35:L43)</f>
        <v>0</v>
      </c>
    </row>
    <row r="45" spans="1:12">
      <c r="A45" s="343"/>
      <c r="B45" s="344"/>
      <c r="C45" s="344"/>
      <c r="D45" s="344"/>
      <c r="E45" s="344"/>
      <c r="F45" s="344"/>
      <c r="G45" s="345"/>
      <c r="H45" s="345"/>
      <c r="I45" s="346"/>
      <c r="J45" s="346"/>
      <c r="K45" s="347"/>
      <c r="L45" s="7"/>
    </row>
    <row r="46" spans="1:12" ht="18">
      <c r="A46" s="348"/>
      <c r="B46" s="349"/>
      <c r="C46" s="349"/>
      <c r="D46" s="349"/>
      <c r="E46" s="349"/>
      <c r="F46" s="349"/>
      <c r="G46" s="350"/>
      <c r="H46" s="350"/>
      <c r="I46" s="351"/>
      <c r="J46" s="351"/>
      <c r="K46" s="347"/>
      <c r="L46" s="7"/>
    </row>
    <row r="47" spans="1:12">
      <c r="A47" s="352" t="s">
        <v>403</v>
      </c>
      <c r="B47" s="353"/>
      <c r="C47" s="353"/>
      <c r="D47" s="353"/>
      <c r="E47" s="353"/>
      <c r="F47" s="353"/>
      <c r="G47" s="354"/>
      <c r="H47" s="354"/>
      <c r="I47" s="351"/>
      <c r="J47" s="351"/>
      <c r="K47" s="347"/>
      <c r="L47" s="7"/>
    </row>
    <row r="48" spans="1:12" ht="15.75">
      <c r="A48" s="4560" t="s">
        <v>1716</v>
      </c>
      <c r="B48" s="4562"/>
      <c r="C48" s="4563"/>
      <c r="D48" s="4563"/>
      <c r="E48" s="4563"/>
      <c r="F48" s="4563"/>
      <c r="G48" s="4563"/>
      <c r="H48" s="4563"/>
      <c r="I48" s="4563"/>
      <c r="J48" s="4563"/>
      <c r="K48" s="356"/>
      <c r="L48" s="312"/>
    </row>
    <row r="49" spans="1:12" ht="15.75">
      <c r="A49" s="4561" t="s">
        <v>1598</v>
      </c>
      <c r="B49" s="4564"/>
      <c r="C49" s="4563"/>
      <c r="D49" s="4563"/>
      <c r="E49" s="4563"/>
      <c r="F49" s="4563"/>
      <c r="G49" s="4563"/>
      <c r="H49" s="4563"/>
      <c r="I49" s="4563"/>
      <c r="J49" s="4563"/>
      <c r="K49" s="356"/>
      <c r="L49" s="312"/>
    </row>
    <row r="50" spans="1:12" ht="15.75">
      <c r="A50" s="4748" t="s">
        <v>1717</v>
      </c>
      <c r="B50" s="357"/>
      <c r="C50" s="4565"/>
      <c r="D50" s="4565"/>
      <c r="E50" s="4565"/>
      <c r="F50" s="4565"/>
      <c r="G50" s="4566"/>
      <c r="H50" s="4566"/>
      <c r="I50" s="4566"/>
      <c r="J50" s="4563"/>
      <c r="K50" s="356"/>
      <c r="L50" s="312"/>
    </row>
    <row r="51" spans="1:12">
      <c r="A51" s="4375"/>
      <c r="B51" s="355"/>
      <c r="C51" s="355"/>
      <c r="D51" s="355"/>
      <c r="E51" s="355"/>
      <c r="F51" s="355"/>
      <c r="G51" s="355"/>
      <c r="H51" s="355"/>
      <c r="I51" s="355"/>
      <c r="J51" s="355"/>
      <c r="K51" s="356"/>
      <c r="L51" s="312"/>
    </row>
    <row r="52" spans="1:12">
      <c r="A52" s="4376"/>
      <c r="B52" s="358"/>
      <c r="C52" s="358"/>
      <c r="D52" s="358"/>
      <c r="E52" s="358"/>
      <c r="F52" s="358"/>
      <c r="G52" s="358"/>
      <c r="H52" s="358"/>
      <c r="I52" s="358"/>
      <c r="J52" s="358"/>
      <c r="K52" s="356"/>
      <c r="L52" s="312"/>
    </row>
    <row r="53" spans="1:12">
      <c r="A53" s="4377"/>
      <c r="B53" s="358"/>
      <c r="C53" s="358"/>
      <c r="D53" s="257"/>
      <c r="E53" s="358" t="s">
        <v>404</v>
      </c>
      <c r="F53" s="358" t="s">
        <v>405</v>
      </c>
      <c r="G53" s="358"/>
      <c r="H53" s="358"/>
      <c r="I53" s="358"/>
      <c r="J53" s="358"/>
      <c r="K53" s="356"/>
      <c r="L53" s="312"/>
    </row>
    <row r="54" spans="1:12">
      <c r="A54" s="4378"/>
      <c r="B54" s="358"/>
      <c r="C54" s="358"/>
      <c r="D54" s="358"/>
      <c r="E54" s="358"/>
      <c r="F54" s="358"/>
      <c r="G54" s="358"/>
      <c r="H54" s="358"/>
      <c r="I54" s="358"/>
      <c r="J54" s="358"/>
      <c r="K54" s="356"/>
      <c r="L54" s="312"/>
    </row>
    <row r="55" spans="1:12">
      <c r="A55" s="4376"/>
      <c r="B55" s="358"/>
      <c r="C55" s="358"/>
      <c r="D55" s="358"/>
      <c r="E55" s="358"/>
      <c r="F55" s="358" t="s">
        <v>18</v>
      </c>
      <c r="G55" s="358" t="s">
        <v>406</v>
      </c>
      <c r="H55" s="358"/>
      <c r="I55" s="358"/>
      <c r="J55" s="358"/>
      <c r="K55" s="356"/>
      <c r="L55" s="312"/>
    </row>
    <row r="56" spans="1:12">
      <c r="A56" s="4376"/>
      <c r="B56" s="358"/>
      <c r="C56" s="358"/>
      <c r="D56" s="358" t="s">
        <v>18</v>
      </c>
      <c r="E56" s="358"/>
      <c r="F56" s="257"/>
      <c r="G56" s="359"/>
      <c r="H56" s="360" t="s">
        <v>407</v>
      </c>
      <c r="I56" s="361"/>
      <c r="J56" s="358"/>
      <c r="K56" s="356"/>
      <c r="L56" s="312"/>
    </row>
    <row r="57" spans="1:12">
      <c r="A57" s="4376"/>
      <c r="B57" s="358"/>
      <c r="C57" s="358"/>
      <c r="D57" s="358"/>
      <c r="E57" s="358"/>
      <c r="F57" s="257"/>
      <c r="G57" s="362"/>
      <c r="H57" s="363" t="s">
        <v>380</v>
      </c>
      <c r="I57" s="358"/>
      <c r="J57" s="364"/>
      <c r="K57" s="356"/>
      <c r="L57" s="312"/>
    </row>
    <row r="58" spans="1:12">
      <c r="A58" s="4376"/>
      <c r="B58" s="358"/>
      <c r="C58" s="358"/>
      <c r="D58" s="358"/>
      <c r="E58" s="358"/>
      <c r="F58" s="257"/>
      <c r="G58" s="358"/>
      <c r="H58" s="358"/>
      <c r="I58" s="358"/>
      <c r="J58" s="358"/>
      <c r="K58" s="356"/>
      <c r="L58" s="312"/>
    </row>
    <row r="59" spans="1:12">
      <c r="A59" s="356"/>
      <c r="B59" s="356"/>
      <c r="C59" s="356"/>
      <c r="D59" s="356"/>
      <c r="E59" s="356"/>
      <c r="F59" s="356"/>
      <c r="G59" s="356"/>
      <c r="H59" s="356"/>
      <c r="I59" s="356"/>
      <c r="J59" s="356"/>
      <c r="K59" s="356"/>
      <c r="L59" s="312"/>
    </row>
    <row r="60" spans="1:12">
      <c r="A60" s="365"/>
      <c r="B60" s="365"/>
      <c r="C60" s="366"/>
      <c r="D60" s="356"/>
      <c r="E60" s="356"/>
      <c r="F60" s="356"/>
      <c r="G60" s="356"/>
      <c r="H60" s="356"/>
      <c r="I60" s="356"/>
      <c r="J60" s="356"/>
      <c r="K60" s="356"/>
      <c r="L60" s="312"/>
    </row>
    <row r="61" spans="1:12">
      <c r="A61" s="367"/>
      <c r="B61" s="365"/>
      <c r="C61" s="366"/>
      <c r="D61" s="356"/>
      <c r="E61" s="356"/>
      <c r="F61" s="368"/>
      <c r="G61" s="368"/>
      <c r="H61" s="356"/>
      <c r="I61" s="356"/>
      <c r="J61" s="356"/>
      <c r="K61" s="356"/>
      <c r="L61" s="312"/>
    </row>
    <row r="62" spans="1:12">
      <c r="A62" s="367"/>
      <c r="B62" s="367"/>
      <c r="C62" s="369"/>
      <c r="D62" s="367"/>
      <c r="E62" s="312"/>
      <c r="F62" s="370"/>
      <c r="G62" s="370"/>
      <c r="H62" s="312"/>
      <c r="I62" s="312"/>
      <c r="J62" s="312"/>
      <c r="K62" s="312"/>
      <c r="L62" s="312"/>
    </row>
    <row r="63" spans="1:12">
      <c r="A63" s="367"/>
      <c r="B63" s="367"/>
      <c r="C63" s="369"/>
      <c r="D63" s="367"/>
      <c r="E63" s="312"/>
      <c r="F63" s="370"/>
      <c r="G63" s="370"/>
      <c r="H63" s="312"/>
      <c r="I63" s="371"/>
      <c r="J63" s="312"/>
      <c r="K63" s="312"/>
      <c r="L63" s="312"/>
    </row>
    <row r="64" spans="1:12">
      <c r="A64" s="367"/>
      <c r="B64" s="372"/>
      <c r="C64" s="369"/>
      <c r="D64" s="367"/>
      <c r="E64" s="312" t="s">
        <v>18</v>
      </c>
      <c r="F64" s="312"/>
      <c r="G64" s="312"/>
      <c r="H64" s="312"/>
      <c r="I64" s="371"/>
      <c r="J64" s="312"/>
      <c r="K64" s="312"/>
      <c r="L64" s="312"/>
    </row>
    <row r="82" spans="4:4">
      <c r="D82" s="1424"/>
    </row>
    <row r="122" spans="10:10">
      <c r="J122" s="373"/>
    </row>
  </sheetData>
  <customSheetViews>
    <customSheetView guid="{7C71EF2A-5ADA-494C-8F58-DDA71753DD90}" showPageBreaks="1" printArea="1">
      <selection activeCell="B32" sqref="B32"/>
      <pageMargins left="0.64" right="0.17" top="0.75" bottom="0.75" header="0.3" footer="0.3"/>
      <pageSetup paperSize="9" scale="65" orientation="portrait" r:id="rId1"/>
    </customSheetView>
    <customSheetView guid="{B91C2E87-5EDA-40AE-AC27-0E2C17E803CE}" showPageBreaks="1" printArea="1" hiddenColumns="1" topLeftCell="A28">
      <selection activeCell="A49" sqref="A49"/>
      <pageMargins left="0.7" right="0.7" top="0.75" bottom="0.75" header="0.3" footer="0.3"/>
      <pageSetup paperSize="9" scale="63" orientation="portrait" r:id="rId2"/>
    </customSheetView>
    <customSheetView guid="{23F4DC00-BC97-4745-AA5C-F05D469CB1EF}" showPageBreaks="1" printArea="1" hiddenColumns="1" topLeftCell="A34">
      <selection activeCell="A77" sqref="A77"/>
      <pageMargins left="0.7" right="0.7" top="0.75" bottom="0.75" header="0.3" footer="0.3"/>
      <pageSetup paperSize="9" scale="71" orientation="portrait" r:id="rId3"/>
    </customSheetView>
    <customSheetView guid="{4593F3EE-0998-4E0E-994A-E02D6BAF3A4B}" showPageBreaks="1" printArea="1" hiddenColumns="1">
      <selection sqref="A1:J59"/>
      <pageMargins left="0.7" right="0.7" top="0.75" bottom="0.75" header="0.3" footer="0.3"/>
      <pageSetup paperSize="9" scale="63" orientation="portrait" r:id="rId4"/>
    </customSheetView>
    <customSheetView guid="{917057C8-5E5F-4164-B84C-85103677A2E5}">
      <selection activeCell="A4" sqref="A4"/>
      <pageMargins left="0.7" right="0.7" top="0.75" bottom="0.75" header="0.3" footer="0.3"/>
      <pageSetup paperSize="9" scale="63" orientation="portrait" r:id="rId5"/>
    </customSheetView>
    <customSheetView guid="{5A803268-F6C5-4035-B3E1-A94CB9AA8994}" showPageBreaks="1" printArea="1" hiddenColumns="1" topLeftCell="A34">
      <selection activeCell="E44" sqref="E44"/>
      <pageMargins left="0.7" right="0.7" top="0.75" bottom="0.75" header="0.3" footer="0.3"/>
      <pageSetup paperSize="9" scale="71" orientation="portrait" r:id="rId6"/>
    </customSheetView>
    <customSheetView guid="{751D391F-C74F-4B53-B5B5-25E01AC12EA4}" topLeftCell="A25">
      <selection activeCell="G53" sqref="G53"/>
      <pageMargins left="0.64" right="0.17" top="0.75" bottom="0.75" header="0.3" footer="0.3"/>
      <pageSetup paperSize="9" scale="68" orientation="portrait" horizontalDpi="4294967295" verticalDpi="4294967295" r:id="rId7"/>
    </customSheetView>
    <customSheetView guid="{D1D1E152-95AB-45D3-AC07-4EC0834D3E0C}" showPageBreaks="1" printArea="1">
      <selection activeCell="G53" sqref="G53"/>
      <pageMargins left="0.64" right="0.17" top="0.75" bottom="0.75" header="0.3" footer="0.3"/>
      <pageSetup paperSize="9" scale="68" orientation="portrait" horizontalDpi="4294967295" verticalDpi="4294967295" r:id="rId8"/>
    </customSheetView>
    <customSheetView guid="{4DB6C640-CE65-4513-9E5A-F6CDD1F4B8AF}" showPageBreaks="1" topLeftCell="A22">
      <selection activeCell="B66" sqref="B66"/>
      <pageMargins left="0.64" right="0.17" top="0.75" bottom="0.75" header="0.3" footer="0.3"/>
      <pageSetup paperSize="9" scale="68" orientation="portrait" horizontalDpi="4294967295" verticalDpi="4294967295" r:id="rId9"/>
    </customSheetView>
    <customSheetView guid="{C3348F62-02F2-4500-9BF2-19F2DEA57A8D}" showPageBreaks="1" printArea="1" topLeftCell="A22">
      <selection activeCell="B55" sqref="B55"/>
      <pageMargins left="0.64" right="0.17" top="0.75" bottom="0.75" header="0.3" footer="0.3"/>
      <pageSetup paperSize="9" scale="68" orientation="portrait" horizontalDpi="4294967295" verticalDpi="4294967295" r:id="rId10"/>
    </customSheetView>
  </customSheetViews>
  <pageMargins left="0.64" right="0.17" top="0.75" bottom="0.75" header="0.3" footer="0.3"/>
  <pageSetup paperSize="9" scale="68" orientation="portrait" horizontalDpi="4294967295" verticalDpi="4294967295" r:id="rId1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rgb="FFFF66FF"/>
  </sheetPr>
  <dimension ref="A1:L122"/>
  <sheetViews>
    <sheetView zoomScale="120" workbookViewId="0">
      <selection sqref="A1:G22"/>
    </sheetView>
  </sheetViews>
  <sheetFormatPr defaultColWidth="9.140625" defaultRowHeight="15"/>
  <cols>
    <col min="1" max="1" width="14.85546875" style="6" customWidth="1"/>
    <col min="2" max="2" width="13.85546875" style="6" customWidth="1"/>
    <col min="3" max="3" width="13.42578125" style="6" customWidth="1"/>
    <col min="4" max="4" width="16.42578125" style="6" customWidth="1"/>
    <col min="5" max="5" width="16.85546875" style="6" customWidth="1"/>
    <col min="6" max="6" width="20.5703125" style="6" customWidth="1"/>
    <col min="7" max="7" width="33.7109375" style="6" customWidth="1"/>
    <col min="8" max="16384" width="9.140625" style="6"/>
  </cols>
  <sheetData>
    <row r="1" spans="1:12" ht="15.75">
      <c r="A1" s="231" t="s">
        <v>18</v>
      </c>
      <c r="B1" s="231"/>
      <c r="C1" s="313"/>
      <c r="D1" s="315" t="s">
        <v>430</v>
      </c>
      <c r="E1" s="315"/>
      <c r="F1" s="231"/>
      <c r="G1" s="392"/>
    </row>
    <row r="2" spans="1:12">
      <c r="A2" s="231"/>
      <c r="B2" s="231"/>
      <c r="C2" s="313"/>
      <c r="D2" s="313"/>
      <c r="E2" s="313"/>
      <c r="F2" s="231"/>
      <c r="G2" s="231"/>
    </row>
    <row r="3" spans="1:12">
      <c r="A3" s="231" t="s">
        <v>431</v>
      </c>
      <c r="B3" s="231" t="s">
        <v>432</v>
      </c>
      <c r="C3" s="231"/>
      <c r="D3" s="313"/>
      <c r="E3" s="313"/>
      <c r="F3" s="231"/>
      <c r="G3" s="231"/>
    </row>
    <row r="4" spans="1:12">
      <c r="A4" s="393" t="s">
        <v>383</v>
      </c>
      <c r="B4" s="394">
        <f>YesterdayGen!A2</f>
        <v>43106</v>
      </c>
      <c r="C4" s="395"/>
      <c r="D4" s="396"/>
      <c r="E4" s="396"/>
      <c r="F4" s="396"/>
      <c r="G4" s="396"/>
    </row>
    <row r="5" spans="1:12">
      <c r="A5" s="396"/>
      <c r="B5" s="396"/>
      <c r="C5" s="396"/>
      <c r="D5" s="396"/>
      <c r="E5" s="396"/>
      <c r="F5" s="396" t="s">
        <v>433</v>
      </c>
      <c r="G5" s="397">
        <f>EvReport!L6</f>
        <v>0.8125</v>
      </c>
    </row>
    <row r="6" spans="1:12">
      <c r="A6" s="398" t="s">
        <v>52</v>
      </c>
      <c r="B6" s="399"/>
      <c r="C6" s="400" t="s">
        <v>14</v>
      </c>
      <c r="D6" s="400" t="s">
        <v>105</v>
      </c>
      <c r="E6" s="400" t="s">
        <v>330</v>
      </c>
      <c r="F6" s="400" t="s">
        <v>434</v>
      </c>
      <c r="G6" s="400" t="s">
        <v>296</v>
      </c>
    </row>
    <row r="7" spans="1:12">
      <c r="A7" s="401"/>
      <c r="B7" s="402"/>
      <c r="C7" s="403" t="s">
        <v>36</v>
      </c>
      <c r="D7" s="403" t="s">
        <v>36</v>
      </c>
      <c r="E7" s="403" t="s">
        <v>36</v>
      </c>
      <c r="F7" s="403" t="s">
        <v>36</v>
      </c>
      <c r="G7" s="403"/>
    </row>
    <row r="8" spans="1:12" ht="18" customHeight="1">
      <c r="A8" s="404" t="s">
        <v>10</v>
      </c>
      <c r="B8" s="405"/>
      <c r="C8" s="406"/>
      <c r="D8" s="407">
        <f>EvReport!H191</f>
        <v>2722</v>
      </c>
      <c r="E8" s="407">
        <f>EvReport!E191</f>
        <v>2722</v>
      </c>
      <c r="F8" s="408">
        <f>EvReport!J191</f>
        <v>0</v>
      </c>
      <c r="G8" s="409"/>
      <c r="L8" s="410"/>
    </row>
    <row r="9" spans="1:12" ht="18" customHeight="1">
      <c r="A9" s="411" t="s">
        <v>16</v>
      </c>
      <c r="B9" s="412"/>
      <c r="C9" s="406"/>
      <c r="D9" s="407">
        <f>EvReport!H192</f>
        <v>842</v>
      </c>
      <c r="E9" s="407">
        <f>EvReport!E192</f>
        <v>842</v>
      </c>
      <c r="F9" s="408">
        <f>EvReport!J192</f>
        <v>0</v>
      </c>
      <c r="G9" s="413"/>
      <c r="L9" s="414"/>
    </row>
    <row r="10" spans="1:12" ht="18" customHeight="1">
      <c r="A10" s="411" t="s">
        <v>5</v>
      </c>
      <c r="B10" s="412"/>
      <c r="C10" s="406"/>
      <c r="D10" s="407">
        <f>EvReport!H193</f>
        <v>1015</v>
      </c>
      <c r="E10" s="407">
        <f>EvReport!E193</f>
        <v>1015</v>
      </c>
      <c r="F10" s="408">
        <f>EvReport!J193</f>
        <v>0</v>
      </c>
      <c r="G10" s="415"/>
      <c r="L10" s="373"/>
    </row>
    <row r="11" spans="1:12" ht="18" customHeight="1">
      <c r="A11" s="411" t="s">
        <v>55</v>
      </c>
      <c r="B11" s="412"/>
      <c r="C11" s="406"/>
      <c r="D11" s="407">
        <f>EvReport!H194</f>
        <v>858</v>
      </c>
      <c r="E11" s="407">
        <f>EvReport!E194</f>
        <v>858</v>
      </c>
      <c r="F11" s="408">
        <f>EvReport!J194</f>
        <v>0</v>
      </c>
      <c r="G11" s="416"/>
      <c r="L11" s="417"/>
    </row>
    <row r="12" spans="1:12" ht="18" customHeight="1">
      <c r="A12" s="411" t="s">
        <v>9</v>
      </c>
      <c r="B12" s="412"/>
      <c r="C12" s="406"/>
      <c r="D12" s="407">
        <f>EvReport!H195</f>
        <v>700</v>
      </c>
      <c r="E12" s="407">
        <f>EvReport!E195</f>
        <v>700</v>
      </c>
      <c r="F12" s="408">
        <f>EvReport!J195</f>
        <v>0</v>
      </c>
      <c r="G12" s="418"/>
      <c r="L12" s="417"/>
    </row>
    <row r="13" spans="1:12" ht="18" customHeight="1">
      <c r="A13" s="411" t="s">
        <v>106</v>
      </c>
      <c r="B13" s="412"/>
      <c r="C13" s="406"/>
      <c r="D13" s="407">
        <f>EvReport!H196</f>
        <v>742</v>
      </c>
      <c r="E13" s="407">
        <f>EvReport!E196</f>
        <v>742</v>
      </c>
      <c r="F13" s="408">
        <f>EvReport!J196</f>
        <v>0</v>
      </c>
      <c r="G13" s="419"/>
    </row>
    <row r="14" spans="1:12" ht="18" customHeight="1">
      <c r="A14" s="411" t="s">
        <v>4</v>
      </c>
      <c r="B14" s="412"/>
      <c r="C14" s="406"/>
      <c r="D14" s="407">
        <f>EvReport!H197</f>
        <v>313</v>
      </c>
      <c r="E14" s="407">
        <f>EvReport!E197</f>
        <v>313</v>
      </c>
      <c r="F14" s="408">
        <f>EvReport!J197</f>
        <v>0</v>
      </c>
      <c r="G14" s="420"/>
    </row>
    <row r="15" spans="1:12" ht="18" customHeight="1">
      <c r="A15" s="411" t="s">
        <v>56</v>
      </c>
      <c r="B15" s="412"/>
      <c r="C15" s="406"/>
      <c r="D15" s="407">
        <f>EvReport!H198</f>
        <v>234</v>
      </c>
      <c r="E15" s="407">
        <f>EvReport!E198</f>
        <v>234</v>
      </c>
      <c r="F15" s="408">
        <f>EvReport!J198</f>
        <v>0</v>
      </c>
      <c r="G15" s="421"/>
    </row>
    <row r="16" spans="1:12" ht="18" customHeight="1">
      <c r="A16" s="422" t="s">
        <v>6</v>
      </c>
      <c r="B16" s="423"/>
      <c r="C16" s="406"/>
      <c r="D16" s="407">
        <f>EvReport!H199</f>
        <v>575</v>
      </c>
      <c r="E16" s="407">
        <f>EvReport!E199</f>
        <v>575</v>
      </c>
      <c r="F16" s="408">
        <f>EvReport!J199</f>
        <v>0</v>
      </c>
      <c r="G16" s="424"/>
    </row>
    <row r="17" spans="1:7" ht="18" customHeight="1">
      <c r="A17" s="425" t="s">
        <v>12</v>
      </c>
      <c r="B17" s="426"/>
      <c r="C17" s="408">
        <f>EvReport!I181</f>
        <v>8218</v>
      </c>
      <c r="D17" s="407">
        <f>SUM(D8:D16)</f>
        <v>8001</v>
      </c>
      <c r="E17" s="407">
        <f>SUM(E8:E16)</f>
        <v>8001</v>
      </c>
      <c r="F17" s="408">
        <f>SUM(F8:F16)</f>
        <v>0</v>
      </c>
      <c r="G17" s="427"/>
    </row>
    <row r="18" spans="1:7">
      <c r="A18" s="393"/>
      <c r="B18" s="396"/>
      <c r="C18" s="396"/>
      <c r="D18" s="396"/>
      <c r="E18" s="396"/>
      <c r="F18" s="396"/>
      <c r="G18" s="396"/>
    </row>
    <row r="19" spans="1:7">
      <c r="A19" s="231"/>
      <c r="B19" s="231"/>
      <c r="C19" s="231"/>
      <c r="D19" s="231"/>
      <c r="E19" s="231"/>
      <c r="F19" s="231"/>
      <c r="G19" s="231"/>
    </row>
    <row r="20" spans="1:7">
      <c r="A20" s="231"/>
      <c r="B20" s="231"/>
      <c r="C20" s="231"/>
      <c r="D20" s="231"/>
      <c r="E20" s="231"/>
      <c r="F20" s="428"/>
      <c r="G20" s="231"/>
    </row>
    <row r="21" spans="1:7" ht="15.75">
      <c r="A21" s="231"/>
      <c r="B21" s="231"/>
      <c r="C21" s="231"/>
      <c r="D21" s="231"/>
      <c r="E21" s="231"/>
      <c r="F21" s="429" t="s">
        <v>435</v>
      </c>
      <c r="G21" s="231"/>
    </row>
    <row r="22" spans="1:7" ht="22.15" customHeight="1">
      <c r="A22" s="231"/>
      <c r="B22" s="231"/>
      <c r="C22" s="231"/>
      <c r="D22" s="231"/>
      <c r="E22" s="231"/>
      <c r="F22" s="430" t="s">
        <v>380</v>
      </c>
      <c r="G22" s="231"/>
    </row>
    <row r="23" spans="1:7" ht="18.75">
      <c r="A23" s="431"/>
      <c r="B23" s="431"/>
      <c r="C23" s="431"/>
      <c r="D23" s="431"/>
      <c r="E23" s="431"/>
      <c r="F23" s="431"/>
      <c r="G23" s="431"/>
    </row>
    <row r="24" spans="1:7" ht="18.75">
      <c r="A24" s="431"/>
      <c r="B24" s="431"/>
      <c r="C24" s="431"/>
      <c r="D24" s="431"/>
      <c r="E24" s="431"/>
      <c r="F24" s="431"/>
      <c r="G24" s="431"/>
    </row>
    <row r="25" spans="1:7" ht="18.75">
      <c r="A25" s="431"/>
      <c r="B25" s="431"/>
      <c r="C25" s="431"/>
      <c r="D25" s="431"/>
      <c r="E25" s="431"/>
      <c r="F25" s="431"/>
      <c r="G25" s="431"/>
    </row>
    <row r="26" spans="1:7" ht="18.75">
      <c r="A26" s="431"/>
      <c r="B26" s="431"/>
      <c r="C26" s="431"/>
      <c r="D26" s="431"/>
      <c r="E26" s="431"/>
      <c r="F26" s="431"/>
      <c r="G26" s="432"/>
    </row>
    <row r="27" spans="1:7" ht="18.75">
      <c r="A27" s="431"/>
      <c r="B27" s="431"/>
      <c r="C27" s="431"/>
      <c r="D27" s="431"/>
      <c r="E27" s="431"/>
      <c r="F27" s="431"/>
      <c r="G27" s="432"/>
    </row>
    <row r="28" spans="1:7" ht="18.75">
      <c r="A28" s="431"/>
      <c r="B28" s="431"/>
      <c r="C28" s="431"/>
      <c r="D28" s="431"/>
      <c r="E28" s="431"/>
      <c r="F28" s="431"/>
      <c r="G28" s="432"/>
    </row>
    <row r="29" spans="1:7" ht="18.75">
      <c r="A29" s="431"/>
      <c r="B29" s="431"/>
      <c r="C29" s="431"/>
      <c r="D29" s="431"/>
      <c r="E29" s="431"/>
      <c r="F29" s="431"/>
      <c r="G29" s="431"/>
    </row>
    <row r="30" spans="1:7" ht="18.75">
      <c r="A30" s="431"/>
      <c r="B30" s="431"/>
      <c r="C30" s="431"/>
      <c r="D30" s="431"/>
      <c r="E30" s="431"/>
      <c r="F30" s="431"/>
      <c r="G30" s="432"/>
    </row>
    <row r="31" spans="1:7" ht="18.75">
      <c r="A31" s="431"/>
      <c r="B31" s="431"/>
      <c r="C31" s="431"/>
      <c r="D31" s="431"/>
      <c r="E31" s="431"/>
      <c r="F31" s="431"/>
      <c r="G31" s="432"/>
    </row>
    <row r="32" spans="1:7" ht="18.75">
      <c r="A32" s="431"/>
      <c r="B32" s="431"/>
      <c r="C32" s="431"/>
      <c r="D32" s="431"/>
      <c r="E32" s="431"/>
      <c r="F32" s="431"/>
      <c r="G32" s="431"/>
    </row>
    <row r="33" spans="1:7" ht="18.75">
      <c r="A33" s="431"/>
      <c r="B33" s="431"/>
      <c r="C33" s="431"/>
      <c r="D33" s="431"/>
      <c r="E33" s="431"/>
      <c r="F33" s="431"/>
      <c r="G33" s="432"/>
    </row>
    <row r="34" spans="1:7" ht="18.75">
      <c r="A34" s="431"/>
      <c r="B34" s="431"/>
      <c r="C34" s="431"/>
      <c r="D34" s="431"/>
      <c r="E34" s="431"/>
      <c r="F34" s="431"/>
      <c r="G34" s="432"/>
    </row>
    <row r="35" spans="1:7" ht="18.75">
      <c r="A35" s="431"/>
      <c r="B35" s="431"/>
      <c r="C35" s="431"/>
      <c r="D35" s="431"/>
      <c r="E35" s="431"/>
      <c r="F35" s="431"/>
      <c r="G35" s="432"/>
    </row>
    <row r="65" spans="1:5">
      <c r="A65" s="6" t="s">
        <v>408</v>
      </c>
      <c r="E65" s="6" t="s">
        <v>409</v>
      </c>
    </row>
    <row r="66" spans="1:5">
      <c r="A66" s="6" t="s">
        <v>410</v>
      </c>
      <c r="E66" s="6" t="s">
        <v>411</v>
      </c>
    </row>
    <row r="67" spans="1:5">
      <c r="A67" s="6" t="s">
        <v>412</v>
      </c>
    </row>
    <row r="68" spans="1:5">
      <c r="A68" s="6" t="s">
        <v>413</v>
      </c>
    </row>
    <row r="69" spans="1:5">
      <c r="A69" s="6" t="s">
        <v>414</v>
      </c>
    </row>
    <row r="70" spans="1:5">
      <c r="A70" s="6" t="s">
        <v>415</v>
      </c>
    </row>
    <row r="71" spans="1:5">
      <c r="A71" s="6" t="s">
        <v>416</v>
      </c>
    </row>
    <row r="72" spans="1:5">
      <c r="A72" s="6" t="s">
        <v>417</v>
      </c>
    </row>
    <row r="73" spans="1:5">
      <c r="A73" s="6" t="s">
        <v>418</v>
      </c>
    </row>
    <row r="74" spans="1:5">
      <c r="A74" s="6" t="s">
        <v>419</v>
      </c>
      <c r="E74" s="6" t="s">
        <v>420</v>
      </c>
    </row>
    <row r="75" spans="1:5">
      <c r="A75" s="6" t="s">
        <v>421</v>
      </c>
      <c r="E75" s="6" t="s">
        <v>422</v>
      </c>
    </row>
    <row r="122" spans="10:10">
      <c r="J122" s="373"/>
    </row>
  </sheetData>
  <customSheetViews>
    <customSheetView guid="{7C71EF2A-5ADA-494C-8F58-DDA71753DD90}" scale="120" showPageBreaks="1" printArea="1">
      <selection activeCell="B32" sqref="B32"/>
      <pageMargins left="0.7" right="0.7" top="0.75" bottom="0.75" header="0.3" footer="0.3"/>
      <pageSetup scale="90" orientation="landscape" r:id="rId1"/>
    </customSheetView>
    <customSheetView guid="{B91C2E87-5EDA-40AE-AC27-0E2C17E803CE}" showPageBreaks="1" printArea="1">
      <selection sqref="A1:G22"/>
      <pageMargins left="0.7" right="0.7" top="0.75" bottom="0.75" header="0.3" footer="0.3"/>
      <pageSetup scale="90" orientation="landscape" r:id="rId2"/>
    </customSheetView>
    <customSheetView guid="{23F4DC00-BC97-4745-AA5C-F05D469CB1EF}" showPageBreaks="1" printArea="1">
      <selection activeCell="E12" sqref="E12"/>
      <pageMargins left="0.7" right="0.7" top="0.75" bottom="0.75" header="0.3" footer="0.3"/>
      <pageSetup scale="90" orientation="landscape" r:id="rId3"/>
    </customSheetView>
    <customSheetView guid="{4593F3EE-0998-4E0E-994A-E02D6BAF3A4B}" showPageBreaks="1" printArea="1">
      <selection sqref="A1:G22"/>
      <pageMargins left="0.7" right="0.7" top="0.75" bottom="0.75" header="0.3" footer="0.3"/>
      <pageSetup scale="90" orientation="landscape" r:id="rId4"/>
    </customSheetView>
    <customSheetView guid="{917057C8-5E5F-4164-B84C-85103677A2E5}">
      <selection sqref="A1:G22"/>
      <pageMargins left="0.7" right="0.7" top="0.75" bottom="0.75" header="0.3" footer="0.3"/>
      <pageSetup scale="90" orientation="landscape" r:id="rId5"/>
    </customSheetView>
    <customSheetView guid="{5A803268-F6C5-4035-B3E1-A94CB9AA8994}" showPageBreaks="1" printArea="1">
      <selection activeCell="E12" sqref="E12"/>
      <pageMargins left="0.7" right="0.7" top="0.75" bottom="0.75" header="0.3" footer="0.3"/>
      <pageSetup scale="90" orientation="landscape" r:id="rId6"/>
    </customSheetView>
    <customSheetView guid="{751D391F-C74F-4B53-B5B5-25E01AC12EA4}" scale="120">
      <selection sqref="A1:G22"/>
      <pageMargins left="0.7" right="0.7" top="0.75" bottom="0.75" header="0.3" footer="0.3"/>
      <pageSetup paperSize="9" scale="90" orientation="landscape" horizontalDpi="4294967295" verticalDpi="4294967295" r:id="rId7"/>
    </customSheetView>
    <customSheetView guid="{D1D1E152-95AB-45D3-AC07-4EC0834D3E0C}" scale="120" showPageBreaks="1" printArea="1">
      <selection sqref="A1:G22"/>
      <pageMargins left="0.7" right="0.7" top="0.75" bottom="0.75" header="0.3" footer="0.3"/>
      <pageSetup paperSize="9" scale="90" orientation="landscape" horizontalDpi="4294967295" verticalDpi="4294967295" r:id="rId8"/>
    </customSheetView>
    <customSheetView guid="{4DB6C640-CE65-4513-9E5A-F6CDD1F4B8AF}" scale="120" showPageBreaks="1">
      <selection sqref="A1:G22"/>
      <pageMargins left="0.7" right="0.7" top="0.75" bottom="0.75" header="0.3" footer="0.3"/>
      <pageSetup paperSize="9" scale="90" orientation="landscape" horizontalDpi="4294967295" verticalDpi="4294967295" r:id="rId9"/>
    </customSheetView>
    <customSheetView guid="{C3348F62-02F2-4500-9BF2-19F2DEA57A8D}" scale="120" showPageBreaks="1" printArea="1">
      <selection sqref="A1:G22"/>
      <pageMargins left="0.7" right="0.7" top="0.75" bottom="0.75" header="0.3" footer="0.3"/>
      <pageSetup paperSize="9" scale="90" orientation="landscape" horizontalDpi="4294967295" verticalDpi="4294967295" r:id="rId10"/>
    </customSheetView>
  </customSheetViews>
  <pageMargins left="0.7" right="0.7" top="0.75" bottom="0.75" header="0.3" footer="0.3"/>
  <pageSetup paperSize="9" scale="90" orientation="landscape" horizontalDpi="4294967295" verticalDpi="4294967295" r:id="rId1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>
    <tabColor theme="6" tint="-0.249977111117893"/>
  </sheetPr>
  <dimension ref="A1:EE1285"/>
  <sheetViews>
    <sheetView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AC193"/>
    </sheetView>
  </sheetViews>
  <sheetFormatPr defaultColWidth="9.140625" defaultRowHeight="15.75"/>
  <cols>
    <col min="1" max="1" width="5.42578125" style="1119" customWidth="1"/>
    <col min="2" max="2" width="31.28515625" style="2380" customWidth="1"/>
    <col min="3" max="8" width="7.7109375" style="1120" customWidth="1"/>
    <col min="9" max="9" width="7.7109375" style="1817" customWidth="1"/>
    <col min="10" max="11" width="7.7109375" style="1120" customWidth="1"/>
    <col min="12" max="12" width="9.7109375" style="1120" customWidth="1"/>
    <col min="13" max="13" width="9.7109375" style="1121" customWidth="1"/>
    <col min="14" max="14" width="8.7109375" style="1120" customWidth="1"/>
    <col min="15" max="15" width="10.7109375" style="1120" customWidth="1"/>
    <col min="16" max="16" width="8.42578125" style="1120" customWidth="1"/>
    <col min="17" max="17" width="8.85546875" style="1120" customWidth="1"/>
    <col min="18" max="18" width="11.5703125" style="1120" customWidth="1"/>
    <col min="19" max="19" width="10.140625" style="1120" customWidth="1"/>
    <col min="20" max="20" width="9.140625" style="1120" customWidth="1"/>
    <col min="21" max="21" width="0.42578125" style="1120" customWidth="1"/>
    <col min="22" max="22" width="10" style="1120" customWidth="1"/>
    <col min="23" max="23" width="9.42578125" style="1120" customWidth="1"/>
    <col min="24" max="24" width="10.140625" style="1120" customWidth="1"/>
    <col min="25" max="25" width="10.7109375" style="1120" customWidth="1"/>
    <col min="26" max="26" width="10.42578125" style="1128" customWidth="1"/>
    <col min="27" max="27" width="10" style="1120" customWidth="1"/>
    <col min="28" max="28" width="11.28515625" style="1120" customWidth="1"/>
    <col min="29" max="29" width="15.5703125" style="3232" customWidth="1"/>
    <col min="30" max="30" width="12.7109375" style="1119" customWidth="1"/>
    <col min="31" max="31" width="5.7109375" style="1119"/>
    <col min="32" max="32" width="9.140625" style="1119"/>
    <col min="33" max="33" width="15.42578125" style="1119" customWidth="1"/>
    <col min="34" max="39" width="9.140625" style="1119"/>
    <col min="40" max="40" width="23.28515625" style="1119" customWidth="1"/>
    <col min="41" max="41" width="11.42578125" style="1119" customWidth="1"/>
    <col min="42" max="16384" width="9.140625" style="1119"/>
  </cols>
  <sheetData>
    <row r="1" spans="1:54" s="1110" customFormat="1" ht="25.5" customHeight="1" thickBot="1">
      <c r="A1" s="1444" t="s">
        <v>1218</v>
      </c>
      <c r="B1" s="1611">
        <v>43106</v>
      </c>
      <c r="C1" s="1445"/>
      <c r="D1" s="1445"/>
      <c r="E1" s="1445"/>
      <c r="F1" s="1445"/>
      <c r="G1" s="1445"/>
      <c r="H1" s="1445"/>
      <c r="I1" s="1791"/>
      <c r="J1" s="1445"/>
      <c r="K1" s="1445"/>
      <c r="L1" s="1445"/>
      <c r="M1" s="1445"/>
      <c r="N1" s="1445"/>
      <c r="O1" s="1445"/>
      <c r="P1" s="1445"/>
      <c r="Q1" s="263"/>
      <c r="R1" s="1334"/>
      <c r="S1" s="263" t="s">
        <v>18</v>
      </c>
      <c r="T1" s="1334"/>
      <c r="U1" s="1334"/>
      <c r="V1" s="1129"/>
      <c r="W1" s="880"/>
      <c r="X1" s="263"/>
      <c r="Y1" s="1445"/>
      <c r="Z1" s="263"/>
      <c r="AA1" s="1446"/>
      <c r="AB1" s="1446"/>
      <c r="AC1" s="3199"/>
      <c r="AD1" s="1122"/>
      <c r="AE1" s="1123"/>
      <c r="AF1" s="1124"/>
      <c r="AG1" s="1124"/>
      <c r="AH1" s="1124"/>
      <c r="AI1" s="1124"/>
    </row>
    <row r="2" spans="1:54" s="4" customFormat="1" ht="24" customHeight="1" thickBot="1">
      <c r="A2" s="1447" t="s">
        <v>826</v>
      </c>
      <c r="B2" s="2360" t="s">
        <v>827</v>
      </c>
      <c r="C2" s="1448">
        <v>4.1666666666666664E-2</v>
      </c>
      <c r="D2" s="1449">
        <v>8.3333333333333329E-2</v>
      </c>
      <c r="E2" s="1449">
        <v>0.125</v>
      </c>
      <c r="F2" s="1449">
        <v>0.16666666666666666</v>
      </c>
      <c r="G2" s="1449">
        <v>0.20833333333333334</v>
      </c>
      <c r="H2" s="1449">
        <v>0.25</v>
      </c>
      <c r="I2" s="1449">
        <v>0.29166666666666669</v>
      </c>
      <c r="J2" s="1449">
        <v>0.33333333333333331</v>
      </c>
      <c r="K2" s="1449">
        <v>0.375</v>
      </c>
      <c r="L2" s="1449">
        <v>0.41666666666666669</v>
      </c>
      <c r="M2" s="1449">
        <v>0.45833333333333331</v>
      </c>
      <c r="N2" s="1449">
        <v>0.5</v>
      </c>
      <c r="O2" s="1449">
        <v>0.54166666666666663</v>
      </c>
      <c r="P2" s="1449">
        <v>0.58333333333333337</v>
      </c>
      <c r="Q2" s="1449">
        <v>0.625</v>
      </c>
      <c r="R2" s="1449">
        <v>0.66666666666666663</v>
      </c>
      <c r="S2" s="1449">
        <v>0.70833333333333337</v>
      </c>
      <c r="T2" s="1449">
        <v>0.75</v>
      </c>
      <c r="U2" s="1449">
        <v>0.77083333333333337</v>
      </c>
      <c r="V2" s="1449">
        <v>0.79166666666666663</v>
      </c>
      <c r="W2" s="1449">
        <v>0.8125</v>
      </c>
      <c r="X2" s="1449">
        <v>0.83333333333333337</v>
      </c>
      <c r="Y2" s="1449">
        <v>0.875</v>
      </c>
      <c r="Z2" s="1449">
        <v>0.91666666666666663</v>
      </c>
      <c r="AA2" s="1449">
        <v>0.95833333333333337</v>
      </c>
      <c r="AB2" s="1450" t="s">
        <v>24</v>
      </c>
      <c r="AC2" s="3200" t="s">
        <v>15</v>
      </c>
      <c r="AD2" s="1107"/>
      <c r="AE2" s="1123"/>
      <c r="AF2" s="1123"/>
      <c r="AG2" s="1123"/>
      <c r="AH2" s="1123"/>
      <c r="AI2" s="1123"/>
    </row>
    <row r="3" spans="1:54" s="1111" customFormat="1" ht="12" customHeight="1">
      <c r="A3" s="1451">
        <v>1</v>
      </c>
      <c r="B3" s="2361" t="s">
        <v>980</v>
      </c>
      <c r="C3" s="1452">
        <v>41</v>
      </c>
      <c r="D3" s="1453">
        <v>46</v>
      </c>
      <c r="E3" s="1453">
        <v>42</v>
      </c>
      <c r="F3" s="1453">
        <v>33</v>
      </c>
      <c r="G3" s="1453">
        <v>41</v>
      </c>
      <c r="H3" s="1453">
        <v>46</v>
      </c>
      <c r="I3" s="1792">
        <v>0</v>
      </c>
      <c r="J3" s="1453">
        <v>0</v>
      </c>
      <c r="K3" s="1453"/>
      <c r="L3" s="1453">
        <v>35</v>
      </c>
      <c r="M3" s="1453">
        <v>45</v>
      </c>
      <c r="N3" s="1453">
        <v>43</v>
      </c>
      <c r="O3" s="1453">
        <v>33</v>
      </c>
      <c r="P3" s="1453">
        <v>35</v>
      </c>
      <c r="Q3" s="1453">
        <v>46</v>
      </c>
      <c r="R3" s="1453">
        <v>46</v>
      </c>
      <c r="S3" s="1453">
        <v>38</v>
      </c>
      <c r="T3" s="1453">
        <v>39</v>
      </c>
      <c r="U3" s="1453"/>
      <c r="V3" s="1453">
        <v>37</v>
      </c>
      <c r="W3" s="1453">
        <v>38</v>
      </c>
      <c r="X3" s="1453">
        <v>39</v>
      </c>
      <c r="Y3" s="1453">
        <v>46</v>
      </c>
      <c r="Z3" s="1454">
        <v>46</v>
      </c>
      <c r="AA3" s="1453">
        <v>37</v>
      </c>
      <c r="AB3" s="1455">
        <v>35</v>
      </c>
      <c r="AC3" s="3201">
        <v>838800</v>
      </c>
      <c r="AD3" s="91"/>
      <c r="AE3" s="1112"/>
      <c r="BA3" s="1404" t="s">
        <v>866</v>
      </c>
      <c r="BB3" s="1404">
        <v>193</v>
      </c>
    </row>
    <row r="4" spans="1:54" s="1111" customFormat="1" ht="12" customHeight="1">
      <c r="A4" s="1456">
        <v>2</v>
      </c>
      <c r="B4" s="2362" t="s">
        <v>981</v>
      </c>
      <c r="C4" s="1457">
        <v>40</v>
      </c>
      <c r="D4" s="1458">
        <v>40</v>
      </c>
      <c r="E4" s="1458">
        <v>40</v>
      </c>
      <c r="F4" s="1458">
        <v>40</v>
      </c>
      <c r="G4" s="1458">
        <v>40</v>
      </c>
      <c r="H4" s="1458">
        <v>40</v>
      </c>
      <c r="I4" s="1793">
        <v>40</v>
      </c>
      <c r="J4" s="1459">
        <v>40</v>
      </c>
      <c r="K4" s="1459">
        <v>40</v>
      </c>
      <c r="L4" s="1459">
        <v>40</v>
      </c>
      <c r="M4" s="1459">
        <v>40</v>
      </c>
      <c r="N4" s="1459">
        <v>40</v>
      </c>
      <c r="O4" s="1459">
        <v>40</v>
      </c>
      <c r="P4" s="1459">
        <v>40</v>
      </c>
      <c r="Q4" s="1459">
        <v>40</v>
      </c>
      <c r="R4" s="1459">
        <v>40</v>
      </c>
      <c r="S4" s="1459">
        <v>40</v>
      </c>
      <c r="T4" s="1459">
        <v>40</v>
      </c>
      <c r="U4" s="1459"/>
      <c r="V4" s="1459">
        <v>40</v>
      </c>
      <c r="W4" s="1459">
        <v>40</v>
      </c>
      <c r="X4" s="1459">
        <v>40</v>
      </c>
      <c r="Y4" s="1459">
        <v>40</v>
      </c>
      <c r="Z4" s="1460">
        <v>40</v>
      </c>
      <c r="AA4" s="1459">
        <v>40</v>
      </c>
      <c r="AB4" s="1461">
        <v>40</v>
      </c>
      <c r="AC4" s="3202">
        <v>976000</v>
      </c>
      <c r="AD4" s="91"/>
      <c r="AE4" s="1112"/>
    </row>
    <row r="5" spans="1:54" s="1111" customFormat="1" ht="12" customHeight="1">
      <c r="A5" s="1451">
        <v>3</v>
      </c>
      <c r="B5" s="2363" t="s">
        <v>982</v>
      </c>
      <c r="C5" s="1462"/>
      <c r="D5" s="1463"/>
      <c r="E5" s="1463"/>
      <c r="F5" s="1463"/>
      <c r="G5" s="1463"/>
      <c r="H5" s="1463"/>
      <c r="I5" s="1793"/>
      <c r="J5" s="1464"/>
      <c r="K5" s="1464"/>
      <c r="L5" s="1464"/>
      <c r="M5" s="1464"/>
      <c r="N5" s="1464"/>
      <c r="O5" s="1464"/>
      <c r="P5" s="1464"/>
      <c r="Q5" s="1464"/>
      <c r="R5" s="1464"/>
      <c r="S5" s="1464"/>
      <c r="T5" s="1464"/>
      <c r="U5" s="1464"/>
      <c r="V5" s="1464"/>
      <c r="W5" s="1464"/>
      <c r="X5" s="1464"/>
      <c r="Y5" s="1464"/>
      <c r="Z5" s="1465"/>
      <c r="AA5" s="1464"/>
      <c r="AB5" s="1466"/>
      <c r="AC5" s="3203"/>
      <c r="AD5" s="91"/>
      <c r="AE5" s="1112"/>
    </row>
    <row r="6" spans="1:54" s="1111" customFormat="1" ht="12" customHeight="1">
      <c r="A6" s="1456">
        <v>4</v>
      </c>
      <c r="B6" s="2364" t="s">
        <v>983</v>
      </c>
      <c r="C6" s="1467"/>
      <c r="D6" s="1468"/>
      <c r="E6" s="1468"/>
      <c r="F6" s="1468"/>
      <c r="G6" s="1468"/>
      <c r="H6" s="1468"/>
      <c r="I6" s="1793"/>
      <c r="J6" s="1469"/>
      <c r="K6" s="1469"/>
      <c r="L6" s="1469"/>
      <c r="M6" s="1469"/>
      <c r="N6" s="1469"/>
      <c r="O6" s="1469"/>
      <c r="P6" s="1469"/>
      <c r="Q6" s="1469"/>
      <c r="R6" s="1469"/>
      <c r="S6" s="1469"/>
      <c r="T6" s="1469"/>
      <c r="U6" s="1469"/>
      <c r="V6" s="1469"/>
      <c r="W6" s="1469"/>
      <c r="X6" s="1469"/>
      <c r="Y6" s="1469"/>
      <c r="Z6" s="1470"/>
      <c r="AA6" s="1469"/>
      <c r="AB6" s="1471"/>
      <c r="AC6" s="3204"/>
      <c r="AD6" s="91"/>
      <c r="AE6" s="1112"/>
      <c r="AN6" s="1134"/>
      <c r="AO6" s="1135"/>
    </row>
    <row r="7" spans="1:54" s="1111" customFormat="1" ht="12" customHeight="1">
      <c r="A7" s="1451">
        <v>5</v>
      </c>
      <c r="B7" s="2365" t="s">
        <v>984</v>
      </c>
      <c r="C7" s="1472"/>
      <c r="D7" s="1473"/>
      <c r="E7" s="1473"/>
      <c r="F7" s="1473"/>
      <c r="G7" s="1473"/>
      <c r="H7" s="1473"/>
      <c r="I7" s="1794"/>
      <c r="J7" s="1473"/>
      <c r="K7" s="1473"/>
      <c r="L7" s="1473"/>
      <c r="M7" s="1473"/>
      <c r="N7" s="1473"/>
      <c r="O7" s="1473"/>
      <c r="P7" s="1473"/>
      <c r="Q7" s="1473"/>
      <c r="R7" s="1473"/>
      <c r="S7" s="1473"/>
      <c r="T7" s="1473">
        <v>14</v>
      </c>
      <c r="U7" s="1473"/>
      <c r="V7" s="1473">
        <v>17</v>
      </c>
      <c r="W7" s="1473">
        <v>17</v>
      </c>
      <c r="X7" s="1473">
        <v>17</v>
      </c>
      <c r="Y7" s="1473"/>
      <c r="Z7" s="1474"/>
      <c r="AA7" s="1473"/>
      <c r="AB7" s="1475"/>
      <c r="AC7" s="3205">
        <v>56071</v>
      </c>
      <c r="AD7" s="91"/>
      <c r="AE7" s="1112"/>
      <c r="AN7" s="1134"/>
      <c r="AO7" s="1135"/>
    </row>
    <row r="8" spans="1:54" s="1111" customFormat="1" ht="12" customHeight="1">
      <c r="A8" s="1456"/>
      <c r="B8" s="2365" t="s">
        <v>1039</v>
      </c>
      <c r="C8" s="1638"/>
      <c r="D8" s="1639"/>
      <c r="E8" s="1639"/>
      <c r="F8" s="1639"/>
      <c r="G8" s="1639"/>
      <c r="H8" s="1639"/>
      <c r="I8" s="1795">
        <v>1</v>
      </c>
      <c r="J8" s="1639">
        <v>8</v>
      </c>
      <c r="K8" s="1639">
        <v>13</v>
      </c>
      <c r="L8" s="1639">
        <v>17</v>
      </c>
      <c r="M8" s="1639">
        <v>19</v>
      </c>
      <c r="N8" s="1639">
        <v>19</v>
      </c>
      <c r="O8" s="1639">
        <v>19</v>
      </c>
      <c r="P8" s="1639">
        <v>16</v>
      </c>
      <c r="Q8" s="1639">
        <v>13</v>
      </c>
      <c r="R8" s="1639">
        <v>7</v>
      </c>
      <c r="S8" s="1639">
        <v>1</v>
      </c>
      <c r="T8" s="1639"/>
      <c r="U8" s="1639"/>
      <c r="V8" s="1639"/>
      <c r="W8" s="1639"/>
      <c r="X8" s="1639"/>
      <c r="Y8" s="1639"/>
      <c r="Z8" s="1640"/>
      <c r="AA8" s="1639"/>
      <c r="AB8" s="1641"/>
      <c r="AC8" s="3206">
        <v>133110</v>
      </c>
      <c r="AD8" s="91"/>
      <c r="AE8" s="1112"/>
      <c r="AN8" s="1134"/>
      <c r="AO8" s="1135"/>
    </row>
    <row r="9" spans="1:54" s="1111" customFormat="1" ht="12" customHeight="1">
      <c r="A9" s="1456">
        <v>6</v>
      </c>
      <c r="B9" s="2366" t="s">
        <v>985</v>
      </c>
      <c r="C9" s="1476"/>
      <c r="D9" s="1477"/>
      <c r="E9" s="1477"/>
      <c r="F9" s="1477"/>
      <c r="G9" s="1477"/>
      <c r="H9" s="1477"/>
      <c r="I9" s="1796"/>
      <c r="J9" s="1477"/>
      <c r="K9" s="1477"/>
      <c r="L9" s="1477"/>
      <c r="M9" s="1477"/>
      <c r="N9" s="1477"/>
      <c r="O9" s="1477"/>
      <c r="P9" s="1477"/>
      <c r="Q9" s="1477"/>
      <c r="R9" s="1477"/>
      <c r="S9" s="1477"/>
      <c r="T9" s="1477"/>
      <c r="U9" s="1477"/>
      <c r="V9" s="1477"/>
      <c r="W9" s="1477"/>
      <c r="X9" s="1477"/>
      <c r="Y9" s="1477"/>
      <c r="Z9" s="1478"/>
      <c r="AA9" s="1477"/>
      <c r="AB9" s="1479"/>
      <c r="AC9" s="3207"/>
      <c r="AD9" s="91"/>
      <c r="AE9" s="1112"/>
      <c r="AN9" s="1136"/>
      <c r="AO9" s="1137"/>
    </row>
    <row r="10" spans="1:54" s="1111" customFormat="1" ht="12" customHeight="1">
      <c r="A10" s="1451">
        <v>7</v>
      </c>
      <c r="B10" s="2367" t="s">
        <v>986</v>
      </c>
      <c r="C10" s="1480"/>
      <c r="D10" s="1458"/>
      <c r="E10" s="1458"/>
      <c r="F10" s="1458"/>
      <c r="G10" s="1458"/>
      <c r="H10" s="1458"/>
      <c r="I10" s="1793"/>
      <c r="J10" s="1459"/>
      <c r="K10" s="1459"/>
      <c r="L10" s="1459"/>
      <c r="M10" s="1459"/>
      <c r="N10" s="1459"/>
      <c r="O10" s="1459"/>
      <c r="P10" s="1459"/>
      <c r="Q10" s="1459"/>
      <c r="R10" s="1459"/>
      <c r="S10" s="1459"/>
      <c r="T10" s="1459"/>
      <c r="U10" s="1459"/>
      <c r="V10" s="1459"/>
      <c r="W10" s="1459"/>
      <c r="X10" s="1459"/>
      <c r="Y10" s="1459"/>
      <c r="Z10" s="1460"/>
      <c r="AA10" s="1459"/>
      <c r="AB10" s="1461"/>
      <c r="AC10" s="3202"/>
      <c r="AD10" s="91"/>
      <c r="AE10" s="1112"/>
    </row>
    <row r="11" spans="1:54" s="1111" customFormat="1" ht="12" customHeight="1">
      <c r="A11" s="1456">
        <v>8</v>
      </c>
      <c r="B11" s="2363"/>
      <c r="C11" s="1481"/>
      <c r="D11" s="1463"/>
      <c r="E11" s="1463"/>
      <c r="F11" s="1463"/>
      <c r="G11" s="1463"/>
      <c r="H11" s="1463"/>
      <c r="I11" s="1793"/>
      <c r="J11" s="1464"/>
      <c r="K11" s="1464"/>
      <c r="L11" s="1464"/>
      <c r="M11" s="1464"/>
      <c r="N11" s="1464"/>
      <c r="O11" s="1464"/>
      <c r="P11" s="1464"/>
      <c r="Q11" s="1464"/>
      <c r="R11" s="1464"/>
      <c r="S11" s="1464"/>
      <c r="T11" s="1464"/>
      <c r="U11" s="1464"/>
      <c r="V11" s="1464"/>
      <c r="W11" s="1464"/>
      <c r="X11" s="1464"/>
      <c r="Y11" s="1464"/>
      <c r="Z11" s="1465"/>
      <c r="AA11" s="1464"/>
      <c r="AB11" s="1466"/>
      <c r="AC11" s="3203"/>
      <c r="AD11" s="91"/>
      <c r="AE11" s="1112"/>
    </row>
    <row r="12" spans="1:54" s="1111" customFormat="1" ht="12" customHeight="1">
      <c r="A12" s="1451">
        <v>9</v>
      </c>
      <c r="B12" s="2364" t="s">
        <v>987</v>
      </c>
      <c r="C12" s="1483"/>
      <c r="D12" s="1484"/>
      <c r="E12" s="1484"/>
      <c r="F12" s="1484"/>
      <c r="G12" s="1484"/>
      <c r="H12" s="1484"/>
      <c r="I12" s="1797"/>
      <c r="J12" s="1484"/>
      <c r="K12" s="1484"/>
      <c r="L12" s="1484"/>
      <c r="M12" s="1484"/>
      <c r="N12" s="1484"/>
      <c r="O12" s="1484"/>
      <c r="P12" s="1484"/>
      <c r="Q12" s="1484"/>
      <c r="R12" s="1484"/>
      <c r="S12" s="1484"/>
      <c r="T12" s="1484"/>
      <c r="U12" s="1484"/>
      <c r="V12" s="1484"/>
      <c r="W12" s="1484"/>
      <c r="X12" s="1484"/>
      <c r="Y12" s="1484"/>
      <c r="Z12" s="1485"/>
      <c r="AA12" s="1484"/>
      <c r="AB12" s="1486"/>
      <c r="AC12" s="3208"/>
      <c r="AD12" s="91"/>
      <c r="AE12" s="1112"/>
    </row>
    <row r="13" spans="1:54" s="1111" customFormat="1" ht="12" customHeight="1">
      <c r="A13" s="1456">
        <v>10</v>
      </c>
      <c r="B13" s="2368" t="s">
        <v>988</v>
      </c>
      <c r="C13" s="1483"/>
      <c r="D13" s="1484"/>
      <c r="E13" s="1484"/>
      <c r="F13" s="1484"/>
      <c r="G13" s="1484"/>
      <c r="H13" s="1484"/>
      <c r="I13" s="1797"/>
      <c r="J13" s="1484"/>
      <c r="K13" s="1484"/>
      <c r="L13" s="1484"/>
      <c r="M13" s="1484"/>
      <c r="N13" s="1484"/>
      <c r="O13" s="1484"/>
      <c r="P13" s="1484"/>
      <c r="Q13" s="1484"/>
      <c r="R13" s="1484"/>
      <c r="S13" s="1484"/>
      <c r="T13" s="1484"/>
      <c r="U13" s="1484"/>
      <c r="V13" s="1484"/>
      <c r="W13" s="1484"/>
      <c r="X13" s="1484"/>
      <c r="Y13" s="1484"/>
      <c r="Z13" s="1485"/>
      <c r="AA13" s="1484"/>
      <c r="AB13" s="1486"/>
      <c r="AC13" s="3208"/>
      <c r="AD13" s="91"/>
      <c r="AE13" s="1112"/>
    </row>
    <row r="14" spans="1:54" s="1111" customFormat="1" ht="12" customHeight="1">
      <c r="A14" s="1456"/>
      <c r="B14" s="2368" t="s">
        <v>990</v>
      </c>
      <c r="C14" s="1483"/>
      <c r="D14" s="1484"/>
      <c r="E14" s="1484"/>
      <c r="F14" s="1484"/>
      <c r="G14" s="1484"/>
      <c r="H14" s="1484"/>
      <c r="I14" s="1797"/>
      <c r="J14" s="1484"/>
      <c r="K14" s="1484"/>
      <c r="L14" s="1484"/>
      <c r="M14" s="1484"/>
      <c r="N14" s="1484"/>
      <c r="O14" s="1484"/>
      <c r="P14" s="1484"/>
      <c r="Q14" s="1484"/>
      <c r="R14" s="1484"/>
      <c r="S14" s="1484"/>
      <c r="T14" s="1484">
        <v>51</v>
      </c>
      <c r="U14" s="1484"/>
      <c r="V14" s="1484">
        <v>51</v>
      </c>
      <c r="W14" s="1484">
        <v>40</v>
      </c>
      <c r="X14" s="1484">
        <v>34</v>
      </c>
      <c r="Y14" s="1484"/>
      <c r="Z14" s="1485"/>
      <c r="AA14" s="1484"/>
      <c r="AB14" s="1486"/>
      <c r="AC14" s="3208">
        <v>141029</v>
      </c>
      <c r="AD14" s="91"/>
      <c r="AE14" s="1112"/>
    </row>
    <row r="15" spans="1:54" s="1111" customFormat="1" ht="12" customHeight="1">
      <c r="A15" s="1456">
        <v>12</v>
      </c>
      <c r="B15" s="2362" t="s">
        <v>989</v>
      </c>
      <c r="C15" s="1487"/>
      <c r="D15" s="1459"/>
      <c r="E15" s="1459"/>
      <c r="F15" s="1459"/>
      <c r="G15" s="1459"/>
      <c r="H15" s="1459"/>
      <c r="I15" s="1798"/>
      <c r="J15" s="1459"/>
      <c r="K15" s="1459"/>
      <c r="L15" s="1459"/>
      <c r="M15" s="1459"/>
      <c r="N15" s="1459"/>
      <c r="O15" s="1459"/>
      <c r="P15" s="1459"/>
      <c r="Q15" s="1459"/>
      <c r="R15" s="1459"/>
      <c r="S15" s="1459"/>
      <c r="T15" s="1459"/>
      <c r="U15" s="1459"/>
      <c r="V15" s="1459"/>
      <c r="W15" s="1459"/>
      <c r="X15" s="1459"/>
      <c r="Y15" s="1459"/>
      <c r="Z15" s="1460"/>
      <c r="AA15" s="1459"/>
      <c r="AB15" s="1461"/>
      <c r="AC15" s="3209"/>
      <c r="AD15" s="91"/>
      <c r="AE15" s="1112"/>
    </row>
    <row r="16" spans="1:54" s="1111" customFormat="1" ht="12" customHeight="1">
      <c r="A16" s="1456"/>
      <c r="B16" s="2362" t="s">
        <v>1045</v>
      </c>
      <c r="C16" s="1762">
        <v>17</v>
      </c>
      <c r="D16" s="1836">
        <v>17</v>
      </c>
      <c r="E16" s="1836">
        <v>17</v>
      </c>
      <c r="F16" s="1836"/>
      <c r="G16" s="1836"/>
      <c r="H16" s="1836"/>
      <c r="I16" s="1837"/>
      <c r="J16" s="1838">
        <v>8</v>
      </c>
      <c r="K16" s="1838">
        <v>20</v>
      </c>
      <c r="L16" s="1838">
        <v>34</v>
      </c>
      <c r="M16" s="1838">
        <v>34</v>
      </c>
      <c r="N16" s="1838">
        <v>61</v>
      </c>
      <c r="O16" s="1838">
        <v>77</v>
      </c>
      <c r="P16" s="1838">
        <v>68</v>
      </c>
      <c r="Q16" s="1838">
        <v>34</v>
      </c>
      <c r="R16" s="1838">
        <v>17</v>
      </c>
      <c r="S16" s="1838">
        <v>17</v>
      </c>
      <c r="T16" s="1838">
        <v>48</v>
      </c>
      <c r="U16" s="1838"/>
      <c r="V16" s="1838">
        <v>105</v>
      </c>
      <c r="W16" s="1838">
        <v>105</v>
      </c>
      <c r="X16" s="1838">
        <v>105</v>
      </c>
      <c r="Y16" s="1838">
        <v>68</v>
      </c>
      <c r="Z16" s="1839">
        <v>34</v>
      </c>
      <c r="AA16" s="1838">
        <v>34</v>
      </c>
      <c r="AB16" s="1840"/>
      <c r="AC16" s="3210">
        <v>960145</v>
      </c>
      <c r="AD16" s="91"/>
      <c r="AE16" s="1112"/>
    </row>
    <row r="17" spans="1:31" s="1111" customFormat="1" ht="12" customHeight="1">
      <c r="A17" s="1456"/>
      <c r="B17" s="2362" t="s">
        <v>1033</v>
      </c>
      <c r="C17" s="1457"/>
      <c r="D17" s="1458"/>
      <c r="E17" s="1458"/>
      <c r="F17" s="1458"/>
      <c r="G17" s="1458"/>
      <c r="H17" s="1458"/>
      <c r="I17" s="1793"/>
      <c r="J17" s="1459"/>
      <c r="K17" s="1459"/>
      <c r="L17" s="1459"/>
      <c r="M17" s="1459"/>
      <c r="N17" s="1459"/>
      <c r="O17" s="1459"/>
      <c r="P17" s="1459"/>
      <c r="Q17" s="1459"/>
      <c r="R17" s="1459"/>
      <c r="S17" s="1459"/>
      <c r="T17" s="1459"/>
      <c r="U17" s="1459"/>
      <c r="V17" s="1459"/>
      <c r="W17" s="1459"/>
      <c r="X17" s="1459"/>
      <c r="Y17" s="1459"/>
      <c r="Z17" s="1460"/>
      <c r="AA17" s="1459"/>
      <c r="AB17" s="1461"/>
      <c r="AC17" s="3210">
        <v>0</v>
      </c>
      <c r="AD17" s="91"/>
      <c r="AE17" s="1112"/>
    </row>
    <row r="18" spans="1:31" s="1111" customFormat="1" ht="12" customHeight="1">
      <c r="A18" s="1456">
        <v>14</v>
      </c>
      <c r="B18" s="2364" t="s">
        <v>1007</v>
      </c>
      <c r="C18" s="1467"/>
      <c r="D18" s="1468"/>
      <c r="E18" s="1468"/>
      <c r="F18" s="1468"/>
      <c r="G18" s="1468"/>
      <c r="H18" s="1468"/>
      <c r="I18" s="1793"/>
      <c r="J18" s="1469"/>
      <c r="K18" s="1469"/>
      <c r="L18" s="1469"/>
      <c r="M18" s="1469"/>
      <c r="N18" s="1469"/>
      <c r="O18" s="1469"/>
      <c r="P18" s="1469"/>
      <c r="Q18" s="1469"/>
      <c r="R18" s="1469"/>
      <c r="S18" s="1469"/>
      <c r="T18" s="1469">
        <v>50</v>
      </c>
      <c r="U18" s="1469"/>
      <c r="V18" s="1469">
        <v>50</v>
      </c>
      <c r="W18" s="1469"/>
      <c r="X18" s="1469"/>
      <c r="Y18" s="1469"/>
      <c r="Z18" s="1470"/>
      <c r="AA18" s="1469"/>
      <c r="AB18" s="1471"/>
      <c r="AC18" s="3204">
        <v>88248</v>
      </c>
      <c r="AD18" s="91"/>
      <c r="AE18" s="1112"/>
    </row>
    <row r="19" spans="1:31" s="1111" customFormat="1" ht="12" customHeight="1">
      <c r="A19" s="1451">
        <v>15</v>
      </c>
      <c r="B19" s="2368" t="s">
        <v>967</v>
      </c>
      <c r="C19" s="1483"/>
      <c r="D19" s="1484"/>
      <c r="E19" s="1484"/>
      <c r="F19" s="1484"/>
      <c r="G19" s="1484"/>
      <c r="H19" s="1484"/>
      <c r="I19" s="1797"/>
      <c r="J19" s="1484"/>
      <c r="K19" s="1484"/>
      <c r="L19" s="1484"/>
      <c r="M19" s="1484"/>
      <c r="N19" s="1484"/>
      <c r="O19" s="1484"/>
      <c r="P19" s="1484"/>
      <c r="Q19" s="1484"/>
      <c r="R19" s="1484"/>
      <c r="S19" s="1484"/>
      <c r="T19" s="1484"/>
      <c r="U19" s="1484"/>
      <c r="V19" s="1484"/>
      <c r="W19" s="1484"/>
      <c r="X19" s="1484"/>
      <c r="Y19" s="1484"/>
      <c r="Z19" s="1485"/>
      <c r="AA19" s="1484"/>
      <c r="AB19" s="1486"/>
      <c r="AC19" s="3208"/>
      <c r="AD19" s="91"/>
      <c r="AE19" s="1112"/>
    </row>
    <row r="20" spans="1:31" s="1111" customFormat="1" ht="12" customHeight="1">
      <c r="A20" s="1456">
        <v>16</v>
      </c>
      <c r="B20" s="2361" t="s">
        <v>968</v>
      </c>
      <c r="C20" s="1476"/>
      <c r="D20" s="1477"/>
      <c r="E20" s="1477"/>
      <c r="F20" s="1477"/>
      <c r="G20" s="1477"/>
      <c r="H20" s="1477"/>
      <c r="I20" s="1796"/>
      <c r="J20" s="1477"/>
      <c r="K20" s="1477"/>
      <c r="L20" s="1477"/>
      <c r="M20" s="1477"/>
      <c r="N20" s="1477"/>
      <c r="O20" s="1477"/>
      <c r="P20" s="1477"/>
      <c r="Q20" s="1477"/>
      <c r="R20" s="1477"/>
      <c r="S20" s="1477"/>
      <c r="T20" s="1477"/>
      <c r="U20" s="1477"/>
      <c r="V20" s="1477"/>
      <c r="W20" s="1477"/>
      <c r="X20" s="1477"/>
      <c r="Y20" s="1477"/>
      <c r="Z20" s="1478"/>
      <c r="AA20" s="1477"/>
      <c r="AB20" s="1479"/>
      <c r="AC20" s="3207"/>
      <c r="AD20" s="91"/>
      <c r="AE20" s="1112"/>
    </row>
    <row r="21" spans="1:31" s="1111" customFormat="1" ht="12" customHeight="1">
      <c r="A21" s="1451">
        <v>17</v>
      </c>
      <c r="B21" s="2362" t="s">
        <v>966</v>
      </c>
      <c r="C21" s="1488"/>
      <c r="D21" s="1489"/>
      <c r="E21" s="1489"/>
      <c r="F21" s="1489"/>
      <c r="G21" s="1489"/>
      <c r="H21" s="1489"/>
      <c r="I21" s="1799"/>
      <c r="J21" s="1490"/>
      <c r="K21" s="1490"/>
      <c r="L21" s="1490"/>
      <c r="M21" s="1490"/>
      <c r="N21" s="1490"/>
      <c r="O21" s="1490"/>
      <c r="P21" s="1490"/>
      <c r="Q21" s="1490"/>
      <c r="R21" s="1490"/>
      <c r="S21" s="1490"/>
      <c r="T21" s="1490"/>
      <c r="U21" s="1490"/>
      <c r="V21" s="1490"/>
      <c r="W21" s="1490"/>
      <c r="X21" s="1490"/>
      <c r="Y21" s="1490"/>
      <c r="Z21" s="1491"/>
      <c r="AA21" s="1490"/>
      <c r="AB21" s="1492"/>
      <c r="AC21" s="3211"/>
      <c r="AD21" s="91"/>
      <c r="AE21" s="1112"/>
    </row>
    <row r="22" spans="1:31" s="1111" customFormat="1" ht="12" customHeight="1">
      <c r="A22" s="1456">
        <v>18</v>
      </c>
      <c r="B22" s="2369" t="s">
        <v>1034</v>
      </c>
      <c r="C22" s="1481">
        <v>245</v>
      </c>
      <c r="D22" s="1463">
        <v>145</v>
      </c>
      <c r="E22" s="1463">
        <v>110</v>
      </c>
      <c r="F22" s="1463">
        <v>110</v>
      </c>
      <c r="G22" s="1463">
        <v>45</v>
      </c>
      <c r="H22" s="1463">
        <v>45</v>
      </c>
      <c r="I22" s="1793">
        <v>45</v>
      </c>
      <c r="J22" s="1464">
        <v>58</v>
      </c>
      <c r="K22" s="1464">
        <v>145</v>
      </c>
      <c r="L22" s="1464">
        <v>145</v>
      </c>
      <c r="M22" s="1464">
        <v>145</v>
      </c>
      <c r="N22" s="1464">
        <v>163</v>
      </c>
      <c r="O22" s="1464">
        <v>255</v>
      </c>
      <c r="P22" s="1464">
        <v>130</v>
      </c>
      <c r="Q22" s="1464">
        <v>95</v>
      </c>
      <c r="R22" s="1464">
        <v>100</v>
      </c>
      <c r="S22" s="1464">
        <v>110</v>
      </c>
      <c r="T22" s="1464">
        <v>205</v>
      </c>
      <c r="U22" s="1464"/>
      <c r="V22" s="1464">
        <v>265</v>
      </c>
      <c r="W22" s="1464">
        <v>265</v>
      </c>
      <c r="X22" s="1464">
        <v>265</v>
      </c>
      <c r="Y22" s="1464">
        <v>265</v>
      </c>
      <c r="Z22" s="1465">
        <v>195</v>
      </c>
      <c r="AA22" s="1464">
        <v>145</v>
      </c>
      <c r="AB22" s="1466">
        <v>95</v>
      </c>
      <c r="AC22" s="3203">
        <v>3858980</v>
      </c>
      <c r="AD22" s="91"/>
      <c r="AE22" s="1112"/>
    </row>
    <row r="23" spans="1:31" s="1111" customFormat="1" ht="12" customHeight="1">
      <c r="A23" s="1451">
        <v>19</v>
      </c>
      <c r="B23" s="2370" t="s">
        <v>1001</v>
      </c>
      <c r="C23" s="1482">
        <v>8</v>
      </c>
      <c r="D23" s="1468">
        <v>8</v>
      </c>
      <c r="E23" s="1468">
        <v>8</v>
      </c>
      <c r="F23" s="1468">
        <v>8</v>
      </c>
      <c r="G23" s="1468">
        <v>8</v>
      </c>
      <c r="H23" s="1468">
        <v>8</v>
      </c>
      <c r="I23" s="1793">
        <v>8</v>
      </c>
      <c r="J23" s="1469">
        <v>8</v>
      </c>
      <c r="K23" s="1469">
        <v>8</v>
      </c>
      <c r="L23" s="1469">
        <v>8</v>
      </c>
      <c r="M23" s="1469">
        <v>8</v>
      </c>
      <c r="N23" s="1469">
        <v>8</v>
      </c>
      <c r="O23" s="1469">
        <v>8</v>
      </c>
      <c r="P23" s="1469">
        <v>8</v>
      </c>
      <c r="Q23" s="1469">
        <v>8</v>
      </c>
      <c r="R23" s="1469">
        <v>8</v>
      </c>
      <c r="S23" s="1469">
        <v>8</v>
      </c>
      <c r="T23" s="1469">
        <v>8</v>
      </c>
      <c r="U23" s="1469"/>
      <c r="V23" s="1469">
        <v>8</v>
      </c>
      <c r="W23" s="1469">
        <v>8</v>
      </c>
      <c r="X23" s="1469">
        <v>8</v>
      </c>
      <c r="Y23" s="1469">
        <v>8</v>
      </c>
      <c r="Z23" s="1470">
        <v>8</v>
      </c>
      <c r="AA23" s="1469">
        <v>8</v>
      </c>
      <c r="AB23" s="1471">
        <v>8</v>
      </c>
      <c r="AC23" s="3204">
        <v>217454</v>
      </c>
      <c r="AD23" s="91"/>
      <c r="AE23" s="1112"/>
    </row>
    <row r="24" spans="1:31" s="1111" customFormat="1" ht="12" customHeight="1">
      <c r="A24" s="1456">
        <v>20</v>
      </c>
      <c r="B24" s="2368" t="s">
        <v>954</v>
      </c>
      <c r="C24" s="1483"/>
      <c r="D24" s="1484"/>
      <c r="E24" s="1484"/>
      <c r="F24" s="1484"/>
      <c r="G24" s="1484"/>
      <c r="H24" s="1484"/>
      <c r="I24" s="1797"/>
      <c r="J24" s="1484"/>
      <c r="K24" s="1484"/>
      <c r="L24" s="1484"/>
      <c r="M24" s="1484"/>
      <c r="N24" s="1484"/>
      <c r="O24" s="1484"/>
      <c r="P24" s="1484"/>
      <c r="Q24" s="1484"/>
      <c r="R24" s="1484"/>
      <c r="S24" s="1484"/>
      <c r="T24" s="1484"/>
      <c r="U24" s="1484"/>
      <c r="V24" s="1484"/>
      <c r="W24" s="1484"/>
      <c r="X24" s="1484"/>
      <c r="Y24" s="1484"/>
      <c r="Z24" s="1485"/>
      <c r="AA24" s="1484"/>
      <c r="AB24" s="1486"/>
      <c r="AC24" s="3208"/>
      <c r="AD24" s="91"/>
      <c r="AE24" s="1112"/>
    </row>
    <row r="25" spans="1:31" s="1111" customFormat="1" ht="12" customHeight="1">
      <c r="A25" s="1451">
        <v>21</v>
      </c>
      <c r="B25" s="2361" t="s">
        <v>1351</v>
      </c>
      <c r="C25" s="1476"/>
      <c r="D25" s="1477"/>
      <c r="E25" s="1477"/>
      <c r="F25" s="1477"/>
      <c r="G25" s="1477"/>
      <c r="H25" s="1477"/>
      <c r="I25" s="1796"/>
      <c r="J25" s="1477"/>
      <c r="K25" s="1477"/>
      <c r="L25" s="1477"/>
      <c r="M25" s="1477"/>
      <c r="N25" s="1477"/>
      <c r="O25" s="1477"/>
      <c r="P25" s="1477"/>
      <c r="Q25" s="1477"/>
      <c r="R25" s="1477"/>
      <c r="S25" s="1477"/>
      <c r="T25" s="1477"/>
      <c r="U25" s="1477"/>
      <c r="V25" s="1477"/>
      <c r="W25" s="1477"/>
      <c r="X25" s="1477"/>
      <c r="Y25" s="1477"/>
      <c r="Z25" s="1478"/>
      <c r="AA25" s="1477"/>
      <c r="AB25" s="1479"/>
      <c r="AC25" s="3207"/>
      <c r="AD25" s="91"/>
      <c r="AE25" s="1112"/>
    </row>
    <row r="26" spans="1:31" s="1111" customFormat="1" ht="12" customHeight="1">
      <c r="A26" s="1456">
        <v>22</v>
      </c>
      <c r="B26" s="2362" t="s">
        <v>956</v>
      </c>
      <c r="C26" s="1487">
        <v>170</v>
      </c>
      <c r="D26" s="1459">
        <v>170</v>
      </c>
      <c r="E26" s="1459">
        <v>170</v>
      </c>
      <c r="F26" s="1459">
        <v>170</v>
      </c>
      <c r="G26" s="1459">
        <v>171</v>
      </c>
      <c r="H26" s="1459">
        <v>173</v>
      </c>
      <c r="I26" s="1798">
        <v>175</v>
      </c>
      <c r="J26" s="1459">
        <v>190</v>
      </c>
      <c r="K26" s="1459">
        <v>210</v>
      </c>
      <c r="L26" s="1459">
        <v>231</v>
      </c>
      <c r="M26" s="1459">
        <v>230</v>
      </c>
      <c r="N26" s="1459">
        <v>231</v>
      </c>
      <c r="O26" s="1459">
        <v>239</v>
      </c>
      <c r="P26" s="1459">
        <v>243</v>
      </c>
      <c r="Q26" s="1459">
        <v>240</v>
      </c>
      <c r="R26" s="1459">
        <v>240</v>
      </c>
      <c r="S26" s="1459">
        <v>240</v>
      </c>
      <c r="T26" s="1459">
        <v>240</v>
      </c>
      <c r="U26" s="1459"/>
      <c r="V26" s="1459">
        <v>240</v>
      </c>
      <c r="W26" s="1459">
        <v>240</v>
      </c>
      <c r="X26" s="1459">
        <v>240</v>
      </c>
      <c r="Y26" s="1459">
        <v>240</v>
      </c>
      <c r="Z26" s="1460">
        <v>240</v>
      </c>
      <c r="AA26" s="1459">
        <v>240</v>
      </c>
      <c r="AB26" s="1461">
        <v>240</v>
      </c>
      <c r="AC26" s="3209">
        <v>5146000</v>
      </c>
      <c r="AD26" s="91"/>
      <c r="AE26" s="1112"/>
    </row>
    <row r="27" spans="1:31" s="1111" customFormat="1" ht="12" customHeight="1">
      <c r="A27" s="1451">
        <v>23</v>
      </c>
      <c r="B27" s="2363" t="s">
        <v>957</v>
      </c>
      <c r="C27" s="1493"/>
      <c r="D27" s="1494"/>
      <c r="E27" s="1494"/>
      <c r="F27" s="1494"/>
      <c r="G27" s="1494"/>
      <c r="H27" s="1494"/>
      <c r="I27" s="1800"/>
      <c r="J27" s="1495"/>
      <c r="K27" s="1495"/>
      <c r="L27" s="1495"/>
      <c r="M27" s="1495"/>
      <c r="N27" s="1495"/>
      <c r="O27" s="1495"/>
      <c r="P27" s="1495"/>
      <c r="Q27" s="1495"/>
      <c r="R27" s="1495"/>
      <c r="S27" s="1495"/>
      <c r="T27" s="1495"/>
      <c r="U27" s="1495"/>
      <c r="V27" s="1495"/>
      <c r="W27" s="1495"/>
      <c r="X27" s="1495"/>
      <c r="Y27" s="1495"/>
      <c r="Z27" s="1496"/>
      <c r="AA27" s="1495"/>
      <c r="AB27" s="1497"/>
      <c r="AC27" s="3212"/>
      <c r="AD27" s="91"/>
      <c r="AE27" s="1112"/>
    </row>
    <row r="28" spans="1:31" s="1111" customFormat="1" ht="12" customHeight="1">
      <c r="A28" s="1456">
        <v>24</v>
      </c>
      <c r="B28" s="2364"/>
      <c r="C28" s="1467"/>
      <c r="D28" s="1468"/>
      <c r="E28" s="1468"/>
      <c r="F28" s="1468"/>
      <c r="G28" s="1468"/>
      <c r="H28" s="1468"/>
      <c r="I28" s="1793"/>
      <c r="J28" s="1469"/>
      <c r="K28" s="1469"/>
      <c r="L28" s="1469"/>
      <c r="M28" s="1469"/>
      <c r="N28" s="1469"/>
      <c r="O28" s="1469"/>
      <c r="P28" s="1469"/>
      <c r="Q28" s="1469"/>
      <c r="R28" s="1469"/>
      <c r="S28" s="1469"/>
      <c r="T28" s="1469"/>
      <c r="U28" s="1469"/>
      <c r="V28" s="1469"/>
      <c r="W28" s="1469"/>
      <c r="X28" s="1469"/>
      <c r="Y28" s="1469"/>
      <c r="Z28" s="1470"/>
      <c r="AA28" s="1469"/>
      <c r="AB28" s="1471"/>
      <c r="AC28" s="3204"/>
      <c r="AD28" s="91"/>
      <c r="AE28" s="1112"/>
    </row>
    <row r="29" spans="1:31" s="1111" customFormat="1" ht="12" customHeight="1">
      <c r="A29" s="1451">
        <v>25</v>
      </c>
      <c r="B29" s="2368" t="s">
        <v>958</v>
      </c>
      <c r="C29" s="1483"/>
      <c r="D29" s="1484"/>
      <c r="E29" s="1484"/>
      <c r="F29" s="1484"/>
      <c r="G29" s="1484"/>
      <c r="H29" s="1484"/>
      <c r="I29" s="1797"/>
      <c r="J29" s="1484"/>
      <c r="K29" s="1484"/>
      <c r="L29" s="1484"/>
      <c r="M29" s="1484"/>
      <c r="N29" s="1484"/>
      <c r="O29" s="1484"/>
      <c r="P29" s="1484"/>
      <c r="Q29" s="1484"/>
      <c r="R29" s="1484"/>
      <c r="S29" s="1484"/>
      <c r="T29" s="1484"/>
      <c r="U29" s="1484"/>
      <c r="V29" s="1484"/>
      <c r="W29" s="1484"/>
      <c r="X29" s="1484"/>
      <c r="Y29" s="1484"/>
      <c r="Z29" s="1485"/>
      <c r="AA29" s="1484"/>
      <c r="AB29" s="1486"/>
      <c r="AC29" s="3208"/>
      <c r="AD29" s="91"/>
      <c r="AE29" s="1112"/>
    </row>
    <row r="30" spans="1:31" s="1111" customFormat="1" ht="12" customHeight="1">
      <c r="A30" s="1456">
        <v>26</v>
      </c>
      <c r="B30" s="2361"/>
      <c r="C30" s="1476"/>
      <c r="D30" s="1477"/>
      <c r="E30" s="1477"/>
      <c r="F30" s="1477"/>
      <c r="G30" s="1477"/>
      <c r="H30" s="1477"/>
      <c r="I30" s="1796"/>
      <c r="J30" s="1477"/>
      <c r="K30" s="1477"/>
      <c r="L30" s="1477"/>
      <c r="M30" s="1477"/>
      <c r="N30" s="1477"/>
      <c r="O30" s="1477"/>
      <c r="P30" s="1477"/>
      <c r="Q30" s="1477"/>
      <c r="R30" s="1477"/>
      <c r="S30" s="1477"/>
      <c r="T30" s="1477"/>
      <c r="U30" s="1477"/>
      <c r="V30" s="1477"/>
      <c r="W30" s="1477"/>
      <c r="X30" s="1477"/>
      <c r="Y30" s="1477"/>
      <c r="Z30" s="1478"/>
      <c r="AA30" s="1477"/>
      <c r="AB30" s="1479"/>
      <c r="AC30" s="3207"/>
      <c r="AD30" s="91"/>
      <c r="AE30" s="1112"/>
    </row>
    <row r="31" spans="1:31" s="1111" customFormat="1" ht="12" customHeight="1">
      <c r="A31" s="1456">
        <v>28</v>
      </c>
      <c r="B31" s="2363" t="s">
        <v>995</v>
      </c>
      <c r="C31" s="1481"/>
      <c r="D31" s="1463"/>
      <c r="E31" s="1463"/>
      <c r="F31" s="1463"/>
      <c r="G31" s="1463"/>
      <c r="H31" s="1463"/>
      <c r="I31" s="1793"/>
      <c r="J31" s="1464"/>
      <c r="K31" s="1464"/>
      <c r="L31" s="1464"/>
      <c r="M31" s="1464"/>
      <c r="N31" s="1464"/>
      <c r="O31" s="1464"/>
      <c r="P31" s="1464"/>
      <c r="Q31" s="1464"/>
      <c r="R31" s="1464"/>
      <c r="S31" s="1464"/>
      <c r="T31" s="1464"/>
      <c r="U31" s="1464"/>
      <c r="V31" s="1464"/>
      <c r="W31" s="1464"/>
      <c r="X31" s="1464"/>
      <c r="Y31" s="1464"/>
      <c r="Z31" s="1465"/>
      <c r="AA31" s="1464"/>
      <c r="AB31" s="1466"/>
      <c r="AC31" s="3203"/>
      <c r="AD31" s="91"/>
      <c r="AE31" s="1112"/>
    </row>
    <row r="32" spans="1:31" s="1111" customFormat="1" ht="12" customHeight="1">
      <c r="A32" s="1451">
        <v>29</v>
      </c>
      <c r="B32" s="2364" t="s">
        <v>996</v>
      </c>
      <c r="C32" s="1482"/>
      <c r="D32" s="1468"/>
      <c r="E32" s="1468"/>
      <c r="F32" s="1468"/>
      <c r="G32" s="1468"/>
      <c r="H32" s="1468"/>
      <c r="I32" s="1793"/>
      <c r="J32" s="1469"/>
      <c r="K32" s="1469"/>
      <c r="L32" s="1469"/>
      <c r="M32" s="1469"/>
      <c r="N32" s="1469"/>
      <c r="O32" s="1469"/>
      <c r="P32" s="1469"/>
      <c r="Q32" s="1469"/>
      <c r="R32" s="1469"/>
      <c r="S32" s="1469"/>
      <c r="T32" s="1469"/>
      <c r="U32" s="1469"/>
      <c r="V32" s="1469"/>
      <c r="W32" s="1469"/>
      <c r="X32" s="1469"/>
      <c r="Y32" s="1469"/>
      <c r="Z32" s="1470"/>
      <c r="AA32" s="1469"/>
      <c r="AB32" s="1471"/>
      <c r="AC32" s="3204"/>
      <c r="AD32" s="91"/>
      <c r="AE32" s="1112"/>
    </row>
    <row r="33" spans="1:31" s="1111" customFormat="1" ht="12" customHeight="1">
      <c r="A33" s="1456">
        <v>30</v>
      </c>
      <c r="B33" s="2368" t="s">
        <v>997</v>
      </c>
      <c r="C33" s="1483">
        <v>80</v>
      </c>
      <c r="D33" s="1484">
        <v>80</v>
      </c>
      <c r="E33" s="1484">
        <v>80</v>
      </c>
      <c r="F33" s="1484">
        <v>80</v>
      </c>
      <c r="G33" s="1484">
        <v>80</v>
      </c>
      <c r="H33" s="1484">
        <v>80</v>
      </c>
      <c r="I33" s="1797">
        <v>80</v>
      </c>
      <c r="J33" s="1484">
        <v>80</v>
      </c>
      <c r="K33" s="1484">
        <v>80</v>
      </c>
      <c r="L33" s="1484">
        <v>80</v>
      </c>
      <c r="M33" s="1484">
        <v>80</v>
      </c>
      <c r="N33" s="1484">
        <v>80</v>
      </c>
      <c r="O33" s="1484">
        <v>80</v>
      </c>
      <c r="P33" s="1484">
        <v>80</v>
      </c>
      <c r="Q33" s="1484">
        <v>80</v>
      </c>
      <c r="R33" s="1484">
        <v>80</v>
      </c>
      <c r="S33" s="1484">
        <v>80</v>
      </c>
      <c r="T33" s="1484">
        <v>80</v>
      </c>
      <c r="U33" s="1484"/>
      <c r="V33" s="1484">
        <v>80</v>
      </c>
      <c r="W33" s="1484">
        <v>80</v>
      </c>
      <c r="X33" s="1484">
        <v>80</v>
      </c>
      <c r="Y33" s="1484">
        <v>80</v>
      </c>
      <c r="Z33" s="1485">
        <v>80</v>
      </c>
      <c r="AA33" s="1484">
        <v>80</v>
      </c>
      <c r="AB33" s="1486">
        <v>80</v>
      </c>
      <c r="AC33" s="3208">
        <v>1973546</v>
      </c>
      <c r="AD33" s="91"/>
      <c r="AE33" s="1112"/>
    </row>
    <row r="34" spans="1:31" s="1111" customFormat="1" ht="12" customHeight="1">
      <c r="A34" s="1456">
        <v>32</v>
      </c>
      <c r="B34" s="2367" t="s">
        <v>1003</v>
      </c>
      <c r="C34" s="1487">
        <v>5</v>
      </c>
      <c r="D34" s="1459">
        <v>5</v>
      </c>
      <c r="E34" s="1459">
        <v>5</v>
      </c>
      <c r="F34" s="1459">
        <v>3</v>
      </c>
      <c r="G34" s="1459">
        <v>3</v>
      </c>
      <c r="H34" s="1459">
        <v>3</v>
      </c>
      <c r="I34" s="1798">
        <v>3</v>
      </c>
      <c r="J34" s="1459">
        <v>3</v>
      </c>
      <c r="K34" s="1459">
        <v>3</v>
      </c>
      <c r="L34" s="1459">
        <v>3</v>
      </c>
      <c r="M34" s="1459">
        <v>3</v>
      </c>
      <c r="N34" s="1459">
        <v>3</v>
      </c>
      <c r="O34" s="1459">
        <v>3</v>
      </c>
      <c r="P34" s="1459">
        <v>3</v>
      </c>
      <c r="Q34" s="1459">
        <v>3</v>
      </c>
      <c r="R34" s="1459">
        <v>3</v>
      </c>
      <c r="S34" s="1459">
        <v>3</v>
      </c>
      <c r="T34" s="1459">
        <v>3</v>
      </c>
      <c r="U34" s="1459"/>
      <c r="V34" s="1459">
        <v>3</v>
      </c>
      <c r="W34" s="1459">
        <v>3</v>
      </c>
      <c r="X34" s="1459">
        <v>3</v>
      </c>
      <c r="Y34" s="1459">
        <v>3</v>
      </c>
      <c r="Z34" s="1460">
        <v>3</v>
      </c>
      <c r="AA34" s="1459">
        <v>3</v>
      </c>
      <c r="AB34" s="1461">
        <v>3</v>
      </c>
      <c r="AC34" s="3209">
        <v>159696</v>
      </c>
      <c r="AD34" s="91"/>
      <c r="AE34" s="1112"/>
    </row>
    <row r="35" spans="1:31" s="1111" customFormat="1" ht="12" customHeight="1">
      <c r="A35" s="1451">
        <v>33</v>
      </c>
      <c r="B35" s="2369" t="s">
        <v>1000</v>
      </c>
      <c r="C35" s="1493">
        <v>40</v>
      </c>
      <c r="D35" s="1494">
        <v>49</v>
      </c>
      <c r="E35" s="1494">
        <v>86</v>
      </c>
      <c r="F35" s="1494">
        <v>119</v>
      </c>
      <c r="G35" s="1494">
        <v>121</v>
      </c>
      <c r="H35" s="1494">
        <v>119</v>
      </c>
      <c r="I35" s="1800">
        <v>110</v>
      </c>
      <c r="J35" s="1495">
        <v>130</v>
      </c>
      <c r="K35" s="1495">
        <v>132</v>
      </c>
      <c r="L35" s="1495">
        <v>132</v>
      </c>
      <c r="M35" s="1495">
        <v>148</v>
      </c>
      <c r="N35" s="1495">
        <v>162</v>
      </c>
      <c r="O35" s="1495">
        <v>170</v>
      </c>
      <c r="P35" s="1495">
        <v>193</v>
      </c>
      <c r="Q35" s="1495">
        <v>208</v>
      </c>
      <c r="R35" s="1495">
        <v>214</v>
      </c>
      <c r="S35" s="1495">
        <v>208</v>
      </c>
      <c r="T35" s="1495">
        <v>208</v>
      </c>
      <c r="U35" s="1495"/>
      <c r="V35" s="1495">
        <v>175</v>
      </c>
      <c r="W35" s="1495">
        <v>168</v>
      </c>
      <c r="X35" s="1495">
        <v>163</v>
      </c>
      <c r="Y35" s="1495">
        <v>151</v>
      </c>
      <c r="Z35" s="1496">
        <v>144</v>
      </c>
      <c r="AA35" s="1495">
        <v>142</v>
      </c>
      <c r="AB35" s="1497">
        <v>142</v>
      </c>
      <c r="AC35" s="3212">
        <v>3462000</v>
      </c>
      <c r="AD35" s="91"/>
      <c r="AE35" s="1112"/>
    </row>
    <row r="36" spans="1:31" s="1111" customFormat="1" ht="12" customHeight="1">
      <c r="A36" s="1456">
        <v>34</v>
      </c>
      <c r="B36" s="2370" t="s">
        <v>999</v>
      </c>
      <c r="C36" s="1467">
        <v>260</v>
      </c>
      <c r="D36" s="1468">
        <v>260</v>
      </c>
      <c r="E36" s="1468">
        <v>260</v>
      </c>
      <c r="F36" s="1468">
        <v>265</v>
      </c>
      <c r="G36" s="1468">
        <v>280</v>
      </c>
      <c r="H36" s="1468">
        <v>310</v>
      </c>
      <c r="I36" s="1793">
        <v>260</v>
      </c>
      <c r="J36" s="1469">
        <v>270</v>
      </c>
      <c r="K36" s="1469">
        <v>270</v>
      </c>
      <c r="L36" s="1469">
        <v>270</v>
      </c>
      <c r="M36" s="1469">
        <v>270</v>
      </c>
      <c r="N36" s="1469">
        <v>270</v>
      </c>
      <c r="O36" s="1469">
        <v>45</v>
      </c>
      <c r="P36" s="1469">
        <v>50</v>
      </c>
      <c r="Q36" s="1469">
        <v>45</v>
      </c>
      <c r="R36" s="1469">
        <v>55</v>
      </c>
      <c r="S36" s="1469">
        <v>85</v>
      </c>
      <c r="T36" s="1469">
        <v>195</v>
      </c>
      <c r="U36" s="1469"/>
      <c r="V36" s="1469">
        <v>310</v>
      </c>
      <c r="W36" s="1469">
        <v>310</v>
      </c>
      <c r="X36" s="1469">
        <v>310</v>
      </c>
      <c r="Y36" s="1469">
        <v>310</v>
      </c>
      <c r="Z36" s="1470">
        <v>310</v>
      </c>
      <c r="AA36" s="1469">
        <v>310</v>
      </c>
      <c r="AB36" s="1471">
        <v>310</v>
      </c>
      <c r="AC36" s="3204">
        <v>5778000</v>
      </c>
      <c r="AD36" s="91"/>
      <c r="AE36" s="1112"/>
    </row>
    <row r="37" spans="1:31" s="1111" customFormat="1" ht="12" customHeight="1">
      <c r="A37" s="1456"/>
      <c r="B37" s="2365" t="s">
        <v>998</v>
      </c>
      <c r="C37" s="1498">
        <v>220</v>
      </c>
      <c r="D37" s="1499">
        <v>220</v>
      </c>
      <c r="E37" s="1499">
        <v>180</v>
      </c>
      <c r="F37" s="1499">
        <v>160</v>
      </c>
      <c r="G37" s="1499">
        <v>160</v>
      </c>
      <c r="H37" s="1499">
        <v>160</v>
      </c>
      <c r="I37" s="1801">
        <v>180</v>
      </c>
      <c r="J37" s="1500">
        <v>160</v>
      </c>
      <c r="K37" s="1500">
        <v>140</v>
      </c>
      <c r="L37" s="1500">
        <v>140</v>
      </c>
      <c r="M37" s="1500">
        <v>140</v>
      </c>
      <c r="N37" s="1500">
        <v>140</v>
      </c>
      <c r="O37" s="1500">
        <v>195</v>
      </c>
      <c r="P37" s="1500">
        <v>190</v>
      </c>
      <c r="Q37" s="1500">
        <v>190</v>
      </c>
      <c r="R37" s="1500">
        <v>200</v>
      </c>
      <c r="S37" s="1500">
        <v>200</v>
      </c>
      <c r="T37" s="1500">
        <v>180</v>
      </c>
      <c r="U37" s="1500"/>
      <c r="V37" s="1500">
        <v>150</v>
      </c>
      <c r="W37" s="1500">
        <v>150</v>
      </c>
      <c r="X37" s="1500">
        <v>150</v>
      </c>
      <c r="Y37" s="1500">
        <v>150</v>
      </c>
      <c r="Z37" s="1501">
        <v>150</v>
      </c>
      <c r="AA37" s="1500">
        <v>150</v>
      </c>
      <c r="AB37" s="1502">
        <v>150</v>
      </c>
      <c r="AC37" s="3213">
        <v>4327900</v>
      </c>
      <c r="AD37" s="91"/>
      <c r="AE37" s="1112"/>
    </row>
    <row r="38" spans="1:31" s="1111" customFormat="1" ht="12" customHeight="1">
      <c r="A38" s="1451">
        <v>35</v>
      </c>
      <c r="B38" s="2366" t="s">
        <v>1004</v>
      </c>
      <c r="C38" s="1476">
        <v>5</v>
      </c>
      <c r="D38" s="1477">
        <v>5</v>
      </c>
      <c r="E38" s="1477">
        <v>5</v>
      </c>
      <c r="F38" s="1477">
        <v>5</v>
      </c>
      <c r="G38" s="1477">
        <v>5</v>
      </c>
      <c r="H38" s="1477">
        <v>5</v>
      </c>
      <c r="I38" s="1796">
        <v>5</v>
      </c>
      <c r="J38" s="1477">
        <v>5</v>
      </c>
      <c r="K38" s="1477">
        <v>5</v>
      </c>
      <c r="L38" s="1477">
        <v>5</v>
      </c>
      <c r="M38" s="1477">
        <v>5</v>
      </c>
      <c r="N38" s="1477">
        <v>5</v>
      </c>
      <c r="O38" s="1477">
        <v>5</v>
      </c>
      <c r="P38" s="1477">
        <v>5</v>
      </c>
      <c r="Q38" s="1477">
        <v>5</v>
      </c>
      <c r="R38" s="1477">
        <v>5</v>
      </c>
      <c r="S38" s="1477">
        <v>5</v>
      </c>
      <c r="T38" s="1477">
        <v>5</v>
      </c>
      <c r="U38" s="1477"/>
      <c r="V38" s="1477">
        <v>5</v>
      </c>
      <c r="W38" s="1477">
        <v>5</v>
      </c>
      <c r="X38" s="1477">
        <v>5</v>
      </c>
      <c r="Y38" s="1477">
        <v>5</v>
      </c>
      <c r="Z38" s="1478">
        <v>5</v>
      </c>
      <c r="AA38" s="1477">
        <v>5</v>
      </c>
      <c r="AB38" s="1479">
        <v>5</v>
      </c>
      <c r="AC38" s="3207">
        <v>149280</v>
      </c>
      <c r="AD38" s="91"/>
      <c r="AE38" s="1112"/>
    </row>
    <row r="39" spans="1:31" s="1111" customFormat="1" ht="12" customHeight="1">
      <c r="A39" s="1456">
        <v>36</v>
      </c>
      <c r="B39" s="2367" t="s">
        <v>1002</v>
      </c>
      <c r="C39" s="1457">
        <v>133</v>
      </c>
      <c r="D39" s="1458">
        <v>133</v>
      </c>
      <c r="E39" s="1458">
        <v>132</v>
      </c>
      <c r="F39" s="1458">
        <v>133</v>
      </c>
      <c r="G39" s="1458">
        <v>133</v>
      </c>
      <c r="H39" s="1458">
        <v>133</v>
      </c>
      <c r="I39" s="1793">
        <v>132</v>
      </c>
      <c r="J39" s="1459">
        <v>138</v>
      </c>
      <c r="K39" s="1459">
        <v>136</v>
      </c>
      <c r="L39" s="1459">
        <v>136</v>
      </c>
      <c r="M39" s="1459">
        <v>126</v>
      </c>
      <c r="N39" s="1459">
        <v>125</v>
      </c>
      <c r="O39" s="1459">
        <v>123</v>
      </c>
      <c r="P39" s="1459">
        <v>118</v>
      </c>
      <c r="Q39" s="1459">
        <v>120</v>
      </c>
      <c r="R39" s="1459">
        <v>119</v>
      </c>
      <c r="S39" s="1459">
        <v>118</v>
      </c>
      <c r="T39" s="1459">
        <v>132</v>
      </c>
      <c r="U39" s="1459"/>
      <c r="V39" s="1459">
        <v>130</v>
      </c>
      <c r="W39" s="1459">
        <v>132</v>
      </c>
      <c r="X39" s="1459">
        <v>132</v>
      </c>
      <c r="Y39" s="1459">
        <v>138</v>
      </c>
      <c r="Z39" s="1460">
        <v>136</v>
      </c>
      <c r="AA39" s="1459">
        <v>133</v>
      </c>
      <c r="AB39" s="1461">
        <v>135</v>
      </c>
      <c r="AC39" s="3202">
        <v>3072740</v>
      </c>
      <c r="AD39" s="91"/>
      <c r="AE39" s="1112"/>
    </row>
    <row r="40" spans="1:31" s="1111" customFormat="1" ht="12" customHeight="1">
      <c r="A40" s="1451">
        <v>37</v>
      </c>
      <c r="B40" s="2369" t="s">
        <v>1092</v>
      </c>
      <c r="C40" s="1462"/>
      <c r="D40" s="1463"/>
      <c r="E40" s="1463"/>
      <c r="F40" s="1463"/>
      <c r="G40" s="1463"/>
      <c r="H40" s="1463"/>
      <c r="I40" s="1793"/>
      <c r="J40" s="1464"/>
      <c r="K40" s="1464"/>
      <c r="L40" s="1464"/>
      <c r="M40" s="1464"/>
      <c r="N40" s="1464"/>
      <c r="O40" s="1464"/>
      <c r="P40" s="1464"/>
      <c r="Q40" s="1464"/>
      <c r="R40" s="1464"/>
      <c r="S40" s="1464"/>
      <c r="T40" s="1464"/>
      <c r="U40" s="1464"/>
      <c r="V40" s="1464"/>
      <c r="W40" s="1464"/>
      <c r="X40" s="1464"/>
      <c r="Y40" s="1464"/>
      <c r="Z40" s="1465"/>
      <c r="AA40" s="1464"/>
      <c r="AB40" s="1466"/>
      <c r="AC40" s="3203"/>
      <c r="AD40" s="91"/>
      <c r="AE40" s="1112"/>
    </row>
    <row r="41" spans="1:31" s="1111" customFormat="1" ht="12" customHeight="1">
      <c r="A41" s="1456">
        <v>38</v>
      </c>
      <c r="B41" s="2370" t="s">
        <v>1091</v>
      </c>
      <c r="C41" s="1467"/>
      <c r="D41" s="1468"/>
      <c r="E41" s="1468"/>
      <c r="F41" s="1468"/>
      <c r="G41" s="1468"/>
      <c r="H41" s="1468"/>
      <c r="I41" s="1793"/>
      <c r="J41" s="1469"/>
      <c r="K41" s="1469"/>
      <c r="L41" s="1469"/>
      <c r="M41" s="1469"/>
      <c r="N41" s="1469"/>
      <c r="O41" s="1469"/>
      <c r="P41" s="1469"/>
      <c r="Q41" s="1469"/>
      <c r="R41" s="1469"/>
      <c r="S41" s="1469"/>
      <c r="T41" s="1469"/>
      <c r="U41" s="1469"/>
      <c r="V41" s="1469"/>
      <c r="W41" s="1469"/>
      <c r="X41" s="1469"/>
      <c r="Y41" s="1469"/>
      <c r="Z41" s="1470"/>
      <c r="AA41" s="1469"/>
      <c r="AB41" s="1471"/>
      <c r="AC41" s="3204"/>
      <c r="AD41" s="13"/>
      <c r="AE41" s="1112"/>
    </row>
    <row r="42" spans="1:31" s="1111" customFormat="1" ht="12" customHeight="1">
      <c r="A42" s="1451">
        <v>39</v>
      </c>
      <c r="B42" s="2365" t="s">
        <v>157</v>
      </c>
      <c r="C42" s="1483"/>
      <c r="D42" s="1484"/>
      <c r="E42" s="1484"/>
      <c r="F42" s="1484"/>
      <c r="G42" s="1484"/>
      <c r="H42" s="1484"/>
      <c r="I42" s="1797"/>
      <c r="J42" s="1484"/>
      <c r="K42" s="1484"/>
      <c r="L42" s="1484"/>
      <c r="M42" s="1484"/>
      <c r="N42" s="1484"/>
      <c r="O42" s="1484"/>
      <c r="P42" s="1484"/>
      <c r="Q42" s="1484"/>
      <c r="R42" s="1484"/>
      <c r="S42" s="1484"/>
      <c r="T42" s="1484"/>
      <c r="U42" s="1484"/>
      <c r="V42" s="1484"/>
      <c r="W42" s="1484"/>
      <c r="X42" s="1484"/>
      <c r="Y42" s="1484"/>
      <c r="Z42" s="1485"/>
      <c r="AA42" s="1484"/>
      <c r="AB42" s="1486"/>
      <c r="AC42" s="3208"/>
      <c r="AD42" s="13"/>
      <c r="AE42" s="1112"/>
    </row>
    <row r="43" spans="1:31" s="1111" customFormat="1" ht="12" customHeight="1">
      <c r="A43" s="1456">
        <v>40</v>
      </c>
      <c r="B43" s="2366" t="s">
        <v>962</v>
      </c>
      <c r="C43" s="1476">
        <v>180</v>
      </c>
      <c r="D43" s="1477">
        <v>180</v>
      </c>
      <c r="E43" s="1477">
        <v>180</v>
      </c>
      <c r="F43" s="1477">
        <v>180</v>
      </c>
      <c r="G43" s="1477">
        <v>180</v>
      </c>
      <c r="H43" s="1477">
        <v>180</v>
      </c>
      <c r="I43" s="1796">
        <v>180</v>
      </c>
      <c r="J43" s="1477">
        <v>180</v>
      </c>
      <c r="K43" s="1477">
        <v>180</v>
      </c>
      <c r="L43" s="1477">
        <v>180</v>
      </c>
      <c r="M43" s="1477">
        <v>180</v>
      </c>
      <c r="N43" s="1477">
        <v>180</v>
      </c>
      <c r="O43" s="1477">
        <v>180</v>
      </c>
      <c r="P43" s="1477">
        <v>180</v>
      </c>
      <c r="Q43" s="1477">
        <v>180</v>
      </c>
      <c r="R43" s="1477">
        <v>180</v>
      </c>
      <c r="S43" s="1477">
        <v>180</v>
      </c>
      <c r="T43" s="1477">
        <v>180</v>
      </c>
      <c r="U43" s="1477"/>
      <c r="V43" s="1477">
        <v>180</v>
      </c>
      <c r="W43" s="1477">
        <v>180</v>
      </c>
      <c r="X43" s="1477">
        <v>180</v>
      </c>
      <c r="Y43" s="1477">
        <v>180</v>
      </c>
      <c r="Z43" s="1478">
        <v>180</v>
      </c>
      <c r="AA43" s="1477">
        <v>180</v>
      </c>
      <c r="AB43" s="1479">
        <v>180</v>
      </c>
      <c r="AC43" s="3207">
        <v>4190750</v>
      </c>
      <c r="AD43" s="13"/>
      <c r="AE43" s="1112"/>
    </row>
    <row r="44" spans="1:31" s="1111" customFormat="1" ht="12" customHeight="1">
      <c r="A44" s="1451">
        <v>41</v>
      </c>
      <c r="B44" s="2367" t="s">
        <v>961</v>
      </c>
      <c r="C44" s="1480">
        <v>203</v>
      </c>
      <c r="D44" s="1458">
        <v>203</v>
      </c>
      <c r="E44" s="1458">
        <v>203</v>
      </c>
      <c r="F44" s="1458">
        <v>214</v>
      </c>
      <c r="G44" s="1458">
        <v>220</v>
      </c>
      <c r="H44" s="1458">
        <v>230</v>
      </c>
      <c r="I44" s="1793">
        <v>230</v>
      </c>
      <c r="J44" s="1459">
        <v>218</v>
      </c>
      <c r="K44" s="1459">
        <v>215</v>
      </c>
      <c r="L44" s="1459">
        <v>214</v>
      </c>
      <c r="M44" s="1459">
        <v>211</v>
      </c>
      <c r="N44" s="1459">
        <v>202</v>
      </c>
      <c r="O44" s="1459">
        <v>205</v>
      </c>
      <c r="P44" s="1459">
        <v>200</v>
      </c>
      <c r="Q44" s="1459">
        <v>214</v>
      </c>
      <c r="R44" s="1459">
        <v>210</v>
      </c>
      <c r="S44" s="1459">
        <v>212</v>
      </c>
      <c r="T44" s="1459">
        <v>211</v>
      </c>
      <c r="U44" s="1459"/>
      <c r="V44" s="1459">
        <v>223</v>
      </c>
      <c r="W44" s="1459">
        <v>222</v>
      </c>
      <c r="X44" s="1459">
        <v>224</v>
      </c>
      <c r="Y44" s="1459">
        <v>224</v>
      </c>
      <c r="Z44" s="1460">
        <v>224</v>
      </c>
      <c r="AA44" s="1459">
        <v>230</v>
      </c>
      <c r="AB44" s="1461">
        <v>230</v>
      </c>
      <c r="AC44" s="3202">
        <v>5166000</v>
      </c>
      <c r="AD44" s="13"/>
    </row>
    <row r="45" spans="1:31" s="1111" customFormat="1" ht="12" customHeight="1">
      <c r="A45" s="1456">
        <v>42</v>
      </c>
      <c r="B45" s="2369" t="s">
        <v>1014</v>
      </c>
      <c r="C45" s="1481">
        <v>51</v>
      </c>
      <c r="D45" s="1463">
        <v>51</v>
      </c>
      <c r="E45" s="1463">
        <v>51</v>
      </c>
      <c r="F45" s="1463">
        <v>51</v>
      </c>
      <c r="G45" s="1463">
        <v>52</v>
      </c>
      <c r="H45" s="1463">
        <v>52</v>
      </c>
      <c r="I45" s="1793">
        <v>52</v>
      </c>
      <c r="J45" s="1464">
        <v>53</v>
      </c>
      <c r="K45" s="1464">
        <v>53</v>
      </c>
      <c r="L45" s="1464">
        <v>53</v>
      </c>
      <c r="M45" s="1464">
        <v>50</v>
      </c>
      <c r="N45" s="1464">
        <v>49</v>
      </c>
      <c r="O45" s="1464">
        <v>49</v>
      </c>
      <c r="P45" s="1464">
        <v>48</v>
      </c>
      <c r="Q45" s="1464">
        <v>47</v>
      </c>
      <c r="R45" s="1464">
        <v>47</v>
      </c>
      <c r="S45" s="1464">
        <v>48</v>
      </c>
      <c r="T45" s="1464">
        <v>50</v>
      </c>
      <c r="U45" s="1464"/>
      <c r="V45" s="1464">
        <v>50</v>
      </c>
      <c r="W45" s="1464">
        <v>50</v>
      </c>
      <c r="X45" s="1464">
        <v>50</v>
      </c>
      <c r="Y45" s="1464">
        <v>50</v>
      </c>
      <c r="Z45" s="1465">
        <v>50</v>
      </c>
      <c r="AA45" s="1464">
        <v>52</v>
      </c>
      <c r="AB45" s="1466">
        <v>52</v>
      </c>
      <c r="AC45" s="3203">
        <v>1186560</v>
      </c>
      <c r="AD45" s="13"/>
    </row>
    <row r="46" spans="1:31" s="1111" customFormat="1" ht="12" customHeight="1">
      <c r="A46" s="1451">
        <v>43</v>
      </c>
      <c r="B46" s="2370" t="s">
        <v>1293</v>
      </c>
      <c r="C46" s="1482"/>
      <c r="D46" s="1468"/>
      <c r="E46" s="1468"/>
      <c r="F46" s="1468"/>
      <c r="G46" s="1468"/>
      <c r="H46" s="1468"/>
      <c r="I46" s="1793">
        <v>1</v>
      </c>
      <c r="J46" s="1469">
        <v>6</v>
      </c>
      <c r="K46" s="1469">
        <v>11</v>
      </c>
      <c r="L46" s="1469">
        <v>34</v>
      </c>
      <c r="M46" s="1469">
        <v>40</v>
      </c>
      <c r="N46" s="1469">
        <v>43</v>
      </c>
      <c r="O46" s="1469">
        <v>41</v>
      </c>
      <c r="P46" s="1469">
        <v>35</v>
      </c>
      <c r="Q46" s="1469">
        <v>23</v>
      </c>
      <c r="R46" s="1469">
        <v>10</v>
      </c>
      <c r="S46" s="1469">
        <v>1</v>
      </c>
      <c r="T46" s="1469"/>
      <c r="U46" s="1469"/>
      <c r="V46" s="1469"/>
      <c r="W46" s="1469"/>
      <c r="X46" s="1469"/>
      <c r="Y46" s="1469"/>
      <c r="Z46" s="1470"/>
      <c r="AA46" s="1469"/>
      <c r="AB46" s="1471"/>
      <c r="AC46" s="3204">
        <v>248960</v>
      </c>
      <c r="AD46" s="13"/>
    </row>
    <row r="47" spans="1:31" s="1111" customFormat="1" ht="12" customHeight="1">
      <c r="A47" s="1456">
        <v>44</v>
      </c>
      <c r="B47" s="2368" t="s">
        <v>1017</v>
      </c>
      <c r="C47" s="1483">
        <v>42</v>
      </c>
      <c r="D47" s="1484">
        <v>42</v>
      </c>
      <c r="E47" s="1484">
        <v>42</v>
      </c>
      <c r="F47" s="1484">
        <v>42</v>
      </c>
      <c r="G47" s="1484">
        <v>42</v>
      </c>
      <c r="H47" s="1484">
        <v>42</v>
      </c>
      <c r="I47" s="1797">
        <v>42</v>
      </c>
      <c r="J47" s="1484">
        <v>42</v>
      </c>
      <c r="K47" s="1484">
        <v>42</v>
      </c>
      <c r="L47" s="1484">
        <v>43</v>
      </c>
      <c r="M47" s="1484">
        <v>43</v>
      </c>
      <c r="N47" s="1484">
        <v>43</v>
      </c>
      <c r="O47" s="1484">
        <v>43</v>
      </c>
      <c r="P47" s="1484">
        <v>43</v>
      </c>
      <c r="Q47" s="1484">
        <v>43</v>
      </c>
      <c r="R47" s="1484">
        <v>43</v>
      </c>
      <c r="S47" s="1484">
        <v>43</v>
      </c>
      <c r="T47" s="1484">
        <v>43</v>
      </c>
      <c r="U47" s="1484"/>
      <c r="V47" s="1484">
        <v>43</v>
      </c>
      <c r="W47" s="1484">
        <v>43</v>
      </c>
      <c r="X47" s="1484">
        <v>43</v>
      </c>
      <c r="Y47" s="1484">
        <v>42</v>
      </c>
      <c r="Z47" s="1485">
        <v>43</v>
      </c>
      <c r="AA47" s="1484">
        <v>42</v>
      </c>
      <c r="AB47" s="1486">
        <v>42</v>
      </c>
      <c r="AC47" s="3208">
        <v>1013000</v>
      </c>
      <c r="AD47" s="13"/>
    </row>
    <row r="48" spans="1:31" s="1111" customFormat="1" ht="12" customHeight="1">
      <c r="A48" s="1451">
        <v>45</v>
      </c>
      <c r="B48" s="2361" t="s">
        <v>1018</v>
      </c>
      <c r="C48" s="1476"/>
      <c r="D48" s="1477"/>
      <c r="E48" s="1477"/>
      <c r="F48" s="1477"/>
      <c r="G48" s="1477"/>
      <c r="H48" s="1477"/>
      <c r="I48" s="1796"/>
      <c r="J48" s="1477"/>
      <c r="K48" s="1477"/>
      <c r="L48" s="1477"/>
      <c r="M48" s="1477"/>
      <c r="N48" s="1477"/>
      <c r="O48" s="1477"/>
      <c r="P48" s="1477"/>
      <c r="Q48" s="1477"/>
      <c r="R48" s="1477"/>
      <c r="S48" s="1477"/>
      <c r="T48" s="1477"/>
      <c r="U48" s="1477"/>
      <c r="V48" s="1477"/>
      <c r="W48" s="1477"/>
      <c r="X48" s="1477"/>
      <c r="Y48" s="1477"/>
      <c r="Z48" s="1478"/>
      <c r="AA48" s="1477"/>
      <c r="AB48" s="1479"/>
      <c r="AC48" s="3207"/>
      <c r="AD48" s="13"/>
    </row>
    <row r="49" spans="1:32" s="1111" customFormat="1" ht="12" customHeight="1">
      <c r="A49" s="1456">
        <v>46</v>
      </c>
      <c r="B49" s="2367" t="s">
        <v>1022</v>
      </c>
      <c r="C49" s="1487"/>
      <c r="D49" s="1459"/>
      <c r="E49" s="1459"/>
      <c r="F49" s="1459"/>
      <c r="G49" s="1459"/>
      <c r="H49" s="1459"/>
      <c r="I49" s="1798"/>
      <c r="J49" s="1459"/>
      <c r="K49" s="1459"/>
      <c r="L49" s="1459"/>
      <c r="M49" s="1459"/>
      <c r="N49" s="1459"/>
      <c r="O49" s="1459"/>
      <c r="P49" s="1459"/>
      <c r="Q49" s="1459"/>
      <c r="R49" s="1459"/>
      <c r="S49" s="1459"/>
      <c r="T49" s="1459"/>
      <c r="U49" s="1459"/>
      <c r="V49" s="1459"/>
      <c r="W49" s="1459"/>
      <c r="X49" s="1459"/>
      <c r="Y49" s="1459"/>
      <c r="Z49" s="1460"/>
      <c r="AA49" s="1459"/>
      <c r="AB49" s="1461"/>
      <c r="AC49" s="3209"/>
      <c r="AD49" s="13"/>
    </row>
    <row r="50" spans="1:32" s="1111" customFormat="1" ht="12" customHeight="1">
      <c r="A50" s="1451">
        <v>47</v>
      </c>
      <c r="B50" s="2369" t="s">
        <v>1023</v>
      </c>
      <c r="C50" s="1493">
        <v>71</v>
      </c>
      <c r="D50" s="1494">
        <v>71</v>
      </c>
      <c r="E50" s="1494">
        <v>71</v>
      </c>
      <c r="F50" s="1494">
        <v>70</v>
      </c>
      <c r="G50" s="1494">
        <v>70</v>
      </c>
      <c r="H50" s="1494">
        <v>71</v>
      </c>
      <c r="I50" s="1800">
        <v>70</v>
      </c>
      <c r="J50" s="1495">
        <v>72</v>
      </c>
      <c r="K50" s="1495">
        <v>52</v>
      </c>
      <c r="L50" s="1495">
        <v>40</v>
      </c>
      <c r="M50" s="1495">
        <v>65</v>
      </c>
      <c r="N50" s="1495">
        <v>64</v>
      </c>
      <c r="O50" s="1495">
        <v>65</v>
      </c>
      <c r="P50" s="1495">
        <v>40</v>
      </c>
      <c r="Q50" s="1495">
        <v>40</v>
      </c>
      <c r="R50" s="1495">
        <v>40</v>
      </c>
      <c r="S50" s="1495">
        <v>68</v>
      </c>
      <c r="T50" s="1495">
        <v>63</v>
      </c>
      <c r="U50" s="1495"/>
      <c r="V50" s="1495">
        <v>64</v>
      </c>
      <c r="W50" s="1495">
        <v>70</v>
      </c>
      <c r="X50" s="1495">
        <v>70</v>
      </c>
      <c r="Y50" s="1495">
        <v>70</v>
      </c>
      <c r="Z50" s="1496">
        <v>69</v>
      </c>
      <c r="AA50" s="1495">
        <v>71</v>
      </c>
      <c r="AB50" s="1497">
        <v>71</v>
      </c>
      <c r="AC50" s="3212">
        <v>1520352</v>
      </c>
      <c r="AD50" s="13"/>
    </row>
    <row r="51" spans="1:32" s="1111" customFormat="1" ht="12" customHeight="1">
      <c r="A51" s="1456">
        <v>48</v>
      </c>
      <c r="B51" s="2364" t="s">
        <v>1024</v>
      </c>
      <c r="C51" s="1467">
        <v>81</v>
      </c>
      <c r="D51" s="1468">
        <v>81</v>
      </c>
      <c r="E51" s="1468">
        <v>81</v>
      </c>
      <c r="F51" s="1468">
        <v>81</v>
      </c>
      <c r="G51" s="1468">
        <v>81</v>
      </c>
      <c r="H51" s="1468">
        <v>81</v>
      </c>
      <c r="I51" s="1793">
        <v>78</v>
      </c>
      <c r="J51" s="1469">
        <v>75</v>
      </c>
      <c r="K51" s="1469">
        <v>75</v>
      </c>
      <c r="L51" s="1469">
        <v>79</v>
      </c>
      <c r="M51" s="1469">
        <v>75</v>
      </c>
      <c r="N51" s="1469">
        <v>75</v>
      </c>
      <c r="O51" s="1469">
        <v>75</v>
      </c>
      <c r="P51" s="1469">
        <v>75</v>
      </c>
      <c r="Q51" s="1469">
        <v>72</v>
      </c>
      <c r="R51" s="1469">
        <v>75</v>
      </c>
      <c r="S51" s="1469">
        <v>78</v>
      </c>
      <c r="T51" s="1469">
        <v>79</v>
      </c>
      <c r="U51" s="1469"/>
      <c r="V51" s="1469">
        <v>79</v>
      </c>
      <c r="W51" s="1469">
        <v>79</v>
      </c>
      <c r="X51" s="1469">
        <v>79</v>
      </c>
      <c r="Y51" s="1469">
        <v>79</v>
      </c>
      <c r="Z51" s="1470">
        <v>79</v>
      </c>
      <c r="AA51" s="1469">
        <v>79</v>
      </c>
      <c r="AB51" s="1471">
        <v>79</v>
      </c>
      <c r="AC51" s="3204">
        <v>1867200</v>
      </c>
      <c r="AD51" s="13"/>
    </row>
    <row r="52" spans="1:32" s="1111" customFormat="1" ht="12" customHeight="1">
      <c r="A52" s="1456"/>
      <c r="B52" s="2364" t="s">
        <v>1297</v>
      </c>
      <c r="C52" s="3842"/>
      <c r="D52" s="3843"/>
      <c r="E52" s="3843"/>
      <c r="F52" s="3843"/>
      <c r="G52" s="3843"/>
      <c r="H52" s="3843"/>
      <c r="I52" s="3844"/>
      <c r="J52" s="3845"/>
      <c r="K52" s="3845"/>
      <c r="L52" s="3845"/>
      <c r="M52" s="3845"/>
      <c r="N52" s="3845"/>
      <c r="O52" s="3845"/>
      <c r="P52" s="3845"/>
      <c r="Q52" s="3845"/>
      <c r="R52" s="3845"/>
      <c r="S52" s="3845"/>
      <c r="T52" s="3845"/>
      <c r="U52" s="3845"/>
      <c r="V52" s="3845"/>
      <c r="W52" s="3845"/>
      <c r="X52" s="3845"/>
      <c r="Y52" s="3845"/>
      <c r="Z52" s="3846"/>
      <c r="AA52" s="3845"/>
      <c r="AB52" s="3847"/>
      <c r="AC52" s="3204"/>
      <c r="AD52" s="13"/>
    </row>
    <row r="53" spans="1:32" s="1111" customFormat="1" ht="12" customHeight="1">
      <c r="A53" s="1451">
        <v>49</v>
      </c>
      <c r="B53" s="2368" t="s">
        <v>1025</v>
      </c>
      <c r="C53" s="1503"/>
      <c r="D53" s="1504"/>
      <c r="E53" s="1504"/>
      <c r="F53" s="1504"/>
      <c r="G53" s="1504"/>
      <c r="H53" s="1504"/>
      <c r="I53" s="1802"/>
      <c r="J53" s="1484"/>
      <c r="K53" s="1484"/>
      <c r="L53" s="1484"/>
      <c r="M53" s="1484"/>
      <c r="N53" s="1484"/>
      <c r="O53" s="1484"/>
      <c r="P53" s="1484"/>
      <c r="Q53" s="1484"/>
      <c r="R53" s="1484"/>
      <c r="S53" s="1484"/>
      <c r="T53" s="1484"/>
      <c r="U53" s="1484"/>
      <c r="V53" s="1484"/>
      <c r="W53" s="1484"/>
      <c r="X53" s="1484"/>
      <c r="Y53" s="1484"/>
      <c r="Z53" s="1485"/>
      <c r="AA53" s="1484"/>
      <c r="AB53" s="1486"/>
      <c r="AC53" s="3214"/>
    </row>
    <row r="54" spans="1:32" s="1111" customFormat="1" ht="12" customHeight="1">
      <c r="A54" s="1456">
        <v>50</v>
      </c>
      <c r="B54" s="2366" t="s">
        <v>1242</v>
      </c>
      <c r="C54" s="1476">
        <v>190</v>
      </c>
      <c r="D54" s="1477">
        <v>190</v>
      </c>
      <c r="E54" s="1477">
        <v>190</v>
      </c>
      <c r="F54" s="1477">
        <v>190</v>
      </c>
      <c r="G54" s="1477">
        <v>190</v>
      </c>
      <c r="H54" s="1477">
        <v>190</v>
      </c>
      <c r="I54" s="1796">
        <v>190</v>
      </c>
      <c r="J54" s="1477">
        <v>190</v>
      </c>
      <c r="K54" s="1477">
        <v>190</v>
      </c>
      <c r="L54" s="1477">
        <v>165</v>
      </c>
      <c r="M54" s="1477">
        <v>165</v>
      </c>
      <c r="N54" s="1477">
        <v>165</v>
      </c>
      <c r="O54" s="1477">
        <v>191</v>
      </c>
      <c r="P54" s="1477">
        <v>191</v>
      </c>
      <c r="Q54" s="1477">
        <v>178</v>
      </c>
      <c r="R54" s="1477">
        <v>190</v>
      </c>
      <c r="S54" s="1477">
        <v>190</v>
      </c>
      <c r="T54" s="1477">
        <v>190</v>
      </c>
      <c r="U54" s="1477"/>
      <c r="V54" s="1477">
        <v>190</v>
      </c>
      <c r="W54" s="1477">
        <v>190</v>
      </c>
      <c r="X54" s="1477">
        <v>190</v>
      </c>
      <c r="Y54" s="1477">
        <v>190</v>
      </c>
      <c r="Z54" s="1478">
        <v>190</v>
      </c>
      <c r="AA54" s="1477">
        <v>190</v>
      </c>
      <c r="AB54" s="1479">
        <v>190</v>
      </c>
      <c r="AC54" s="3207">
        <v>4518080</v>
      </c>
    </row>
    <row r="55" spans="1:32" s="1111" customFormat="1" ht="12" customHeight="1">
      <c r="A55" s="1451">
        <v>51</v>
      </c>
      <c r="B55" s="2367" t="s">
        <v>1027</v>
      </c>
      <c r="C55" s="1457">
        <v>18</v>
      </c>
      <c r="D55" s="1458">
        <v>18</v>
      </c>
      <c r="E55" s="1458">
        <v>18</v>
      </c>
      <c r="F55" s="1458">
        <v>18</v>
      </c>
      <c r="G55" s="1458">
        <v>18</v>
      </c>
      <c r="H55" s="1458">
        <v>18</v>
      </c>
      <c r="I55" s="1793">
        <v>18</v>
      </c>
      <c r="J55" s="1459">
        <v>18</v>
      </c>
      <c r="K55" s="1459">
        <v>18</v>
      </c>
      <c r="L55" s="1459">
        <v>18</v>
      </c>
      <c r="M55" s="1459">
        <v>18</v>
      </c>
      <c r="N55" s="1459">
        <v>18</v>
      </c>
      <c r="O55" s="1459">
        <v>18</v>
      </c>
      <c r="P55" s="1459">
        <v>18</v>
      </c>
      <c r="Q55" s="1459">
        <v>18</v>
      </c>
      <c r="R55" s="1459">
        <v>18</v>
      </c>
      <c r="S55" s="1459">
        <v>18</v>
      </c>
      <c r="T55" s="1459">
        <v>18</v>
      </c>
      <c r="U55" s="1459"/>
      <c r="V55" s="1459">
        <v>18</v>
      </c>
      <c r="W55" s="1459">
        <v>18</v>
      </c>
      <c r="X55" s="1459">
        <v>18</v>
      </c>
      <c r="Y55" s="1459">
        <v>18</v>
      </c>
      <c r="Z55" s="1460">
        <v>18</v>
      </c>
      <c r="AA55" s="1459">
        <v>18</v>
      </c>
      <c r="AB55" s="1461">
        <v>18</v>
      </c>
      <c r="AC55" s="3202">
        <v>420000</v>
      </c>
    </row>
    <row r="56" spans="1:32" s="1111" customFormat="1" ht="12" customHeight="1">
      <c r="A56" s="1456">
        <v>52</v>
      </c>
      <c r="B56" s="2369" t="s">
        <v>1028</v>
      </c>
      <c r="C56" s="1462"/>
      <c r="D56" s="1463"/>
      <c r="E56" s="1463"/>
      <c r="F56" s="1463"/>
      <c r="G56" s="1463"/>
      <c r="H56" s="1463"/>
      <c r="I56" s="1793"/>
      <c r="J56" s="1464"/>
      <c r="K56" s="1464"/>
      <c r="L56" s="1464"/>
      <c r="M56" s="1464"/>
      <c r="N56" s="1464"/>
      <c r="O56" s="1464"/>
      <c r="P56" s="1464"/>
      <c r="Q56" s="1464"/>
      <c r="R56" s="1464"/>
      <c r="S56" s="1464"/>
      <c r="T56" s="1464"/>
      <c r="U56" s="1464"/>
      <c r="V56" s="1464"/>
      <c r="W56" s="1464"/>
      <c r="X56" s="1464"/>
      <c r="Y56" s="1464"/>
      <c r="Z56" s="1465"/>
      <c r="AA56" s="1464"/>
      <c r="AB56" s="1466"/>
      <c r="AC56" s="3203"/>
    </row>
    <row r="57" spans="1:32" s="1111" customFormat="1" ht="12" customHeight="1">
      <c r="A57" s="1451">
        <v>53</v>
      </c>
      <c r="B57" s="2370" t="s">
        <v>1029</v>
      </c>
      <c r="C57" s="1467">
        <v>10</v>
      </c>
      <c r="D57" s="1468">
        <v>10</v>
      </c>
      <c r="E57" s="1468">
        <v>10</v>
      </c>
      <c r="F57" s="1468">
        <v>10</v>
      </c>
      <c r="G57" s="1468">
        <v>10</v>
      </c>
      <c r="H57" s="1468">
        <v>10</v>
      </c>
      <c r="I57" s="1793">
        <v>10</v>
      </c>
      <c r="J57" s="1469">
        <v>10</v>
      </c>
      <c r="K57" s="1469">
        <v>10</v>
      </c>
      <c r="L57" s="1469">
        <v>10</v>
      </c>
      <c r="M57" s="1469">
        <v>10</v>
      </c>
      <c r="N57" s="1469">
        <v>10</v>
      </c>
      <c r="O57" s="1469">
        <v>10</v>
      </c>
      <c r="P57" s="1469">
        <v>10</v>
      </c>
      <c r="Q57" s="1469">
        <v>10</v>
      </c>
      <c r="R57" s="1469">
        <v>10</v>
      </c>
      <c r="S57" s="1469">
        <v>10</v>
      </c>
      <c r="T57" s="1469">
        <v>10</v>
      </c>
      <c r="U57" s="1469"/>
      <c r="V57" s="1469">
        <v>10</v>
      </c>
      <c r="W57" s="1469">
        <v>10</v>
      </c>
      <c r="X57" s="1469">
        <v>10</v>
      </c>
      <c r="Y57" s="1469">
        <v>10</v>
      </c>
      <c r="Z57" s="1470">
        <v>10</v>
      </c>
      <c r="AA57" s="1469">
        <v>10</v>
      </c>
      <c r="AB57" s="1471">
        <v>10</v>
      </c>
      <c r="AC57" s="3204">
        <v>252540</v>
      </c>
    </row>
    <row r="58" spans="1:32" s="1111" customFormat="1" ht="12" customHeight="1">
      <c r="A58" s="1456">
        <v>54</v>
      </c>
      <c r="B58" s="2365" t="s">
        <v>1032</v>
      </c>
      <c r="C58" s="1483">
        <v>11</v>
      </c>
      <c r="D58" s="1484">
        <v>11</v>
      </c>
      <c r="E58" s="1484">
        <v>8</v>
      </c>
      <c r="F58" s="1484">
        <v>8</v>
      </c>
      <c r="G58" s="1484">
        <v>8</v>
      </c>
      <c r="H58" s="1484">
        <v>8</v>
      </c>
      <c r="I58" s="1797">
        <v>8</v>
      </c>
      <c r="J58" s="1484">
        <v>8</v>
      </c>
      <c r="K58" s="1484">
        <v>8</v>
      </c>
      <c r="L58" s="1484">
        <v>8</v>
      </c>
      <c r="M58" s="1484">
        <v>8</v>
      </c>
      <c r="N58" s="1484"/>
      <c r="O58" s="1484">
        <v>8</v>
      </c>
      <c r="P58" s="1484">
        <v>8</v>
      </c>
      <c r="Q58" s="1484">
        <v>8</v>
      </c>
      <c r="R58" s="1484">
        <v>8</v>
      </c>
      <c r="S58" s="1484">
        <v>8</v>
      </c>
      <c r="T58" s="1484">
        <v>11</v>
      </c>
      <c r="U58" s="1484"/>
      <c r="V58" s="1484">
        <v>11</v>
      </c>
      <c r="W58" s="1484">
        <v>11</v>
      </c>
      <c r="X58" s="1484">
        <v>11</v>
      </c>
      <c r="Y58" s="1484">
        <v>11</v>
      </c>
      <c r="Z58" s="1485">
        <v>11</v>
      </c>
      <c r="AA58" s="1484">
        <v>11</v>
      </c>
      <c r="AB58" s="1486">
        <v>11</v>
      </c>
      <c r="AC58" s="3208">
        <v>211200</v>
      </c>
    </row>
    <row r="59" spans="1:32" s="1111" customFormat="1" ht="12" customHeight="1">
      <c r="A59" s="1451">
        <v>55</v>
      </c>
      <c r="B59" s="2366" t="s">
        <v>1019</v>
      </c>
      <c r="C59" s="1476">
        <v>48</v>
      </c>
      <c r="D59" s="1477">
        <v>48</v>
      </c>
      <c r="E59" s="1477">
        <v>48</v>
      </c>
      <c r="F59" s="1477">
        <v>48</v>
      </c>
      <c r="G59" s="1477">
        <v>48</v>
      </c>
      <c r="H59" s="1477">
        <v>48</v>
      </c>
      <c r="I59" s="1796">
        <v>48</v>
      </c>
      <c r="J59" s="1477">
        <v>48</v>
      </c>
      <c r="K59" s="1477">
        <v>48</v>
      </c>
      <c r="L59" s="1477">
        <v>48</v>
      </c>
      <c r="M59" s="1477">
        <v>51</v>
      </c>
      <c r="N59" s="1477">
        <v>51</v>
      </c>
      <c r="O59" s="1477">
        <v>48</v>
      </c>
      <c r="P59" s="1477">
        <v>45</v>
      </c>
      <c r="Q59" s="1477">
        <v>45</v>
      </c>
      <c r="R59" s="1477">
        <v>48</v>
      </c>
      <c r="S59" s="1477">
        <v>48</v>
      </c>
      <c r="T59" s="1477">
        <v>51</v>
      </c>
      <c r="U59" s="1477"/>
      <c r="V59" s="1477">
        <v>49</v>
      </c>
      <c r="W59" s="1477">
        <v>51</v>
      </c>
      <c r="X59" s="1477">
        <v>51</v>
      </c>
      <c r="Y59" s="1477">
        <v>51</v>
      </c>
      <c r="Z59" s="1478">
        <v>51</v>
      </c>
      <c r="AA59" s="1477">
        <v>50</v>
      </c>
      <c r="AB59" s="1479">
        <v>50</v>
      </c>
      <c r="AC59" s="3207">
        <v>1169400</v>
      </c>
    </row>
    <row r="60" spans="1:32" s="1111" customFormat="1" ht="12" customHeight="1">
      <c r="A60" s="1456">
        <v>56</v>
      </c>
      <c r="B60" s="2367" t="s">
        <v>1031</v>
      </c>
      <c r="C60" s="1480">
        <v>21</v>
      </c>
      <c r="D60" s="1458">
        <v>21</v>
      </c>
      <c r="E60" s="1458">
        <v>21</v>
      </c>
      <c r="F60" s="1458">
        <v>21</v>
      </c>
      <c r="G60" s="1458">
        <v>21</v>
      </c>
      <c r="H60" s="1458">
        <v>21</v>
      </c>
      <c r="I60" s="1793">
        <v>21</v>
      </c>
      <c r="J60" s="1459">
        <v>21</v>
      </c>
      <c r="K60" s="1459">
        <v>21</v>
      </c>
      <c r="L60" s="1459">
        <v>21</v>
      </c>
      <c r="M60" s="1459">
        <v>21</v>
      </c>
      <c r="N60" s="1459">
        <v>21</v>
      </c>
      <c r="O60" s="1459">
        <v>21</v>
      </c>
      <c r="P60" s="1459">
        <v>21</v>
      </c>
      <c r="Q60" s="1459">
        <v>21</v>
      </c>
      <c r="R60" s="1459">
        <v>21</v>
      </c>
      <c r="S60" s="1459">
        <v>21</v>
      </c>
      <c r="T60" s="1459">
        <v>24</v>
      </c>
      <c r="U60" s="1459"/>
      <c r="V60" s="1459">
        <v>24</v>
      </c>
      <c r="W60" s="1459">
        <v>24</v>
      </c>
      <c r="X60" s="1459">
        <v>24</v>
      </c>
      <c r="Y60" s="1459">
        <v>24</v>
      </c>
      <c r="Z60" s="1460">
        <v>16</v>
      </c>
      <c r="AA60" s="1459">
        <v>22</v>
      </c>
      <c r="AB60" s="1461">
        <v>22</v>
      </c>
      <c r="AC60" s="3202">
        <v>523896</v>
      </c>
    </row>
    <row r="61" spans="1:32" s="1111" customFormat="1" ht="12" customHeight="1">
      <c r="A61" s="1451">
        <v>57</v>
      </c>
      <c r="B61" s="2369" t="s">
        <v>1030</v>
      </c>
      <c r="C61" s="1481">
        <v>300</v>
      </c>
      <c r="D61" s="1463">
        <v>290</v>
      </c>
      <c r="E61" s="1463">
        <v>300</v>
      </c>
      <c r="F61" s="1463">
        <v>295</v>
      </c>
      <c r="G61" s="1463">
        <v>295</v>
      </c>
      <c r="H61" s="1463">
        <v>300</v>
      </c>
      <c r="I61" s="1793">
        <v>310</v>
      </c>
      <c r="J61" s="1464">
        <v>300</v>
      </c>
      <c r="K61" s="1464">
        <v>285</v>
      </c>
      <c r="L61" s="1464">
        <v>270</v>
      </c>
      <c r="M61" s="1464">
        <v>295</v>
      </c>
      <c r="N61" s="1464">
        <v>290</v>
      </c>
      <c r="O61" s="1464">
        <v>310</v>
      </c>
      <c r="P61" s="1464">
        <v>275</v>
      </c>
      <c r="Q61" s="1464">
        <v>285</v>
      </c>
      <c r="R61" s="1464">
        <v>310</v>
      </c>
      <c r="S61" s="1464">
        <v>300</v>
      </c>
      <c r="T61" s="1464">
        <v>270</v>
      </c>
      <c r="U61" s="1464"/>
      <c r="V61" s="1464">
        <v>280</v>
      </c>
      <c r="W61" s="1464">
        <v>300</v>
      </c>
      <c r="X61" s="1464">
        <v>290</v>
      </c>
      <c r="Y61" s="1464">
        <v>290</v>
      </c>
      <c r="Z61" s="1465">
        <v>290</v>
      </c>
      <c r="AA61" s="1464">
        <v>295</v>
      </c>
      <c r="AB61" s="1466">
        <v>290</v>
      </c>
      <c r="AC61" s="3203">
        <v>7324500</v>
      </c>
      <c r="AE61" s="1111">
        <v>69152500</v>
      </c>
      <c r="AF61" s="1627">
        <f>AE61-AC61</f>
        <v>61828000</v>
      </c>
    </row>
    <row r="62" spans="1:32" s="1111" customFormat="1" ht="12" customHeight="1">
      <c r="A62" s="1456"/>
      <c r="B62" s="2369" t="s">
        <v>1247</v>
      </c>
      <c r="C62" s="3439">
        <v>400</v>
      </c>
      <c r="D62" s="3440">
        <v>400</v>
      </c>
      <c r="E62" s="3440">
        <v>400</v>
      </c>
      <c r="F62" s="3440">
        <v>400</v>
      </c>
      <c r="G62" s="3440">
        <v>360</v>
      </c>
      <c r="H62" s="3440">
        <v>400</v>
      </c>
      <c r="I62" s="3441">
        <v>400</v>
      </c>
      <c r="J62" s="3442">
        <v>402</v>
      </c>
      <c r="K62" s="3442">
        <v>386</v>
      </c>
      <c r="L62" s="3442">
        <v>251</v>
      </c>
      <c r="M62" s="3442">
        <v>220</v>
      </c>
      <c r="N62" s="3442">
        <v>200</v>
      </c>
      <c r="O62" s="3442">
        <v>200</v>
      </c>
      <c r="P62" s="3442">
        <v>200</v>
      </c>
      <c r="Q62" s="3442">
        <v>200</v>
      </c>
      <c r="R62" s="3442">
        <v>200</v>
      </c>
      <c r="S62" s="3442">
        <v>200</v>
      </c>
      <c r="T62" s="3442">
        <v>201</v>
      </c>
      <c r="U62" s="3442"/>
      <c r="V62" s="3442">
        <v>200</v>
      </c>
      <c r="W62" s="3442">
        <v>200</v>
      </c>
      <c r="X62" s="3442">
        <v>270</v>
      </c>
      <c r="Y62" s="3442">
        <v>401</v>
      </c>
      <c r="Z62" s="3443">
        <v>402</v>
      </c>
      <c r="AA62" s="3442">
        <v>400</v>
      </c>
      <c r="AB62" s="3444">
        <v>400</v>
      </c>
      <c r="AC62" s="3203">
        <v>7415900</v>
      </c>
      <c r="AF62" s="1627"/>
    </row>
    <row r="63" spans="1:32" s="1111" customFormat="1" ht="12" customHeight="1">
      <c r="A63" s="1456">
        <v>58</v>
      </c>
      <c r="B63" s="2370" t="s">
        <v>976</v>
      </c>
      <c r="C63" s="1482">
        <v>35</v>
      </c>
      <c r="D63" s="1468">
        <v>35</v>
      </c>
      <c r="E63" s="1468">
        <v>35</v>
      </c>
      <c r="F63" s="1468">
        <v>35</v>
      </c>
      <c r="G63" s="1468">
        <v>35</v>
      </c>
      <c r="H63" s="1468">
        <v>35</v>
      </c>
      <c r="I63" s="1793">
        <v>35</v>
      </c>
      <c r="J63" s="1469">
        <v>35</v>
      </c>
      <c r="K63" s="1469">
        <v>17</v>
      </c>
      <c r="L63" s="1469">
        <v>17</v>
      </c>
      <c r="M63" s="1469">
        <v>17</v>
      </c>
      <c r="N63" s="1469">
        <v>17</v>
      </c>
      <c r="O63" s="1469">
        <v>17</v>
      </c>
      <c r="P63" s="1469">
        <v>17</v>
      </c>
      <c r="Q63" s="1469">
        <v>17</v>
      </c>
      <c r="R63" s="1469">
        <v>17</v>
      </c>
      <c r="S63" s="1469">
        <v>17</v>
      </c>
      <c r="T63" s="1469">
        <v>35</v>
      </c>
      <c r="U63" s="1469"/>
      <c r="V63" s="1469">
        <v>35</v>
      </c>
      <c r="W63" s="1469">
        <v>35</v>
      </c>
      <c r="X63" s="1469">
        <v>35</v>
      </c>
      <c r="Y63" s="1469">
        <v>35</v>
      </c>
      <c r="Z63" s="1470">
        <v>35</v>
      </c>
      <c r="AA63" s="1469">
        <v>35</v>
      </c>
      <c r="AB63" s="1471">
        <v>35</v>
      </c>
      <c r="AC63" s="3204">
        <v>720579</v>
      </c>
    </row>
    <row r="64" spans="1:32" s="1111" customFormat="1" ht="12" customHeight="1">
      <c r="A64" s="1451">
        <v>59</v>
      </c>
      <c r="B64" s="2365" t="s">
        <v>1295</v>
      </c>
      <c r="C64" s="1483">
        <v>8</v>
      </c>
      <c r="D64" s="1484">
        <v>22</v>
      </c>
      <c r="E64" s="1484">
        <v>22</v>
      </c>
      <c r="F64" s="1484">
        <v>22</v>
      </c>
      <c r="G64" s="1484">
        <v>22</v>
      </c>
      <c r="H64" s="1484">
        <v>22</v>
      </c>
      <c r="I64" s="1797">
        <v>22</v>
      </c>
      <c r="J64" s="1484">
        <v>22</v>
      </c>
      <c r="K64" s="1484">
        <v>22</v>
      </c>
      <c r="L64" s="1484">
        <v>22</v>
      </c>
      <c r="M64" s="1484">
        <v>19</v>
      </c>
      <c r="N64" s="1484">
        <v>19</v>
      </c>
      <c r="O64" s="1484">
        <v>22</v>
      </c>
      <c r="P64" s="1484">
        <v>22</v>
      </c>
      <c r="Q64" s="1484">
        <v>22</v>
      </c>
      <c r="R64" s="1484">
        <v>22</v>
      </c>
      <c r="S64" s="1484">
        <v>22</v>
      </c>
      <c r="T64" s="1484">
        <v>22</v>
      </c>
      <c r="U64" s="1484"/>
      <c r="V64" s="1484">
        <v>22</v>
      </c>
      <c r="W64" s="1484">
        <v>22</v>
      </c>
      <c r="X64" s="1484">
        <v>22</v>
      </c>
      <c r="Y64" s="1484">
        <v>22</v>
      </c>
      <c r="Z64" s="1485">
        <v>22</v>
      </c>
      <c r="AA64" s="1484">
        <v>22</v>
      </c>
      <c r="AB64" s="1486">
        <v>22</v>
      </c>
      <c r="AC64" s="3208">
        <v>515040</v>
      </c>
    </row>
    <row r="65" spans="1:135" s="1111" customFormat="1" ht="12" customHeight="1">
      <c r="A65" s="1456">
        <v>60</v>
      </c>
      <c r="B65" s="2366" t="s">
        <v>994</v>
      </c>
      <c r="C65" s="1476">
        <v>21</v>
      </c>
      <c r="D65" s="1477">
        <v>21</v>
      </c>
      <c r="E65" s="1477">
        <v>21</v>
      </c>
      <c r="F65" s="1477">
        <v>21</v>
      </c>
      <c r="G65" s="1477">
        <v>21</v>
      </c>
      <c r="H65" s="1477">
        <v>21</v>
      </c>
      <c r="I65" s="1796">
        <v>21</v>
      </c>
      <c r="J65" s="1477">
        <v>18</v>
      </c>
      <c r="K65" s="1477">
        <v>18</v>
      </c>
      <c r="L65" s="1477">
        <v>18</v>
      </c>
      <c r="M65" s="1477">
        <v>21</v>
      </c>
      <c r="N65" s="1477">
        <v>21</v>
      </c>
      <c r="O65" s="1477">
        <v>21</v>
      </c>
      <c r="P65" s="1477">
        <v>21</v>
      </c>
      <c r="Q65" s="1477">
        <v>21</v>
      </c>
      <c r="R65" s="1477"/>
      <c r="S65" s="1477">
        <v>21</v>
      </c>
      <c r="T65" s="1477">
        <v>21</v>
      </c>
      <c r="U65" s="1477"/>
      <c r="V65" s="1477">
        <v>21</v>
      </c>
      <c r="W65" s="1477">
        <v>21</v>
      </c>
      <c r="X65" s="1477">
        <v>21</v>
      </c>
      <c r="Y65" s="1477">
        <v>21</v>
      </c>
      <c r="Z65" s="1478">
        <v>21</v>
      </c>
      <c r="AA65" s="1477">
        <v>21</v>
      </c>
      <c r="AB65" s="1479">
        <v>21</v>
      </c>
      <c r="AC65" s="3207">
        <v>457440</v>
      </c>
    </row>
    <row r="66" spans="1:135" s="1111" customFormat="1" ht="12" customHeight="1">
      <c r="A66" s="1451">
        <v>61</v>
      </c>
      <c r="B66" s="2362" t="s">
        <v>977</v>
      </c>
      <c r="C66" s="1487">
        <v>19</v>
      </c>
      <c r="D66" s="1459">
        <v>19</v>
      </c>
      <c r="E66" s="1459">
        <v>19</v>
      </c>
      <c r="F66" s="1459">
        <v>19</v>
      </c>
      <c r="G66" s="1459">
        <v>19</v>
      </c>
      <c r="H66" s="1459">
        <v>19</v>
      </c>
      <c r="I66" s="1798">
        <v>19</v>
      </c>
      <c r="J66" s="1459">
        <v>19</v>
      </c>
      <c r="K66" s="1459">
        <v>19</v>
      </c>
      <c r="L66" s="1459">
        <v>16</v>
      </c>
      <c r="M66" s="1459">
        <v>16</v>
      </c>
      <c r="N66" s="1459">
        <v>16</v>
      </c>
      <c r="O66" s="1459">
        <v>16</v>
      </c>
      <c r="P66" s="1459">
        <v>16</v>
      </c>
      <c r="Q66" s="1459">
        <v>16</v>
      </c>
      <c r="R66" s="1459">
        <v>16</v>
      </c>
      <c r="S66" s="1459">
        <v>16</v>
      </c>
      <c r="T66" s="1459">
        <v>16</v>
      </c>
      <c r="U66" s="1459"/>
      <c r="V66" s="1459">
        <v>16</v>
      </c>
      <c r="W66" s="1459">
        <v>16</v>
      </c>
      <c r="X66" s="1459">
        <v>16</v>
      </c>
      <c r="Y66" s="1459">
        <v>16</v>
      </c>
      <c r="Z66" s="1460">
        <v>16</v>
      </c>
      <c r="AA66" s="1459">
        <v>16</v>
      </c>
      <c r="AB66" s="1461">
        <v>16</v>
      </c>
      <c r="AC66" s="3209">
        <v>408816</v>
      </c>
    </row>
    <row r="67" spans="1:135" s="1111" customFormat="1" ht="12" customHeight="1">
      <c r="A67" s="1456">
        <v>62</v>
      </c>
      <c r="B67" s="2369" t="s">
        <v>1015</v>
      </c>
      <c r="C67" s="1493">
        <v>22</v>
      </c>
      <c r="D67" s="1494">
        <v>22</v>
      </c>
      <c r="E67" s="1494">
        <v>22</v>
      </c>
      <c r="F67" s="1494">
        <v>22</v>
      </c>
      <c r="G67" s="1494">
        <v>22</v>
      </c>
      <c r="H67" s="1494">
        <v>22</v>
      </c>
      <c r="I67" s="1800">
        <v>20</v>
      </c>
      <c r="J67" s="1495">
        <v>20</v>
      </c>
      <c r="K67" s="1495">
        <v>20</v>
      </c>
      <c r="L67" s="1495">
        <v>20</v>
      </c>
      <c r="M67" s="1495">
        <v>20</v>
      </c>
      <c r="N67" s="1495">
        <v>20</v>
      </c>
      <c r="O67" s="1495">
        <v>20</v>
      </c>
      <c r="P67" s="1495">
        <v>20</v>
      </c>
      <c r="Q67" s="1495">
        <v>20</v>
      </c>
      <c r="R67" s="1495">
        <v>20</v>
      </c>
      <c r="S67" s="1495">
        <v>22</v>
      </c>
      <c r="T67" s="1495">
        <v>22</v>
      </c>
      <c r="U67" s="1495"/>
      <c r="V67" s="1495">
        <v>22</v>
      </c>
      <c r="W67" s="1495">
        <v>22</v>
      </c>
      <c r="X67" s="1495">
        <v>22</v>
      </c>
      <c r="Y67" s="1495">
        <v>22</v>
      </c>
      <c r="Z67" s="1496">
        <v>22</v>
      </c>
      <c r="AA67" s="1495">
        <v>22</v>
      </c>
      <c r="AB67" s="1497">
        <v>22</v>
      </c>
      <c r="AC67" s="3212">
        <v>484596</v>
      </c>
    </row>
    <row r="68" spans="1:135" s="1113" customFormat="1" ht="12" customHeight="1">
      <c r="A68" s="1451">
        <v>63</v>
      </c>
      <c r="B68" s="2370" t="s">
        <v>1013</v>
      </c>
      <c r="C68" s="1467">
        <v>67</v>
      </c>
      <c r="D68" s="1468">
        <v>65</v>
      </c>
      <c r="E68" s="1468">
        <v>63</v>
      </c>
      <c r="F68" s="1468">
        <v>62</v>
      </c>
      <c r="G68" s="1468">
        <v>60</v>
      </c>
      <c r="H68" s="1468">
        <v>58</v>
      </c>
      <c r="I68" s="1793">
        <v>54</v>
      </c>
      <c r="J68" s="1469">
        <v>60</v>
      </c>
      <c r="K68" s="1469">
        <v>62</v>
      </c>
      <c r="L68" s="1469">
        <v>63</v>
      </c>
      <c r="M68" s="1469">
        <v>72</v>
      </c>
      <c r="N68" s="1469">
        <v>80</v>
      </c>
      <c r="O68" s="1469">
        <v>82</v>
      </c>
      <c r="P68" s="1469">
        <v>71</v>
      </c>
      <c r="Q68" s="1469">
        <v>67</v>
      </c>
      <c r="R68" s="1469">
        <v>62</v>
      </c>
      <c r="S68" s="1469">
        <v>72</v>
      </c>
      <c r="T68" s="1469">
        <v>88</v>
      </c>
      <c r="U68" s="1469"/>
      <c r="V68" s="1469">
        <v>86</v>
      </c>
      <c r="W68" s="1469">
        <v>88</v>
      </c>
      <c r="X68" s="1469">
        <v>86</v>
      </c>
      <c r="Y68" s="1469">
        <v>86</v>
      </c>
      <c r="Z68" s="1470">
        <v>84</v>
      </c>
      <c r="AA68" s="1469">
        <v>76</v>
      </c>
      <c r="AB68" s="1471">
        <v>71</v>
      </c>
      <c r="AC68" s="3204">
        <v>1943040</v>
      </c>
      <c r="AD68" s="1111"/>
      <c r="AE68" s="1111"/>
      <c r="AF68" s="1111"/>
      <c r="AG68" s="1111"/>
      <c r="AH68" s="1111"/>
      <c r="AI68" s="1111"/>
      <c r="AR68" s="1111"/>
      <c r="AS68" s="1111"/>
      <c r="AT68" s="1111"/>
      <c r="AU68" s="1111"/>
      <c r="AV68" s="1111"/>
      <c r="AW68" s="1111"/>
      <c r="AX68" s="1111"/>
      <c r="AY68" s="1111"/>
      <c r="AZ68" s="1111"/>
      <c r="BA68" s="1111"/>
      <c r="BB68" s="1111"/>
      <c r="BC68" s="1111"/>
      <c r="BD68" s="1111"/>
      <c r="BE68" s="1111"/>
      <c r="BF68" s="1111"/>
      <c r="BG68" s="1111"/>
      <c r="BH68" s="1111"/>
      <c r="BI68" s="1111"/>
      <c r="BJ68" s="1111"/>
      <c r="BK68" s="1111"/>
      <c r="BL68" s="1111"/>
      <c r="BM68" s="1111"/>
      <c r="BN68" s="1111"/>
      <c r="BO68" s="1111"/>
      <c r="BP68" s="1111"/>
      <c r="BQ68" s="1111"/>
      <c r="BR68" s="1111"/>
      <c r="BS68" s="1111"/>
      <c r="BT68" s="1111"/>
      <c r="BU68" s="1111"/>
      <c r="BV68" s="1111"/>
      <c r="BW68" s="1111"/>
      <c r="BX68" s="1111"/>
      <c r="BY68" s="1111"/>
      <c r="BZ68" s="1111"/>
      <c r="CA68" s="1111"/>
      <c r="CB68" s="1111"/>
      <c r="CC68" s="1111"/>
      <c r="CD68" s="1111"/>
      <c r="CE68" s="1111"/>
      <c r="CF68" s="1111"/>
      <c r="CG68" s="1111"/>
      <c r="CH68" s="1111"/>
      <c r="CI68" s="1111"/>
      <c r="CJ68" s="1111"/>
      <c r="CK68" s="1111"/>
      <c r="CL68" s="1111"/>
      <c r="CM68" s="1111"/>
      <c r="CN68" s="1111"/>
      <c r="CO68" s="1111"/>
      <c r="CP68" s="1111"/>
      <c r="CQ68" s="1111"/>
      <c r="CR68" s="1111"/>
      <c r="CS68" s="1111"/>
      <c r="CT68" s="1111"/>
      <c r="CU68" s="1111"/>
      <c r="CV68" s="1111"/>
      <c r="CW68" s="1111"/>
      <c r="CX68" s="1111"/>
      <c r="CY68" s="1111"/>
      <c r="CZ68" s="1111"/>
      <c r="DA68" s="1111"/>
      <c r="DB68" s="1111"/>
      <c r="DC68" s="1111"/>
      <c r="DD68" s="1111"/>
      <c r="DE68" s="1111"/>
      <c r="DF68" s="1111"/>
      <c r="DG68" s="1111"/>
      <c r="DH68" s="1111"/>
      <c r="DI68" s="1111"/>
      <c r="DJ68" s="1111"/>
      <c r="DK68" s="1111"/>
      <c r="DL68" s="1111"/>
      <c r="DM68" s="1111"/>
      <c r="DN68" s="1111"/>
      <c r="DO68" s="1111"/>
      <c r="DP68" s="1111"/>
      <c r="DQ68" s="1111"/>
      <c r="DR68" s="1111"/>
      <c r="DS68" s="1111"/>
      <c r="DT68" s="1111"/>
      <c r="DU68" s="1111"/>
      <c r="DV68" s="1111"/>
      <c r="DW68" s="1111"/>
      <c r="DX68" s="1111"/>
      <c r="DY68" s="1111"/>
      <c r="DZ68" s="1111"/>
      <c r="EA68" s="1111"/>
      <c r="EB68" s="1111"/>
      <c r="EC68" s="1111"/>
      <c r="ED68" s="1111"/>
      <c r="EE68" s="1111"/>
    </row>
    <row r="69" spans="1:135" s="1111" customFormat="1" ht="12" customHeight="1">
      <c r="A69" s="1456">
        <v>64</v>
      </c>
      <c r="B69" s="2368" t="s">
        <v>161</v>
      </c>
      <c r="C69" s="1503">
        <v>35</v>
      </c>
      <c r="D69" s="1504">
        <v>35</v>
      </c>
      <c r="E69" s="1504">
        <v>35</v>
      </c>
      <c r="F69" s="1504">
        <v>35</v>
      </c>
      <c r="G69" s="1504">
        <v>35</v>
      </c>
      <c r="H69" s="1504">
        <v>3</v>
      </c>
      <c r="I69" s="1802">
        <v>0</v>
      </c>
      <c r="J69" s="1484">
        <v>0</v>
      </c>
      <c r="K69" s="1484">
        <v>0</v>
      </c>
      <c r="L69" s="1484">
        <v>0</v>
      </c>
      <c r="M69" s="1484">
        <v>0</v>
      </c>
      <c r="N69" s="1484">
        <v>0</v>
      </c>
      <c r="O69" s="1484">
        <v>0</v>
      </c>
      <c r="P69" s="1484">
        <v>0</v>
      </c>
      <c r="Q69" s="1484">
        <v>7</v>
      </c>
      <c r="R69" s="1484">
        <v>16</v>
      </c>
      <c r="S69" s="1484">
        <v>13</v>
      </c>
      <c r="T69" s="1484">
        <v>0</v>
      </c>
      <c r="U69" s="1484"/>
      <c r="V69" s="1484">
        <v>12</v>
      </c>
      <c r="W69" s="1484">
        <v>10</v>
      </c>
      <c r="X69" s="1484">
        <v>14</v>
      </c>
      <c r="Y69" s="1484">
        <v>16</v>
      </c>
      <c r="Z69" s="1485">
        <v>16</v>
      </c>
      <c r="AA69" s="1484">
        <v>16</v>
      </c>
      <c r="AB69" s="1486">
        <v>30</v>
      </c>
      <c r="AC69" s="3214">
        <v>364320</v>
      </c>
    </row>
    <row r="70" spans="1:135" s="1111" customFormat="1" ht="12" customHeight="1">
      <c r="A70" s="1451">
        <v>65</v>
      </c>
      <c r="B70" s="2361" t="s">
        <v>1009</v>
      </c>
      <c r="C70" s="1476">
        <v>21</v>
      </c>
      <c r="D70" s="1477">
        <v>21</v>
      </c>
      <c r="E70" s="1477">
        <v>21</v>
      </c>
      <c r="F70" s="1477">
        <v>21</v>
      </c>
      <c r="G70" s="1477">
        <v>21</v>
      </c>
      <c r="H70" s="1477">
        <v>21</v>
      </c>
      <c r="I70" s="1796">
        <v>21</v>
      </c>
      <c r="J70" s="1477">
        <v>21</v>
      </c>
      <c r="K70" s="1477">
        <v>19</v>
      </c>
      <c r="L70" s="1477">
        <v>19</v>
      </c>
      <c r="M70" s="1477">
        <v>19</v>
      </c>
      <c r="N70" s="1477">
        <v>21</v>
      </c>
      <c r="O70" s="1477">
        <v>21</v>
      </c>
      <c r="P70" s="1477">
        <v>21</v>
      </c>
      <c r="Q70" s="1477">
        <v>21</v>
      </c>
      <c r="R70" s="1477">
        <v>21</v>
      </c>
      <c r="S70" s="1477">
        <v>21</v>
      </c>
      <c r="T70" s="1477">
        <v>19</v>
      </c>
      <c r="U70" s="1477"/>
      <c r="V70" s="1477">
        <v>20</v>
      </c>
      <c r="W70" s="1477">
        <v>20</v>
      </c>
      <c r="X70" s="1477">
        <v>21</v>
      </c>
      <c r="Y70" s="1477">
        <v>21</v>
      </c>
      <c r="Z70" s="1478">
        <v>21</v>
      </c>
      <c r="AA70" s="1477">
        <v>21</v>
      </c>
      <c r="AB70" s="1479">
        <v>21</v>
      </c>
      <c r="AC70" s="3207">
        <v>483408</v>
      </c>
    </row>
    <row r="71" spans="1:135" s="1111" customFormat="1" ht="12" customHeight="1">
      <c r="A71" s="1456">
        <v>66</v>
      </c>
      <c r="B71" s="2367" t="s">
        <v>1010</v>
      </c>
      <c r="C71" s="1457">
        <v>11</v>
      </c>
      <c r="D71" s="1458">
        <v>11</v>
      </c>
      <c r="E71" s="1458">
        <v>11</v>
      </c>
      <c r="F71" s="1458">
        <v>11</v>
      </c>
      <c r="G71" s="1458">
        <v>11</v>
      </c>
      <c r="H71" s="1458">
        <v>11</v>
      </c>
      <c r="I71" s="1793">
        <v>11</v>
      </c>
      <c r="J71" s="1459">
        <v>11</v>
      </c>
      <c r="K71" s="1459">
        <v>11</v>
      </c>
      <c r="L71" s="1459">
        <v>11</v>
      </c>
      <c r="M71" s="1459">
        <v>11</v>
      </c>
      <c r="N71" s="1459">
        <v>11</v>
      </c>
      <c r="O71" s="1459">
        <v>11</v>
      </c>
      <c r="P71" s="1459">
        <v>11</v>
      </c>
      <c r="Q71" s="1459">
        <v>11</v>
      </c>
      <c r="R71" s="1459">
        <v>11</v>
      </c>
      <c r="S71" s="1459">
        <v>5</v>
      </c>
      <c r="T71" s="1459">
        <v>11</v>
      </c>
      <c r="U71" s="1459"/>
      <c r="V71" s="1459">
        <v>11</v>
      </c>
      <c r="W71" s="1459">
        <v>11</v>
      </c>
      <c r="X71" s="1459">
        <v>11</v>
      </c>
      <c r="Y71" s="1459">
        <v>11</v>
      </c>
      <c r="Z71" s="1460">
        <v>11</v>
      </c>
      <c r="AA71" s="1459">
        <v>11</v>
      </c>
      <c r="AB71" s="1461">
        <v>11</v>
      </c>
      <c r="AC71" s="3202">
        <v>245340</v>
      </c>
    </row>
    <row r="72" spans="1:135" s="1111" customFormat="1" ht="12" customHeight="1">
      <c r="A72" s="1451">
        <v>67</v>
      </c>
      <c r="B72" s="2371" t="s">
        <v>1011</v>
      </c>
      <c r="C72" s="1462">
        <v>33</v>
      </c>
      <c r="D72" s="1463">
        <v>33</v>
      </c>
      <c r="E72" s="1463">
        <v>33</v>
      </c>
      <c r="F72" s="1463">
        <v>33</v>
      </c>
      <c r="G72" s="1463">
        <v>33</v>
      </c>
      <c r="H72" s="1463">
        <v>33</v>
      </c>
      <c r="I72" s="1793">
        <v>33</v>
      </c>
      <c r="J72" s="1464">
        <v>33</v>
      </c>
      <c r="K72" s="1464">
        <v>25</v>
      </c>
      <c r="L72" s="1464">
        <v>17</v>
      </c>
      <c r="M72" s="1464">
        <v>17</v>
      </c>
      <c r="N72" s="1464">
        <v>14</v>
      </c>
      <c r="O72" s="1464">
        <v>14</v>
      </c>
      <c r="P72" s="1464">
        <v>16</v>
      </c>
      <c r="Q72" s="1464">
        <v>16</v>
      </c>
      <c r="R72" s="1464">
        <v>33</v>
      </c>
      <c r="S72" s="1464">
        <v>33</v>
      </c>
      <c r="T72" s="1464">
        <v>30</v>
      </c>
      <c r="U72" s="1464"/>
      <c r="V72" s="1464">
        <v>33</v>
      </c>
      <c r="W72" s="1464">
        <v>33</v>
      </c>
      <c r="X72" s="1464">
        <v>33</v>
      </c>
      <c r="Y72" s="1464">
        <v>33</v>
      </c>
      <c r="Z72" s="1465">
        <v>33</v>
      </c>
      <c r="AA72" s="1464">
        <v>33</v>
      </c>
      <c r="AB72" s="1466">
        <v>33</v>
      </c>
      <c r="AC72" s="3203">
        <v>698400</v>
      </c>
    </row>
    <row r="73" spans="1:135" s="1111" customFormat="1" ht="12" customHeight="1">
      <c r="A73" s="1456">
        <v>68</v>
      </c>
      <c r="B73" s="2370" t="s">
        <v>1012</v>
      </c>
      <c r="C73" s="1467">
        <v>9</v>
      </c>
      <c r="D73" s="1468">
        <v>9</v>
      </c>
      <c r="E73" s="1468">
        <v>9</v>
      </c>
      <c r="F73" s="1468">
        <v>9</v>
      </c>
      <c r="G73" s="1468">
        <v>9</v>
      </c>
      <c r="H73" s="1468">
        <v>9</v>
      </c>
      <c r="I73" s="1793">
        <v>9</v>
      </c>
      <c r="J73" s="1469">
        <v>9</v>
      </c>
      <c r="K73" s="1469">
        <v>9</v>
      </c>
      <c r="L73" s="1469">
        <v>9</v>
      </c>
      <c r="M73" s="1469">
        <v>9</v>
      </c>
      <c r="N73" s="1469">
        <v>9</v>
      </c>
      <c r="O73" s="1469">
        <v>9</v>
      </c>
      <c r="P73" s="1469">
        <v>9</v>
      </c>
      <c r="Q73" s="1469">
        <v>9</v>
      </c>
      <c r="R73" s="1469">
        <v>9</v>
      </c>
      <c r="S73" s="1469">
        <v>9</v>
      </c>
      <c r="T73" s="1469">
        <v>9</v>
      </c>
      <c r="U73" s="1469"/>
      <c r="V73" s="1469">
        <v>9</v>
      </c>
      <c r="W73" s="1469">
        <v>9</v>
      </c>
      <c r="X73" s="1469">
        <v>9</v>
      </c>
      <c r="Y73" s="1469">
        <v>9</v>
      </c>
      <c r="Z73" s="1470">
        <v>9</v>
      </c>
      <c r="AA73" s="1469">
        <v>9</v>
      </c>
      <c r="AB73" s="1471">
        <v>9</v>
      </c>
      <c r="AC73" s="3204">
        <v>239680</v>
      </c>
    </row>
    <row r="74" spans="1:135" s="1111" customFormat="1" ht="12" customHeight="1">
      <c r="A74" s="1451">
        <v>69</v>
      </c>
      <c r="B74" s="2365" t="s">
        <v>260</v>
      </c>
      <c r="C74" s="1483">
        <v>25</v>
      </c>
      <c r="D74" s="1484">
        <v>25</v>
      </c>
      <c r="E74" s="1484">
        <v>25</v>
      </c>
      <c r="F74" s="1484">
        <v>25</v>
      </c>
      <c r="G74" s="1484">
        <v>25</v>
      </c>
      <c r="H74" s="1484">
        <v>25</v>
      </c>
      <c r="I74" s="1797">
        <v>25</v>
      </c>
      <c r="J74" s="1484">
        <v>25</v>
      </c>
      <c r="K74" s="1484">
        <v>25</v>
      </c>
      <c r="L74" s="1484">
        <v>25</v>
      </c>
      <c r="M74" s="1484">
        <v>25</v>
      </c>
      <c r="N74" s="1484">
        <v>25</v>
      </c>
      <c r="O74" s="1484">
        <v>25</v>
      </c>
      <c r="P74" s="1484">
        <v>25</v>
      </c>
      <c r="Q74" s="1484">
        <v>25</v>
      </c>
      <c r="R74" s="1484">
        <v>25</v>
      </c>
      <c r="S74" s="1484">
        <v>25</v>
      </c>
      <c r="T74" s="1484">
        <v>25</v>
      </c>
      <c r="U74" s="1484"/>
      <c r="V74" s="1484">
        <v>25</v>
      </c>
      <c r="W74" s="1484">
        <v>25</v>
      </c>
      <c r="X74" s="1484">
        <v>25</v>
      </c>
      <c r="Y74" s="1484">
        <v>25</v>
      </c>
      <c r="Z74" s="1485">
        <v>25</v>
      </c>
      <c r="AA74" s="1484">
        <v>25</v>
      </c>
      <c r="AB74" s="1486">
        <v>25</v>
      </c>
      <c r="AC74" s="3208">
        <v>600000</v>
      </c>
    </row>
    <row r="75" spans="1:135" s="1111" customFormat="1" ht="12" customHeight="1">
      <c r="A75" s="1456">
        <v>70</v>
      </c>
      <c r="B75" s="2366" t="s">
        <v>261</v>
      </c>
      <c r="C75" s="1476">
        <v>9</v>
      </c>
      <c r="D75" s="1477">
        <v>9</v>
      </c>
      <c r="E75" s="1477">
        <v>9</v>
      </c>
      <c r="F75" s="1477">
        <v>9</v>
      </c>
      <c r="G75" s="1477">
        <v>9</v>
      </c>
      <c r="H75" s="1477">
        <v>0</v>
      </c>
      <c r="I75" s="1796">
        <v>9</v>
      </c>
      <c r="J75" s="1477">
        <v>9</v>
      </c>
      <c r="K75" s="1477">
        <v>9</v>
      </c>
      <c r="L75" s="1477">
        <v>9</v>
      </c>
      <c r="M75" s="1477">
        <v>9</v>
      </c>
      <c r="N75" s="1477">
        <v>9</v>
      </c>
      <c r="O75" s="1477">
        <v>6</v>
      </c>
      <c r="P75" s="1477">
        <v>6</v>
      </c>
      <c r="Q75" s="1477">
        <v>5</v>
      </c>
      <c r="R75" s="1477">
        <v>9</v>
      </c>
      <c r="S75" s="1477">
        <v>9</v>
      </c>
      <c r="T75" s="1477">
        <v>9</v>
      </c>
      <c r="U75" s="1477"/>
      <c r="V75" s="1477">
        <v>9</v>
      </c>
      <c r="W75" s="1477">
        <v>9</v>
      </c>
      <c r="X75" s="1477">
        <v>9</v>
      </c>
      <c r="Y75" s="1477">
        <v>9</v>
      </c>
      <c r="Z75" s="1478">
        <v>9</v>
      </c>
      <c r="AA75" s="1477">
        <v>9</v>
      </c>
      <c r="AB75" s="1479">
        <v>9</v>
      </c>
      <c r="AC75" s="3207">
        <v>197100</v>
      </c>
    </row>
    <row r="76" spans="1:135" s="1111" customFormat="1" ht="12" customHeight="1">
      <c r="A76" s="1451">
        <v>71</v>
      </c>
      <c r="B76" s="2367" t="s">
        <v>1094</v>
      </c>
      <c r="C76" s="1480">
        <v>16</v>
      </c>
      <c r="D76" s="1458">
        <v>16</v>
      </c>
      <c r="E76" s="1458">
        <v>16</v>
      </c>
      <c r="F76" s="1458">
        <v>16</v>
      </c>
      <c r="G76" s="1458">
        <v>16</v>
      </c>
      <c r="H76" s="1458">
        <v>16</v>
      </c>
      <c r="I76" s="1793">
        <v>16</v>
      </c>
      <c r="J76" s="1459">
        <v>16</v>
      </c>
      <c r="K76" s="1459">
        <v>16</v>
      </c>
      <c r="L76" s="1459">
        <v>16</v>
      </c>
      <c r="M76" s="1459">
        <v>16</v>
      </c>
      <c r="N76" s="1459">
        <v>16</v>
      </c>
      <c r="O76" s="1459">
        <v>16</v>
      </c>
      <c r="P76" s="1459">
        <v>16</v>
      </c>
      <c r="Q76" s="1459">
        <v>16</v>
      </c>
      <c r="R76" s="1459">
        <v>16</v>
      </c>
      <c r="S76" s="1459">
        <v>16</v>
      </c>
      <c r="T76" s="1459">
        <v>16</v>
      </c>
      <c r="U76" s="1459"/>
      <c r="V76" s="1459">
        <v>16</v>
      </c>
      <c r="W76" s="1459">
        <v>16</v>
      </c>
      <c r="X76" s="1459">
        <v>16</v>
      </c>
      <c r="Y76" s="1459">
        <v>16</v>
      </c>
      <c r="Z76" s="1460">
        <v>16</v>
      </c>
      <c r="AA76" s="1459">
        <v>16</v>
      </c>
      <c r="AB76" s="1461">
        <v>16</v>
      </c>
      <c r="AC76" s="3202">
        <v>568000</v>
      </c>
    </row>
    <row r="77" spans="1:135" s="1111" customFormat="1" ht="12" customHeight="1">
      <c r="A77" s="1456">
        <v>72</v>
      </c>
      <c r="B77" s="2369" t="s">
        <v>1095</v>
      </c>
      <c r="C77" s="1481">
        <v>33</v>
      </c>
      <c r="D77" s="1463">
        <v>33</v>
      </c>
      <c r="E77" s="1463">
        <v>33</v>
      </c>
      <c r="F77" s="1463">
        <v>33</v>
      </c>
      <c r="G77" s="1463">
        <v>33</v>
      </c>
      <c r="H77" s="1463">
        <v>33</v>
      </c>
      <c r="I77" s="1793">
        <v>33</v>
      </c>
      <c r="J77" s="1464">
        <v>33</v>
      </c>
      <c r="K77" s="1464">
        <v>33</v>
      </c>
      <c r="L77" s="1464">
        <v>33</v>
      </c>
      <c r="M77" s="1464">
        <v>33</v>
      </c>
      <c r="N77" s="1464">
        <v>33</v>
      </c>
      <c r="O77" s="1464">
        <v>33</v>
      </c>
      <c r="P77" s="1464">
        <v>33</v>
      </c>
      <c r="Q77" s="1464">
        <v>33</v>
      </c>
      <c r="R77" s="1464">
        <v>33</v>
      </c>
      <c r="S77" s="1464">
        <v>33</v>
      </c>
      <c r="T77" s="1464">
        <v>33</v>
      </c>
      <c r="U77" s="1464"/>
      <c r="V77" s="1464">
        <v>33</v>
      </c>
      <c r="W77" s="1464">
        <v>33</v>
      </c>
      <c r="X77" s="1464">
        <v>33</v>
      </c>
      <c r="Y77" s="1464">
        <v>33</v>
      </c>
      <c r="Z77" s="1465">
        <v>33</v>
      </c>
      <c r="AA77" s="1464">
        <v>33</v>
      </c>
      <c r="AB77" s="1466">
        <v>33</v>
      </c>
      <c r="AC77" s="3203">
        <v>839200</v>
      </c>
    </row>
    <row r="78" spans="1:135" s="1111" customFormat="1" ht="12" customHeight="1">
      <c r="A78" s="1451">
        <v>73</v>
      </c>
      <c r="B78" s="2370" t="s">
        <v>959</v>
      </c>
      <c r="C78" s="1482"/>
      <c r="D78" s="1468"/>
      <c r="E78" s="1468"/>
      <c r="F78" s="1468"/>
      <c r="G78" s="1468"/>
      <c r="H78" s="1468"/>
      <c r="I78" s="1793"/>
      <c r="J78" s="1469"/>
      <c r="K78" s="1469"/>
      <c r="L78" s="1469"/>
      <c r="M78" s="1469"/>
      <c r="N78" s="1469"/>
      <c r="O78" s="1469"/>
      <c r="P78" s="1469"/>
      <c r="Q78" s="1469"/>
      <c r="R78" s="1469"/>
      <c r="S78" s="1469"/>
      <c r="T78" s="1469"/>
      <c r="U78" s="1469"/>
      <c r="V78" s="1469"/>
      <c r="W78" s="1469"/>
      <c r="X78" s="1469"/>
      <c r="Y78" s="1469"/>
      <c r="Z78" s="1470"/>
      <c r="AA78" s="1469"/>
      <c r="AB78" s="1471"/>
      <c r="AC78" s="3204"/>
    </row>
    <row r="79" spans="1:135" s="1111" customFormat="1" ht="12" customHeight="1">
      <c r="A79" s="1456"/>
      <c r="B79" s="2370" t="s">
        <v>1179</v>
      </c>
      <c r="C79" s="2941"/>
      <c r="D79" s="2942"/>
      <c r="E79" s="2942"/>
      <c r="F79" s="2942"/>
      <c r="G79" s="2942"/>
      <c r="H79" s="2942"/>
      <c r="I79" s="2943"/>
      <c r="J79" s="2944"/>
      <c r="K79" s="2944"/>
      <c r="L79" s="2944"/>
      <c r="M79" s="2944"/>
      <c r="N79" s="2944">
        <v>29</v>
      </c>
      <c r="O79" s="2944">
        <v>56</v>
      </c>
      <c r="P79" s="2944"/>
      <c r="Q79" s="2944"/>
      <c r="R79" s="2944"/>
      <c r="S79" s="2944"/>
      <c r="T79" s="2944"/>
      <c r="U79" s="2944"/>
      <c r="V79" s="2944">
        <v>17</v>
      </c>
      <c r="W79" s="2944">
        <v>17</v>
      </c>
      <c r="X79" s="2944"/>
      <c r="Y79" s="2944"/>
      <c r="Z79" s="2945"/>
      <c r="AA79" s="2944"/>
      <c r="AB79" s="2946"/>
      <c r="AC79" s="3215">
        <v>102600</v>
      </c>
    </row>
    <row r="80" spans="1:135" s="1111" customFormat="1" ht="12" customHeight="1">
      <c r="A80" s="1456"/>
      <c r="B80" s="2370" t="s">
        <v>1185</v>
      </c>
      <c r="C80" s="3073">
        <v>16</v>
      </c>
      <c r="D80" s="3074">
        <v>16</v>
      </c>
      <c r="E80" s="3074"/>
      <c r="F80" s="3074"/>
      <c r="G80" s="3074"/>
      <c r="H80" s="3074"/>
      <c r="I80" s="3075"/>
      <c r="J80" s="3076"/>
      <c r="K80" s="3076"/>
      <c r="L80" s="3076"/>
      <c r="M80" s="3076"/>
      <c r="N80" s="3076"/>
      <c r="O80" s="3076"/>
      <c r="P80" s="3076"/>
      <c r="Q80" s="3076"/>
      <c r="R80" s="3076"/>
      <c r="S80" s="3076"/>
      <c r="T80" s="3076"/>
      <c r="U80" s="3076"/>
      <c r="V80" s="3076"/>
      <c r="W80" s="3076"/>
      <c r="X80" s="3076"/>
      <c r="Y80" s="3076">
        <v>20</v>
      </c>
      <c r="Z80" s="3077">
        <v>108</v>
      </c>
      <c r="AA80" s="3076">
        <v>75</v>
      </c>
      <c r="AB80" s="2946">
        <v>75</v>
      </c>
      <c r="AC80" s="3215">
        <v>373800</v>
      </c>
    </row>
    <row r="81" spans="1:29" s="1111" customFormat="1" ht="12" customHeight="1">
      <c r="A81" s="1456"/>
      <c r="B81" s="2370" t="s">
        <v>1292</v>
      </c>
      <c r="C81" s="3714">
        <v>162</v>
      </c>
      <c r="D81" s="3715">
        <v>126</v>
      </c>
      <c r="E81" s="3715">
        <v>126</v>
      </c>
      <c r="F81" s="3715">
        <v>126</v>
      </c>
      <c r="G81" s="3715">
        <v>126</v>
      </c>
      <c r="H81" s="3715">
        <v>126</v>
      </c>
      <c r="I81" s="1800">
        <v>126</v>
      </c>
      <c r="J81" s="3716">
        <v>137</v>
      </c>
      <c r="K81" s="3716">
        <v>151</v>
      </c>
      <c r="L81" s="3716">
        <v>162</v>
      </c>
      <c r="M81" s="3716">
        <v>162</v>
      </c>
      <c r="N81" s="3716">
        <v>162</v>
      </c>
      <c r="O81" s="3716">
        <v>162</v>
      </c>
      <c r="P81" s="3716">
        <v>162</v>
      </c>
      <c r="Q81" s="3716">
        <v>126</v>
      </c>
      <c r="R81" s="3716">
        <v>126</v>
      </c>
      <c r="S81" s="3716">
        <v>126</v>
      </c>
      <c r="T81" s="3716">
        <v>150</v>
      </c>
      <c r="U81" s="3716"/>
      <c r="V81" s="3716">
        <v>54</v>
      </c>
      <c r="W81" s="3716">
        <v>54</v>
      </c>
      <c r="X81" s="3716">
        <v>54</v>
      </c>
      <c r="Y81" s="3716">
        <v>54</v>
      </c>
      <c r="Z81" s="3717">
        <v>54</v>
      </c>
      <c r="AA81" s="3716">
        <v>54</v>
      </c>
      <c r="AB81" s="3718">
        <v>17</v>
      </c>
      <c r="AC81" s="3719">
        <v>3034080</v>
      </c>
    </row>
    <row r="82" spans="1:29" s="1111" customFormat="1" ht="12" customHeight="1">
      <c r="A82" s="1451">
        <v>77</v>
      </c>
      <c r="B82" s="2369" t="s">
        <v>969</v>
      </c>
      <c r="C82" s="1493"/>
      <c r="D82" s="1494"/>
      <c r="E82" s="1494"/>
      <c r="F82" s="1494"/>
      <c r="G82" s="1494"/>
      <c r="H82" s="1494"/>
      <c r="I82" s="1800"/>
      <c r="J82" s="1495"/>
      <c r="K82" s="1495"/>
      <c r="L82" s="1495"/>
      <c r="M82" s="1495"/>
      <c r="N82" s="1495"/>
      <c r="O82" s="1495"/>
      <c r="P82" s="1495"/>
      <c r="Q82" s="1495"/>
      <c r="R82" s="1495"/>
      <c r="S82" s="1495"/>
      <c r="T82" s="1495"/>
      <c r="U82" s="1495"/>
      <c r="V82" s="1495"/>
      <c r="W82" s="1495"/>
      <c r="X82" s="1495"/>
      <c r="Y82" s="1495"/>
      <c r="Z82" s="1496"/>
      <c r="AA82" s="1495"/>
      <c r="AB82" s="1497"/>
      <c r="AC82" s="3212"/>
    </row>
    <row r="83" spans="1:29" s="1111" customFormat="1" ht="12" customHeight="1">
      <c r="A83" s="1456">
        <v>78</v>
      </c>
      <c r="B83" s="2370" t="s">
        <v>978</v>
      </c>
      <c r="C83" s="1467"/>
      <c r="D83" s="1468"/>
      <c r="E83" s="1468"/>
      <c r="F83" s="1468"/>
      <c r="G83" s="1468"/>
      <c r="H83" s="1468"/>
      <c r="I83" s="1793"/>
      <c r="J83" s="1469"/>
      <c r="K83" s="1469"/>
      <c r="L83" s="1469"/>
      <c r="M83" s="1469"/>
      <c r="N83" s="1469">
        <v>2</v>
      </c>
      <c r="O83" s="1469">
        <v>18</v>
      </c>
      <c r="P83" s="1469"/>
      <c r="Q83" s="1469"/>
      <c r="R83" s="1469"/>
      <c r="S83" s="1469"/>
      <c r="T83" s="1469">
        <v>7</v>
      </c>
      <c r="U83" s="1469"/>
      <c r="V83" s="1469">
        <v>40</v>
      </c>
      <c r="W83" s="1469">
        <v>25</v>
      </c>
      <c r="X83" s="1469">
        <v>25</v>
      </c>
      <c r="Y83" s="1469"/>
      <c r="Z83" s="1470"/>
      <c r="AA83" s="1469"/>
      <c r="AB83" s="1471"/>
      <c r="AC83" s="3204">
        <v>108480</v>
      </c>
    </row>
    <row r="84" spans="1:29" s="1111" customFormat="1" ht="12" customHeight="1">
      <c r="A84" s="1451">
        <v>79</v>
      </c>
      <c r="B84" s="2365" t="s">
        <v>970</v>
      </c>
      <c r="C84" s="1505"/>
      <c r="D84" s="1506"/>
      <c r="E84" s="1506"/>
      <c r="F84" s="1506"/>
      <c r="G84" s="1506"/>
      <c r="H84" s="1506"/>
      <c r="I84" s="1803"/>
      <c r="J84" s="1473"/>
      <c r="K84" s="1473"/>
      <c r="L84" s="1473"/>
      <c r="M84" s="1473"/>
      <c r="N84" s="1473">
        <v>6</v>
      </c>
      <c r="O84" s="1473">
        <v>32</v>
      </c>
      <c r="P84" s="1473"/>
      <c r="Q84" s="1473"/>
      <c r="R84" s="1473"/>
      <c r="S84" s="1473"/>
      <c r="T84" s="1473">
        <v>16</v>
      </c>
      <c r="U84" s="1473"/>
      <c r="V84" s="1473">
        <v>16</v>
      </c>
      <c r="W84" s="1473"/>
      <c r="X84" s="1473"/>
      <c r="Y84" s="1473"/>
      <c r="Z84" s="1474"/>
      <c r="AA84" s="1473"/>
      <c r="AB84" s="1475"/>
      <c r="AC84" s="3216">
        <v>63840</v>
      </c>
    </row>
    <row r="85" spans="1:29" s="1111" customFormat="1" ht="12" customHeight="1">
      <c r="A85" s="1456">
        <v>80</v>
      </c>
      <c r="B85" s="2366" t="s">
        <v>1098</v>
      </c>
      <c r="C85" s="1476"/>
      <c r="D85" s="1477"/>
      <c r="E85" s="1477"/>
      <c r="F85" s="1477"/>
      <c r="G85" s="1477"/>
      <c r="H85" s="1477"/>
      <c r="I85" s="1796"/>
      <c r="J85" s="1477"/>
      <c r="K85" s="1477"/>
      <c r="L85" s="1477"/>
      <c r="M85" s="1477"/>
      <c r="N85" s="1477"/>
      <c r="O85" s="1477"/>
      <c r="P85" s="1477"/>
      <c r="Q85" s="1477"/>
      <c r="R85" s="1477"/>
      <c r="S85" s="1477"/>
      <c r="T85" s="1477"/>
      <c r="U85" s="1477"/>
      <c r="V85" s="1477"/>
      <c r="W85" s="1477"/>
      <c r="X85" s="1477"/>
      <c r="Y85" s="1477"/>
      <c r="Z85" s="1478"/>
      <c r="AA85" s="1477"/>
      <c r="AB85" s="1479"/>
      <c r="AC85" s="3207">
        <v>0</v>
      </c>
    </row>
    <row r="86" spans="1:29" s="1111" customFormat="1" ht="12" customHeight="1">
      <c r="A86" s="1451">
        <v>81</v>
      </c>
      <c r="B86" s="2367" t="s">
        <v>1008</v>
      </c>
      <c r="C86" s="1457">
        <v>8</v>
      </c>
      <c r="D86" s="1458">
        <v>8</v>
      </c>
      <c r="E86" s="1458"/>
      <c r="F86" s="1458"/>
      <c r="G86" s="1458"/>
      <c r="H86" s="1458"/>
      <c r="I86" s="1793"/>
      <c r="J86" s="1459">
        <v>1</v>
      </c>
      <c r="K86" s="1459">
        <v>20</v>
      </c>
      <c r="L86" s="1459">
        <v>8</v>
      </c>
      <c r="M86" s="1459">
        <v>8</v>
      </c>
      <c r="N86" s="1459">
        <v>8</v>
      </c>
      <c r="O86" s="1459">
        <v>8</v>
      </c>
      <c r="P86" s="1459">
        <v>8</v>
      </c>
      <c r="Q86" s="1459">
        <v>8</v>
      </c>
      <c r="R86" s="1459">
        <v>8</v>
      </c>
      <c r="S86" s="1459">
        <v>8</v>
      </c>
      <c r="T86" s="1459">
        <v>8</v>
      </c>
      <c r="U86" s="1459"/>
      <c r="V86" s="1459">
        <v>8</v>
      </c>
      <c r="W86" s="1459">
        <v>8</v>
      </c>
      <c r="X86" s="1459">
        <v>8</v>
      </c>
      <c r="Y86" s="1459">
        <v>8</v>
      </c>
      <c r="Z86" s="1460">
        <v>8</v>
      </c>
      <c r="AA86" s="1459">
        <v>8</v>
      </c>
      <c r="AB86" s="1461">
        <v>8</v>
      </c>
      <c r="AC86" s="3202">
        <v>180552</v>
      </c>
    </row>
    <row r="87" spans="1:29" s="1111" customFormat="1" ht="12" customHeight="1">
      <c r="A87" s="1456"/>
      <c r="B87" s="2367" t="s">
        <v>1044</v>
      </c>
      <c r="C87" s="1762">
        <v>105</v>
      </c>
      <c r="D87" s="1763">
        <v>70</v>
      </c>
      <c r="E87" s="1763">
        <v>70</v>
      </c>
      <c r="F87" s="1763">
        <v>50</v>
      </c>
      <c r="G87" s="1763">
        <v>50</v>
      </c>
      <c r="H87" s="1763">
        <v>50</v>
      </c>
      <c r="I87" s="1804">
        <v>50</v>
      </c>
      <c r="J87" s="1764">
        <v>58</v>
      </c>
      <c r="K87" s="1764">
        <v>70</v>
      </c>
      <c r="L87" s="1764">
        <v>70</v>
      </c>
      <c r="M87" s="1764">
        <v>70</v>
      </c>
      <c r="N87" s="1764">
        <v>87</v>
      </c>
      <c r="O87" s="1764">
        <v>90</v>
      </c>
      <c r="P87" s="1764">
        <v>90</v>
      </c>
      <c r="Q87" s="1764">
        <v>90</v>
      </c>
      <c r="R87" s="1764">
        <v>90</v>
      </c>
      <c r="S87" s="1764">
        <v>90</v>
      </c>
      <c r="T87" s="1764">
        <v>100</v>
      </c>
      <c r="U87" s="1764"/>
      <c r="V87" s="1764">
        <v>105</v>
      </c>
      <c r="W87" s="1764">
        <v>105</v>
      </c>
      <c r="X87" s="1764">
        <v>105</v>
      </c>
      <c r="Y87" s="1764">
        <v>105</v>
      </c>
      <c r="Z87" s="1765">
        <v>105</v>
      </c>
      <c r="AA87" s="1764">
        <v>70</v>
      </c>
      <c r="AB87" s="1766">
        <v>35</v>
      </c>
      <c r="AC87" s="3202">
        <v>2010000</v>
      </c>
    </row>
    <row r="88" spans="1:29" s="1111" customFormat="1" ht="12" customHeight="1">
      <c r="A88" s="1456"/>
      <c r="B88" s="2367" t="s">
        <v>1046</v>
      </c>
      <c r="C88" s="1858"/>
      <c r="D88" s="1859"/>
      <c r="E88" s="1859"/>
      <c r="F88" s="1859"/>
      <c r="G88" s="1859"/>
      <c r="H88" s="1859"/>
      <c r="I88" s="1860">
        <v>0</v>
      </c>
      <c r="J88" s="1861">
        <v>1</v>
      </c>
      <c r="K88" s="1861">
        <v>3</v>
      </c>
      <c r="L88" s="1861">
        <v>3</v>
      </c>
      <c r="M88" s="1861">
        <v>4</v>
      </c>
      <c r="N88" s="1861">
        <v>4</v>
      </c>
      <c r="O88" s="1861">
        <v>4</v>
      </c>
      <c r="P88" s="1861">
        <v>3</v>
      </c>
      <c r="Q88" s="1861">
        <v>2</v>
      </c>
      <c r="R88" s="1861">
        <v>1</v>
      </c>
      <c r="S88" s="1861"/>
      <c r="T88" s="1861"/>
      <c r="U88" s="1861"/>
      <c r="V88" s="1861"/>
      <c r="W88" s="1861"/>
      <c r="X88" s="1861"/>
      <c r="Y88" s="1861"/>
      <c r="Z88" s="1862"/>
      <c r="AA88" s="1861"/>
      <c r="AB88" s="1863"/>
      <c r="AC88" s="3202">
        <v>27600</v>
      </c>
    </row>
    <row r="89" spans="1:29" s="1111" customFormat="1" ht="12" customHeight="1">
      <c r="A89" s="1456"/>
      <c r="B89" s="2367" t="s">
        <v>1139</v>
      </c>
      <c r="C89" s="2058">
        <v>54</v>
      </c>
      <c r="D89" s="2059">
        <v>54</v>
      </c>
      <c r="E89" s="2059">
        <v>54</v>
      </c>
      <c r="F89" s="2059">
        <v>54</v>
      </c>
      <c r="G89" s="2059">
        <v>54</v>
      </c>
      <c r="H89" s="2059">
        <v>54</v>
      </c>
      <c r="I89" s="2060">
        <v>54</v>
      </c>
      <c r="J89" s="2061">
        <v>54</v>
      </c>
      <c r="K89" s="2061">
        <v>42</v>
      </c>
      <c r="L89" s="2061">
        <v>54</v>
      </c>
      <c r="M89" s="2061">
        <v>54</v>
      </c>
      <c r="N89" s="2061">
        <v>54</v>
      </c>
      <c r="O89" s="2061">
        <v>54</v>
      </c>
      <c r="P89" s="2061">
        <v>54</v>
      </c>
      <c r="Q89" s="2061">
        <v>54</v>
      </c>
      <c r="R89" s="2061">
        <v>54</v>
      </c>
      <c r="S89" s="2061">
        <v>54</v>
      </c>
      <c r="T89" s="2061">
        <v>54</v>
      </c>
      <c r="U89" s="2061"/>
      <c r="V89" s="2061">
        <v>54</v>
      </c>
      <c r="W89" s="2061">
        <v>54</v>
      </c>
      <c r="X89" s="2061">
        <v>54</v>
      </c>
      <c r="Y89" s="2061">
        <v>54</v>
      </c>
      <c r="Z89" s="2062">
        <v>54</v>
      </c>
      <c r="AA89" s="2061">
        <v>54</v>
      </c>
      <c r="AB89" s="2063">
        <v>54</v>
      </c>
      <c r="AC89" s="3202">
        <v>1347607</v>
      </c>
    </row>
    <row r="90" spans="1:29" s="1111" customFormat="1" ht="12" customHeight="1">
      <c r="A90" s="1456"/>
      <c r="B90" s="2367" t="s">
        <v>1147</v>
      </c>
      <c r="C90" s="2071">
        <v>68</v>
      </c>
      <c r="D90" s="2072">
        <v>68</v>
      </c>
      <c r="E90" s="2072">
        <v>68</v>
      </c>
      <c r="F90" s="2072">
        <v>51</v>
      </c>
      <c r="G90" s="2072">
        <v>51</v>
      </c>
      <c r="H90" s="2072">
        <v>51</v>
      </c>
      <c r="I90" s="2073">
        <v>51</v>
      </c>
      <c r="J90" s="2074">
        <v>51</v>
      </c>
      <c r="K90" s="2074">
        <v>55</v>
      </c>
      <c r="L90" s="2074">
        <v>71</v>
      </c>
      <c r="M90" s="2074">
        <v>76</v>
      </c>
      <c r="N90" s="2074">
        <v>104</v>
      </c>
      <c r="O90" s="2074">
        <v>110</v>
      </c>
      <c r="P90" s="2074">
        <v>110</v>
      </c>
      <c r="Q90" s="2074">
        <v>110</v>
      </c>
      <c r="R90" s="2074">
        <v>110</v>
      </c>
      <c r="S90" s="2074">
        <v>110</v>
      </c>
      <c r="T90" s="2074">
        <v>110</v>
      </c>
      <c r="U90" s="2074"/>
      <c r="V90" s="2074">
        <v>110</v>
      </c>
      <c r="W90" s="2074">
        <v>110</v>
      </c>
      <c r="X90" s="2074">
        <v>110</v>
      </c>
      <c r="Y90" s="2074">
        <v>110</v>
      </c>
      <c r="Z90" s="2075">
        <v>110</v>
      </c>
      <c r="AA90" s="2074">
        <v>110</v>
      </c>
      <c r="AB90" s="2076">
        <v>110</v>
      </c>
      <c r="AC90" s="3202">
        <v>2154463</v>
      </c>
    </row>
    <row r="91" spans="1:29" s="1111" customFormat="1" ht="12" customHeight="1">
      <c r="A91" s="1456">
        <v>82</v>
      </c>
      <c r="B91" s="2369" t="s">
        <v>964</v>
      </c>
      <c r="C91" s="1462"/>
      <c r="D91" s="1463"/>
      <c r="E91" s="1463"/>
      <c r="F91" s="1463"/>
      <c r="G91" s="1463"/>
      <c r="H91" s="1463"/>
      <c r="I91" s="1793"/>
      <c r="J91" s="1464"/>
      <c r="K91" s="1464"/>
      <c r="L91" s="1464"/>
      <c r="M91" s="1464"/>
      <c r="N91" s="1464"/>
      <c r="O91" s="1464"/>
      <c r="P91" s="1464"/>
      <c r="Q91" s="1464"/>
      <c r="R91" s="1464"/>
      <c r="S91" s="1464"/>
      <c r="T91" s="1464"/>
      <c r="U91" s="1464"/>
      <c r="V91" s="1464"/>
      <c r="W91" s="1464"/>
      <c r="X91" s="1464"/>
      <c r="Y91" s="1464"/>
      <c r="Z91" s="1465"/>
      <c r="AA91" s="1464"/>
      <c r="AB91" s="1466"/>
      <c r="AC91" s="3203"/>
    </row>
    <row r="92" spans="1:29" s="1111" customFormat="1" ht="12" customHeight="1">
      <c r="A92" s="1451">
        <v>83</v>
      </c>
      <c r="B92" s="2370" t="s">
        <v>159</v>
      </c>
      <c r="C92" s="1467"/>
      <c r="D92" s="1468"/>
      <c r="E92" s="1468"/>
      <c r="F92" s="1468"/>
      <c r="G92" s="1468"/>
      <c r="H92" s="1468"/>
      <c r="I92" s="1793"/>
      <c r="J92" s="1469"/>
      <c r="K92" s="1469"/>
      <c r="L92" s="1469"/>
      <c r="M92" s="1469"/>
      <c r="N92" s="1469"/>
      <c r="O92" s="1469"/>
      <c r="P92" s="1469"/>
      <c r="Q92" s="1469"/>
      <c r="R92" s="1469"/>
      <c r="S92" s="1469"/>
      <c r="T92" s="1469"/>
      <c r="U92" s="1469"/>
      <c r="V92" s="1469"/>
      <c r="W92" s="1469"/>
      <c r="X92" s="1469"/>
      <c r="Y92" s="1469"/>
      <c r="Z92" s="1470"/>
      <c r="AA92" s="1469"/>
      <c r="AB92" s="1471"/>
      <c r="AC92" s="3204"/>
    </row>
    <row r="93" spans="1:29" s="1111" customFormat="1" ht="12" customHeight="1">
      <c r="A93" s="1456">
        <v>84</v>
      </c>
      <c r="B93" s="2365" t="s">
        <v>730</v>
      </c>
      <c r="C93" s="1472"/>
      <c r="D93" s="1473"/>
      <c r="E93" s="1473"/>
      <c r="F93" s="1473"/>
      <c r="G93" s="1473"/>
      <c r="H93" s="1473"/>
      <c r="I93" s="1794"/>
      <c r="J93" s="1473"/>
      <c r="K93" s="1473"/>
      <c r="L93" s="1473"/>
      <c r="M93" s="1473"/>
      <c r="N93" s="1473"/>
      <c r="O93" s="1473"/>
      <c r="P93" s="1473"/>
      <c r="Q93" s="1473"/>
      <c r="R93" s="1473"/>
      <c r="S93" s="1473"/>
      <c r="T93" s="1473"/>
      <c r="U93" s="1473"/>
      <c r="V93" s="1473"/>
      <c r="W93" s="1473"/>
      <c r="X93" s="1473"/>
      <c r="Y93" s="1473"/>
      <c r="Z93" s="1474"/>
      <c r="AA93" s="1473"/>
      <c r="AB93" s="1475"/>
      <c r="AC93" s="3205"/>
    </row>
    <row r="94" spans="1:29" s="1111" customFormat="1" ht="12" customHeight="1">
      <c r="A94" s="1451">
        <v>85</v>
      </c>
      <c r="B94" s="2366" t="s">
        <v>974</v>
      </c>
      <c r="C94" s="1476"/>
      <c r="D94" s="1477"/>
      <c r="E94" s="1477"/>
      <c r="F94" s="1477"/>
      <c r="G94" s="1477"/>
      <c r="H94" s="1477"/>
      <c r="I94" s="1796"/>
      <c r="J94" s="1477"/>
      <c r="K94" s="1477"/>
      <c r="L94" s="1477"/>
      <c r="M94" s="1477"/>
      <c r="N94" s="1477"/>
      <c r="O94" s="1477">
        <v>11</v>
      </c>
      <c r="P94" s="1477">
        <v>10</v>
      </c>
      <c r="Q94" s="1477"/>
      <c r="R94" s="1477"/>
      <c r="S94" s="1477"/>
      <c r="T94" s="1477">
        <v>16</v>
      </c>
      <c r="U94" s="1477"/>
      <c r="V94" s="1477">
        <v>23</v>
      </c>
      <c r="W94" s="1477">
        <v>24</v>
      </c>
      <c r="X94" s="1477">
        <v>24</v>
      </c>
      <c r="Y94" s="1477">
        <v>24</v>
      </c>
      <c r="Z94" s="1478"/>
      <c r="AA94" s="1477"/>
      <c r="AB94" s="1479"/>
      <c r="AC94" s="3207">
        <v>126484</v>
      </c>
    </row>
    <row r="95" spans="1:29" s="1111" customFormat="1" ht="12" customHeight="1">
      <c r="A95" s="1456">
        <v>86</v>
      </c>
      <c r="B95" s="2367" t="s">
        <v>1334</v>
      </c>
      <c r="C95" s="1480"/>
      <c r="D95" s="1458"/>
      <c r="E95" s="1458"/>
      <c r="F95" s="1458"/>
      <c r="G95" s="1458"/>
      <c r="H95" s="1458"/>
      <c r="I95" s="1793"/>
      <c r="J95" s="1459"/>
      <c r="K95" s="1459"/>
      <c r="L95" s="1459"/>
      <c r="M95" s="1459"/>
      <c r="N95" s="1459"/>
      <c r="O95" s="1459"/>
      <c r="P95" s="1459"/>
      <c r="Q95" s="1459"/>
      <c r="R95" s="1459"/>
      <c r="S95" s="1459"/>
      <c r="T95" s="1459"/>
      <c r="U95" s="1459"/>
      <c r="V95" s="1459"/>
      <c r="W95" s="1459"/>
      <c r="X95" s="1459"/>
      <c r="Y95" s="1459"/>
      <c r="Z95" s="1460"/>
      <c r="AA95" s="1459"/>
      <c r="AB95" s="1461"/>
      <c r="AC95" s="3202"/>
    </row>
    <row r="96" spans="1:29" s="1111" customFormat="1" ht="12" customHeight="1">
      <c r="A96" s="1451">
        <v>87</v>
      </c>
      <c r="B96" s="2369" t="s">
        <v>963</v>
      </c>
      <c r="C96" s="1481"/>
      <c r="D96" s="1463"/>
      <c r="E96" s="1463"/>
      <c r="F96" s="1463"/>
      <c r="G96" s="1463"/>
      <c r="H96" s="1463"/>
      <c r="I96" s="1793"/>
      <c r="J96" s="1464"/>
      <c r="K96" s="1464"/>
      <c r="L96" s="1464"/>
      <c r="M96" s="1464"/>
      <c r="N96" s="1464"/>
      <c r="O96" s="1464"/>
      <c r="P96" s="1464"/>
      <c r="Q96" s="1464"/>
      <c r="R96" s="1464"/>
      <c r="S96" s="1464"/>
      <c r="T96" s="1464"/>
      <c r="U96" s="1464"/>
      <c r="V96" s="1464"/>
      <c r="W96" s="1464"/>
      <c r="X96" s="1464"/>
      <c r="Y96" s="1464"/>
      <c r="Z96" s="1465"/>
      <c r="AA96" s="1464"/>
      <c r="AB96" s="1466"/>
      <c r="AC96" s="3203"/>
    </row>
    <row r="97" spans="1:29" s="1111" customFormat="1" ht="12" customHeight="1">
      <c r="A97" s="1456"/>
      <c r="B97" s="2369" t="s">
        <v>1250</v>
      </c>
      <c r="C97" s="3439">
        <v>17</v>
      </c>
      <c r="D97" s="3513">
        <v>17</v>
      </c>
      <c r="E97" s="3513">
        <v>17</v>
      </c>
      <c r="F97" s="3513">
        <v>17</v>
      </c>
      <c r="G97" s="3513">
        <v>17</v>
      </c>
      <c r="H97" s="3513">
        <v>17</v>
      </c>
      <c r="I97" s="3514">
        <v>17</v>
      </c>
      <c r="J97" s="3515">
        <v>31</v>
      </c>
      <c r="K97" s="3515">
        <v>53</v>
      </c>
      <c r="L97" s="3515">
        <v>37</v>
      </c>
      <c r="M97" s="3515">
        <v>34</v>
      </c>
      <c r="N97" s="3515">
        <v>35</v>
      </c>
      <c r="O97" s="3515">
        <v>40</v>
      </c>
      <c r="P97" s="3515">
        <v>87</v>
      </c>
      <c r="Q97" s="3515">
        <v>62</v>
      </c>
      <c r="R97" s="3515">
        <v>34</v>
      </c>
      <c r="S97" s="3515">
        <v>35</v>
      </c>
      <c r="T97" s="3515">
        <v>50</v>
      </c>
      <c r="U97" s="3515"/>
      <c r="V97" s="3515">
        <v>91</v>
      </c>
      <c r="W97" s="3515">
        <v>104</v>
      </c>
      <c r="X97" s="3515">
        <v>101</v>
      </c>
      <c r="Y97" s="3515">
        <v>104</v>
      </c>
      <c r="Z97" s="3516">
        <v>104</v>
      </c>
      <c r="AA97" s="3515">
        <v>72</v>
      </c>
      <c r="AB97" s="3444">
        <v>34</v>
      </c>
      <c r="AC97" s="3203">
        <v>1228800</v>
      </c>
    </row>
    <row r="98" spans="1:29" s="1111" customFormat="1" ht="12" customHeight="1">
      <c r="A98" s="1456">
        <v>88</v>
      </c>
      <c r="B98" s="2370" t="s">
        <v>960</v>
      </c>
      <c r="C98" s="1482"/>
      <c r="D98" s="1468"/>
      <c r="E98" s="1468"/>
      <c r="F98" s="1468"/>
      <c r="G98" s="1468"/>
      <c r="H98" s="1468"/>
      <c r="I98" s="1793"/>
      <c r="J98" s="1469"/>
      <c r="K98" s="1469"/>
      <c r="L98" s="1469"/>
      <c r="M98" s="1469"/>
      <c r="N98" s="1469"/>
      <c r="O98" s="1469"/>
      <c r="P98" s="1469"/>
      <c r="Q98" s="1469"/>
      <c r="R98" s="1469"/>
      <c r="S98" s="1469"/>
      <c r="T98" s="1469"/>
      <c r="U98" s="1469"/>
      <c r="V98" s="1469"/>
      <c r="W98" s="1469"/>
      <c r="X98" s="1469"/>
      <c r="Y98" s="1469"/>
      <c r="Z98" s="1470"/>
      <c r="AA98" s="1469"/>
      <c r="AB98" s="1471"/>
      <c r="AC98" s="3204"/>
    </row>
    <row r="99" spans="1:29" s="1111" customFormat="1" ht="12" customHeight="1">
      <c r="A99" s="1456">
        <v>90</v>
      </c>
      <c r="B99" s="2366" t="s">
        <v>1005</v>
      </c>
      <c r="C99" s="1476"/>
      <c r="D99" s="1477"/>
      <c r="E99" s="1477"/>
      <c r="F99" s="1477"/>
      <c r="G99" s="1477"/>
      <c r="H99" s="1477"/>
      <c r="I99" s="1796"/>
      <c r="J99" s="1477"/>
      <c r="K99" s="1477"/>
      <c r="L99" s="1477"/>
      <c r="M99" s="1477"/>
      <c r="N99" s="1477"/>
      <c r="O99" s="1477"/>
      <c r="P99" s="1477"/>
      <c r="Q99" s="1477"/>
      <c r="R99" s="1477"/>
      <c r="S99" s="1477"/>
      <c r="T99" s="1477"/>
      <c r="U99" s="1477"/>
      <c r="V99" s="1477"/>
      <c r="W99" s="1477"/>
      <c r="X99" s="1477"/>
      <c r="Y99" s="1477"/>
      <c r="Z99" s="1478"/>
      <c r="AA99" s="1477"/>
      <c r="AB99" s="1479"/>
      <c r="AC99" s="3207"/>
    </row>
    <row r="100" spans="1:29" s="1111" customFormat="1" ht="12" customHeight="1">
      <c r="A100" s="1451">
        <v>91</v>
      </c>
      <c r="B100" s="2367" t="s">
        <v>991</v>
      </c>
      <c r="C100" s="1487"/>
      <c r="D100" s="1459"/>
      <c r="E100" s="1459"/>
      <c r="F100" s="1459"/>
      <c r="G100" s="1459"/>
      <c r="H100" s="1459"/>
      <c r="I100" s="1798"/>
      <c r="J100" s="1459">
        <v>40</v>
      </c>
      <c r="K100" s="1459">
        <v>40</v>
      </c>
      <c r="L100" s="1459">
        <v>10</v>
      </c>
      <c r="M100" s="1459">
        <v>20</v>
      </c>
      <c r="N100" s="1459">
        <v>40</v>
      </c>
      <c r="O100" s="1459">
        <v>100</v>
      </c>
      <c r="P100" s="1459">
        <v>30</v>
      </c>
      <c r="Q100" s="1459">
        <v>10</v>
      </c>
      <c r="R100" s="1459"/>
      <c r="S100" s="1459"/>
      <c r="T100" s="1459">
        <v>10</v>
      </c>
      <c r="U100" s="1459"/>
      <c r="V100" s="1459">
        <v>10</v>
      </c>
      <c r="W100" s="1459">
        <v>10</v>
      </c>
      <c r="X100" s="1459">
        <v>10</v>
      </c>
      <c r="Y100" s="1459">
        <v>30</v>
      </c>
      <c r="Z100" s="1460"/>
      <c r="AA100" s="1459"/>
      <c r="AB100" s="1461"/>
      <c r="AC100" s="3209">
        <v>334560</v>
      </c>
    </row>
    <row r="101" spans="1:29" s="1111" customFormat="1" ht="12" customHeight="1">
      <c r="A101" s="1456">
        <v>92</v>
      </c>
      <c r="B101" s="2369" t="s">
        <v>1020</v>
      </c>
      <c r="C101" s="1493"/>
      <c r="D101" s="1494"/>
      <c r="E101" s="1494"/>
      <c r="F101" s="1494"/>
      <c r="G101" s="1494"/>
      <c r="H101" s="1494"/>
      <c r="I101" s="1800"/>
      <c r="J101" s="1495"/>
      <c r="K101" s="1495"/>
      <c r="L101" s="1495"/>
      <c r="M101" s="1495"/>
      <c r="N101" s="1495"/>
      <c r="O101" s="1495"/>
      <c r="P101" s="1495"/>
      <c r="Q101" s="1495"/>
      <c r="R101" s="1495"/>
      <c r="S101" s="1495"/>
      <c r="T101" s="1495"/>
      <c r="U101" s="1495"/>
      <c r="V101" s="1495"/>
      <c r="W101" s="1495"/>
      <c r="X101" s="1495"/>
      <c r="Y101" s="1495"/>
      <c r="Z101" s="1496"/>
      <c r="AA101" s="1495"/>
      <c r="AB101" s="1497"/>
      <c r="AC101" s="3212"/>
    </row>
    <row r="102" spans="1:29" s="1111" customFormat="1" ht="12" customHeight="1">
      <c r="A102" s="1451">
        <v>93</v>
      </c>
      <c r="B102" s="2370" t="s">
        <v>1006</v>
      </c>
      <c r="C102" s="1467">
        <v>51</v>
      </c>
      <c r="D102" s="1468">
        <v>51</v>
      </c>
      <c r="E102" s="1468">
        <v>51</v>
      </c>
      <c r="F102" s="1468">
        <v>51</v>
      </c>
      <c r="G102" s="1468">
        <v>51</v>
      </c>
      <c r="H102" s="1468">
        <v>51</v>
      </c>
      <c r="I102" s="1793">
        <v>51</v>
      </c>
      <c r="J102" s="1469">
        <v>51</v>
      </c>
      <c r="K102" s="1469">
        <v>51</v>
      </c>
      <c r="L102" s="1469">
        <v>51</v>
      </c>
      <c r="M102" s="1469">
        <v>51</v>
      </c>
      <c r="N102" s="1469">
        <v>51</v>
      </c>
      <c r="O102" s="1469">
        <v>51</v>
      </c>
      <c r="P102" s="1469">
        <v>51</v>
      </c>
      <c r="Q102" s="1469">
        <v>51</v>
      </c>
      <c r="R102" s="1469">
        <v>51</v>
      </c>
      <c r="S102" s="1469">
        <v>51</v>
      </c>
      <c r="T102" s="1469">
        <v>51</v>
      </c>
      <c r="U102" s="1469"/>
      <c r="V102" s="1469">
        <v>51</v>
      </c>
      <c r="W102" s="1469">
        <v>51</v>
      </c>
      <c r="X102" s="1469">
        <v>51</v>
      </c>
      <c r="Y102" s="1469">
        <v>51</v>
      </c>
      <c r="Z102" s="1470">
        <v>51</v>
      </c>
      <c r="AA102" s="1469">
        <v>51</v>
      </c>
      <c r="AB102" s="1471">
        <v>51</v>
      </c>
      <c r="AC102" s="3204">
        <v>1255256</v>
      </c>
    </row>
    <row r="103" spans="1:29" s="1111" customFormat="1" ht="12" customHeight="1">
      <c r="A103" s="1456">
        <v>94</v>
      </c>
      <c r="B103" s="2365" t="s">
        <v>975</v>
      </c>
      <c r="C103" s="1505">
        <v>102</v>
      </c>
      <c r="D103" s="1506">
        <v>64</v>
      </c>
      <c r="E103" s="1506">
        <v>40</v>
      </c>
      <c r="F103" s="1506">
        <v>24</v>
      </c>
      <c r="G103" s="1506">
        <v>24</v>
      </c>
      <c r="H103" s="1506">
        <v>24</v>
      </c>
      <c r="I103" s="1803">
        <v>24</v>
      </c>
      <c r="J103" s="1473">
        <v>64</v>
      </c>
      <c r="K103" s="1473">
        <v>64</v>
      </c>
      <c r="L103" s="1473">
        <v>48</v>
      </c>
      <c r="M103" s="1473">
        <v>48</v>
      </c>
      <c r="N103" s="1473">
        <v>84</v>
      </c>
      <c r="O103" s="1473">
        <v>102</v>
      </c>
      <c r="P103" s="1473">
        <v>24</v>
      </c>
      <c r="Q103" s="1473">
        <v>24</v>
      </c>
      <c r="R103" s="1473">
        <v>24</v>
      </c>
      <c r="S103" s="1473">
        <v>72</v>
      </c>
      <c r="T103" s="1473">
        <v>93</v>
      </c>
      <c r="U103" s="1473"/>
      <c r="V103" s="1473">
        <v>102</v>
      </c>
      <c r="W103" s="1473">
        <v>102</v>
      </c>
      <c r="X103" s="1473">
        <v>102</v>
      </c>
      <c r="Y103" s="1473">
        <v>58</v>
      </c>
      <c r="Z103" s="1474">
        <v>7</v>
      </c>
      <c r="AA103" s="1473"/>
      <c r="AB103" s="1475"/>
      <c r="AC103" s="3216">
        <v>1256544</v>
      </c>
    </row>
    <row r="104" spans="1:29" s="1111" customFormat="1" ht="12" customHeight="1">
      <c r="A104" s="1451">
        <v>95</v>
      </c>
      <c r="B104" s="2366" t="s">
        <v>993</v>
      </c>
      <c r="C104" s="1476">
        <v>46</v>
      </c>
      <c r="D104" s="1477">
        <v>46</v>
      </c>
      <c r="E104" s="1477">
        <v>46</v>
      </c>
      <c r="F104" s="1477">
        <v>46</v>
      </c>
      <c r="G104" s="1477">
        <v>40</v>
      </c>
      <c r="H104" s="1477">
        <v>10</v>
      </c>
      <c r="I104" s="1796">
        <v>8</v>
      </c>
      <c r="J104" s="1477">
        <v>30</v>
      </c>
      <c r="K104" s="1477">
        <v>31</v>
      </c>
      <c r="L104" s="1477">
        <v>31</v>
      </c>
      <c r="M104" s="1477"/>
      <c r="N104" s="1477"/>
      <c r="O104" s="1477"/>
      <c r="P104" s="1477"/>
      <c r="Q104" s="1477"/>
      <c r="R104" s="1477"/>
      <c r="S104" s="1477"/>
      <c r="T104" s="1477"/>
      <c r="U104" s="1477"/>
      <c r="V104" s="1477"/>
      <c r="W104" s="1477"/>
      <c r="X104" s="1477"/>
      <c r="Y104" s="1477"/>
      <c r="Z104" s="1478"/>
      <c r="AA104" s="1477"/>
      <c r="AB104" s="1479"/>
      <c r="AC104" s="3207">
        <v>342240</v>
      </c>
    </row>
    <row r="105" spans="1:29" s="1111" customFormat="1" ht="12" customHeight="1">
      <c r="A105" s="1456">
        <v>96</v>
      </c>
      <c r="B105" s="2367" t="s">
        <v>992</v>
      </c>
      <c r="C105" s="1457">
        <v>27</v>
      </c>
      <c r="D105" s="1458">
        <v>12</v>
      </c>
      <c r="E105" s="1458">
        <v>12</v>
      </c>
      <c r="F105" s="1458">
        <v>12</v>
      </c>
      <c r="G105" s="1458">
        <v>12</v>
      </c>
      <c r="H105" s="1458">
        <v>12</v>
      </c>
      <c r="I105" s="1793">
        <v>12</v>
      </c>
      <c r="J105" s="1459">
        <v>12</v>
      </c>
      <c r="K105" s="1459">
        <v>12</v>
      </c>
      <c r="L105" s="1459">
        <v>13</v>
      </c>
      <c r="M105" s="1459">
        <v>12</v>
      </c>
      <c r="N105" s="1459">
        <v>12</v>
      </c>
      <c r="O105" s="1459">
        <v>12</v>
      </c>
      <c r="P105" s="1459">
        <v>12</v>
      </c>
      <c r="Q105" s="1459">
        <v>12</v>
      </c>
      <c r="R105" s="1459">
        <v>12</v>
      </c>
      <c r="S105" s="1459">
        <v>12</v>
      </c>
      <c r="T105" s="1459">
        <v>12</v>
      </c>
      <c r="U105" s="1459"/>
      <c r="V105" s="1459">
        <v>12</v>
      </c>
      <c r="W105" s="1459">
        <v>12</v>
      </c>
      <c r="X105" s="1459">
        <v>12</v>
      </c>
      <c r="Y105" s="1459">
        <v>12</v>
      </c>
      <c r="Z105" s="1460">
        <v>12</v>
      </c>
      <c r="AA105" s="1459">
        <v>12</v>
      </c>
      <c r="AB105" s="1461">
        <v>12</v>
      </c>
      <c r="AC105" s="3202">
        <v>319680</v>
      </c>
    </row>
    <row r="106" spans="1:29" s="1111" customFormat="1" ht="12" customHeight="1">
      <c r="A106" s="1451">
        <v>97</v>
      </c>
      <c r="B106" s="2369" t="s">
        <v>1256</v>
      </c>
      <c r="C106" s="1462"/>
      <c r="D106" s="1463"/>
      <c r="E106" s="1463"/>
      <c r="F106" s="1463"/>
      <c r="G106" s="1463"/>
      <c r="H106" s="1463"/>
      <c r="I106" s="1793"/>
      <c r="J106" s="1464"/>
      <c r="K106" s="1464"/>
      <c r="L106" s="1464"/>
      <c r="M106" s="1464"/>
      <c r="N106" s="1464"/>
      <c r="O106" s="1464"/>
      <c r="P106" s="1464"/>
      <c r="Q106" s="1464"/>
      <c r="R106" s="1464"/>
      <c r="S106" s="1464"/>
      <c r="T106" s="1464"/>
      <c r="U106" s="1464"/>
      <c r="V106" s="1464"/>
      <c r="W106" s="1464"/>
      <c r="X106" s="1464"/>
      <c r="Y106" s="1464"/>
      <c r="Z106" s="1465"/>
      <c r="AA106" s="1464"/>
      <c r="AB106" s="1466"/>
      <c r="AC106" s="3203"/>
    </row>
    <row r="107" spans="1:29" s="1111" customFormat="1" ht="12" customHeight="1">
      <c r="A107" s="1456">
        <v>98</v>
      </c>
      <c r="B107" s="2370" t="s">
        <v>971</v>
      </c>
      <c r="C107" s="1467"/>
      <c r="D107" s="1468"/>
      <c r="E107" s="1468"/>
      <c r="F107" s="1468"/>
      <c r="G107" s="1468"/>
      <c r="H107" s="1468"/>
      <c r="I107" s="1793"/>
      <c r="J107" s="1469"/>
      <c r="K107" s="1469"/>
      <c r="L107" s="1469"/>
      <c r="M107" s="1469"/>
      <c r="N107" s="1469"/>
      <c r="O107" s="1469"/>
      <c r="P107" s="1469"/>
      <c r="Q107" s="1469"/>
      <c r="R107" s="1469"/>
      <c r="S107" s="1469"/>
      <c r="T107" s="1469"/>
      <c r="U107" s="1469"/>
      <c r="V107" s="1469"/>
      <c r="W107" s="1469"/>
      <c r="X107" s="1469"/>
      <c r="Y107" s="1469"/>
      <c r="Z107" s="1470"/>
      <c r="AA107" s="1469"/>
      <c r="AB107" s="1471"/>
      <c r="AC107" s="3204"/>
    </row>
    <row r="108" spans="1:29" s="1111" customFormat="1" ht="12" customHeight="1">
      <c r="A108" s="1451">
        <v>99</v>
      </c>
      <c r="B108" s="2365" t="s">
        <v>965</v>
      </c>
      <c r="C108" s="1472">
        <v>40</v>
      </c>
      <c r="D108" s="1473">
        <v>15</v>
      </c>
      <c r="E108" s="1473"/>
      <c r="F108" s="1473"/>
      <c r="G108" s="1473"/>
      <c r="H108" s="1473"/>
      <c r="I108" s="1794"/>
      <c r="J108" s="1473"/>
      <c r="K108" s="1473">
        <v>15</v>
      </c>
      <c r="L108" s="1473">
        <v>15</v>
      </c>
      <c r="M108" s="1473">
        <v>15</v>
      </c>
      <c r="N108" s="1473">
        <v>16</v>
      </c>
      <c r="O108" s="1473">
        <v>30</v>
      </c>
      <c r="P108" s="1473">
        <v>15</v>
      </c>
      <c r="Q108" s="1473">
        <v>15</v>
      </c>
      <c r="R108" s="1473">
        <v>15</v>
      </c>
      <c r="S108" s="1473">
        <v>15</v>
      </c>
      <c r="T108" s="1473">
        <v>35</v>
      </c>
      <c r="U108" s="1473"/>
      <c r="V108" s="1473">
        <v>55</v>
      </c>
      <c r="W108" s="1473">
        <v>55</v>
      </c>
      <c r="X108" s="1473">
        <v>30</v>
      </c>
      <c r="Y108" s="1473"/>
      <c r="Z108" s="1474"/>
      <c r="AA108" s="1473"/>
      <c r="AB108" s="1475"/>
      <c r="AC108" s="3205">
        <v>424788</v>
      </c>
    </row>
    <row r="109" spans="1:29" s="1111" customFormat="1" ht="12" customHeight="1">
      <c r="A109" s="1456">
        <v>100</v>
      </c>
      <c r="B109" s="2366" t="s">
        <v>972</v>
      </c>
      <c r="C109" s="1476">
        <v>55</v>
      </c>
      <c r="D109" s="1477">
        <v>55</v>
      </c>
      <c r="E109" s="1477">
        <v>55</v>
      </c>
      <c r="F109" s="1477">
        <v>55</v>
      </c>
      <c r="G109" s="1477">
        <v>55</v>
      </c>
      <c r="H109" s="1477">
        <v>55</v>
      </c>
      <c r="I109" s="1796">
        <v>35</v>
      </c>
      <c r="J109" s="1477">
        <v>35</v>
      </c>
      <c r="K109" s="1477">
        <v>35</v>
      </c>
      <c r="L109" s="1477">
        <v>35</v>
      </c>
      <c r="M109" s="1477">
        <v>35</v>
      </c>
      <c r="N109" s="1477">
        <v>35</v>
      </c>
      <c r="O109" s="1477">
        <v>35</v>
      </c>
      <c r="P109" s="1477">
        <v>35</v>
      </c>
      <c r="Q109" s="1477">
        <v>35</v>
      </c>
      <c r="R109" s="1477">
        <v>55</v>
      </c>
      <c r="S109" s="1477">
        <v>55</v>
      </c>
      <c r="T109" s="1477">
        <v>55</v>
      </c>
      <c r="U109" s="1477"/>
      <c r="V109" s="1477">
        <v>55</v>
      </c>
      <c r="W109" s="1477">
        <v>55</v>
      </c>
      <c r="X109" s="1477">
        <v>55</v>
      </c>
      <c r="Y109" s="1477">
        <v>55</v>
      </c>
      <c r="Z109" s="1478">
        <v>55</v>
      </c>
      <c r="AA109" s="1477">
        <v>55</v>
      </c>
      <c r="AB109" s="1479">
        <v>55</v>
      </c>
      <c r="AC109" s="562">
        <v>1151874</v>
      </c>
    </row>
    <row r="110" spans="1:29" s="1111" customFormat="1" ht="12" customHeight="1">
      <c r="A110" s="1451">
        <v>101</v>
      </c>
      <c r="B110" s="2372" t="s">
        <v>1021</v>
      </c>
      <c r="C110" s="1480">
        <v>163</v>
      </c>
      <c r="D110" s="1458">
        <v>130</v>
      </c>
      <c r="E110" s="1458">
        <v>130</v>
      </c>
      <c r="F110" s="1458">
        <v>130</v>
      </c>
      <c r="G110" s="1458">
        <v>130</v>
      </c>
      <c r="H110" s="1458">
        <v>163</v>
      </c>
      <c r="I110" s="1793">
        <v>163</v>
      </c>
      <c r="J110" s="1459">
        <v>163</v>
      </c>
      <c r="K110" s="1459">
        <v>110</v>
      </c>
      <c r="L110" s="1459">
        <v>110</v>
      </c>
      <c r="M110" s="1459">
        <v>110</v>
      </c>
      <c r="N110" s="1459">
        <v>163</v>
      </c>
      <c r="O110" s="1459">
        <v>163</v>
      </c>
      <c r="P110" s="1459">
        <v>110</v>
      </c>
      <c r="Q110" s="1459">
        <v>110</v>
      </c>
      <c r="R110" s="1459">
        <v>110</v>
      </c>
      <c r="S110" s="1459">
        <v>163</v>
      </c>
      <c r="T110" s="1459">
        <v>163</v>
      </c>
      <c r="U110" s="1459"/>
      <c r="V110" s="1459">
        <v>163</v>
      </c>
      <c r="W110" s="1459">
        <v>163</v>
      </c>
      <c r="X110" s="1459">
        <v>163</v>
      </c>
      <c r="Y110" s="1459">
        <v>163</v>
      </c>
      <c r="Z110" s="1460">
        <v>130</v>
      </c>
      <c r="AA110" s="1459">
        <v>130</v>
      </c>
      <c r="AB110" s="1461">
        <v>130</v>
      </c>
      <c r="AC110" s="3202">
        <v>3566045</v>
      </c>
    </row>
    <row r="111" spans="1:29" s="1111" customFormat="1" ht="12" customHeight="1">
      <c r="A111" s="1456">
        <v>102</v>
      </c>
      <c r="B111" s="2373" t="s">
        <v>1016</v>
      </c>
      <c r="C111" s="1481"/>
      <c r="D111" s="1463"/>
      <c r="E111" s="1463"/>
      <c r="F111" s="1463"/>
      <c r="G111" s="1463"/>
      <c r="H111" s="1463"/>
      <c r="I111" s="1793"/>
      <c r="J111" s="1464"/>
      <c r="K111" s="1464">
        <v>1</v>
      </c>
      <c r="L111" s="1464">
        <v>2</v>
      </c>
      <c r="M111" s="1464">
        <v>2</v>
      </c>
      <c r="N111" s="1464">
        <v>2</v>
      </c>
      <c r="O111" s="1464">
        <v>2</v>
      </c>
      <c r="P111" s="1464">
        <v>2</v>
      </c>
      <c r="Q111" s="1464">
        <v>1</v>
      </c>
      <c r="R111" s="1464">
        <v>1</v>
      </c>
      <c r="S111" s="1464">
        <v>0</v>
      </c>
      <c r="T111" s="1464"/>
      <c r="U111" s="1464"/>
      <c r="V111" s="1464"/>
      <c r="W111" s="1464"/>
      <c r="X111" s="1464"/>
      <c r="Y111" s="1464"/>
      <c r="Z111" s="1465"/>
      <c r="AA111" s="1464"/>
      <c r="AB111" s="1466"/>
      <c r="AC111" s="3203">
        <v>11900</v>
      </c>
    </row>
    <row r="112" spans="1:29" s="1111" customFormat="1" ht="12" customHeight="1">
      <c r="A112" s="1451">
        <v>103</v>
      </c>
      <c r="B112" s="2374" t="s">
        <v>1090</v>
      </c>
      <c r="C112" s="1482">
        <v>35</v>
      </c>
      <c r="D112" s="1468">
        <v>35</v>
      </c>
      <c r="E112" s="1468">
        <v>35</v>
      </c>
      <c r="F112" s="1468">
        <v>35</v>
      </c>
      <c r="G112" s="1468">
        <v>35</v>
      </c>
      <c r="H112" s="1468">
        <v>35</v>
      </c>
      <c r="I112" s="1793">
        <v>35</v>
      </c>
      <c r="J112" s="1469">
        <v>35</v>
      </c>
      <c r="K112" s="1469">
        <v>35</v>
      </c>
      <c r="L112" s="1469">
        <v>35</v>
      </c>
      <c r="M112" s="1469">
        <v>35</v>
      </c>
      <c r="N112" s="1469">
        <v>35</v>
      </c>
      <c r="O112" s="1469">
        <v>35</v>
      </c>
      <c r="P112" s="1469">
        <v>35</v>
      </c>
      <c r="Q112" s="1469">
        <v>35</v>
      </c>
      <c r="R112" s="1469">
        <v>35</v>
      </c>
      <c r="S112" s="1469">
        <v>35</v>
      </c>
      <c r="T112" s="1469">
        <v>35</v>
      </c>
      <c r="U112" s="1469"/>
      <c r="V112" s="1469">
        <v>35</v>
      </c>
      <c r="W112" s="1469">
        <v>35</v>
      </c>
      <c r="X112" s="1469">
        <v>35</v>
      </c>
      <c r="Y112" s="1469">
        <v>35</v>
      </c>
      <c r="Z112" s="1470">
        <v>35</v>
      </c>
      <c r="AA112" s="1469">
        <v>35</v>
      </c>
      <c r="AB112" s="1471">
        <v>35</v>
      </c>
      <c r="AC112" s="3204">
        <v>876600</v>
      </c>
    </row>
    <row r="113" spans="1:29" s="1111" customFormat="1" ht="12" customHeight="1">
      <c r="A113" s="1456">
        <v>104</v>
      </c>
      <c r="B113" s="2375" t="s">
        <v>1035</v>
      </c>
      <c r="C113" s="1472"/>
      <c r="D113" s="1473"/>
      <c r="E113" s="1473"/>
      <c r="F113" s="1473"/>
      <c r="G113" s="1473"/>
      <c r="H113" s="1473"/>
      <c r="I113" s="1794"/>
      <c r="J113" s="1473"/>
      <c r="K113" s="1473"/>
      <c r="L113" s="1473"/>
      <c r="M113" s="1473"/>
      <c r="N113" s="1473"/>
      <c r="O113" s="1473"/>
      <c r="P113" s="1473"/>
      <c r="Q113" s="1473"/>
      <c r="R113" s="1473"/>
      <c r="S113" s="1473"/>
      <c r="T113" s="1473">
        <v>51</v>
      </c>
      <c r="U113" s="1473"/>
      <c r="V113" s="1473"/>
      <c r="W113" s="1473"/>
      <c r="X113" s="1473"/>
      <c r="Y113" s="1473"/>
      <c r="Z113" s="1474"/>
      <c r="AA113" s="1473"/>
      <c r="AB113" s="1475"/>
      <c r="AC113" s="3205">
        <v>70596</v>
      </c>
    </row>
    <row r="114" spans="1:29" s="1111" customFormat="1" ht="12" customHeight="1">
      <c r="A114" s="1451">
        <v>105</v>
      </c>
      <c r="B114" s="2376" t="s">
        <v>1036</v>
      </c>
      <c r="C114" s="1476"/>
      <c r="D114" s="1477"/>
      <c r="E114" s="1477"/>
      <c r="F114" s="1477"/>
      <c r="G114" s="1477"/>
      <c r="H114" s="1477"/>
      <c r="I114" s="1796"/>
      <c r="J114" s="1477"/>
      <c r="K114" s="1477"/>
      <c r="L114" s="1477"/>
      <c r="M114" s="1477"/>
      <c r="N114" s="1477"/>
      <c r="O114" s="1477"/>
      <c r="P114" s="1477"/>
      <c r="Q114" s="1477"/>
      <c r="R114" s="1477"/>
      <c r="S114" s="1477"/>
      <c r="T114" s="1477">
        <v>25</v>
      </c>
      <c r="U114" s="1477"/>
      <c r="V114" s="1477">
        <v>25</v>
      </c>
      <c r="W114" s="1477"/>
      <c r="X114" s="1477"/>
      <c r="Y114" s="1477"/>
      <c r="Z114" s="1478"/>
      <c r="AA114" s="1477"/>
      <c r="AB114" s="1479"/>
      <c r="AC114" s="3207">
        <v>40738</v>
      </c>
    </row>
    <row r="115" spans="1:29" s="1111" customFormat="1" ht="12" customHeight="1">
      <c r="A115" s="1456">
        <v>106</v>
      </c>
      <c r="B115" s="2372" t="s">
        <v>1099</v>
      </c>
      <c r="C115" s="1487">
        <v>193</v>
      </c>
      <c r="D115" s="1459">
        <v>170</v>
      </c>
      <c r="E115" s="1459">
        <v>140</v>
      </c>
      <c r="F115" s="1459">
        <v>140</v>
      </c>
      <c r="G115" s="1459">
        <v>140</v>
      </c>
      <c r="H115" s="1459">
        <v>140</v>
      </c>
      <c r="I115" s="1798">
        <v>160</v>
      </c>
      <c r="J115" s="1459">
        <v>165</v>
      </c>
      <c r="K115" s="1459">
        <v>180</v>
      </c>
      <c r="L115" s="1459">
        <v>160</v>
      </c>
      <c r="M115" s="1459">
        <v>160</v>
      </c>
      <c r="N115" s="1459">
        <v>171</v>
      </c>
      <c r="O115" s="1459">
        <v>172</v>
      </c>
      <c r="P115" s="1459">
        <v>182</v>
      </c>
      <c r="Q115" s="1459">
        <v>150</v>
      </c>
      <c r="R115" s="1459">
        <v>130</v>
      </c>
      <c r="S115" s="1459">
        <v>136</v>
      </c>
      <c r="T115" s="1459">
        <v>183</v>
      </c>
      <c r="U115" s="1459"/>
      <c r="V115" s="1459">
        <v>183</v>
      </c>
      <c r="W115" s="1459">
        <v>183</v>
      </c>
      <c r="X115" s="1459">
        <v>183</v>
      </c>
      <c r="Y115" s="1459">
        <v>183</v>
      </c>
      <c r="Z115" s="1460">
        <v>183</v>
      </c>
      <c r="AA115" s="1459">
        <v>200</v>
      </c>
      <c r="AB115" s="1461">
        <v>200</v>
      </c>
      <c r="AC115" s="3209">
        <v>4092000</v>
      </c>
    </row>
    <row r="116" spans="1:29" s="1111" customFormat="1" ht="12" customHeight="1">
      <c r="A116" s="1456">
        <v>112</v>
      </c>
      <c r="B116" s="2373" t="s">
        <v>1037</v>
      </c>
      <c r="C116" s="1493"/>
      <c r="D116" s="1494"/>
      <c r="E116" s="1494"/>
      <c r="F116" s="1494"/>
      <c r="G116" s="1494"/>
      <c r="H116" s="1494"/>
      <c r="I116" s="1800"/>
      <c r="J116" s="1495"/>
      <c r="K116" s="1495"/>
      <c r="L116" s="1495"/>
      <c r="M116" s="1495"/>
      <c r="N116" s="1495"/>
      <c r="O116" s="1495"/>
      <c r="P116" s="1495"/>
      <c r="Q116" s="1495"/>
      <c r="R116" s="1495"/>
      <c r="S116" s="1495"/>
      <c r="T116" s="1495">
        <v>35</v>
      </c>
      <c r="U116" s="1495"/>
      <c r="V116" s="1495">
        <v>25</v>
      </c>
      <c r="W116" s="1495"/>
      <c r="X116" s="1495"/>
      <c r="Y116" s="1495"/>
      <c r="Z116" s="1496"/>
      <c r="AA116" s="1495"/>
      <c r="AB116" s="1497"/>
      <c r="AC116" s="3212">
        <v>52983</v>
      </c>
    </row>
    <row r="117" spans="1:29" s="1111" customFormat="1" ht="12" customHeight="1">
      <c r="A117" s="1456">
        <v>114</v>
      </c>
      <c r="B117" s="2375" t="s">
        <v>1038</v>
      </c>
      <c r="C117" s="1505">
        <v>89</v>
      </c>
      <c r="D117" s="1506">
        <v>58</v>
      </c>
      <c r="E117" s="1506"/>
      <c r="F117" s="1506"/>
      <c r="G117" s="1506"/>
      <c r="H117" s="1506"/>
      <c r="I117" s="1803"/>
      <c r="J117" s="1473">
        <v>7</v>
      </c>
      <c r="K117" s="1473">
        <v>17</v>
      </c>
      <c r="L117" s="1473">
        <v>17</v>
      </c>
      <c r="M117" s="1473">
        <v>17</v>
      </c>
      <c r="N117" s="1473">
        <v>33</v>
      </c>
      <c r="O117" s="1473">
        <v>112</v>
      </c>
      <c r="P117" s="1473">
        <v>70</v>
      </c>
      <c r="Q117" s="1473">
        <v>20</v>
      </c>
      <c r="R117" s="1473">
        <v>17</v>
      </c>
      <c r="S117" s="1473">
        <v>17</v>
      </c>
      <c r="T117" s="1473">
        <v>49</v>
      </c>
      <c r="U117" s="1473"/>
      <c r="V117" s="1473">
        <v>70</v>
      </c>
      <c r="W117" s="1473">
        <v>70</v>
      </c>
      <c r="X117" s="1473">
        <v>70</v>
      </c>
      <c r="Y117" s="1473"/>
      <c r="Z117" s="1474"/>
      <c r="AA117" s="1473"/>
      <c r="AB117" s="1475"/>
      <c r="AC117" s="3216">
        <v>745488</v>
      </c>
    </row>
    <row r="118" spans="1:29" s="1111" customFormat="1" ht="12" customHeight="1">
      <c r="A118" s="1451">
        <v>115</v>
      </c>
      <c r="B118" s="2376" t="s">
        <v>1040</v>
      </c>
      <c r="C118" s="1476">
        <v>90</v>
      </c>
      <c r="D118" s="1477">
        <v>76</v>
      </c>
      <c r="E118" s="1477">
        <v>76</v>
      </c>
      <c r="F118" s="1477">
        <v>76</v>
      </c>
      <c r="G118" s="1477">
        <v>76</v>
      </c>
      <c r="H118" s="1477">
        <v>76</v>
      </c>
      <c r="I118" s="1796">
        <v>90</v>
      </c>
      <c r="J118" s="1477">
        <v>90</v>
      </c>
      <c r="K118" s="1477">
        <v>90</v>
      </c>
      <c r="L118" s="1477">
        <v>90</v>
      </c>
      <c r="M118" s="1477">
        <v>90</v>
      </c>
      <c r="N118" s="1477">
        <v>90</v>
      </c>
      <c r="O118" s="1477">
        <v>90</v>
      </c>
      <c r="P118" s="1477">
        <v>90</v>
      </c>
      <c r="Q118" s="1477">
        <v>90</v>
      </c>
      <c r="R118" s="1477">
        <v>90</v>
      </c>
      <c r="S118" s="1477">
        <v>90</v>
      </c>
      <c r="T118" s="1477">
        <v>90</v>
      </c>
      <c r="U118" s="1477"/>
      <c r="V118" s="1477">
        <v>90</v>
      </c>
      <c r="W118" s="1477">
        <v>90</v>
      </c>
      <c r="X118" s="1477">
        <v>90</v>
      </c>
      <c r="Y118" s="1477">
        <v>90</v>
      </c>
      <c r="Z118" s="1478">
        <v>90</v>
      </c>
      <c r="AA118" s="1477">
        <v>90</v>
      </c>
      <c r="AB118" s="1479">
        <v>90</v>
      </c>
      <c r="AC118" s="3421">
        <v>2079360</v>
      </c>
    </row>
    <row r="119" spans="1:29" s="1111" customFormat="1" ht="12" customHeight="1">
      <c r="A119" s="1456">
        <v>116</v>
      </c>
      <c r="B119" s="2372" t="s">
        <v>1041</v>
      </c>
      <c r="C119" s="1487"/>
      <c r="D119" s="1459"/>
      <c r="E119" s="1459"/>
      <c r="F119" s="1459"/>
      <c r="G119" s="1459"/>
      <c r="H119" s="1459"/>
      <c r="I119" s="1798"/>
      <c r="J119" s="1459"/>
      <c r="K119" s="1459"/>
      <c r="L119" s="1459"/>
      <c r="M119" s="1459"/>
      <c r="N119" s="1459">
        <v>2</v>
      </c>
      <c r="O119" s="1459">
        <v>24</v>
      </c>
      <c r="P119" s="1459">
        <v>36</v>
      </c>
      <c r="Q119" s="1459">
        <v>36</v>
      </c>
      <c r="R119" s="1459">
        <v>36</v>
      </c>
      <c r="S119" s="1459">
        <v>36</v>
      </c>
      <c r="T119" s="1459">
        <v>36</v>
      </c>
      <c r="U119" s="1459"/>
      <c r="V119" s="1459">
        <v>63</v>
      </c>
      <c r="W119" s="1459">
        <v>100</v>
      </c>
      <c r="X119" s="1459">
        <v>100</v>
      </c>
      <c r="Y119" s="1459">
        <v>68</v>
      </c>
      <c r="Z119" s="1460">
        <v>17</v>
      </c>
      <c r="AA119" s="1459"/>
      <c r="AB119" s="1461"/>
      <c r="AC119" s="3209">
        <v>493440</v>
      </c>
    </row>
    <row r="120" spans="1:29" s="1111" customFormat="1" ht="12" customHeight="1">
      <c r="A120" s="1451">
        <v>117</v>
      </c>
      <c r="B120" s="2373" t="s">
        <v>1042</v>
      </c>
      <c r="C120" s="1493">
        <v>138</v>
      </c>
      <c r="D120" s="1494">
        <v>142</v>
      </c>
      <c r="E120" s="1494">
        <v>142</v>
      </c>
      <c r="F120" s="1494">
        <v>137</v>
      </c>
      <c r="G120" s="1494">
        <v>145</v>
      </c>
      <c r="H120" s="1494">
        <v>147</v>
      </c>
      <c r="I120" s="1800">
        <v>147</v>
      </c>
      <c r="J120" s="1495">
        <v>143</v>
      </c>
      <c r="K120" s="1495">
        <v>140</v>
      </c>
      <c r="L120" s="1495">
        <v>143</v>
      </c>
      <c r="M120" s="1495">
        <v>143</v>
      </c>
      <c r="N120" s="1495">
        <v>135</v>
      </c>
      <c r="O120" s="1495">
        <v>140</v>
      </c>
      <c r="P120" s="1495">
        <v>137</v>
      </c>
      <c r="Q120" s="1495">
        <v>140</v>
      </c>
      <c r="R120" s="1495">
        <v>130</v>
      </c>
      <c r="S120" s="1495">
        <v>137</v>
      </c>
      <c r="T120" s="1495">
        <v>143</v>
      </c>
      <c r="U120" s="1495"/>
      <c r="V120" s="1495">
        <v>140</v>
      </c>
      <c r="W120" s="1495">
        <v>142</v>
      </c>
      <c r="X120" s="1495">
        <v>142</v>
      </c>
      <c r="Y120" s="1495">
        <v>147</v>
      </c>
      <c r="Z120" s="1496">
        <v>142</v>
      </c>
      <c r="AA120" s="1495">
        <v>138</v>
      </c>
      <c r="AB120" s="1497">
        <v>146</v>
      </c>
      <c r="AC120" s="3212">
        <v>3400654</v>
      </c>
    </row>
    <row r="121" spans="1:29" s="1114" customFormat="1" ht="16.5" customHeight="1">
      <c r="A121" s="1456">
        <v>118</v>
      </c>
      <c r="B121" s="2369" t="s">
        <v>1157</v>
      </c>
      <c r="C121" s="1587"/>
      <c r="D121" s="1588"/>
      <c r="E121" s="1588"/>
      <c r="F121" s="1588"/>
      <c r="G121" s="1588"/>
      <c r="H121" s="1588"/>
      <c r="I121" s="1805"/>
      <c r="J121" s="1589"/>
      <c r="K121" s="1589"/>
      <c r="L121" s="1589"/>
      <c r="M121" s="1589"/>
      <c r="N121" s="1589"/>
      <c r="O121" s="1589"/>
      <c r="P121" s="1589"/>
      <c r="Q121" s="1589"/>
      <c r="R121" s="1589"/>
      <c r="S121" s="1589"/>
      <c r="T121" s="1589"/>
      <c r="U121" s="1589"/>
      <c r="V121" s="1589"/>
      <c r="W121" s="1589"/>
      <c r="X121" s="1589"/>
      <c r="Y121" s="1589"/>
      <c r="Z121" s="1590"/>
      <c r="AA121" s="1589"/>
      <c r="AB121" s="1591"/>
      <c r="AC121" s="3217"/>
    </row>
    <row r="122" spans="1:29" s="1114" customFormat="1" ht="16.5" customHeight="1">
      <c r="A122" s="1456"/>
      <c r="B122" s="2377" t="s">
        <v>1043</v>
      </c>
      <c r="C122" s="1692">
        <v>24</v>
      </c>
      <c r="D122" s="1692"/>
      <c r="E122" s="1692"/>
      <c r="F122" s="1692"/>
      <c r="G122" s="1692"/>
      <c r="H122" s="1692"/>
      <c r="I122" s="1806"/>
      <c r="J122" s="1692">
        <v>16</v>
      </c>
      <c r="K122" s="1692">
        <v>24</v>
      </c>
      <c r="L122" s="1692">
        <v>24</v>
      </c>
      <c r="M122" s="1692">
        <v>24</v>
      </c>
      <c r="N122" s="1692">
        <v>50</v>
      </c>
      <c r="O122" s="1692">
        <v>83</v>
      </c>
      <c r="P122" s="1692">
        <v>25</v>
      </c>
      <c r="Q122" s="1692">
        <v>8</v>
      </c>
      <c r="R122" s="1692">
        <v>8</v>
      </c>
      <c r="S122" s="1692">
        <v>10</v>
      </c>
      <c r="T122" s="1692">
        <v>47</v>
      </c>
      <c r="U122" s="1692"/>
      <c r="V122" s="1692">
        <v>100</v>
      </c>
      <c r="W122" s="1692">
        <v>112</v>
      </c>
      <c r="X122" s="1692">
        <v>112</v>
      </c>
      <c r="Y122" s="1692">
        <v>85</v>
      </c>
      <c r="Z122" s="1693">
        <v>85</v>
      </c>
      <c r="AA122" s="1692">
        <v>55</v>
      </c>
      <c r="AB122" s="1692">
        <v>25</v>
      </c>
      <c r="AC122" s="3218">
        <v>913200</v>
      </c>
    </row>
    <row r="123" spans="1:29" s="1114" customFormat="1" ht="16.5" customHeight="1">
      <c r="A123" s="1456"/>
      <c r="B123" s="2377" t="s">
        <v>1047</v>
      </c>
      <c r="C123" s="1692"/>
      <c r="D123" s="1692"/>
      <c r="E123" s="1692"/>
      <c r="F123" s="1692"/>
      <c r="G123" s="1692"/>
      <c r="H123" s="1692"/>
      <c r="I123" s="1806"/>
      <c r="J123" s="1692">
        <v>15</v>
      </c>
      <c r="K123" s="1692">
        <v>25</v>
      </c>
      <c r="L123" s="1692">
        <v>30</v>
      </c>
      <c r="M123" s="1692">
        <v>30</v>
      </c>
      <c r="N123" s="1692">
        <v>40</v>
      </c>
      <c r="O123" s="1692">
        <v>90</v>
      </c>
      <c r="P123" s="1692">
        <v>30</v>
      </c>
      <c r="Q123" s="1692">
        <v>30</v>
      </c>
      <c r="R123" s="1692">
        <v>30</v>
      </c>
      <c r="S123" s="1692">
        <v>30</v>
      </c>
      <c r="T123" s="1692">
        <v>38</v>
      </c>
      <c r="U123" s="1692"/>
      <c r="V123" s="1692">
        <v>65</v>
      </c>
      <c r="W123" s="1692">
        <v>65</v>
      </c>
      <c r="X123" s="1692">
        <v>30</v>
      </c>
      <c r="Y123" s="1692">
        <v>15</v>
      </c>
      <c r="Z123" s="1693"/>
      <c r="AA123" s="1692"/>
      <c r="AB123" s="1692"/>
      <c r="AC123" s="3218">
        <v>647345</v>
      </c>
    </row>
    <row r="124" spans="1:29" s="1114" customFormat="1" ht="16.5" customHeight="1">
      <c r="A124" s="1456"/>
      <c r="B124" s="2377" t="s">
        <v>1246</v>
      </c>
      <c r="C124" s="1692">
        <v>20</v>
      </c>
      <c r="D124" s="1692">
        <v>20</v>
      </c>
      <c r="E124" s="1692">
        <v>20</v>
      </c>
      <c r="F124" s="1692">
        <v>20</v>
      </c>
      <c r="G124" s="1692">
        <v>20</v>
      </c>
      <c r="H124" s="1692">
        <v>20</v>
      </c>
      <c r="I124" s="1806">
        <v>40</v>
      </c>
      <c r="J124" s="1692">
        <v>100</v>
      </c>
      <c r="K124" s="1692">
        <v>100</v>
      </c>
      <c r="L124" s="1692">
        <v>100</v>
      </c>
      <c r="M124" s="1692">
        <v>100</v>
      </c>
      <c r="N124" s="1692">
        <v>100</v>
      </c>
      <c r="O124" s="1692">
        <v>100</v>
      </c>
      <c r="P124" s="1692">
        <v>100</v>
      </c>
      <c r="Q124" s="1692">
        <v>70</v>
      </c>
      <c r="R124" s="1692">
        <v>50</v>
      </c>
      <c r="S124" s="1692">
        <v>50</v>
      </c>
      <c r="T124" s="1692">
        <v>60</v>
      </c>
      <c r="U124" s="1692"/>
      <c r="V124" s="1692">
        <v>90</v>
      </c>
      <c r="W124" s="1692">
        <v>90</v>
      </c>
      <c r="X124" s="1692">
        <v>100</v>
      </c>
      <c r="Y124" s="1692">
        <v>100</v>
      </c>
      <c r="Z124" s="1693">
        <v>70</v>
      </c>
      <c r="AA124" s="1692">
        <v>50</v>
      </c>
      <c r="AB124" s="1692">
        <v>50</v>
      </c>
      <c r="AC124" s="3218">
        <v>1582080</v>
      </c>
    </row>
    <row r="125" spans="1:29" s="1114" customFormat="1" ht="16.5" customHeight="1">
      <c r="A125" s="1456"/>
      <c r="B125" s="2377" t="s">
        <v>1287</v>
      </c>
      <c r="C125" s="1692">
        <v>116</v>
      </c>
      <c r="D125" s="1692">
        <v>116</v>
      </c>
      <c r="E125" s="1692">
        <v>116</v>
      </c>
      <c r="F125" s="1692">
        <v>88</v>
      </c>
      <c r="G125" s="1692">
        <v>88</v>
      </c>
      <c r="H125" s="1692">
        <v>88</v>
      </c>
      <c r="I125" s="1806">
        <v>95</v>
      </c>
      <c r="J125" s="1692">
        <v>98</v>
      </c>
      <c r="K125" s="1692">
        <v>99</v>
      </c>
      <c r="L125" s="1692">
        <v>105</v>
      </c>
      <c r="M125" s="1692">
        <v>116</v>
      </c>
      <c r="N125" s="1692">
        <v>116</v>
      </c>
      <c r="O125" s="1692">
        <v>116</v>
      </c>
      <c r="P125" s="1692">
        <v>116</v>
      </c>
      <c r="Q125" s="1692">
        <v>116</v>
      </c>
      <c r="R125" s="1692">
        <v>116</v>
      </c>
      <c r="S125" s="1692">
        <v>116</v>
      </c>
      <c r="T125" s="1692">
        <v>116</v>
      </c>
      <c r="U125" s="1692"/>
      <c r="V125" s="1692">
        <v>116</v>
      </c>
      <c r="W125" s="1692">
        <v>116</v>
      </c>
      <c r="X125" s="1692">
        <v>116</v>
      </c>
      <c r="Y125" s="1692">
        <v>116</v>
      </c>
      <c r="Z125" s="1693">
        <v>116</v>
      </c>
      <c r="AA125" s="1692">
        <v>116</v>
      </c>
      <c r="AB125" s="1692">
        <v>116</v>
      </c>
      <c r="AC125" s="3218">
        <v>2655873</v>
      </c>
    </row>
    <row r="126" spans="1:29" s="1114" customFormat="1" ht="16.5" customHeight="1">
      <c r="A126" s="1456"/>
      <c r="B126" s="2377" t="s">
        <v>1316</v>
      </c>
      <c r="C126" s="1692">
        <v>17</v>
      </c>
      <c r="D126" s="1692">
        <v>17</v>
      </c>
      <c r="E126" s="1692">
        <v>17</v>
      </c>
      <c r="F126" s="1692">
        <v>17</v>
      </c>
      <c r="G126" s="1692">
        <v>17</v>
      </c>
      <c r="H126" s="1692">
        <v>17</v>
      </c>
      <c r="I126" s="1806">
        <v>17</v>
      </c>
      <c r="J126" s="1692">
        <v>17</v>
      </c>
      <c r="K126" s="1692">
        <v>17</v>
      </c>
      <c r="L126" s="1692">
        <v>17</v>
      </c>
      <c r="M126" s="1692">
        <v>12</v>
      </c>
      <c r="N126" s="1692">
        <v>17</v>
      </c>
      <c r="O126" s="1692">
        <v>17</v>
      </c>
      <c r="P126" s="1692">
        <v>17</v>
      </c>
      <c r="Q126" s="1692">
        <v>17</v>
      </c>
      <c r="R126" s="1692">
        <v>17</v>
      </c>
      <c r="S126" s="1692">
        <v>17</v>
      </c>
      <c r="T126" s="1692">
        <v>17</v>
      </c>
      <c r="U126" s="1692"/>
      <c r="V126" s="1692">
        <v>17</v>
      </c>
      <c r="W126" s="1692">
        <v>17</v>
      </c>
      <c r="X126" s="1692">
        <v>17</v>
      </c>
      <c r="Y126" s="1692">
        <v>17</v>
      </c>
      <c r="Z126" s="1693">
        <v>17</v>
      </c>
      <c r="AA126" s="1692">
        <v>17</v>
      </c>
      <c r="AB126" s="1692">
        <v>17</v>
      </c>
      <c r="AC126" s="3218">
        <v>439920</v>
      </c>
    </row>
    <row r="127" spans="1:29" s="1114" customFormat="1" ht="16.5" customHeight="1">
      <c r="A127" s="1456"/>
      <c r="B127" s="2377" t="s">
        <v>1318</v>
      </c>
      <c r="C127" s="1692"/>
      <c r="D127" s="1692"/>
      <c r="E127" s="1692"/>
      <c r="F127" s="1692"/>
      <c r="G127" s="1692"/>
      <c r="H127" s="1692"/>
      <c r="I127" s="1806">
        <v>1</v>
      </c>
      <c r="J127" s="1692">
        <v>7</v>
      </c>
      <c r="K127" s="1692">
        <v>16</v>
      </c>
      <c r="L127" s="1692">
        <v>23</v>
      </c>
      <c r="M127" s="1692">
        <v>27</v>
      </c>
      <c r="N127" s="1692">
        <v>25</v>
      </c>
      <c r="O127" s="1692">
        <v>28</v>
      </c>
      <c r="P127" s="1692">
        <v>26</v>
      </c>
      <c r="Q127" s="1692">
        <v>17</v>
      </c>
      <c r="R127" s="1692">
        <v>8</v>
      </c>
      <c r="S127" s="1692">
        <v>2</v>
      </c>
      <c r="T127" s="1692"/>
      <c r="U127" s="1692"/>
      <c r="V127" s="1692"/>
      <c r="W127" s="1692"/>
      <c r="X127" s="1692"/>
      <c r="Y127" s="1692"/>
      <c r="Z127" s="1693"/>
      <c r="AA127" s="1692"/>
      <c r="AB127" s="1692"/>
      <c r="AC127" s="3218">
        <v>180071</v>
      </c>
    </row>
    <row r="128" spans="1:29" s="1114" customFormat="1" ht="16.5" customHeight="1">
      <c r="A128" s="1456"/>
      <c r="B128" s="2377" t="s">
        <v>1453</v>
      </c>
      <c r="C128" s="1692"/>
      <c r="D128" s="1692"/>
      <c r="E128" s="1692"/>
      <c r="F128" s="1692"/>
      <c r="G128" s="1692"/>
      <c r="H128" s="1692"/>
      <c r="I128" s="1806"/>
      <c r="J128" s="1692"/>
      <c r="K128" s="1692"/>
      <c r="L128" s="1692"/>
      <c r="M128" s="1692"/>
      <c r="N128" s="1692"/>
      <c r="O128" s="1692"/>
      <c r="P128" s="1692"/>
      <c r="Q128" s="1692"/>
      <c r="R128" s="1692"/>
      <c r="S128" s="1692"/>
      <c r="T128" s="1692"/>
      <c r="U128" s="1692"/>
      <c r="V128" s="1692"/>
      <c r="W128" s="1692"/>
      <c r="X128" s="1692"/>
      <c r="Y128" s="1692"/>
      <c r="Z128" s="1693"/>
      <c r="AA128" s="1692"/>
      <c r="AB128" s="1692"/>
      <c r="AC128" s="3218">
        <v>0</v>
      </c>
    </row>
    <row r="129" spans="1:33" s="1114" customFormat="1" ht="16.5" customHeight="1" thickBot="1">
      <c r="A129" s="1456"/>
      <c r="B129" s="2377" t="s">
        <v>1456</v>
      </c>
      <c r="C129" s="1692">
        <v>17</v>
      </c>
      <c r="D129" s="1692"/>
      <c r="E129" s="1692"/>
      <c r="F129" s="1692"/>
      <c r="G129" s="1692"/>
      <c r="H129" s="1692"/>
      <c r="I129" s="1806"/>
      <c r="J129" s="1692"/>
      <c r="K129" s="1692"/>
      <c r="L129" s="1692"/>
      <c r="M129" s="1692"/>
      <c r="N129" s="1692"/>
      <c r="O129" s="1692"/>
      <c r="P129" s="1692"/>
      <c r="Q129" s="1692"/>
      <c r="R129" s="1692"/>
      <c r="S129" s="1692"/>
      <c r="T129" s="1692">
        <v>9</v>
      </c>
      <c r="U129" s="1692"/>
      <c r="V129" s="1692">
        <v>55</v>
      </c>
      <c r="W129" s="1692">
        <v>55</v>
      </c>
      <c r="X129" s="1692">
        <v>55</v>
      </c>
      <c r="Y129" s="1692">
        <v>55</v>
      </c>
      <c r="Z129" s="1693">
        <v>55</v>
      </c>
      <c r="AA129" s="1692">
        <v>55</v>
      </c>
      <c r="AB129" s="1692">
        <v>55</v>
      </c>
      <c r="AC129" s="3218">
        <v>385200</v>
      </c>
    </row>
    <row r="130" spans="1:33" s="1111" customFormat="1" ht="12" customHeight="1" thickBot="1">
      <c r="A130" s="1456">
        <v>120</v>
      </c>
      <c r="B130" s="2378" t="s">
        <v>789</v>
      </c>
      <c r="C130" s="3219">
        <v>4907</v>
      </c>
      <c r="D130" s="3219">
        <v>4536</v>
      </c>
      <c r="E130" s="3219">
        <v>4347</v>
      </c>
      <c r="F130" s="3219">
        <v>4256</v>
      </c>
      <c r="G130" s="3219">
        <v>4184</v>
      </c>
      <c r="H130" s="3219">
        <v>4237</v>
      </c>
      <c r="I130" s="3219">
        <v>4201</v>
      </c>
      <c r="J130" s="3219">
        <v>4493</v>
      </c>
      <c r="K130" s="3219">
        <v>4597</v>
      </c>
      <c r="L130" s="3219">
        <v>4469</v>
      </c>
      <c r="M130" s="3219">
        <v>4504</v>
      </c>
      <c r="N130" s="3219">
        <v>4780</v>
      </c>
      <c r="O130" s="3219">
        <v>5156</v>
      </c>
      <c r="P130" s="3219">
        <v>4539</v>
      </c>
      <c r="Q130" s="3219">
        <v>4256</v>
      </c>
      <c r="R130" s="3219">
        <v>4212</v>
      </c>
      <c r="S130" s="3219">
        <v>4379</v>
      </c>
      <c r="T130" s="3219">
        <v>5119</v>
      </c>
      <c r="U130" s="3219"/>
      <c r="V130" s="3219">
        <v>5497</v>
      </c>
      <c r="W130" s="3219">
        <v>5443</v>
      </c>
      <c r="X130" s="3219">
        <v>5428</v>
      </c>
      <c r="Y130" s="3219">
        <v>5278</v>
      </c>
      <c r="Z130" s="3219">
        <v>5005</v>
      </c>
      <c r="AA130" s="3219">
        <v>4789</v>
      </c>
      <c r="AB130" s="3219">
        <v>4577</v>
      </c>
      <c r="AC130" s="3219">
        <v>115209037</v>
      </c>
      <c r="AF130" s="1627"/>
      <c r="AG130" s="1627">
        <f>SUM(AC3:AC127)</f>
        <v>114823837</v>
      </c>
    </row>
    <row r="131" spans="1:33" s="1111" customFormat="1" ht="12" customHeight="1">
      <c r="A131" s="1451">
        <v>121</v>
      </c>
      <c r="B131" s="2369"/>
      <c r="C131" s="1493"/>
      <c r="D131" s="1494"/>
      <c r="E131" s="1494"/>
      <c r="F131" s="1494"/>
      <c r="G131" s="1494"/>
      <c r="H131" s="1494"/>
      <c r="I131" s="1800"/>
      <c r="J131" s="1495"/>
      <c r="K131" s="1495"/>
      <c r="L131" s="1495"/>
      <c r="M131" s="1495"/>
      <c r="N131" s="1495"/>
      <c r="O131" s="1495"/>
      <c r="P131" s="1495"/>
      <c r="Q131" s="1495"/>
      <c r="R131" s="1495"/>
      <c r="S131" s="1495"/>
      <c r="T131" s="1495"/>
      <c r="U131" s="1495"/>
      <c r="V131" s="1495"/>
      <c r="W131" s="1495"/>
      <c r="X131" s="1495"/>
      <c r="Y131" s="1495"/>
      <c r="Z131" s="1496"/>
      <c r="AA131" s="1495"/>
      <c r="AB131" s="1497"/>
      <c r="AC131" s="3212"/>
    </row>
    <row r="132" spans="1:33" s="1111" customFormat="1" ht="12" customHeight="1">
      <c r="A132" s="1456">
        <v>122</v>
      </c>
      <c r="B132" s="2370"/>
      <c r="C132" s="1467"/>
      <c r="D132" s="1468"/>
      <c r="E132" s="1468"/>
      <c r="F132" s="1468"/>
      <c r="G132" s="1468"/>
      <c r="H132" s="1468"/>
      <c r="I132" s="1793"/>
      <c r="J132" s="1469"/>
      <c r="K132" s="1469"/>
      <c r="L132" s="1469"/>
      <c r="M132" s="1469"/>
      <c r="N132" s="1469"/>
      <c r="O132" s="1469"/>
      <c r="P132" s="1469"/>
      <c r="Q132" s="1469"/>
      <c r="R132" s="1469"/>
      <c r="S132" s="1469"/>
      <c r="T132" s="1469"/>
      <c r="U132" s="1469"/>
      <c r="V132" s="1469"/>
      <c r="W132" s="1469"/>
      <c r="X132" s="1469"/>
      <c r="Y132" s="1469"/>
      <c r="Z132" s="1470"/>
      <c r="AA132" s="1469"/>
      <c r="AB132" s="1471"/>
      <c r="AC132" s="3204"/>
    </row>
    <row r="133" spans="1:33" s="1111" customFormat="1" ht="12" customHeight="1">
      <c r="A133" s="1451">
        <v>123</v>
      </c>
      <c r="B133" s="2368" t="s">
        <v>265</v>
      </c>
      <c r="C133" s="1503"/>
      <c r="D133" s="1504"/>
      <c r="E133" s="1504"/>
      <c r="F133" s="1504"/>
      <c r="G133" s="1504"/>
      <c r="H133" s="1504"/>
      <c r="I133" s="1802"/>
      <c r="J133" s="1484"/>
      <c r="K133" s="1484"/>
      <c r="L133" s="1484"/>
      <c r="M133" s="1484"/>
      <c r="N133" s="1484"/>
      <c r="O133" s="1484"/>
      <c r="P133" s="1484"/>
      <c r="Q133" s="1484"/>
      <c r="R133" s="1484"/>
      <c r="S133" s="1484"/>
      <c r="T133" s="1484"/>
      <c r="U133" s="1484"/>
      <c r="V133" s="1484"/>
      <c r="W133" s="1484"/>
      <c r="X133" s="1484"/>
      <c r="Y133" s="1484"/>
      <c r="Z133" s="1485"/>
      <c r="AA133" s="1484"/>
      <c r="AB133" s="1486"/>
      <c r="AC133" s="3214"/>
    </row>
    <row r="134" spans="1:33" s="1111" customFormat="1" ht="12" customHeight="1">
      <c r="A134" s="1456">
        <v>124</v>
      </c>
      <c r="B134" s="2366" t="s">
        <v>1048</v>
      </c>
      <c r="C134" s="1476"/>
      <c r="D134" s="1477"/>
      <c r="E134" s="1477"/>
      <c r="F134" s="1477"/>
      <c r="G134" s="1477"/>
      <c r="H134" s="1477"/>
      <c r="I134" s="1796"/>
      <c r="J134" s="1477"/>
      <c r="K134" s="1477"/>
      <c r="L134" s="1477"/>
      <c r="M134" s="1477"/>
      <c r="N134" s="1477"/>
      <c r="O134" s="1477"/>
      <c r="P134" s="1477"/>
      <c r="Q134" s="1477"/>
      <c r="R134" s="1477"/>
      <c r="S134" s="1477"/>
      <c r="T134" s="1477"/>
      <c r="U134" s="1477"/>
      <c r="V134" s="1477"/>
      <c r="W134" s="1477"/>
      <c r="X134" s="1477"/>
      <c r="Y134" s="1477"/>
      <c r="Z134" s="1478"/>
      <c r="AA134" s="1477"/>
      <c r="AB134" s="1479"/>
      <c r="AC134" s="3207"/>
    </row>
    <row r="135" spans="1:33" s="1111" customFormat="1" ht="12" customHeight="1">
      <c r="A135" s="1451">
        <v>125</v>
      </c>
      <c r="B135" s="2367" t="s">
        <v>1049</v>
      </c>
      <c r="C135" s="1457"/>
      <c r="D135" s="1458"/>
      <c r="E135" s="1458"/>
      <c r="F135" s="1458"/>
      <c r="G135" s="1458"/>
      <c r="H135" s="1458"/>
      <c r="I135" s="1793"/>
      <c r="J135" s="1459"/>
      <c r="K135" s="1459"/>
      <c r="L135" s="1459"/>
      <c r="M135" s="1459"/>
      <c r="N135" s="1459"/>
      <c r="O135" s="1459"/>
      <c r="P135" s="1459"/>
      <c r="Q135" s="1459"/>
      <c r="R135" s="1459"/>
      <c r="S135" s="1459"/>
      <c r="T135" s="1459"/>
      <c r="U135" s="1459"/>
      <c r="V135" s="1459"/>
      <c r="W135" s="1459"/>
      <c r="X135" s="1459"/>
      <c r="Y135" s="1459"/>
      <c r="Z135" s="1460"/>
      <c r="AA135" s="1459"/>
      <c r="AB135" s="1461"/>
      <c r="AC135" s="3202"/>
    </row>
    <row r="136" spans="1:33" s="1111" customFormat="1" ht="12" customHeight="1">
      <c r="A136" s="1456">
        <v>126</v>
      </c>
      <c r="B136" s="2369"/>
      <c r="C136" s="1462"/>
      <c r="D136" s="1463"/>
      <c r="E136" s="1463"/>
      <c r="F136" s="1463"/>
      <c r="G136" s="1463"/>
      <c r="H136" s="1463"/>
      <c r="I136" s="1793"/>
      <c r="J136" s="1464"/>
      <c r="K136" s="1464"/>
      <c r="L136" s="1464"/>
      <c r="M136" s="1464"/>
      <c r="N136" s="1464"/>
      <c r="O136" s="1464"/>
      <c r="P136" s="1464"/>
      <c r="Q136" s="1464"/>
      <c r="R136" s="1464"/>
      <c r="S136" s="1464"/>
      <c r="T136" s="1464"/>
      <c r="U136" s="1464"/>
      <c r="V136" s="1464"/>
      <c r="W136" s="1464"/>
      <c r="X136" s="1464"/>
      <c r="Y136" s="1464"/>
      <c r="Z136" s="1465"/>
      <c r="AA136" s="1464"/>
      <c r="AB136" s="1466"/>
      <c r="AC136" s="3203"/>
    </row>
    <row r="137" spans="1:33" s="1111" customFormat="1" ht="12" customHeight="1">
      <c r="A137" s="1451">
        <v>127</v>
      </c>
      <c r="B137" s="2370" t="s">
        <v>911</v>
      </c>
      <c r="C137" s="1507"/>
      <c r="D137" s="1508"/>
      <c r="E137" s="1508"/>
      <c r="F137" s="1508"/>
      <c r="G137" s="1508"/>
      <c r="H137" s="1508"/>
      <c r="I137" s="1799"/>
      <c r="J137" s="1509"/>
      <c r="K137" s="1509"/>
      <c r="L137" s="1509"/>
      <c r="M137" s="1509"/>
      <c r="N137" s="1509"/>
      <c r="O137" s="1509"/>
      <c r="P137" s="1509"/>
      <c r="Q137" s="1509"/>
      <c r="R137" s="1509"/>
      <c r="S137" s="1509"/>
      <c r="T137" s="1509"/>
      <c r="U137" s="1509"/>
      <c r="V137" s="1509"/>
      <c r="W137" s="1509"/>
      <c r="X137" s="1509"/>
      <c r="Y137" s="1509"/>
      <c r="Z137" s="1510"/>
      <c r="AA137" s="1509"/>
      <c r="AB137" s="1511"/>
      <c r="AC137" s="3220"/>
    </row>
    <row r="138" spans="1:33" s="1111" customFormat="1" ht="12" customHeight="1">
      <c r="A138" s="1456">
        <v>128</v>
      </c>
      <c r="B138" s="2365" t="s">
        <v>1051</v>
      </c>
      <c r="C138" s="1512"/>
      <c r="D138" s="1513"/>
      <c r="E138" s="1513"/>
      <c r="F138" s="1513"/>
      <c r="G138" s="1513"/>
      <c r="H138" s="1513"/>
      <c r="I138" s="1807"/>
      <c r="J138" s="1513"/>
      <c r="K138" s="1513"/>
      <c r="L138" s="1513"/>
      <c r="M138" s="1513"/>
      <c r="N138" s="1513"/>
      <c r="O138" s="1513"/>
      <c r="P138" s="1513"/>
      <c r="Q138" s="1513"/>
      <c r="R138" s="1513">
        <v>6</v>
      </c>
      <c r="S138" s="1513">
        <v>6</v>
      </c>
      <c r="T138" s="1513">
        <v>22</v>
      </c>
      <c r="U138" s="1513"/>
      <c r="V138" s="1513">
        <v>34</v>
      </c>
      <c r="W138" s="1513">
        <v>34</v>
      </c>
      <c r="X138" s="1513">
        <v>10</v>
      </c>
      <c r="Y138" s="1513">
        <v>10</v>
      </c>
      <c r="Z138" s="1514">
        <v>10</v>
      </c>
      <c r="AA138" s="1513">
        <v>8</v>
      </c>
      <c r="AB138" s="1515">
        <v>8</v>
      </c>
      <c r="AC138" s="3221">
        <v>107520</v>
      </c>
    </row>
    <row r="139" spans="1:33" s="1111" customFormat="1" ht="12" customHeight="1">
      <c r="A139" s="1456"/>
      <c r="B139" s="2365" t="s">
        <v>1050</v>
      </c>
      <c r="C139" s="1644"/>
      <c r="D139" s="1645"/>
      <c r="E139" s="1645"/>
      <c r="F139" s="1645"/>
      <c r="G139" s="1645"/>
      <c r="H139" s="1645"/>
      <c r="I139" s="1808"/>
      <c r="J139" s="1645"/>
      <c r="K139" s="1645"/>
      <c r="L139" s="1645"/>
      <c r="M139" s="1645"/>
      <c r="N139" s="1645"/>
      <c r="O139" s="1645"/>
      <c r="P139" s="1645"/>
      <c r="Q139" s="1645"/>
      <c r="R139" s="1645"/>
      <c r="S139" s="1645"/>
      <c r="T139" s="1645"/>
      <c r="U139" s="1645"/>
      <c r="V139" s="1645"/>
      <c r="W139" s="1645"/>
      <c r="X139" s="1645"/>
      <c r="Y139" s="1645"/>
      <c r="Z139" s="1646"/>
      <c r="AA139" s="1645"/>
      <c r="AB139" s="1647"/>
      <c r="AC139" s="3222"/>
    </row>
    <row r="140" spans="1:33" s="1111" customFormat="1" ht="12" customHeight="1">
      <c r="A140" s="1451">
        <v>129</v>
      </c>
      <c r="B140" s="2366" t="s">
        <v>1083</v>
      </c>
      <c r="C140" s="1516">
        <v>17</v>
      </c>
      <c r="D140" s="1517"/>
      <c r="E140" s="1517"/>
      <c r="F140" s="1517"/>
      <c r="G140" s="1517"/>
      <c r="H140" s="1517"/>
      <c r="I140" s="1809"/>
      <c r="J140" s="1517">
        <v>6</v>
      </c>
      <c r="K140" s="1517">
        <v>17</v>
      </c>
      <c r="L140" s="1517">
        <v>17</v>
      </c>
      <c r="M140" s="1517">
        <v>17</v>
      </c>
      <c r="N140" s="1517">
        <v>17</v>
      </c>
      <c r="O140" s="1517">
        <v>31</v>
      </c>
      <c r="P140" s="1517">
        <v>17</v>
      </c>
      <c r="Q140" s="1517">
        <v>17</v>
      </c>
      <c r="R140" s="1517">
        <v>17</v>
      </c>
      <c r="S140" s="1517">
        <v>17</v>
      </c>
      <c r="T140" s="1517">
        <v>62</v>
      </c>
      <c r="U140" s="1517"/>
      <c r="V140" s="1517">
        <v>105</v>
      </c>
      <c r="W140" s="1517">
        <v>105</v>
      </c>
      <c r="X140" s="1517">
        <v>105</v>
      </c>
      <c r="Y140" s="1517">
        <v>105</v>
      </c>
      <c r="Z140" s="1518">
        <v>70</v>
      </c>
      <c r="AA140" s="1517">
        <v>35</v>
      </c>
      <c r="AB140" s="1519"/>
      <c r="AC140" s="3223">
        <v>791040</v>
      </c>
    </row>
    <row r="141" spans="1:33" s="1111" customFormat="1" ht="12" customHeight="1">
      <c r="A141" s="1456">
        <v>130</v>
      </c>
      <c r="B141" s="2367" t="s">
        <v>1467</v>
      </c>
      <c r="C141" s="1488"/>
      <c r="D141" s="1489"/>
      <c r="E141" s="1489"/>
      <c r="F141" s="1489"/>
      <c r="G141" s="1489"/>
      <c r="H141" s="1489"/>
      <c r="I141" s="1799"/>
      <c r="J141" s="1490">
        <v>16</v>
      </c>
      <c r="K141" s="1490">
        <v>38</v>
      </c>
      <c r="L141" s="1490">
        <v>54</v>
      </c>
      <c r="M141" s="1490">
        <v>67</v>
      </c>
      <c r="N141" s="1490">
        <v>72</v>
      </c>
      <c r="O141" s="1490">
        <v>69</v>
      </c>
      <c r="P141" s="1490">
        <v>58</v>
      </c>
      <c r="Q141" s="1490">
        <v>40</v>
      </c>
      <c r="R141" s="1490">
        <v>19</v>
      </c>
      <c r="S141" s="1490">
        <v>4</v>
      </c>
      <c r="T141" s="1490"/>
      <c r="U141" s="1490"/>
      <c r="V141" s="1490"/>
      <c r="W141" s="1490"/>
      <c r="X141" s="1490"/>
      <c r="Y141" s="1490"/>
      <c r="Z141" s="1491"/>
      <c r="AA141" s="1490"/>
      <c r="AB141" s="1492"/>
      <c r="AC141" s="3211">
        <v>445680</v>
      </c>
    </row>
    <row r="142" spans="1:33" s="1111" customFormat="1" ht="12" customHeight="1">
      <c r="A142" s="1451">
        <v>131</v>
      </c>
      <c r="B142" s="2369"/>
      <c r="C142" s="1520"/>
      <c r="D142" s="1521"/>
      <c r="E142" s="1521"/>
      <c r="F142" s="1521"/>
      <c r="G142" s="1521"/>
      <c r="H142" s="1521"/>
      <c r="I142" s="1799"/>
      <c r="J142" s="1522"/>
      <c r="K142" s="1522"/>
      <c r="L142" s="1522"/>
      <c r="M142" s="1522"/>
      <c r="N142" s="1522"/>
      <c r="O142" s="1522"/>
      <c r="P142" s="1522"/>
      <c r="Q142" s="1522"/>
      <c r="R142" s="1522"/>
      <c r="S142" s="1522"/>
      <c r="T142" s="1522"/>
      <c r="U142" s="1522"/>
      <c r="V142" s="1522"/>
      <c r="W142" s="1522"/>
      <c r="X142" s="1522"/>
      <c r="Y142" s="1522"/>
      <c r="Z142" s="1523"/>
      <c r="AA142" s="1522"/>
      <c r="AB142" s="1524"/>
      <c r="AC142" s="3224"/>
    </row>
    <row r="143" spans="1:33" s="1111" customFormat="1" ht="12" customHeight="1">
      <c r="A143" s="1456">
        <v>132</v>
      </c>
      <c r="B143" s="2370" t="s">
        <v>1290</v>
      </c>
      <c r="C143" s="1482"/>
      <c r="D143" s="1468"/>
      <c r="E143" s="1468"/>
      <c r="F143" s="1468"/>
      <c r="G143" s="1468"/>
      <c r="H143" s="1468"/>
      <c r="I143" s="1793"/>
      <c r="J143" s="1469"/>
      <c r="K143" s="1469"/>
      <c r="L143" s="1469"/>
      <c r="M143" s="1469"/>
      <c r="N143" s="1469"/>
      <c r="O143" s="1469"/>
      <c r="P143" s="1469"/>
      <c r="Q143" s="1469"/>
      <c r="R143" s="1469"/>
      <c r="S143" s="1469"/>
      <c r="T143" s="1469">
        <v>17</v>
      </c>
      <c r="U143" s="1469"/>
      <c r="V143" s="1469"/>
      <c r="W143" s="1469"/>
      <c r="X143" s="1469"/>
      <c r="Y143" s="1469"/>
      <c r="Z143" s="1470"/>
      <c r="AA143" s="1469"/>
      <c r="AB143" s="1471"/>
      <c r="AC143" s="3204">
        <v>42000</v>
      </c>
    </row>
    <row r="144" spans="1:33" s="1111" customFormat="1" ht="12" customHeight="1">
      <c r="A144" s="1451">
        <v>133</v>
      </c>
      <c r="B144" s="2368" t="s">
        <v>1281</v>
      </c>
      <c r="C144" s="1483">
        <v>220</v>
      </c>
      <c r="D144" s="1484">
        <v>220</v>
      </c>
      <c r="E144" s="1484">
        <v>220</v>
      </c>
      <c r="F144" s="1484">
        <v>218</v>
      </c>
      <c r="G144" s="1484">
        <v>180</v>
      </c>
      <c r="H144" s="1484">
        <v>220</v>
      </c>
      <c r="I144" s="1797">
        <v>220</v>
      </c>
      <c r="J144" s="1484">
        <v>220</v>
      </c>
      <c r="K144" s="1484">
        <v>178</v>
      </c>
      <c r="L144" s="1484">
        <v>190</v>
      </c>
      <c r="M144" s="1484">
        <v>194</v>
      </c>
      <c r="N144" s="1484">
        <v>194</v>
      </c>
      <c r="O144" s="1484">
        <v>195</v>
      </c>
      <c r="P144" s="1484">
        <v>220</v>
      </c>
      <c r="Q144" s="1484">
        <v>220</v>
      </c>
      <c r="R144" s="1484">
        <v>220</v>
      </c>
      <c r="S144" s="1484">
        <v>220</v>
      </c>
      <c r="T144" s="1484">
        <v>221</v>
      </c>
      <c r="U144" s="1484"/>
      <c r="V144" s="1484">
        <v>221</v>
      </c>
      <c r="W144" s="1484">
        <v>221</v>
      </c>
      <c r="X144" s="1484">
        <v>223</v>
      </c>
      <c r="Y144" s="1484">
        <v>224</v>
      </c>
      <c r="Z144" s="1485">
        <v>224</v>
      </c>
      <c r="AA144" s="1484">
        <v>223</v>
      </c>
      <c r="AB144" s="1486">
        <v>224</v>
      </c>
      <c r="AC144" s="3208">
        <v>5271224</v>
      </c>
    </row>
    <row r="145" spans="1:29" s="1111" customFormat="1" ht="12" customHeight="1">
      <c r="A145" s="1451"/>
      <c r="B145" s="2368" t="s">
        <v>1282</v>
      </c>
      <c r="C145" s="1483"/>
      <c r="D145" s="1484"/>
      <c r="E145" s="1484"/>
      <c r="F145" s="1484"/>
      <c r="G145" s="1484"/>
      <c r="H145" s="1484"/>
      <c r="I145" s="1797"/>
      <c r="J145" s="1484"/>
      <c r="K145" s="1484"/>
      <c r="L145" s="1484"/>
      <c r="M145" s="1484"/>
      <c r="N145" s="1484"/>
      <c r="O145" s="1484"/>
      <c r="P145" s="1484"/>
      <c r="Q145" s="1484"/>
      <c r="R145" s="1484"/>
      <c r="S145" s="1484"/>
      <c r="T145" s="1484"/>
      <c r="U145" s="1484"/>
      <c r="V145" s="1484"/>
      <c r="W145" s="1484"/>
      <c r="X145" s="1484"/>
      <c r="Y145" s="1484"/>
      <c r="Z145" s="1485"/>
      <c r="AA145" s="1484"/>
      <c r="AB145" s="1486"/>
      <c r="AC145" s="3208"/>
    </row>
    <row r="146" spans="1:29" s="1111" customFormat="1" ht="12" customHeight="1">
      <c r="A146" s="1456"/>
      <c r="B146" s="2368" t="s">
        <v>1055</v>
      </c>
      <c r="C146" s="1525">
        <v>16</v>
      </c>
      <c r="D146" s="1526">
        <v>16</v>
      </c>
      <c r="E146" s="1526">
        <v>16</v>
      </c>
      <c r="F146" s="1526"/>
      <c r="G146" s="1526"/>
      <c r="H146" s="1526"/>
      <c r="I146" s="1810"/>
      <c r="J146" s="1527"/>
      <c r="K146" s="1527"/>
      <c r="L146" s="1527"/>
      <c r="M146" s="1527"/>
      <c r="N146" s="1527"/>
      <c r="O146" s="1527"/>
      <c r="P146" s="1527"/>
      <c r="Q146" s="1527"/>
      <c r="R146" s="1527"/>
      <c r="S146" s="1527"/>
      <c r="T146" s="1527">
        <v>16</v>
      </c>
      <c r="U146" s="1527"/>
      <c r="V146" s="1527"/>
      <c r="W146" s="1527"/>
      <c r="X146" s="1527"/>
      <c r="Y146" s="1527"/>
      <c r="Z146" s="1528"/>
      <c r="AA146" s="1527"/>
      <c r="AB146" s="1529"/>
      <c r="AC146" s="3225">
        <v>68640</v>
      </c>
    </row>
    <row r="147" spans="1:29" s="1111" customFormat="1" ht="12" customHeight="1">
      <c r="A147" s="1456">
        <v>136</v>
      </c>
      <c r="B147" s="2369" t="s">
        <v>1056</v>
      </c>
      <c r="C147" s="1493"/>
      <c r="D147" s="1494"/>
      <c r="E147" s="1494"/>
      <c r="F147" s="1494"/>
      <c r="G147" s="1494"/>
      <c r="H147" s="1494"/>
      <c r="I147" s="1800"/>
      <c r="J147" s="1495"/>
      <c r="K147" s="1495"/>
      <c r="L147" s="1495"/>
      <c r="M147" s="1495"/>
      <c r="N147" s="1495"/>
      <c r="O147" s="1495"/>
      <c r="P147" s="1495"/>
      <c r="Q147" s="1495"/>
      <c r="R147" s="1495"/>
      <c r="S147" s="1495"/>
      <c r="T147" s="1495"/>
      <c r="U147" s="1495"/>
      <c r="V147" s="1495"/>
      <c r="W147" s="1495"/>
      <c r="X147" s="1495"/>
      <c r="Y147" s="1495"/>
      <c r="Z147" s="1496"/>
      <c r="AA147" s="1495"/>
      <c r="AB147" s="1497"/>
      <c r="AC147" s="3212"/>
    </row>
    <row r="148" spans="1:29" s="1111" customFormat="1" ht="12" customHeight="1">
      <c r="A148" s="1451">
        <v>137</v>
      </c>
      <c r="B148" s="2370" t="s">
        <v>1079</v>
      </c>
      <c r="C148" s="1467">
        <v>11</v>
      </c>
      <c r="D148" s="1468">
        <v>11</v>
      </c>
      <c r="E148" s="1468">
        <v>11</v>
      </c>
      <c r="F148" s="1468">
        <v>11</v>
      </c>
      <c r="G148" s="1468">
        <v>11</v>
      </c>
      <c r="H148" s="1468">
        <v>11</v>
      </c>
      <c r="I148" s="1793">
        <v>11</v>
      </c>
      <c r="J148" s="1469">
        <v>11</v>
      </c>
      <c r="K148" s="1469">
        <v>11</v>
      </c>
      <c r="L148" s="1469">
        <v>11</v>
      </c>
      <c r="M148" s="1469">
        <v>11</v>
      </c>
      <c r="N148" s="1469">
        <v>11</v>
      </c>
      <c r="O148" s="1469">
        <v>11</v>
      </c>
      <c r="P148" s="1469">
        <v>11</v>
      </c>
      <c r="Q148" s="1469">
        <v>11</v>
      </c>
      <c r="R148" s="1469">
        <v>11</v>
      </c>
      <c r="S148" s="1469">
        <v>11</v>
      </c>
      <c r="T148" s="1469">
        <v>11</v>
      </c>
      <c r="U148" s="1469"/>
      <c r="V148" s="1469">
        <v>11</v>
      </c>
      <c r="W148" s="1469">
        <v>11</v>
      </c>
      <c r="X148" s="1469">
        <v>11</v>
      </c>
      <c r="Y148" s="1469">
        <v>11</v>
      </c>
      <c r="Z148" s="1470">
        <v>11</v>
      </c>
      <c r="AA148" s="1469">
        <v>11</v>
      </c>
      <c r="AB148" s="1471">
        <v>11</v>
      </c>
      <c r="AC148" s="3204">
        <v>272637</v>
      </c>
    </row>
    <row r="149" spans="1:29" s="1111" customFormat="1" ht="12" customHeight="1">
      <c r="A149" s="1456"/>
      <c r="B149" s="2370" t="s">
        <v>1053</v>
      </c>
      <c r="C149" s="1467">
        <v>91</v>
      </c>
      <c r="D149" s="1468">
        <v>91</v>
      </c>
      <c r="E149" s="1468">
        <v>91</v>
      </c>
      <c r="F149" s="1468">
        <v>91</v>
      </c>
      <c r="G149" s="1468">
        <v>91</v>
      </c>
      <c r="H149" s="1468">
        <v>91</v>
      </c>
      <c r="I149" s="1793">
        <v>91</v>
      </c>
      <c r="J149" s="1469">
        <v>91</v>
      </c>
      <c r="K149" s="1469">
        <v>87</v>
      </c>
      <c r="L149" s="1469">
        <v>91</v>
      </c>
      <c r="M149" s="1469">
        <v>91</v>
      </c>
      <c r="N149" s="1469">
        <v>91</v>
      </c>
      <c r="O149" s="1469">
        <v>88</v>
      </c>
      <c r="P149" s="1469">
        <v>91</v>
      </c>
      <c r="Q149" s="1469">
        <v>89</v>
      </c>
      <c r="R149" s="1469">
        <v>90</v>
      </c>
      <c r="S149" s="1469">
        <v>92</v>
      </c>
      <c r="T149" s="1469">
        <v>91</v>
      </c>
      <c r="U149" s="1469"/>
      <c r="V149" s="1469">
        <v>91</v>
      </c>
      <c r="W149" s="1469">
        <v>91</v>
      </c>
      <c r="X149" s="1469">
        <v>91</v>
      </c>
      <c r="Y149" s="1469">
        <v>91</v>
      </c>
      <c r="Z149" s="1470">
        <v>91</v>
      </c>
      <c r="AA149" s="1469">
        <v>91</v>
      </c>
      <c r="AB149" s="1471">
        <v>91</v>
      </c>
      <c r="AC149" s="3204">
        <v>2213104</v>
      </c>
    </row>
    <row r="150" spans="1:29" s="1111" customFormat="1" ht="12" customHeight="1">
      <c r="A150" s="1456">
        <v>140</v>
      </c>
      <c r="B150" s="2362" t="s">
        <v>1057</v>
      </c>
      <c r="C150" s="1457">
        <v>18</v>
      </c>
      <c r="D150" s="1458">
        <v>17</v>
      </c>
      <c r="E150" s="1458">
        <v>16</v>
      </c>
      <c r="F150" s="1458">
        <v>15</v>
      </c>
      <c r="G150" s="1458">
        <v>15</v>
      </c>
      <c r="H150" s="1458">
        <v>17</v>
      </c>
      <c r="I150" s="1793">
        <v>15</v>
      </c>
      <c r="J150" s="1459">
        <v>14</v>
      </c>
      <c r="K150" s="1459">
        <v>14</v>
      </c>
      <c r="L150" s="1459">
        <v>14</v>
      </c>
      <c r="M150" s="1459">
        <v>15</v>
      </c>
      <c r="N150" s="1459">
        <v>16</v>
      </c>
      <c r="O150" s="1459">
        <v>17</v>
      </c>
      <c r="P150" s="1459">
        <v>13</v>
      </c>
      <c r="Q150" s="1459">
        <v>12</v>
      </c>
      <c r="R150" s="1459">
        <v>12</v>
      </c>
      <c r="S150" s="1459">
        <v>13</v>
      </c>
      <c r="T150" s="1459">
        <v>16</v>
      </c>
      <c r="U150" s="1459"/>
      <c r="V150" s="1459">
        <v>19</v>
      </c>
      <c r="W150" s="1459">
        <v>20</v>
      </c>
      <c r="X150" s="1459">
        <v>21</v>
      </c>
      <c r="Y150" s="1459">
        <v>23</v>
      </c>
      <c r="Z150" s="1460">
        <v>23</v>
      </c>
      <c r="AA150" s="1459">
        <v>22</v>
      </c>
      <c r="AB150" s="1461">
        <v>21</v>
      </c>
      <c r="AC150" s="3202">
        <v>386400</v>
      </c>
    </row>
    <row r="151" spans="1:29" s="1111" customFormat="1" ht="12" customHeight="1">
      <c r="A151" s="1451">
        <v>141</v>
      </c>
      <c r="B151" s="2369" t="s">
        <v>1080</v>
      </c>
      <c r="C151" s="1462"/>
      <c r="D151" s="1463"/>
      <c r="E151" s="1463"/>
      <c r="F151" s="1463"/>
      <c r="G151" s="1463"/>
      <c r="H151" s="1463"/>
      <c r="I151" s="1793"/>
      <c r="J151" s="1464"/>
      <c r="K151" s="1464"/>
      <c r="L151" s="1464"/>
      <c r="M151" s="1464"/>
      <c r="N151" s="1464"/>
      <c r="O151" s="1464"/>
      <c r="P151" s="1464"/>
      <c r="Q151" s="1464"/>
      <c r="R151" s="1464"/>
      <c r="S151" s="1464"/>
      <c r="T151" s="1464">
        <v>10</v>
      </c>
      <c r="U151" s="1464"/>
      <c r="V151" s="1464"/>
      <c r="W151" s="1464"/>
      <c r="X151" s="1464"/>
      <c r="Y151" s="1464"/>
      <c r="Z151" s="1465"/>
      <c r="AA151" s="1464"/>
      <c r="AB151" s="1466"/>
      <c r="AC151" s="3203">
        <v>28800</v>
      </c>
    </row>
    <row r="152" spans="1:29" s="1111" customFormat="1" ht="12" customHeight="1">
      <c r="A152" s="1456">
        <v>142</v>
      </c>
      <c r="B152" s="2370" t="s">
        <v>1054</v>
      </c>
      <c r="C152" s="1467"/>
      <c r="D152" s="1468"/>
      <c r="E152" s="1468"/>
      <c r="F152" s="1468"/>
      <c r="G152" s="1468"/>
      <c r="H152" s="1468"/>
      <c r="I152" s="1793"/>
      <c r="J152" s="1469"/>
      <c r="K152" s="1469"/>
      <c r="L152" s="1469"/>
      <c r="M152" s="1469"/>
      <c r="N152" s="1469"/>
      <c r="O152" s="1469"/>
      <c r="P152" s="1469"/>
      <c r="Q152" s="1469"/>
      <c r="R152" s="1469"/>
      <c r="S152" s="1469"/>
      <c r="T152" s="1469"/>
      <c r="U152" s="1469"/>
      <c r="V152" s="1469"/>
      <c r="W152" s="1469"/>
      <c r="X152" s="1469"/>
      <c r="Y152" s="1469"/>
      <c r="Z152" s="1470"/>
      <c r="AA152" s="1469"/>
      <c r="AB152" s="1471"/>
      <c r="AC152" s="3204"/>
    </row>
    <row r="153" spans="1:29" s="1111" customFormat="1" ht="12" customHeight="1">
      <c r="A153" s="1451">
        <v>143</v>
      </c>
      <c r="B153" s="2365" t="s">
        <v>1052</v>
      </c>
      <c r="C153" s="1483"/>
      <c r="D153" s="1484"/>
      <c r="E153" s="1484"/>
      <c r="F153" s="1484"/>
      <c r="G153" s="1484"/>
      <c r="H153" s="1484"/>
      <c r="I153" s="1797"/>
      <c r="J153" s="1484"/>
      <c r="K153" s="1484"/>
      <c r="L153" s="1484"/>
      <c r="M153" s="1484"/>
      <c r="N153" s="1484"/>
      <c r="O153" s="1484"/>
      <c r="P153" s="1484"/>
      <c r="Q153" s="1484"/>
      <c r="R153" s="1484"/>
      <c r="S153" s="1484"/>
      <c r="T153" s="1484"/>
      <c r="U153" s="1484"/>
      <c r="V153" s="1484"/>
      <c r="W153" s="1484"/>
      <c r="X153" s="1484"/>
      <c r="Y153" s="1484"/>
      <c r="Z153" s="1485"/>
      <c r="AA153" s="1484"/>
      <c r="AB153" s="1486"/>
      <c r="AC153" s="3208"/>
    </row>
    <row r="154" spans="1:29" s="1111" customFormat="1" ht="12" customHeight="1">
      <c r="A154" s="1456">
        <v>144</v>
      </c>
      <c r="B154" s="2366" t="s">
        <v>1244</v>
      </c>
      <c r="C154" s="1516"/>
      <c r="D154" s="1517"/>
      <c r="E154" s="1517"/>
      <c r="F154" s="1517"/>
      <c r="G154" s="1517"/>
      <c r="H154" s="1517"/>
      <c r="I154" s="1809"/>
      <c r="J154" s="1517"/>
      <c r="K154" s="1517"/>
      <c r="L154" s="1517"/>
      <c r="M154" s="1517"/>
      <c r="N154" s="1517"/>
      <c r="O154" s="1517"/>
      <c r="P154" s="1517"/>
      <c r="Q154" s="1517"/>
      <c r="R154" s="1517"/>
      <c r="S154" s="1517"/>
      <c r="T154" s="1517"/>
      <c r="U154" s="1517"/>
      <c r="V154" s="1517"/>
      <c r="W154" s="1517"/>
      <c r="X154" s="1517"/>
      <c r="Y154" s="1517"/>
      <c r="Z154" s="1518"/>
      <c r="AA154" s="1517"/>
      <c r="AB154" s="1519"/>
      <c r="AC154" s="3223"/>
    </row>
    <row r="155" spans="1:29" s="1111" customFormat="1" ht="12" customHeight="1">
      <c r="A155" s="1451">
        <v>145</v>
      </c>
      <c r="B155" s="2367" t="s">
        <v>1085</v>
      </c>
      <c r="C155" s="1488"/>
      <c r="D155" s="1489"/>
      <c r="E155" s="1489"/>
      <c r="F155" s="1489"/>
      <c r="G155" s="1489"/>
      <c r="H155" s="1489"/>
      <c r="I155" s="1799"/>
      <c r="J155" s="1490"/>
      <c r="K155" s="1490"/>
      <c r="L155" s="1490"/>
      <c r="M155" s="1490"/>
      <c r="N155" s="1490"/>
      <c r="O155" s="1490"/>
      <c r="P155" s="1490"/>
      <c r="Q155" s="1490"/>
      <c r="R155" s="1490"/>
      <c r="S155" s="1490"/>
      <c r="T155" s="1490">
        <v>67</v>
      </c>
      <c r="U155" s="1490"/>
      <c r="V155" s="1490"/>
      <c r="W155" s="1490"/>
      <c r="X155" s="1490"/>
      <c r="Y155" s="1490"/>
      <c r="Z155" s="1491"/>
      <c r="AA155" s="1490"/>
      <c r="AB155" s="1492"/>
      <c r="AC155" s="3211">
        <v>44928</v>
      </c>
    </row>
    <row r="156" spans="1:29" s="1111" customFormat="1" ht="12" customHeight="1">
      <c r="A156" s="1456">
        <v>146</v>
      </c>
      <c r="B156" s="2369" t="s">
        <v>886</v>
      </c>
      <c r="C156" s="1481">
        <v>475</v>
      </c>
      <c r="D156" s="1463">
        <v>422</v>
      </c>
      <c r="E156" s="1463">
        <v>422</v>
      </c>
      <c r="F156" s="1463">
        <v>422</v>
      </c>
      <c r="G156" s="1463">
        <v>421</v>
      </c>
      <c r="H156" s="1463">
        <v>421</v>
      </c>
      <c r="I156" s="1793">
        <v>422</v>
      </c>
      <c r="J156" s="1464">
        <v>421</v>
      </c>
      <c r="K156" s="1464">
        <v>595</v>
      </c>
      <c r="L156" s="1464">
        <v>610</v>
      </c>
      <c r="M156" s="1464">
        <v>611</v>
      </c>
      <c r="N156" s="1464">
        <v>610</v>
      </c>
      <c r="O156" s="1464">
        <v>610</v>
      </c>
      <c r="P156" s="1464">
        <v>469</v>
      </c>
      <c r="Q156" s="1464">
        <v>469</v>
      </c>
      <c r="R156" s="1464">
        <v>469</v>
      </c>
      <c r="S156" s="1464">
        <v>469</v>
      </c>
      <c r="T156" s="1464">
        <v>599</v>
      </c>
      <c r="U156" s="1464"/>
      <c r="V156" s="1464">
        <v>656</v>
      </c>
      <c r="W156" s="1464">
        <v>658</v>
      </c>
      <c r="X156" s="1464">
        <v>657</v>
      </c>
      <c r="Y156" s="1464">
        <v>657</v>
      </c>
      <c r="Z156" s="1465">
        <v>658</v>
      </c>
      <c r="AA156" s="1464">
        <v>610</v>
      </c>
      <c r="AB156" s="1466">
        <v>469</v>
      </c>
      <c r="AC156" s="3203">
        <v>12730909</v>
      </c>
    </row>
    <row r="157" spans="1:29" s="1111" customFormat="1" ht="12" customHeight="1">
      <c r="A157" s="1451">
        <v>147</v>
      </c>
      <c r="B157" s="2370" t="s">
        <v>1188</v>
      </c>
      <c r="C157" s="1482"/>
      <c r="D157" s="1468"/>
      <c r="E157" s="1468"/>
      <c r="F157" s="1468"/>
      <c r="G157" s="1468"/>
      <c r="H157" s="1468"/>
      <c r="I157" s="1793"/>
      <c r="J157" s="1469"/>
      <c r="K157" s="1469"/>
      <c r="L157" s="1469"/>
      <c r="M157" s="1469"/>
      <c r="N157" s="1469"/>
      <c r="O157" s="1469"/>
      <c r="P157" s="1469"/>
      <c r="Q157" s="1469"/>
      <c r="R157" s="1469"/>
      <c r="S157" s="1469"/>
      <c r="T157" s="1469"/>
      <c r="U157" s="1469"/>
      <c r="V157" s="1469"/>
      <c r="W157" s="1469"/>
      <c r="X157" s="1469"/>
      <c r="Y157" s="1469"/>
      <c r="Z157" s="1470"/>
      <c r="AA157" s="1469"/>
      <c r="AB157" s="1471"/>
      <c r="AC157" s="3204"/>
    </row>
    <row r="158" spans="1:29" s="1111" customFormat="1" ht="12" customHeight="1">
      <c r="A158" s="1456">
        <v>148</v>
      </c>
      <c r="B158" s="2365" t="s">
        <v>1192</v>
      </c>
      <c r="C158" s="1512"/>
      <c r="D158" s="1513"/>
      <c r="E158" s="1513"/>
      <c r="F158" s="1513"/>
      <c r="G158" s="1513"/>
      <c r="H158" s="1513"/>
      <c r="I158" s="1807"/>
      <c r="J158" s="1513"/>
      <c r="K158" s="1513"/>
      <c r="L158" s="1513"/>
      <c r="M158" s="1513"/>
      <c r="N158" s="1513"/>
      <c r="O158" s="1513"/>
      <c r="P158" s="1513"/>
      <c r="Q158" s="1513"/>
      <c r="R158" s="1513"/>
      <c r="S158" s="1513"/>
      <c r="T158" s="1513"/>
      <c r="U158" s="1513"/>
      <c r="V158" s="1513">
        <v>70</v>
      </c>
      <c r="W158" s="1513">
        <v>190</v>
      </c>
      <c r="X158" s="1513">
        <v>210</v>
      </c>
      <c r="Y158" s="1513">
        <v>280</v>
      </c>
      <c r="Z158" s="1514">
        <v>380</v>
      </c>
      <c r="AA158" s="1513">
        <v>370</v>
      </c>
      <c r="AB158" s="1515">
        <v>320</v>
      </c>
      <c r="AC158" s="3221">
        <v>1840000</v>
      </c>
    </row>
    <row r="159" spans="1:29" s="1111" customFormat="1" ht="12" customHeight="1">
      <c r="A159" s="1451">
        <v>149</v>
      </c>
      <c r="B159" s="2361"/>
      <c r="C159" s="1476"/>
      <c r="D159" s="1477"/>
      <c r="E159" s="1477"/>
      <c r="F159" s="1477"/>
      <c r="G159" s="1477"/>
      <c r="H159" s="1477"/>
      <c r="I159" s="1796"/>
      <c r="J159" s="1477"/>
      <c r="K159" s="1477"/>
      <c r="L159" s="1477"/>
      <c r="M159" s="1477"/>
      <c r="N159" s="1477"/>
      <c r="O159" s="1477"/>
      <c r="P159" s="1477"/>
      <c r="Q159" s="1477"/>
      <c r="R159" s="1477"/>
      <c r="S159" s="1477"/>
      <c r="T159" s="1477"/>
      <c r="U159" s="1477"/>
      <c r="V159" s="1477"/>
      <c r="W159" s="1477"/>
      <c r="X159" s="1477"/>
      <c r="Y159" s="1477"/>
      <c r="Z159" s="1478"/>
      <c r="AA159" s="1477"/>
      <c r="AB159" s="1479"/>
      <c r="AC159" s="3207"/>
    </row>
    <row r="160" spans="1:29" s="1111" customFormat="1" ht="12" customHeight="1">
      <c r="A160" s="1456">
        <v>150</v>
      </c>
      <c r="B160" s="2362" t="s">
        <v>1070</v>
      </c>
      <c r="C160" s="1487"/>
      <c r="D160" s="1459"/>
      <c r="E160" s="1459"/>
      <c r="F160" s="1459"/>
      <c r="G160" s="1459"/>
      <c r="H160" s="1459"/>
      <c r="I160" s="1798"/>
      <c r="J160" s="1459"/>
      <c r="K160" s="1459"/>
      <c r="L160" s="1459"/>
      <c r="M160" s="1459"/>
      <c r="N160" s="1459"/>
      <c r="O160" s="1459"/>
      <c r="P160" s="1459"/>
      <c r="Q160" s="1459"/>
      <c r="R160" s="1459"/>
      <c r="S160" s="1459"/>
      <c r="T160" s="1459"/>
      <c r="U160" s="1459"/>
      <c r="V160" s="1459"/>
      <c r="W160" s="1459"/>
      <c r="X160" s="1459"/>
      <c r="Y160" s="1459"/>
      <c r="Z160" s="1460"/>
      <c r="AA160" s="1459"/>
      <c r="AB160" s="1461"/>
      <c r="AC160" s="3209"/>
    </row>
    <row r="161" spans="1:29" s="1111" customFormat="1" ht="12" customHeight="1">
      <c r="A161" s="1451">
        <v>151</v>
      </c>
      <c r="B161" s="2363" t="s">
        <v>1071</v>
      </c>
      <c r="C161" s="1493"/>
      <c r="D161" s="1494"/>
      <c r="E161" s="1494"/>
      <c r="F161" s="1494"/>
      <c r="G161" s="1494"/>
      <c r="H161" s="1494"/>
      <c r="I161" s="1800"/>
      <c r="J161" s="1495"/>
      <c r="K161" s="1495"/>
      <c r="L161" s="1495"/>
      <c r="M161" s="1495"/>
      <c r="N161" s="1495"/>
      <c r="O161" s="1495"/>
      <c r="P161" s="1495"/>
      <c r="Q161" s="1495"/>
      <c r="R161" s="1495"/>
      <c r="S161" s="1495"/>
      <c r="T161" s="1495"/>
      <c r="U161" s="1495"/>
      <c r="V161" s="1495"/>
      <c r="W161" s="1495"/>
      <c r="X161" s="1495"/>
      <c r="Y161" s="1495"/>
      <c r="Z161" s="1496"/>
      <c r="AA161" s="1495"/>
      <c r="AB161" s="1497"/>
      <c r="AC161" s="3212"/>
    </row>
    <row r="162" spans="1:29" s="1111" customFormat="1" ht="12" customHeight="1">
      <c r="A162" s="1456">
        <v>152</v>
      </c>
      <c r="B162" s="2370" t="s">
        <v>1072</v>
      </c>
      <c r="C162" s="1507">
        <v>199</v>
      </c>
      <c r="D162" s="1508">
        <v>199</v>
      </c>
      <c r="E162" s="1508">
        <v>200</v>
      </c>
      <c r="F162" s="1508">
        <v>200</v>
      </c>
      <c r="G162" s="1508">
        <v>200</v>
      </c>
      <c r="H162" s="1508">
        <v>200</v>
      </c>
      <c r="I162" s="1799">
        <v>200</v>
      </c>
      <c r="J162" s="1509">
        <v>200</v>
      </c>
      <c r="K162" s="1509">
        <v>199</v>
      </c>
      <c r="L162" s="1509">
        <v>199</v>
      </c>
      <c r="M162" s="1509">
        <v>199</v>
      </c>
      <c r="N162" s="1509">
        <v>199</v>
      </c>
      <c r="O162" s="1509">
        <v>199</v>
      </c>
      <c r="P162" s="1509">
        <v>199</v>
      </c>
      <c r="Q162" s="1509">
        <v>199</v>
      </c>
      <c r="R162" s="1509">
        <v>199</v>
      </c>
      <c r="S162" s="1509">
        <v>199</v>
      </c>
      <c r="T162" s="1509">
        <v>200</v>
      </c>
      <c r="U162" s="1509"/>
      <c r="V162" s="1509">
        <v>199</v>
      </c>
      <c r="W162" s="1509">
        <v>199</v>
      </c>
      <c r="X162" s="1509">
        <v>199</v>
      </c>
      <c r="Y162" s="1509">
        <v>200</v>
      </c>
      <c r="Z162" s="1510">
        <v>199</v>
      </c>
      <c r="AA162" s="1509">
        <v>199</v>
      </c>
      <c r="AB162" s="1511">
        <v>199</v>
      </c>
      <c r="AC162" s="3220">
        <v>4844700</v>
      </c>
    </row>
    <row r="163" spans="1:29" s="1111" customFormat="1" ht="12" customHeight="1">
      <c r="A163" s="1451">
        <v>153</v>
      </c>
      <c r="B163" s="2368" t="s">
        <v>1059</v>
      </c>
      <c r="C163" s="1530"/>
      <c r="D163" s="1531"/>
      <c r="E163" s="1531"/>
      <c r="F163" s="1531"/>
      <c r="G163" s="1531"/>
      <c r="H163" s="1531"/>
      <c r="I163" s="1811"/>
      <c r="J163" s="1513"/>
      <c r="K163" s="1513"/>
      <c r="L163" s="1513"/>
      <c r="M163" s="1513"/>
      <c r="N163" s="1513"/>
      <c r="O163" s="1513"/>
      <c r="P163" s="1513"/>
      <c r="Q163" s="1513"/>
      <c r="R163" s="1513"/>
      <c r="S163" s="1513"/>
      <c r="T163" s="1513"/>
      <c r="U163" s="1513"/>
      <c r="V163" s="1513"/>
      <c r="W163" s="1513"/>
      <c r="X163" s="1513"/>
      <c r="Y163" s="1513"/>
      <c r="Z163" s="1514"/>
      <c r="AA163" s="1513"/>
      <c r="AB163" s="1515"/>
      <c r="AC163" s="3226"/>
    </row>
    <row r="164" spans="1:29" s="1111" customFormat="1" ht="12" customHeight="1">
      <c r="A164" s="1456">
        <v>156</v>
      </c>
      <c r="B164" s="2363" t="s">
        <v>1058</v>
      </c>
      <c r="C164" s="1462"/>
      <c r="D164" s="1463"/>
      <c r="E164" s="1463"/>
      <c r="F164" s="1463"/>
      <c r="G164" s="1463"/>
      <c r="H164" s="1463"/>
      <c r="I164" s="1793"/>
      <c r="J164" s="1464"/>
      <c r="K164" s="1464"/>
      <c r="L164" s="1464"/>
      <c r="M164" s="1464"/>
      <c r="N164" s="1464"/>
      <c r="O164" s="1464"/>
      <c r="P164" s="1464"/>
      <c r="Q164" s="1464"/>
      <c r="R164" s="1464"/>
      <c r="S164" s="1464"/>
      <c r="T164" s="1464"/>
      <c r="U164" s="1464"/>
      <c r="V164" s="1464"/>
      <c r="W164" s="1464"/>
      <c r="X164" s="1464"/>
      <c r="Y164" s="1464"/>
      <c r="Z164" s="1465"/>
      <c r="AA164" s="1464"/>
      <c r="AB164" s="1466"/>
      <c r="AC164" s="3203"/>
    </row>
    <row r="165" spans="1:29" s="1111" customFormat="1" ht="12" customHeight="1">
      <c r="A165" s="1456"/>
      <c r="B165" s="2363" t="s">
        <v>1060</v>
      </c>
      <c r="C165" s="1462"/>
      <c r="D165" s="1463"/>
      <c r="E165" s="1463"/>
      <c r="F165" s="1463"/>
      <c r="G165" s="1463"/>
      <c r="H165" s="1463"/>
      <c r="I165" s="1793"/>
      <c r="J165" s="1464"/>
      <c r="K165" s="1464"/>
      <c r="L165" s="1464"/>
      <c r="M165" s="1464"/>
      <c r="N165" s="1464"/>
      <c r="O165" s="1464"/>
      <c r="P165" s="1464"/>
      <c r="Q165" s="1464"/>
      <c r="R165" s="1464"/>
      <c r="S165" s="1464"/>
      <c r="T165" s="1464">
        <v>50</v>
      </c>
      <c r="U165" s="1464"/>
      <c r="V165" s="1464">
        <v>50</v>
      </c>
      <c r="W165" s="1464">
        <v>50</v>
      </c>
      <c r="X165" s="1464">
        <v>50</v>
      </c>
      <c r="Y165" s="1464"/>
      <c r="Z165" s="1465"/>
      <c r="AA165" s="1464"/>
      <c r="AB165" s="1466"/>
      <c r="AC165" s="3203">
        <v>178080</v>
      </c>
    </row>
    <row r="166" spans="1:29" s="1111" customFormat="1" ht="12" customHeight="1">
      <c r="A166" s="1456"/>
      <c r="B166" s="2363" t="s">
        <v>1353</v>
      </c>
      <c r="C166" s="1462"/>
      <c r="D166" s="1463"/>
      <c r="E166" s="1463"/>
      <c r="F166" s="1463"/>
      <c r="G166" s="1463"/>
      <c r="H166" s="1463"/>
      <c r="I166" s="1793">
        <v>0</v>
      </c>
      <c r="J166" s="1464">
        <v>0</v>
      </c>
      <c r="K166" s="1464">
        <v>2</v>
      </c>
      <c r="L166" s="1464">
        <v>3</v>
      </c>
      <c r="M166" s="1464">
        <v>3</v>
      </c>
      <c r="N166" s="1464">
        <v>5</v>
      </c>
      <c r="O166" s="1464">
        <v>4</v>
      </c>
      <c r="P166" s="1464">
        <v>2</v>
      </c>
      <c r="Q166" s="1464">
        <v>3</v>
      </c>
      <c r="R166" s="1464">
        <v>1</v>
      </c>
      <c r="S166" s="1464">
        <v>0</v>
      </c>
      <c r="T166" s="1464"/>
      <c r="U166" s="1464"/>
      <c r="V166" s="1464"/>
      <c r="W166" s="1464"/>
      <c r="X166" s="1464"/>
      <c r="Y166" s="1464"/>
      <c r="Z166" s="1465"/>
      <c r="AA166" s="1464"/>
      <c r="AB166" s="1466"/>
      <c r="AC166" s="3203">
        <v>26700</v>
      </c>
    </row>
    <row r="167" spans="1:29" s="1111" customFormat="1" ht="12" customHeight="1">
      <c r="A167" s="1451">
        <v>157</v>
      </c>
      <c r="B167" s="2370" t="s">
        <v>1075</v>
      </c>
      <c r="C167" s="1467"/>
      <c r="D167" s="1468"/>
      <c r="E167" s="1468"/>
      <c r="F167" s="1468"/>
      <c r="G167" s="1468"/>
      <c r="H167" s="1468"/>
      <c r="I167" s="1793"/>
      <c r="J167" s="1469"/>
      <c r="K167" s="1469"/>
      <c r="L167" s="1469"/>
      <c r="M167" s="1469"/>
      <c r="N167" s="1469"/>
      <c r="O167" s="1469"/>
      <c r="P167" s="1469"/>
      <c r="Q167" s="1469"/>
      <c r="R167" s="1469"/>
      <c r="S167" s="1469"/>
      <c r="T167" s="1469"/>
      <c r="U167" s="1469"/>
      <c r="V167" s="1469"/>
      <c r="W167" s="1469"/>
      <c r="X167" s="1469"/>
      <c r="Y167" s="1469"/>
      <c r="Z167" s="1470"/>
      <c r="AA167" s="1469"/>
      <c r="AB167" s="1471"/>
      <c r="AC167" s="3204"/>
    </row>
    <row r="168" spans="1:29" s="1111" customFormat="1" ht="12" customHeight="1">
      <c r="A168" s="1456">
        <v>158</v>
      </c>
      <c r="B168" s="2368" t="s">
        <v>1076</v>
      </c>
      <c r="C168" s="1483"/>
      <c r="D168" s="1484"/>
      <c r="E168" s="1484"/>
      <c r="F168" s="1484"/>
      <c r="G168" s="1484"/>
      <c r="H168" s="1484"/>
      <c r="I168" s="1797"/>
      <c r="J168" s="1484"/>
      <c r="K168" s="1484"/>
      <c r="L168" s="1484"/>
      <c r="M168" s="1484"/>
      <c r="N168" s="1484"/>
      <c r="O168" s="1484"/>
      <c r="P168" s="1484"/>
      <c r="Q168" s="1484"/>
      <c r="R168" s="1484"/>
      <c r="S168" s="1484"/>
      <c r="T168" s="1484"/>
      <c r="U168" s="1484"/>
      <c r="V168" s="1484"/>
      <c r="W168" s="1484"/>
      <c r="X168" s="1484"/>
      <c r="Y168" s="1484"/>
      <c r="Z168" s="1485"/>
      <c r="AA168" s="1484"/>
      <c r="AB168" s="1486"/>
      <c r="AC168" s="3208"/>
    </row>
    <row r="169" spans="1:29" s="1111" customFormat="1" ht="12" customHeight="1">
      <c r="A169" s="1456"/>
      <c r="B169" s="2368" t="s">
        <v>1077</v>
      </c>
      <c r="C169" s="1557"/>
      <c r="D169" s="1527"/>
      <c r="E169" s="1527"/>
      <c r="F169" s="1527"/>
      <c r="G169" s="1527"/>
      <c r="H169" s="1527"/>
      <c r="I169" s="1812"/>
      <c r="J169" s="1527"/>
      <c r="K169" s="1527"/>
      <c r="L169" s="1527"/>
      <c r="M169" s="1527"/>
      <c r="N169" s="1527"/>
      <c r="O169" s="1527"/>
      <c r="P169" s="1527"/>
      <c r="Q169" s="1527"/>
      <c r="R169" s="1527"/>
      <c r="S169" s="1527"/>
      <c r="T169" s="1527"/>
      <c r="U169" s="1527"/>
      <c r="V169" s="1527"/>
      <c r="W169" s="1527"/>
      <c r="X169" s="1527"/>
      <c r="Y169" s="1527"/>
      <c r="Z169" s="1528"/>
      <c r="AA169" s="1527"/>
      <c r="AB169" s="1529"/>
      <c r="AC169" s="3225"/>
    </row>
    <row r="170" spans="1:29" s="1111" customFormat="1" ht="12" customHeight="1">
      <c r="A170" s="1456"/>
      <c r="B170" s="2368" t="s">
        <v>1078</v>
      </c>
      <c r="C170" s="1557"/>
      <c r="D170" s="1527"/>
      <c r="E170" s="1527"/>
      <c r="F170" s="1527"/>
      <c r="G170" s="1527"/>
      <c r="H170" s="1527"/>
      <c r="I170" s="1812"/>
      <c r="J170" s="1527"/>
      <c r="K170" s="1527"/>
      <c r="L170" s="1527"/>
      <c r="M170" s="1527"/>
      <c r="N170" s="1527"/>
      <c r="O170" s="1527"/>
      <c r="P170" s="1527"/>
      <c r="Q170" s="1527"/>
      <c r="R170" s="1527"/>
      <c r="S170" s="1527"/>
      <c r="T170" s="1527"/>
      <c r="U170" s="1527"/>
      <c r="V170" s="1527"/>
      <c r="W170" s="1527"/>
      <c r="X170" s="1527"/>
      <c r="Y170" s="1527"/>
      <c r="Z170" s="1528"/>
      <c r="AA170" s="1527"/>
      <c r="AB170" s="1529"/>
      <c r="AC170" s="3225"/>
    </row>
    <row r="171" spans="1:29" s="1111" customFormat="1" ht="12" customHeight="1">
      <c r="A171" s="1451">
        <v>159</v>
      </c>
      <c r="B171" s="2361" t="s">
        <v>1081</v>
      </c>
      <c r="C171" s="1476">
        <v>162</v>
      </c>
      <c r="D171" s="1477">
        <v>164</v>
      </c>
      <c r="E171" s="1477">
        <v>162</v>
      </c>
      <c r="F171" s="1477">
        <v>162</v>
      </c>
      <c r="G171" s="1477">
        <v>160</v>
      </c>
      <c r="H171" s="1477">
        <v>166</v>
      </c>
      <c r="I171" s="1796">
        <v>187</v>
      </c>
      <c r="J171" s="1477">
        <v>189</v>
      </c>
      <c r="K171" s="1477">
        <v>188</v>
      </c>
      <c r="L171" s="1477">
        <v>183</v>
      </c>
      <c r="M171" s="1477">
        <v>194</v>
      </c>
      <c r="N171" s="1477">
        <v>208</v>
      </c>
      <c r="O171" s="1477">
        <v>202</v>
      </c>
      <c r="P171" s="1477">
        <v>187</v>
      </c>
      <c r="Q171" s="1477">
        <v>185</v>
      </c>
      <c r="R171" s="1477">
        <v>182</v>
      </c>
      <c r="S171" s="1477">
        <v>169</v>
      </c>
      <c r="T171" s="1477">
        <v>181</v>
      </c>
      <c r="U171" s="1477"/>
      <c r="V171" s="1477">
        <v>184</v>
      </c>
      <c r="W171" s="1477">
        <v>185</v>
      </c>
      <c r="X171" s="1477">
        <v>186</v>
      </c>
      <c r="Y171" s="1477">
        <v>192</v>
      </c>
      <c r="Z171" s="1478">
        <v>186</v>
      </c>
      <c r="AA171" s="1477">
        <v>170</v>
      </c>
      <c r="AB171" s="1479">
        <v>166</v>
      </c>
      <c r="AC171" s="3207">
        <v>4567509</v>
      </c>
    </row>
    <row r="172" spans="1:29" s="1111" customFormat="1" ht="12" customHeight="1">
      <c r="A172" s="1456"/>
      <c r="B172" s="2361" t="s">
        <v>1082</v>
      </c>
      <c r="C172" s="1629"/>
      <c r="D172" s="1630"/>
      <c r="E172" s="1630"/>
      <c r="F172" s="1630"/>
      <c r="G172" s="1630"/>
      <c r="H172" s="1630"/>
      <c r="I172" s="1800"/>
      <c r="J172" s="1477"/>
      <c r="K172" s="1477"/>
      <c r="L172" s="1477"/>
      <c r="M172" s="1477"/>
      <c r="N172" s="1477"/>
      <c r="O172" s="1477"/>
      <c r="P172" s="1477"/>
      <c r="Q172" s="1477"/>
      <c r="R172" s="1477"/>
      <c r="S172" s="1477"/>
      <c r="T172" s="1477"/>
      <c r="U172" s="1477"/>
      <c r="V172" s="1477"/>
      <c r="W172" s="1477"/>
      <c r="X172" s="1477"/>
      <c r="Y172" s="1477"/>
      <c r="Z172" s="1478"/>
      <c r="AA172" s="1477"/>
      <c r="AB172" s="1479"/>
      <c r="AC172" s="3207"/>
    </row>
    <row r="173" spans="1:29" s="1111" customFormat="1" ht="12" customHeight="1">
      <c r="A173" s="1456"/>
      <c r="B173" s="2361" t="s">
        <v>1108</v>
      </c>
      <c r="C173" s="1629">
        <v>397</v>
      </c>
      <c r="D173" s="1630">
        <v>379</v>
      </c>
      <c r="E173" s="1630">
        <v>394</v>
      </c>
      <c r="F173" s="1630">
        <v>365</v>
      </c>
      <c r="G173" s="1630">
        <v>364</v>
      </c>
      <c r="H173" s="1630">
        <v>392</v>
      </c>
      <c r="I173" s="1800">
        <v>390</v>
      </c>
      <c r="J173" s="1477">
        <v>382</v>
      </c>
      <c r="K173" s="1477">
        <v>327</v>
      </c>
      <c r="L173" s="1477">
        <v>301</v>
      </c>
      <c r="M173" s="1477">
        <v>337</v>
      </c>
      <c r="N173" s="1477">
        <v>414</v>
      </c>
      <c r="O173" s="1477">
        <v>393</v>
      </c>
      <c r="P173" s="1477">
        <v>334</v>
      </c>
      <c r="Q173" s="1477">
        <v>365</v>
      </c>
      <c r="R173" s="1477">
        <v>395</v>
      </c>
      <c r="S173" s="1477">
        <v>385</v>
      </c>
      <c r="T173" s="1477">
        <v>342</v>
      </c>
      <c r="U173" s="1477"/>
      <c r="V173" s="1477">
        <v>377</v>
      </c>
      <c r="W173" s="1477">
        <v>409</v>
      </c>
      <c r="X173" s="1477">
        <v>395</v>
      </c>
      <c r="Y173" s="1477">
        <v>420</v>
      </c>
      <c r="Z173" s="1478">
        <v>400</v>
      </c>
      <c r="AA173" s="1477">
        <v>354</v>
      </c>
      <c r="AB173" s="1479">
        <v>354</v>
      </c>
      <c r="AC173" s="3207">
        <v>8896400</v>
      </c>
    </row>
    <row r="174" spans="1:29" s="1111" customFormat="1" ht="12" customHeight="1">
      <c r="A174" s="1456">
        <v>160</v>
      </c>
      <c r="B174" s="2362" t="s">
        <v>1105</v>
      </c>
      <c r="C174" s="1480"/>
      <c r="D174" s="1458"/>
      <c r="E174" s="1458"/>
      <c r="F174" s="1458"/>
      <c r="G174" s="1458"/>
      <c r="H174" s="1458"/>
      <c r="I174" s="1793"/>
      <c r="J174" s="1459"/>
      <c r="K174" s="1459"/>
      <c r="L174" s="1459"/>
      <c r="M174" s="1459"/>
      <c r="N174" s="1459"/>
      <c r="O174" s="1459"/>
      <c r="P174" s="1459"/>
      <c r="Q174" s="1459"/>
      <c r="R174" s="1459"/>
      <c r="S174" s="1459"/>
      <c r="T174" s="1459"/>
      <c r="U174" s="1459"/>
      <c r="V174" s="1459"/>
      <c r="W174" s="1459"/>
      <c r="X174" s="1459"/>
      <c r="Y174" s="1459"/>
      <c r="Z174" s="1460"/>
      <c r="AA174" s="1459"/>
      <c r="AB174" s="1461"/>
      <c r="AC174" s="3202"/>
    </row>
    <row r="175" spans="1:29" s="1111" customFormat="1" ht="12" customHeight="1">
      <c r="A175" s="1451">
        <v>161</v>
      </c>
      <c r="B175" s="2369" t="s">
        <v>1061</v>
      </c>
      <c r="C175" s="1481"/>
      <c r="D175" s="1463"/>
      <c r="E175" s="1463"/>
      <c r="F175" s="1463"/>
      <c r="G175" s="1463"/>
      <c r="H175" s="1463"/>
      <c r="I175" s="1793"/>
      <c r="J175" s="1464"/>
      <c r="K175" s="1464"/>
      <c r="L175" s="1464"/>
      <c r="M175" s="1464"/>
      <c r="N175" s="1464"/>
      <c r="O175" s="1464"/>
      <c r="P175" s="1464"/>
      <c r="Q175" s="1464"/>
      <c r="R175" s="1464"/>
      <c r="S175" s="1464"/>
      <c r="T175" s="1464">
        <v>5</v>
      </c>
      <c r="U175" s="1464"/>
      <c r="V175" s="1464">
        <v>21</v>
      </c>
      <c r="W175" s="1464">
        <v>25</v>
      </c>
      <c r="X175" s="1464"/>
      <c r="Y175" s="1464"/>
      <c r="Z175" s="1465"/>
      <c r="AA175" s="1464"/>
      <c r="AB175" s="1466"/>
      <c r="AC175" s="3203">
        <v>29235</v>
      </c>
    </row>
    <row r="176" spans="1:29" s="1111" customFormat="1" ht="12" customHeight="1">
      <c r="A176" s="1456">
        <v>162</v>
      </c>
      <c r="B176" s="2370" t="s">
        <v>1067</v>
      </c>
      <c r="C176" s="1482">
        <v>22</v>
      </c>
      <c r="D176" s="1468">
        <v>22</v>
      </c>
      <c r="E176" s="1468">
        <v>22</v>
      </c>
      <c r="F176" s="1468">
        <v>22</v>
      </c>
      <c r="G176" s="1468">
        <v>22</v>
      </c>
      <c r="H176" s="1468">
        <v>22</v>
      </c>
      <c r="I176" s="1793">
        <v>22</v>
      </c>
      <c r="J176" s="1469">
        <v>22</v>
      </c>
      <c r="K176" s="1469">
        <v>22</v>
      </c>
      <c r="L176" s="1469">
        <v>22</v>
      </c>
      <c r="M176" s="1469">
        <v>22</v>
      </c>
      <c r="N176" s="1469">
        <v>22</v>
      </c>
      <c r="O176" s="1469">
        <v>22</v>
      </c>
      <c r="P176" s="1469">
        <v>22</v>
      </c>
      <c r="Q176" s="1469">
        <v>22</v>
      </c>
      <c r="R176" s="1469">
        <v>22</v>
      </c>
      <c r="S176" s="1469">
        <v>22</v>
      </c>
      <c r="T176" s="1469">
        <v>22</v>
      </c>
      <c r="U176" s="1469"/>
      <c r="V176" s="1469">
        <v>22</v>
      </c>
      <c r="W176" s="1469">
        <v>22</v>
      </c>
      <c r="X176" s="1469">
        <v>22</v>
      </c>
      <c r="Y176" s="1469">
        <v>22</v>
      </c>
      <c r="Z176" s="1470">
        <v>22</v>
      </c>
      <c r="AA176" s="1469">
        <v>22</v>
      </c>
      <c r="AB176" s="1471">
        <v>22</v>
      </c>
      <c r="AC176" s="3204">
        <v>519600</v>
      </c>
    </row>
    <row r="177" spans="1:33" s="1111" customFormat="1" ht="12" customHeight="1">
      <c r="A177" s="1451">
        <v>163</v>
      </c>
      <c r="B177" s="2365" t="s">
        <v>1068</v>
      </c>
      <c r="C177" s="1483"/>
      <c r="D177" s="1484"/>
      <c r="E177" s="1484"/>
      <c r="F177" s="1484"/>
      <c r="G177" s="1484"/>
      <c r="H177" s="1484"/>
      <c r="I177" s="1797"/>
      <c r="J177" s="1484"/>
      <c r="K177" s="1484"/>
      <c r="L177" s="1484"/>
      <c r="M177" s="1484"/>
      <c r="N177" s="1484"/>
      <c r="O177" s="1484"/>
      <c r="P177" s="1484"/>
      <c r="Q177" s="1484"/>
      <c r="R177" s="1484"/>
      <c r="S177" s="1484"/>
      <c r="T177" s="1484"/>
      <c r="U177" s="1484"/>
      <c r="V177" s="1484"/>
      <c r="W177" s="1484"/>
      <c r="X177" s="1484"/>
      <c r="Y177" s="1484"/>
      <c r="Z177" s="1485"/>
      <c r="AA177" s="1484"/>
      <c r="AB177" s="1486"/>
      <c r="AC177" s="3208"/>
    </row>
    <row r="178" spans="1:33" s="1111" customFormat="1" ht="12" customHeight="1">
      <c r="A178" s="1456">
        <v>164</v>
      </c>
      <c r="B178" s="2366" t="s">
        <v>1069</v>
      </c>
      <c r="C178" s="1476">
        <v>8</v>
      </c>
      <c r="D178" s="1477">
        <v>8</v>
      </c>
      <c r="E178" s="1477">
        <v>8</v>
      </c>
      <c r="F178" s="1477">
        <v>8</v>
      </c>
      <c r="G178" s="1477">
        <v>8</v>
      </c>
      <c r="H178" s="1477">
        <v>8</v>
      </c>
      <c r="I178" s="1796">
        <v>8</v>
      </c>
      <c r="J178" s="1477">
        <v>8</v>
      </c>
      <c r="K178" s="1477">
        <v>8</v>
      </c>
      <c r="L178" s="1477">
        <v>8</v>
      </c>
      <c r="M178" s="1477">
        <v>8</v>
      </c>
      <c r="N178" s="1477">
        <v>8</v>
      </c>
      <c r="O178" s="1477">
        <v>8</v>
      </c>
      <c r="P178" s="1477">
        <v>8</v>
      </c>
      <c r="Q178" s="1477">
        <v>8</v>
      </c>
      <c r="R178" s="1477">
        <v>8</v>
      </c>
      <c r="S178" s="1477">
        <v>8</v>
      </c>
      <c r="T178" s="1477">
        <v>8</v>
      </c>
      <c r="U178" s="1477"/>
      <c r="V178" s="1477">
        <v>8</v>
      </c>
      <c r="W178" s="1477">
        <v>8</v>
      </c>
      <c r="X178" s="1477">
        <v>8</v>
      </c>
      <c r="Y178" s="1477">
        <v>8</v>
      </c>
      <c r="Z178" s="1478">
        <v>8</v>
      </c>
      <c r="AA178" s="1477">
        <v>8</v>
      </c>
      <c r="AB178" s="1479">
        <v>8</v>
      </c>
      <c r="AC178" s="3207">
        <v>189126</v>
      </c>
    </row>
    <row r="179" spans="1:33" s="1111" customFormat="1" ht="12" customHeight="1">
      <c r="A179" s="1451">
        <v>165</v>
      </c>
      <c r="B179" s="2367" t="s">
        <v>1101</v>
      </c>
      <c r="C179" s="1487"/>
      <c r="D179" s="1459"/>
      <c r="E179" s="1459"/>
      <c r="F179" s="1459"/>
      <c r="G179" s="1459"/>
      <c r="H179" s="1459"/>
      <c r="I179" s="1798"/>
      <c r="J179" s="1459"/>
      <c r="K179" s="1459"/>
      <c r="L179" s="1459"/>
      <c r="M179" s="1459"/>
      <c r="N179" s="1459"/>
      <c r="O179" s="1459"/>
      <c r="P179" s="1459"/>
      <c r="Q179" s="1459"/>
      <c r="R179" s="1459"/>
      <c r="S179" s="1459"/>
      <c r="T179" s="1459"/>
      <c r="U179" s="1459"/>
      <c r="V179" s="1459"/>
      <c r="W179" s="1459"/>
      <c r="X179" s="1459"/>
      <c r="Y179" s="1459"/>
      <c r="Z179" s="1460"/>
      <c r="AA179" s="1459"/>
      <c r="AB179" s="1461"/>
      <c r="AC179" s="3227">
        <v>0</v>
      </c>
    </row>
    <row r="180" spans="1:33" s="1111" customFormat="1" ht="12" customHeight="1">
      <c r="A180" s="1456">
        <v>166</v>
      </c>
      <c r="B180" s="2369" t="s">
        <v>1063</v>
      </c>
      <c r="C180" s="1493"/>
      <c r="D180" s="1494"/>
      <c r="E180" s="1494"/>
      <c r="F180" s="1494"/>
      <c r="G180" s="1494"/>
      <c r="H180" s="1494"/>
      <c r="I180" s="1800"/>
      <c r="J180" s="1495"/>
      <c r="K180" s="1495"/>
      <c r="L180" s="1495"/>
      <c r="M180" s="1495"/>
      <c r="N180" s="1495"/>
      <c r="O180" s="1495">
        <v>24</v>
      </c>
      <c r="P180" s="1495"/>
      <c r="Q180" s="1495"/>
      <c r="R180" s="1495"/>
      <c r="S180" s="1495"/>
      <c r="T180" s="1495">
        <v>34</v>
      </c>
      <c r="U180" s="1495"/>
      <c r="V180" s="1495">
        <v>34</v>
      </c>
      <c r="W180" s="1495">
        <v>34</v>
      </c>
      <c r="X180" s="1495">
        <v>34</v>
      </c>
      <c r="Y180" s="1495"/>
      <c r="Z180" s="1496"/>
      <c r="AA180" s="1495"/>
      <c r="AB180" s="1497"/>
      <c r="AC180" s="3212">
        <v>117683</v>
      </c>
    </row>
    <row r="181" spans="1:33" s="1111" customFormat="1" ht="12" customHeight="1">
      <c r="A181" s="1451">
        <v>167</v>
      </c>
      <c r="B181" s="2370" t="s">
        <v>1064</v>
      </c>
      <c r="C181" s="1507"/>
      <c r="D181" s="1508"/>
      <c r="E181" s="1508"/>
      <c r="F181" s="1508"/>
      <c r="G181" s="1508"/>
      <c r="H181" s="1508"/>
      <c r="I181" s="1799"/>
      <c r="J181" s="1509"/>
      <c r="K181" s="1509"/>
      <c r="L181" s="1509"/>
      <c r="M181" s="1509"/>
      <c r="N181" s="1509"/>
      <c r="O181" s="1509"/>
      <c r="P181" s="1509"/>
      <c r="Q181" s="1509"/>
      <c r="R181" s="1509"/>
      <c r="S181" s="1509"/>
      <c r="T181" s="1509">
        <v>32</v>
      </c>
      <c r="U181" s="1509"/>
      <c r="V181" s="1509">
        <v>32</v>
      </c>
      <c r="W181" s="1509">
        <v>32</v>
      </c>
      <c r="X181" s="1509">
        <v>32</v>
      </c>
      <c r="Y181" s="1509"/>
      <c r="Z181" s="1510"/>
      <c r="AA181" s="1509"/>
      <c r="AB181" s="1511"/>
      <c r="AC181" s="3220">
        <v>87795</v>
      </c>
    </row>
    <row r="182" spans="1:33" s="1111" customFormat="1" ht="12" customHeight="1">
      <c r="A182" s="1456">
        <v>168</v>
      </c>
      <c r="B182" s="2365" t="s">
        <v>1066</v>
      </c>
      <c r="C182" s="1530"/>
      <c r="D182" s="1531"/>
      <c r="E182" s="1531"/>
      <c r="F182" s="1531"/>
      <c r="G182" s="1531"/>
      <c r="H182" s="1531"/>
      <c r="I182" s="1811"/>
      <c r="J182" s="1513"/>
      <c r="K182" s="1513"/>
      <c r="L182" s="1513"/>
      <c r="M182" s="1513"/>
      <c r="N182" s="1513"/>
      <c r="O182" s="1513"/>
      <c r="P182" s="1513"/>
      <c r="Q182" s="1513"/>
      <c r="R182" s="1513"/>
      <c r="S182" s="1513"/>
      <c r="T182" s="1513"/>
      <c r="U182" s="1513"/>
      <c r="V182" s="1513"/>
      <c r="W182" s="1513"/>
      <c r="X182" s="1513"/>
      <c r="Y182" s="1513"/>
      <c r="Z182" s="1514"/>
      <c r="AA182" s="1513"/>
      <c r="AB182" s="1515"/>
      <c r="AC182" s="3226"/>
    </row>
    <row r="183" spans="1:33" s="1111" customFormat="1" ht="12" customHeight="1">
      <c r="A183" s="1451">
        <v>169</v>
      </c>
      <c r="B183" s="2366" t="s">
        <v>1065</v>
      </c>
      <c r="C183" s="1476">
        <v>52</v>
      </c>
      <c r="D183" s="1477">
        <v>52</v>
      </c>
      <c r="E183" s="1477">
        <v>52</v>
      </c>
      <c r="F183" s="1477">
        <v>52</v>
      </c>
      <c r="G183" s="1477">
        <v>52</v>
      </c>
      <c r="H183" s="1477">
        <v>52</v>
      </c>
      <c r="I183" s="1796">
        <v>52</v>
      </c>
      <c r="J183" s="1477">
        <v>52</v>
      </c>
      <c r="K183" s="1477">
        <v>52</v>
      </c>
      <c r="L183" s="1477">
        <v>52</v>
      </c>
      <c r="M183" s="1477">
        <v>52</v>
      </c>
      <c r="N183" s="1477">
        <v>52</v>
      </c>
      <c r="O183" s="1477">
        <v>52</v>
      </c>
      <c r="P183" s="1477">
        <v>52</v>
      </c>
      <c r="Q183" s="1477">
        <v>52</v>
      </c>
      <c r="R183" s="1477">
        <v>52</v>
      </c>
      <c r="S183" s="1477">
        <v>52</v>
      </c>
      <c r="T183" s="1477">
        <v>52</v>
      </c>
      <c r="U183" s="1477"/>
      <c r="V183" s="1477">
        <v>52</v>
      </c>
      <c r="W183" s="1477">
        <v>43</v>
      </c>
      <c r="X183" s="1477">
        <v>43</v>
      </c>
      <c r="Y183" s="1477">
        <v>34</v>
      </c>
      <c r="Z183" s="1478">
        <v>34</v>
      </c>
      <c r="AA183" s="1477">
        <v>25</v>
      </c>
      <c r="AB183" s="1479">
        <v>25</v>
      </c>
      <c r="AC183" s="3207">
        <v>1150560</v>
      </c>
    </row>
    <row r="184" spans="1:33" s="1111" customFormat="1" ht="12" customHeight="1">
      <c r="A184" s="1456">
        <v>170</v>
      </c>
      <c r="B184" s="2367" t="s">
        <v>1062</v>
      </c>
      <c r="C184" s="1457"/>
      <c r="D184" s="1458"/>
      <c r="E184" s="1458"/>
      <c r="F184" s="1458"/>
      <c r="G184" s="1458"/>
      <c r="H184" s="1458"/>
      <c r="I184" s="1793"/>
      <c r="J184" s="1459"/>
      <c r="K184" s="1459"/>
      <c r="L184" s="1459"/>
      <c r="M184" s="1459"/>
      <c r="N184" s="1459"/>
      <c r="O184" s="1459"/>
      <c r="P184" s="1459"/>
      <c r="Q184" s="1459"/>
      <c r="R184" s="1459"/>
      <c r="S184" s="1459"/>
      <c r="T184" s="1459">
        <v>100</v>
      </c>
      <c r="U184" s="1459"/>
      <c r="V184" s="1459">
        <v>100</v>
      </c>
      <c r="W184" s="1459">
        <v>100</v>
      </c>
      <c r="X184" s="1459">
        <v>100</v>
      </c>
      <c r="Y184" s="1459">
        <v>100</v>
      </c>
      <c r="Z184" s="1460">
        <v>100</v>
      </c>
      <c r="AA184" s="1459"/>
      <c r="AB184" s="1461"/>
      <c r="AC184" s="3202">
        <v>508540</v>
      </c>
    </row>
    <row r="185" spans="1:33" s="1111" customFormat="1" ht="12" customHeight="1">
      <c r="A185" s="1451">
        <v>171</v>
      </c>
      <c r="B185" s="2369" t="s">
        <v>1084</v>
      </c>
      <c r="C185" s="1462"/>
      <c r="D185" s="1463"/>
      <c r="E185" s="1463"/>
      <c r="F185" s="1463"/>
      <c r="G185" s="1463"/>
      <c r="H185" s="1463"/>
      <c r="I185" s="1793"/>
      <c r="J185" s="1464"/>
      <c r="K185" s="1464"/>
      <c r="L185" s="1464"/>
      <c r="M185" s="1464"/>
      <c r="N185" s="1464"/>
      <c r="O185" s="1464"/>
      <c r="P185" s="1464"/>
      <c r="Q185" s="1464"/>
      <c r="R185" s="1464"/>
      <c r="S185" s="1464"/>
      <c r="T185" s="1464"/>
      <c r="U185" s="1464"/>
      <c r="V185" s="1464"/>
      <c r="W185" s="1464"/>
      <c r="X185" s="1464"/>
      <c r="Y185" s="1464"/>
      <c r="Z185" s="1465"/>
      <c r="AA185" s="1464"/>
      <c r="AB185" s="1466"/>
      <c r="AC185" s="3203"/>
    </row>
    <row r="186" spans="1:33" s="1111" customFormat="1" ht="12" customHeight="1">
      <c r="A186" s="1456"/>
      <c r="B186" s="2369" t="s">
        <v>1162</v>
      </c>
      <c r="C186" s="2166"/>
      <c r="D186" s="2167"/>
      <c r="E186" s="2167"/>
      <c r="F186" s="2167">
        <v>9</v>
      </c>
      <c r="G186" s="2167">
        <v>35</v>
      </c>
      <c r="H186" s="2167">
        <v>35</v>
      </c>
      <c r="I186" s="2168">
        <v>35</v>
      </c>
      <c r="J186" s="2169">
        <v>46</v>
      </c>
      <c r="K186" s="2169">
        <v>73</v>
      </c>
      <c r="L186" s="2169">
        <v>90</v>
      </c>
      <c r="M186" s="2169">
        <v>94</v>
      </c>
      <c r="N186" s="2169">
        <v>94</v>
      </c>
      <c r="O186" s="2169">
        <v>94</v>
      </c>
      <c r="P186" s="2169">
        <v>35</v>
      </c>
      <c r="Q186" s="2169">
        <v>35</v>
      </c>
      <c r="R186" s="2169">
        <v>35</v>
      </c>
      <c r="S186" s="2169">
        <v>35</v>
      </c>
      <c r="T186" s="2169">
        <v>70</v>
      </c>
      <c r="U186" s="2169"/>
      <c r="V186" s="2169">
        <v>90</v>
      </c>
      <c r="W186" s="2169">
        <v>113</v>
      </c>
      <c r="X186" s="2169">
        <v>113</v>
      </c>
      <c r="Y186" s="2169">
        <v>113</v>
      </c>
      <c r="Z186" s="2170">
        <v>113</v>
      </c>
      <c r="AA186" s="2169">
        <v>70</v>
      </c>
      <c r="AB186" s="2171"/>
      <c r="AC186" s="3203">
        <v>1517856</v>
      </c>
    </row>
    <row r="187" spans="1:33" s="1111" customFormat="1" ht="12" customHeight="1">
      <c r="A187" s="1456">
        <v>172</v>
      </c>
      <c r="B187" s="2365" t="s">
        <v>1159</v>
      </c>
      <c r="C187" s="1498">
        <v>70</v>
      </c>
      <c r="D187" s="1499">
        <v>70</v>
      </c>
      <c r="E187" s="1499">
        <v>35</v>
      </c>
      <c r="F187" s="1499">
        <v>35</v>
      </c>
      <c r="G187" s="1499">
        <v>35</v>
      </c>
      <c r="H187" s="1499">
        <v>35</v>
      </c>
      <c r="I187" s="1801">
        <v>35</v>
      </c>
      <c r="J187" s="1500">
        <v>113</v>
      </c>
      <c r="K187" s="1500">
        <v>113</v>
      </c>
      <c r="L187" s="1500">
        <v>70</v>
      </c>
      <c r="M187" s="1500">
        <v>70</v>
      </c>
      <c r="N187" s="1500">
        <v>90</v>
      </c>
      <c r="O187" s="1500">
        <v>113</v>
      </c>
      <c r="P187" s="1500">
        <v>70</v>
      </c>
      <c r="Q187" s="1500">
        <v>35</v>
      </c>
      <c r="R187" s="1500">
        <v>35</v>
      </c>
      <c r="S187" s="1500">
        <v>50</v>
      </c>
      <c r="T187" s="1500">
        <v>113</v>
      </c>
      <c r="U187" s="1500"/>
      <c r="V187" s="1500">
        <v>113</v>
      </c>
      <c r="W187" s="1500">
        <v>113</v>
      </c>
      <c r="X187" s="1500">
        <v>113</v>
      </c>
      <c r="Y187" s="1500">
        <v>113</v>
      </c>
      <c r="Z187" s="1501">
        <v>113</v>
      </c>
      <c r="AA187" s="1500">
        <v>113</v>
      </c>
      <c r="AB187" s="1502">
        <v>70</v>
      </c>
      <c r="AC187" s="3213">
        <v>1937376</v>
      </c>
    </row>
    <row r="188" spans="1:33" s="1111" customFormat="1" ht="12" customHeight="1">
      <c r="A188" s="1451">
        <v>173</v>
      </c>
      <c r="B188" s="2366" t="s">
        <v>1073</v>
      </c>
      <c r="C188" s="1516"/>
      <c r="D188" s="1517"/>
      <c r="E188" s="1517"/>
      <c r="F188" s="1517"/>
      <c r="G188" s="1517"/>
      <c r="H188" s="1517"/>
      <c r="I188" s="1809"/>
      <c r="J188" s="1517"/>
      <c r="K188" s="1517"/>
      <c r="L188" s="1517"/>
      <c r="M188" s="1517"/>
      <c r="N188" s="1517"/>
      <c r="O188" s="1517"/>
      <c r="P188" s="1517"/>
      <c r="Q188" s="1517"/>
      <c r="R188" s="1517"/>
      <c r="S188" s="1517"/>
      <c r="T188" s="1517"/>
      <c r="U188" s="1517"/>
      <c r="V188" s="1517"/>
      <c r="W188" s="1517"/>
      <c r="X188" s="1517"/>
      <c r="Y188" s="1517"/>
      <c r="Z188" s="1518"/>
      <c r="AA188" s="1517"/>
      <c r="AB188" s="1519"/>
      <c r="AC188" s="3223"/>
    </row>
    <row r="189" spans="1:33" s="1115" customFormat="1" ht="15" customHeight="1">
      <c r="A189" s="1451">
        <v>175</v>
      </c>
      <c r="B189" s="2367" t="s">
        <v>1074</v>
      </c>
      <c r="C189" s="1610"/>
      <c r="D189" s="1609"/>
      <c r="E189" s="1609"/>
      <c r="F189" s="1609"/>
      <c r="G189" s="1609"/>
      <c r="H189" s="1609"/>
      <c r="I189" s="1813"/>
      <c r="J189" s="1607"/>
      <c r="K189" s="1607"/>
      <c r="L189" s="1607"/>
      <c r="M189" s="1607"/>
      <c r="N189" s="1607"/>
      <c r="O189" s="1607"/>
      <c r="P189" s="1607"/>
      <c r="Q189" s="1607"/>
      <c r="R189" s="1607"/>
      <c r="S189" s="1607"/>
      <c r="T189" s="1607"/>
      <c r="U189" s="1607"/>
      <c r="V189" s="1607"/>
      <c r="W189" s="1607"/>
      <c r="X189" s="1607"/>
      <c r="Y189" s="1607"/>
      <c r="Z189" s="1608"/>
      <c r="AA189" s="1607"/>
      <c r="AB189" s="1606"/>
      <c r="AC189" s="3211"/>
    </row>
    <row r="190" spans="1:33" s="1115" customFormat="1" ht="15" customHeight="1">
      <c r="A190" s="1456">
        <v>176</v>
      </c>
      <c r="B190" s="2363" t="s">
        <v>1086</v>
      </c>
      <c r="C190" s="1605">
        <v>112</v>
      </c>
      <c r="D190" s="1604">
        <v>112</v>
      </c>
      <c r="E190" s="1604">
        <v>105</v>
      </c>
      <c r="F190" s="1604">
        <v>70</v>
      </c>
      <c r="G190" s="1604">
        <v>70</v>
      </c>
      <c r="H190" s="1604">
        <v>70</v>
      </c>
      <c r="I190" s="1813">
        <v>105</v>
      </c>
      <c r="J190" s="1602">
        <v>105</v>
      </c>
      <c r="K190" s="1602">
        <v>98</v>
      </c>
      <c r="L190" s="1602">
        <v>98</v>
      </c>
      <c r="M190" s="1602">
        <v>98</v>
      </c>
      <c r="N190" s="1602">
        <v>49</v>
      </c>
      <c r="O190" s="1602">
        <v>47</v>
      </c>
      <c r="P190" s="1602">
        <v>47</v>
      </c>
      <c r="Q190" s="1602">
        <v>54</v>
      </c>
      <c r="R190" s="1602">
        <v>54</v>
      </c>
      <c r="S190" s="1602">
        <v>103</v>
      </c>
      <c r="T190" s="1602">
        <v>112</v>
      </c>
      <c r="U190" s="1602"/>
      <c r="V190" s="1602">
        <v>112</v>
      </c>
      <c r="W190" s="1602">
        <v>112</v>
      </c>
      <c r="X190" s="1602">
        <v>112</v>
      </c>
      <c r="Y190" s="1602">
        <v>112</v>
      </c>
      <c r="Z190" s="1603">
        <v>112</v>
      </c>
      <c r="AA190" s="1602">
        <v>112</v>
      </c>
      <c r="AB190" s="1601">
        <v>112</v>
      </c>
      <c r="AC190" s="3224">
        <v>2196240</v>
      </c>
    </row>
    <row r="191" spans="1:33" s="1115" customFormat="1" ht="15" customHeight="1">
      <c r="A191" s="1451">
        <v>177</v>
      </c>
      <c r="B191" s="2374" t="s">
        <v>1111</v>
      </c>
      <c r="C191" s="1600"/>
      <c r="D191" s="1599"/>
      <c r="E191" s="1599"/>
      <c r="F191" s="1599"/>
      <c r="G191" s="1599"/>
      <c r="H191" s="1599"/>
      <c r="I191" s="1813">
        <v>0</v>
      </c>
      <c r="J191" s="1597">
        <v>1</v>
      </c>
      <c r="K191" s="1597">
        <v>1</v>
      </c>
      <c r="L191" s="1597">
        <v>3</v>
      </c>
      <c r="M191" s="1597"/>
      <c r="N191" s="1597"/>
      <c r="O191" s="1597"/>
      <c r="P191" s="1597">
        <v>3</v>
      </c>
      <c r="Q191" s="1597">
        <v>2</v>
      </c>
      <c r="R191" s="1597">
        <v>1</v>
      </c>
      <c r="S191" s="1597">
        <v>0</v>
      </c>
      <c r="T191" s="1597"/>
      <c r="U191" s="1597"/>
      <c r="V191" s="1597"/>
      <c r="W191" s="1597"/>
      <c r="X191" s="1597"/>
      <c r="Y191" s="1597"/>
      <c r="Z191" s="1598"/>
      <c r="AA191" s="1597"/>
      <c r="AB191" s="1596"/>
      <c r="AC191" s="3220">
        <v>14577</v>
      </c>
    </row>
    <row r="192" spans="1:33" s="1116" customFormat="1" ht="15" customHeight="1" thickBot="1">
      <c r="A192" s="1532">
        <v>178</v>
      </c>
      <c r="B192" s="2375" t="s">
        <v>1481</v>
      </c>
      <c r="C192" s="1595"/>
      <c r="D192" s="1593"/>
      <c r="E192" s="1593"/>
      <c r="F192" s="1593"/>
      <c r="G192" s="1593"/>
      <c r="H192" s="1593"/>
      <c r="I192" s="1814"/>
      <c r="J192" s="1593"/>
      <c r="K192" s="1593"/>
      <c r="L192" s="1593"/>
      <c r="M192" s="1593"/>
      <c r="N192" s="1593"/>
      <c r="O192" s="1593"/>
      <c r="P192" s="1593"/>
      <c r="Q192" s="1593"/>
      <c r="R192" s="1593"/>
      <c r="S192" s="1593"/>
      <c r="T192" s="1593"/>
      <c r="U192" s="1593"/>
      <c r="V192" s="1593"/>
      <c r="W192" s="1593"/>
      <c r="X192" s="1593"/>
      <c r="Y192" s="1593"/>
      <c r="Z192" s="1594"/>
      <c r="AA192" s="1593"/>
      <c r="AB192" s="1592"/>
      <c r="AC192" s="3221">
        <v>0</v>
      </c>
      <c r="AG192" s="1115"/>
    </row>
    <row r="193" spans="1:35" s="1110" customFormat="1" ht="19.5" thickBot="1">
      <c r="A193" s="1532">
        <v>178</v>
      </c>
      <c r="B193" s="2379"/>
      <c r="C193" s="1533"/>
      <c r="D193" s="1533"/>
      <c r="E193" s="1533"/>
      <c r="F193" s="1533"/>
      <c r="G193" s="1533"/>
      <c r="H193" s="1533"/>
      <c r="I193" s="1815"/>
      <c r="J193" s="1533"/>
      <c r="K193" s="1533"/>
      <c r="L193" s="1533"/>
      <c r="M193" s="1533"/>
      <c r="N193" s="1533"/>
      <c r="O193" s="1533"/>
      <c r="P193" s="1533"/>
      <c r="Q193" s="1533"/>
      <c r="R193" s="1533"/>
      <c r="S193" s="1533"/>
      <c r="T193" s="1533"/>
      <c r="U193" s="1533"/>
      <c r="V193" s="1533"/>
      <c r="W193" s="1533"/>
      <c r="X193" s="1533"/>
      <c r="Y193" s="1533"/>
      <c r="Z193" s="1533"/>
      <c r="AA193" s="1533"/>
      <c r="AB193" s="1533"/>
      <c r="AC193" s="3228"/>
      <c r="AD193" s="1124"/>
      <c r="AE193" s="1124"/>
      <c r="AF193" s="1124"/>
      <c r="AG193" s="1115"/>
      <c r="AH193" s="1124"/>
      <c r="AI193" s="1124"/>
    </row>
    <row r="194" spans="1:35" s="1110" customFormat="1" ht="18.75" thickBot="1">
      <c r="A194" s="1586">
        <v>179</v>
      </c>
      <c r="B194" s="3251" t="s">
        <v>788</v>
      </c>
      <c r="C194" s="3229">
        <v>1870</v>
      </c>
      <c r="D194" s="3229">
        <v>1783</v>
      </c>
      <c r="E194" s="3229">
        <v>1754</v>
      </c>
      <c r="F194" s="3229">
        <v>1680</v>
      </c>
      <c r="G194" s="3229">
        <v>1664</v>
      </c>
      <c r="H194" s="3229">
        <v>1740</v>
      </c>
      <c r="I194" s="3229">
        <v>1793</v>
      </c>
      <c r="J194" s="3229">
        <v>1897</v>
      </c>
      <c r="K194" s="3229">
        <v>2023</v>
      </c>
      <c r="L194" s="3229">
        <v>2016</v>
      </c>
      <c r="M194" s="3229">
        <v>2083</v>
      </c>
      <c r="N194" s="3229">
        <v>2152</v>
      </c>
      <c r="O194" s="3229">
        <v>2179</v>
      </c>
      <c r="P194" s="3229">
        <v>1838</v>
      </c>
      <c r="Q194" s="3229">
        <v>1818</v>
      </c>
      <c r="R194" s="3229">
        <v>1828</v>
      </c>
      <c r="S194" s="3229">
        <v>1855</v>
      </c>
      <c r="T194" s="3229">
        <v>2453</v>
      </c>
      <c r="U194" s="3229"/>
      <c r="V194" s="3229">
        <v>2601</v>
      </c>
      <c r="W194" s="3229">
        <v>2775</v>
      </c>
      <c r="X194" s="3229">
        <v>2735</v>
      </c>
      <c r="Y194" s="3229">
        <v>2715</v>
      </c>
      <c r="Z194" s="3229">
        <v>2754</v>
      </c>
      <c r="AA194" s="3229">
        <v>2443</v>
      </c>
      <c r="AB194" s="3229">
        <v>2100</v>
      </c>
      <c r="AC194" s="3229">
        <v>51024859</v>
      </c>
      <c r="AD194" s="3397"/>
      <c r="AE194" s="1124"/>
      <c r="AF194" s="1124"/>
      <c r="AG194" s="4227">
        <f>SUM(AC131:AC193)</f>
        <v>51024859</v>
      </c>
      <c r="AH194" s="1124"/>
      <c r="AI194" s="1124"/>
    </row>
    <row r="195" spans="1:35" s="3253" customFormat="1" ht="18.75">
      <c r="B195" s="3256" t="s">
        <v>1212</v>
      </c>
      <c r="C195" s="3633">
        <f>C194+C130</f>
        <v>6777</v>
      </c>
      <c r="D195" s="3633">
        <f t="shared" ref="D195:V195" si="0">D194+D130</f>
        <v>6319</v>
      </c>
      <c r="E195" s="3633">
        <f t="shared" si="0"/>
        <v>6101</v>
      </c>
      <c r="F195" s="3633">
        <f t="shared" si="0"/>
        <v>5936</v>
      </c>
      <c r="G195" s="3633">
        <f t="shared" si="0"/>
        <v>5848</v>
      </c>
      <c r="H195" s="3255">
        <f t="shared" si="0"/>
        <v>5977</v>
      </c>
      <c r="I195" s="3255">
        <f t="shared" si="0"/>
        <v>5994</v>
      </c>
      <c r="J195" s="3255">
        <f t="shared" si="0"/>
        <v>6390</v>
      </c>
      <c r="K195" s="3255">
        <f t="shared" si="0"/>
        <v>6620</v>
      </c>
      <c r="L195" s="3255">
        <f t="shared" si="0"/>
        <v>6485</v>
      </c>
      <c r="M195" s="3255">
        <f t="shared" si="0"/>
        <v>6587</v>
      </c>
      <c r="N195" s="3255">
        <f t="shared" si="0"/>
        <v>6932</v>
      </c>
      <c r="O195" s="3255">
        <f t="shared" si="0"/>
        <v>7335</v>
      </c>
      <c r="P195" s="3255">
        <f t="shared" si="0"/>
        <v>6377</v>
      </c>
      <c r="Q195" s="3255">
        <f t="shared" si="0"/>
        <v>6074</v>
      </c>
      <c r="R195" s="3255">
        <f t="shared" si="0"/>
        <v>6040</v>
      </c>
      <c r="S195" s="3255">
        <f t="shared" si="0"/>
        <v>6234</v>
      </c>
      <c r="T195" s="3255">
        <f t="shared" si="0"/>
        <v>7572</v>
      </c>
      <c r="U195" s="3255">
        <f t="shared" si="0"/>
        <v>0</v>
      </c>
      <c r="V195" s="3255">
        <f t="shared" si="0"/>
        <v>8098</v>
      </c>
      <c r="W195" s="3255">
        <f t="shared" ref="W195:AA195" si="1">W194+W130</f>
        <v>8218</v>
      </c>
      <c r="X195" s="3255">
        <f t="shared" si="1"/>
        <v>8163</v>
      </c>
      <c r="Y195" s="3255">
        <f t="shared" si="1"/>
        <v>7993</v>
      </c>
      <c r="Z195" s="3255">
        <f t="shared" si="1"/>
        <v>7759</v>
      </c>
      <c r="AA195" s="3255">
        <f t="shared" si="1"/>
        <v>7232</v>
      </c>
      <c r="AB195" s="3255">
        <f>AB194+AB130</f>
        <v>6677</v>
      </c>
      <c r="AC195" s="3255">
        <f>AC194+AC130</f>
        <v>166233896</v>
      </c>
      <c r="AD195" s="3254"/>
      <c r="AE195" s="3254"/>
      <c r="AF195" s="3254"/>
      <c r="AG195" s="3252"/>
      <c r="AH195" s="3254"/>
      <c r="AI195" s="3254"/>
    </row>
    <row r="196" spans="1:35" s="1110" customFormat="1">
      <c r="B196" s="6"/>
      <c r="C196" s="1117"/>
      <c r="D196" s="1117"/>
      <c r="E196" s="1117"/>
      <c r="F196" s="1117"/>
      <c r="G196" s="1117"/>
      <c r="H196" s="1117"/>
      <c r="I196" s="1816"/>
      <c r="J196" s="1117"/>
      <c r="K196" s="1117"/>
      <c r="L196" s="1117"/>
      <c r="M196" s="1118"/>
      <c r="N196" s="1117"/>
      <c r="O196" s="1117"/>
      <c r="P196" s="1117"/>
      <c r="Q196" s="1117"/>
      <c r="R196" s="1117"/>
      <c r="S196" s="1117"/>
      <c r="T196" s="1117"/>
      <c r="U196" s="1117"/>
      <c r="V196" s="1117"/>
      <c r="W196" s="1117"/>
      <c r="X196" s="1117"/>
      <c r="Y196" s="1117"/>
      <c r="Z196" s="1127"/>
      <c r="AA196" s="1117"/>
      <c r="AB196" s="1117"/>
      <c r="AC196" s="3230"/>
      <c r="AD196" s="1124"/>
      <c r="AE196" s="1124"/>
      <c r="AF196" s="1124"/>
      <c r="AG196" s="1124"/>
      <c r="AH196" s="1124"/>
      <c r="AI196" s="1124"/>
    </row>
    <row r="197" spans="1:35" s="1110" customFormat="1">
      <c r="B197" s="6"/>
      <c r="C197" s="1117"/>
      <c r="D197" s="1117"/>
      <c r="E197" s="1117"/>
      <c r="F197" s="1117"/>
      <c r="G197" s="1117"/>
      <c r="H197" s="1117"/>
      <c r="I197" s="1816"/>
      <c r="J197" s="1117"/>
      <c r="K197" s="1117"/>
      <c r="L197" s="1117"/>
      <c r="M197" s="1118"/>
      <c r="N197" s="1117"/>
      <c r="O197" s="1117"/>
      <c r="P197" s="1117"/>
      <c r="Q197" s="1117"/>
      <c r="R197" s="1117"/>
      <c r="S197" s="1117"/>
      <c r="T197" s="1117"/>
      <c r="U197" s="1117"/>
      <c r="V197" s="1117"/>
      <c r="W197" s="1117"/>
      <c r="X197" s="1117"/>
      <c r="Y197" s="1117"/>
      <c r="Z197" s="1127"/>
      <c r="AA197" s="1117"/>
      <c r="AB197" s="1117"/>
      <c r="AC197" s="3230"/>
      <c r="AD197" s="1124"/>
      <c r="AE197" s="1124"/>
      <c r="AF197" s="1124"/>
      <c r="AG197" s="1124"/>
      <c r="AH197" s="1124"/>
      <c r="AI197" s="1124"/>
    </row>
    <row r="198" spans="1:35" s="1110" customFormat="1">
      <c r="B198" s="6"/>
      <c r="C198" s="1117"/>
      <c r="D198" s="1117"/>
      <c r="E198" s="1117"/>
      <c r="F198" s="1117"/>
      <c r="G198" s="1117"/>
      <c r="H198" s="1117"/>
      <c r="I198" s="1816"/>
      <c r="J198" s="1117"/>
      <c r="K198" s="1117"/>
      <c r="L198" s="1117"/>
      <c r="M198" s="1118"/>
      <c r="N198" s="1117"/>
      <c r="O198" s="1117"/>
      <c r="P198" s="1117"/>
      <c r="Q198" s="1117"/>
      <c r="R198" s="1117"/>
      <c r="S198" s="1117"/>
      <c r="T198" s="1117"/>
      <c r="U198" s="1117"/>
      <c r="V198" s="1117"/>
      <c r="W198" s="1117"/>
      <c r="X198" s="1117"/>
      <c r="Y198" s="1117"/>
      <c r="Z198" s="1127"/>
      <c r="AA198" s="1117"/>
      <c r="AB198" s="1117"/>
      <c r="AC198" s="3230"/>
      <c r="AD198" s="1124"/>
      <c r="AE198" s="1124"/>
      <c r="AF198" s="1124"/>
      <c r="AG198" s="1124"/>
      <c r="AH198" s="1124"/>
      <c r="AI198" s="1124"/>
    </row>
    <row r="199" spans="1:35" s="1110" customFormat="1">
      <c r="B199" s="6"/>
      <c r="C199" s="1117"/>
      <c r="D199" s="1117"/>
      <c r="E199" s="1117"/>
      <c r="F199" s="1117"/>
      <c r="G199" s="1117"/>
      <c r="H199" s="1117"/>
      <c r="I199" s="1816"/>
      <c r="J199" s="1117"/>
      <c r="K199" s="1117"/>
      <c r="L199" s="1117"/>
      <c r="M199" s="1118"/>
      <c r="N199" s="1117"/>
      <c r="O199" s="1117"/>
      <c r="P199" s="1117"/>
      <c r="Q199" s="1117"/>
      <c r="R199" s="1117"/>
      <c r="S199" s="1117"/>
      <c r="T199" s="1117"/>
      <c r="U199" s="1117"/>
      <c r="V199" s="1117"/>
      <c r="W199" s="1117"/>
      <c r="X199" s="1117"/>
      <c r="Y199" s="1117"/>
      <c r="Z199" s="1127"/>
      <c r="AA199" s="1117"/>
      <c r="AB199" s="1117"/>
      <c r="AC199" s="3230"/>
      <c r="AD199" s="1124"/>
      <c r="AE199" s="1124"/>
      <c r="AF199" s="1124"/>
      <c r="AG199" s="1124"/>
      <c r="AH199" s="1124"/>
      <c r="AI199" s="1124"/>
    </row>
    <row r="200" spans="1:35" s="1110" customFormat="1">
      <c r="B200" s="6"/>
      <c r="C200" s="1117"/>
      <c r="D200" s="1117"/>
      <c r="E200" s="1117"/>
      <c r="F200" s="1117"/>
      <c r="G200" s="1117"/>
      <c r="H200" s="1117"/>
      <c r="I200" s="1816"/>
      <c r="J200" s="1117"/>
      <c r="K200" s="1117"/>
      <c r="L200" s="1117"/>
      <c r="M200" s="1118"/>
      <c r="N200" s="1117"/>
      <c r="O200" s="1117"/>
      <c r="P200" s="1117"/>
      <c r="Q200" s="1117"/>
      <c r="R200" s="1117"/>
      <c r="S200" s="1117"/>
      <c r="T200" s="1117"/>
      <c r="U200" s="1117"/>
      <c r="V200" s="1117"/>
      <c r="W200" s="1117"/>
      <c r="X200" s="1117"/>
      <c r="Y200" s="1117"/>
      <c r="Z200" s="1127"/>
      <c r="AA200" s="1117"/>
      <c r="AB200" s="1117"/>
      <c r="AC200" s="3230"/>
      <c r="AD200" s="1124"/>
      <c r="AE200" s="1124"/>
      <c r="AF200" s="1124"/>
      <c r="AG200" s="1124"/>
      <c r="AH200" s="1124"/>
      <c r="AI200" s="1124"/>
    </row>
    <row r="201" spans="1:35">
      <c r="AC201" s="3231">
        <f>AC194+AC130</f>
        <v>166233896</v>
      </c>
      <c r="AD201" s="1125"/>
      <c r="AE201" s="1125"/>
      <c r="AF201" s="1125"/>
      <c r="AG201" s="4244">
        <f>AG130+AG194</f>
        <v>165848696</v>
      </c>
      <c r="AH201" s="1125"/>
      <c r="AI201" s="1125"/>
    </row>
    <row r="202" spans="1:35">
      <c r="AD202" s="1125"/>
      <c r="AE202" s="1125"/>
      <c r="AF202" s="1125"/>
      <c r="AG202" s="4244">
        <f>AG201-AC201</f>
        <v>-385200</v>
      </c>
      <c r="AH202" s="1125"/>
      <c r="AI202" s="1125"/>
    </row>
    <row r="203" spans="1:35">
      <c r="AD203" s="1125"/>
      <c r="AE203" s="1125"/>
      <c r="AF203" s="1125"/>
      <c r="AG203" s="1125"/>
      <c r="AH203" s="1125"/>
      <c r="AI203" s="1125"/>
    </row>
    <row r="204" spans="1:35">
      <c r="AD204" s="1125"/>
      <c r="AE204" s="1125"/>
      <c r="AF204" s="1125"/>
      <c r="AG204" s="1125"/>
      <c r="AH204" s="1125"/>
      <c r="AI204" s="1125"/>
    </row>
    <row r="205" spans="1:35">
      <c r="AD205" s="1125"/>
      <c r="AE205" s="1125"/>
      <c r="AF205" s="1125"/>
      <c r="AG205" s="1125"/>
      <c r="AH205" s="1125"/>
      <c r="AI205" s="1125"/>
    </row>
    <row r="206" spans="1:35">
      <c r="AD206" s="1125"/>
      <c r="AE206" s="1125"/>
      <c r="AF206" s="1125"/>
      <c r="AG206" s="1125"/>
      <c r="AH206" s="1125"/>
      <c r="AI206" s="1125"/>
    </row>
    <row r="207" spans="1:35">
      <c r="AD207" s="1125"/>
      <c r="AE207" s="1125"/>
      <c r="AF207" s="1125"/>
      <c r="AG207" s="1125"/>
      <c r="AH207" s="1125"/>
      <c r="AI207" s="1125"/>
    </row>
    <row r="208" spans="1:35">
      <c r="AD208" s="1125"/>
      <c r="AE208" s="1125"/>
      <c r="AF208" s="1125"/>
      <c r="AG208" s="1125"/>
      <c r="AH208" s="1125"/>
      <c r="AI208" s="1125"/>
    </row>
    <row r="209" spans="30:35">
      <c r="AD209" s="1125"/>
      <c r="AE209" s="1125"/>
      <c r="AF209" s="1125"/>
      <c r="AG209" s="1125"/>
      <c r="AH209" s="1125"/>
      <c r="AI209" s="1125"/>
    </row>
    <row r="210" spans="30:35">
      <c r="AD210" s="1125"/>
      <c r="AE210" s="1125"/>
      <c r="AF210" s="1125"/>
      <c r="AG210" s="1125"/>
      <c r="AH210" s="1125"/>
      <c r="AI210" s="1125"/>
    </row>
    <row r="211" spans="30:35">
      <c r="AD211" s="1125"/>
      <c r="AE211" s="1125"/>
      <c r="AF211" s="1125"/>
      <c r="AG211" s="1125"/>
      <c r="AH211" s="1125"/>
      <c r="AI211" s="1125"/>
    </row>
    <row r="212" spans="30:35">
      <c r="AD212" s="1125"/>
      <c r="AE212" s="1125"/>
      <c r="AF212" s="1125"/>
      <c r="AG212" s="1125"/>
      <c r="AH212" s="1125"/>
      <c r="AI212" s="1125"/>
    </row>
    <row r="213" spans="30:35">
      <c r="AD213" s="1125"/>
      <c r="AE213" s="1125"/>
      <c r="AF213" s="1125"/>
      <c r="AG213" s="1125"/>
      <c r="AH213" s="1125"/>
      <c r="AI213" s="1125"/>
    </row>
    <row r="214" spans="30:35">
      <c r="AD214" s="1125"/>
      <c r="AE214" s="1125"/>
      <c r="AF214" s="1125"/>
      <c r="AG214" s="1125"/>
      <c r="AH214" s="1125"/>
      <c r="AI214" s="1125"/>
    </row>
    <row r="215" spans="30:35">
      <c r="AD215" s="1125"/>
      <c r="AE215" s="1125"/>
      <c r="AF215" s="1125"/>
      <c r="AG215" s="1125"/>
      <c r="AH215" s="1125"/>
      <c r="AI215" s="1125"/>
    </row>
    <row r="216" spans="30:35">
      <c r="AD216" s="1125"/>
      <c r="AE216" s="1125"/>
      <c r="AF216" s="1125"/>
      <c r="AG216" s="1125"/>
      <c r="AH216" s="1125"/>
      <c r="AI216" s="1125"/>
    </row>
    <row r="217" spans="30:35">
      <c r="AD217" s="1125"/>
      <c r="AE217" s="1125"/>
      <c r="AF217" s="1125"/>
      <c r="AG217" s="1125"/>
      <c r="AH217" s="1125"/>
      <c r="AI217" s="1125"/>
    </row>
    <row r="218" spans="30:35">
      <c r="AD218" s="1125"/>
      <c r="AE218" s="1125"/>
      <c r="AF218" s="1125"/>
      <c r="AG218" s="1125"/>
      <c r="AH218" s="1125"/>
      <c r="AI218" s="1125"/>
    </row>
    <row r="219" spans="30:35">
      <c r="AD219" s="1125"/>
      <c r="AE219" s="1125"/>
      <c r="AF219" s="1125"/>
      <c r="AG219" s="1125"/>
      <c r="AH219" s="1125"/>
      <c r="AI219" s="1125"/>
    </row>
    <row r="220" spans="30:35">
      <c r="AD220" s="1125"/>
      <c r="AE220" s="1125"/>
      <c r="AF220" s="1125"/>
      <c r="AG220" s="1125"/>
      <c r="AH220" s="1125"/>
      <c r="AI220" s="1125"/>
    </row>
    <row r="221" spans="30:35">
      <c r="AD221" s="1125"/>
      <c r="AE221" s="1125"/>
      <c r="AF221" s="1125"/>
      <c r="AG221" s="1125"/>
      <c r="AH221" s="1125"/>
      <c r="AI221" s="1125"/>
    </row>
    <row r="222" spans="30:35">
      <c r="AD222" s="1125"/>
      <c r="AE222" s="1125"/>
      <c r="AF222" s="1125"/>
      <c r="AG222" s="1125"/>
      <c r="AH222" s="1125"/>
      <c r="AI222" s="1125"/>
    </row>
    <row r="223" spans="30:35">
      <c r="AD223" s="1125"/>
      <c r="AE223" s="1125"/>
      <c r="AF223" s="1125"/>
      <c r="AG223" s="1125"/>
      <c r="AH223" s="1125"/>
      <c r="AI223" s="1125"/>
    </row>
    <row r="224" spans="30:35">
      <c r="AD224" s="1125"/>
      <c r="AE224" s="1125"/>
      <c r="AF224" s="1125"/>
      <c r="AG224" s="1125"/>
      <c r="AH224" s="1125"/>
      <c r="AI224" s="1125"/>
    </row>
    <row r="225" spans="30:35">
      <c r="AD225" s="1125"/>
      <c r="AE225" s="1125"/>
      <c r="AF225" s="1125"/>
      <c r="AG225" s="1125"/>
      <c r="AH225" s="1125"/>
      <c r="AI225" s="1125"/>
    </row>
    <row r="226" spans="30:35">
      <c r="AD226" s="1125"/>
      <c r="AE226" s="1125"/>
      <c r="AF226" s="1125"/>
      <c r="AG226" s="1125"/>
      <c r="AH226" s="1125"/>
      <c r="AI226" s="1125"/>
    </row>
    <row r="227" spans="30:35">
      <c r="AD227" s="1125"/>
      <c r="AE227" s="1125"/>
      <c r="AF227" s="1125"/>
      <c r="AG227" s="1125"/>
      <c r="AH227" s="1125"/>
      <c r="AI227" s="1125"/>
    </row>
    <row r="228" spans="30:35">
      <c r="AD228" s="1125"/>
      <c r="AE228" s="1125"/>
      <c r="AF228" s="1125"/>
      <c r="AG228" s="1125"/>
      <c r="AH228" s="1125"/>
      <c r="AI228" s="1125"/>
    </row>
    <row r="229" spans="30:35">
      <c r="AD229" s="1125"/>
      <c r="AE229" s="1125"/>
      <c r="AF229" s="1125"/>
      <c r="AG229" s="1125"/>
      <c r="AH229" s="1125"/>
      <c r="AI229" s="1125"/>
    </row>
    <row r="230" spans="30:35">
      <c r="AD230" s="1125"/>
      <c r="AE230" s="1125"/>
      <c r="AF230" s="1125"/>
      <c r="AG230" s="1125"/>
      <c r="AH230" s="1125"/>
      <c r="AI230" s="1125"/>
    </row>
    <row r="231" spans="30:35">
      <c r="AD231" s="1125"/>
      <c r="AE231" s="1125"/>
      <c r="AF231" s="1125"/>
      <c r="AG231" s="1125"/>
      <c r="AH231" s="1125"/>
      <c r="AI231" s="1125"/>
    </row>
    <row r="232" spans="30:35">
      <c r="AD232" s="1125"/>
      <c r="AE232" s="1125"/>
      <c r="AF232" s="1125"/>
      <c r="AG232" s="1125"/>
      <c r="AH232" s="1125"/>
      <c r="AI232" s="1125"/>
    </row>
    <row r="233" spans="30:35">
      <c r="AD233" s="1125"/>
      <c r="AE233" s="1125"/>
      <c r="AF233" s="1125"/>
      <c r="AG233" s="1125"/>
      <c r="AH233" s="1125"/>
      <c r="AI233" s="1125"/>
    </row>
    <row r="234" spans="30:35">
      <c r="AD234" s="1125"/>
      <c r="AE234" s="1125"/>
      <c r="AF234" s="1125"/>
      <c r="AG234" s="1125"/>
      <c r="AH234" s="1125"/>
      <c r="AI234" s="1125"/>
    </row>
    <row r="235" spans="30:35">
      <c r="AD235" s="1125"/>
      <c r="AE235" s="1125"/>
      <c r="AF235" s="1125"/>
      <c r="AG235" s="1125"/>
      <c r="AH235" s="1125"/>
      <c r="AI235" s="1125"/>
    </row>
    <row r="236" spans="30:35">
      <c r="AD236" s="1125"/>
      <c r="AE236" s="1125"/>
      <c r="AF236" s="1125"/>
      <c r="AG236" s="1125"/>
      <c r="AH236" s="1125"/>
      <c r="AI236" s="1125"/>
    </row>
    <row r="237" spans="30:35">
      <c r="AD237" s="1125"/>
      <c r="AE237" s="1125"/>
      <c r="AF237" s="1125"/>
      <c r="AG237" s="1125"/>
      <c r="AH237" s="1125"/>
      <c r="AI237" s="1125"/>
    </row>
    <row r="238" spans="30:35">
      <c r="AD238" s="1125"/>
      <c r="AE238" s="1125"/>
      <c r="AF238" s="1125"/>
      <c r="AG238" s="1125"/>
      <c r="AH238" s="1125"/>
      <c r="AI238" s="1125"/>
    </row>
    <row r="239" spans="30:35">
      <c r="AD239" s="1125"/>
      <c r="AE239" s="1125"/>
      <c r="AF239" s="1125"/>
      <c r="AG239" s="1125"/>
      <c r="AH239" s="1125"/>
      <c r="AI239" s="1125"/>
    </row>
    <row r="240" spans="30:35">
      <c r="AD240" s="1125"/>
      <c r="AE240" s="1125"/>
      <c r="AF240" s="1125"/>
      <c r="AG240" s="1125"/>
      <c r="AH240" s="1125"/>
      <c r="AI240" s="1125"/>
    </row>
    <row r="241" spans="30:35">
      <c r="AD241" s="1125"/>
      <c r="AE241" s="1125"/>
      <c r="AF241" s="1125"/>
      <c r="AG241" s="1125"/>
      <c r="AH241" s="1125"/>
      <c r="AI241" s="1125"/>
    </row>
    <row r="242" spans="30:35">
      <c r="AD242" s="1125"/>
      <c r="AE242" s="1125"/>
      <c r="AF242" s="1125"/>
      <c r="AG242" s="1125"/>
      <c r="AH242" s="1125"/>
      <c r="AI242" s="1125"/>
    </row>
    <row r="243" spans="30:35">
      <c r="AD243" s="1125"/>
      <c r="AE243" s="1125"/>
      <c r="AF243" s="1125"/>
      <c r="AG243" s="1125"/>
      <c r="AH243" s="1125"/>
      <c r="AI243" s="1125"/>
    </row>
    <row r="244" spans="30:35">
      <c r="AD244" s="1125"/>
      <c r="AE244" s="1125"/>
      <c r="AF244" s="1125"/>
      <c r="AG244" s="1125"/>
      <c r="AH244" s="1125"/>
      <c r="AI244" s="1125"/>
    </row>
    <row r="245" spans="30:35">
      <c r="AD245" s="1125"/>
      <c r="AE245" s="1125"/>
      <c r="AF245" s="1125"/>
      <c r="AG245" s="1125"/>
      <c r="AH245" s="1125"/>
      <c r="AI245" s="1125"/>
    </row>
    <row r="246" spans="30:35">
      <c r="AD246" s="1125"/>
      <c r="AE246" s="1125"/>
      <c r="AF246" s="1125"/>
      <c r="AG246" s="1125"/>
      <c r="AH246" s="1125"/>
      <c r="AI246" s="1125"/>
    </row>
    <row r="247" spans="30:35">
      <c r="AD247" s="1125"/>
      <c r="AE247" s="1125"/>
      <c r="AF247" s="1125"/>
      <c r="AG247" s="1125"/>
      <c r="AH247" s="1125"/>
      <c r="AI247" s="1125"/>
    </row>
    <row r="248" spans="30:35">
      <c r="AD248" s="1125"/>
      <c r="AE248" s="1125"/>
      <c r="AF248" s="1125"/>
      <c r="AG248" s="1125"/>
      <c r="AH248" s="1125"/>
      <c r="AI248" s="1125"/>
    </row>
    <row r="249" spans="30:35">
      <c r="AD249" s="1125"/>
      <c r="AE249" s="1125"/>
      <c r="AF249" s="1125"/>
      <c r="AG249" s="1125"/>
      <c r="AH249" s="1125"/>
      <c r="AI249" s="1125"/>
    </row>
    <row r="250" spans="30:35">
      <c r="AD250" s="1125"/>
      <c r="AE250" s="1125"/>
      <c r="AF250" s="1125"/>
      <c r="AG250" s="1125"/>
      <c r="AH250" s="1125"/>
      <c r="AI250" s="1125"/>
    </row>
    <row r="251" spans="30:35">
      <c r="AD251" s="1125"/>
      <c r="AE251" s="1125"/>
      <c r="AF251" s="1125"/>
      <c r="AG251" s="1125"/>
      <c r="AH251" s="1125"/>
      <c r="AI251" s="1125"/>
    </row>
    <row r="252" spans="30:35">
      <c r="AD252" s="1125"/>
      <c r="AE252" s="1125"/>
      <c r="AF252" s="1125"/>
      <c r="AG252" s="1125"/>
      <c r="AH252" s="1125"/>
      <c r="AI252" s="1125"/>
    </row>
    <row r="253" spans="30:35">
      <c r="AD253" s="1125"/>
      <c r="AE253" s="1125"/>
      <c r="AF253" s="1125"/>
      <c r="AG253" s="1125"/>
      <c r="AH253" s="1125"/>
      <c r="AI253" s="1125"/>
    </row>
    <row r="254" spans="30:35">
      <c r="AD254" s="1125"/>
      <c r="AE254" s="1125"/>
      <c r="AF254" s="1125"/>
      <c r="AG254" s="1125"/>
      <c r="AH254" s="1125"/>
      <c r="AI254" s="1125"/>
    </row>
    <row r="255" spans="30:35">
      <c r="AD255" s="1125"/>
      <c r="AE255" s="1125"/>
      <c r="AF255" s="1125"/>
      <c r="AG255" s="1125"/>
      <c r="AH255" s="1125"/>
      <c r="AI255" s="1125"/>
    </row>
    <row r="256" spans="30:35">
      <c r="AD256" s="1125"/>
      <c r="AE256" s="1125"/>
      <c r="AF256" s="1125"/>
      <c r="AG256" s="1125"/>
      <c r="AH256" s="1125"/>
      <c r="AI256" s="1125"/>
    </row>
    <row r="257" spans="30:35">
      <c r="AD257" s="1125"/>
      <c r="AE257" s="1125"/>
      <c r="AF257" s="1125"/>
      <c r="AG257" s="1125"/>
      <c r="AH257" s="1125"/>
      <c r="AI257" s="1125"/>
    </row>
    <row r="258" spans="30:35">
      <c r="AD258" s="1125"/>
      <c r="AE258" s="1125"/>
      <c r="AF258" s="1125"/>
      <c r="AG258" s="1125"/>
      <c r="AH258" s="1125"/>
      <c r="AI258" s="1125"/>
    </row>
    <row r="259" spans="30:35">
      <c r="AD259" s="1125"/>
      <c r="AE259" s="1125"/>
      <c r="AF259" s="1125"/>
      <c r="AG259" s="1125"/>
      <c r="AH259" s="1125"/>
      <c r="AI259" s="1125"/>
    </row>
    <row r="260" spans="30:35">
      <c r="AD260" s="1125"/>
      <c r="AE260" s="1125"/>
      <c r="AF260" s="1125"/>
      <c r="AG260" s="1125"/>
      <c r="AH260" s="1125"/>
      <c r="AI260" s="1125"/>
    </row>
    <row r="261" spans="30:35">
      <c r="AD261" s="1125"/>
      <c r="AE261" s="1125"/>
      <c r="AF261" s="1125"/>
      <c r="AG261" s="1125"/>
      <c r="AH261" s="1125"/>
      <c r="AI261" s="1125"/>
    </row>
    <row r="262" spans="30:35">
      <c r="AD262" s="1125"/>
      <c r="AE262" s="1125"/>
      <c r="AF262" s="1125"/>
      <c r="AG262" s="1125"/>
      <c r="AH262" s="1125"/>
      <c r="AI262" s="1125"/>
    </row>
    <row r="263" spans="30:35">
      <c r="AD263" s="1125"/>
      <c r="AE263" s="1125"/>
      <c r="AF263" s="1125"/>
      <c r="AG263" s="1125"/>
      <c r="AH263" s="1125"/>
      <c r="AI263" s="1125"/>
    </row>
    <row r="264" spans="30:35">
      <c r="AD264" s="1125"/>
      <c r="AE264" s="1125"/>
      <c r="AF264" s="1125"/>
      <c r="AG264" s="1125"/>
      <c r="AH264" s="1125"/>
      <c r="AI264" s="1125"/>
    </row>
    <row r="265" spans="30:35">
      <c r="AD265" s="1125"/>
      <c r="AE265" s="1125"/>
      <c r="AF265" s="1125"/>
      <c r="AG265" s="1125"/>
      <c r="AH265" s="1125"/>
      <c r="AI265" s="1125"/>
    </row>
    <row r="266" spans="30:35">
      <c r="AD266" s="1125"/>
      <c r="AE266" s="1125"/>
      <c r="AF266" s="1125"/>
      <c r="AG266" s="1125"/>
      <c r="AH266" s="1125"/>
      <c r="AI266" s="1125"/>
    </row>
    <row r="267" spans="30:35">
      <c r="AD267" s="1125"/>
      <c r="AE267" s="1125"/>
      <c r="AF267" s="1125"/>
      <c r="AG267" s="1125"/>
      <c r="AH267" s="1125"/>
      <c r="AI267" s="1125"/>
    </row>
    <row r="268" spans="30:35">
      <c r="AD268" s="1125"/>
      <c r="AE268" s="1125"/>
      <c r="AF268" s="1125"/>
      <c r="AG268" s="1125"/>
      <c r="AH268" s="1125"/>
      <c r="AI268" s="1125"/>
    </row>
    <row r="269" spans="30:35">
      <c r="AD269" s="1125"/>
      <c r="AE269" s="1125"/>
      <c r="AF269" s="1125"/>
      <c r="AG269" s="1125"/>
      <c r="AH269" s="1125"/>
      <c r="AI269" s="1125"/>
    </row>
    <row r="270" spans="30:35">
      <c r="AD270" s="1125"/>
      <c r="AE270" s="1125"/>
      <c r="AF270" s="1125"/>
      <c r="AG270" s="1125"/>
      <c r="AH270" s="1125"/>
      <c r="AI270" s="1125"/>
    </row>
    <row r="271" spans="30:35">
      <c r="AD271" s="1125"/>
      <c r="AE271" s="1125"/>
      <c r="AF271" s="1125"/>
      <c r="AG271" s="1125"/>
      <c r="AH271" s="1125"/>
      <c r="AI271" s="1125"/>
    </row>
    <row r="272" spans="30:35">
      <c r="AD272" s="1125"/>
      <c r="AE272" s="1125"/>
      <c r="AF272" s="1125"/>
      <c r="AG272" s="1125"/>
      <c r="AH272" s="1125"/>
      <c r="AI272" s="1125"/>
    </row>
    <row r="273" spans="30:35">
      <c r="AD273" s="1125"/>
      <c r="AE273" s="1125"/>
      <c r="AF273" s="1125"/>
      <c r="AG273" s="1125"/>
      <c r="AH273" s="1125"/>
      <c r="AI273" s="1125"/>
    </row>
    <row r="274" spans="30:35">
      <c r="AD274" s="1125"/>
      <c r="AE274" s="1125"/>
      <c r="AF274" s="1125"/>
      <c r="AG274" s="1125"/>
      <c r="AH274" s="1125"/>
      <c r="AI274" s="1125"/>
    </row>
    <row r="275" spans="30:35">
      <c r="AD275" s="1125"/>
      <c r="AE275" s="1125"/>
      <c r="AF275" s="1125"/>
      <c r="AG275" s="1125"/>
      <c r="AH275" s="1125"/>
      <c r="AI275" s="1125"/>
    </row>
    <row r="276" spans="30:35">
      <c r="AD276" s="1125"/>
      <c r="AE276" s="1125"/>
      <c r="AF276" s="1125"/>
      <c r="AG276" s="1125"/>
      <c r="AH276" s="1125"/>
      <c r="AI276" s="1125"/>
    </row>
    <row r="277" spans="30:35">
      <c r="AD277" s="1125"/>
      <c r="AE277" s="1125"/>
      <c r="AF277" s="1125"/>
      <c r="AG277" s="1125"/>
      <c r="AH277" s="1125"/>
      <c r="AI277" s="1125"/>
    </row>
    <row r="278" spans="30:35">
      <c r="AD278" s="1125"/>
      <c r="AE278" s="1125"/>
      <c r="AF278" s="1125"/>
      <c r="AG278" s="1125"/>
      <c r="AH278" s="1125"/>
      <c r="AI278" s="1125"/>
    </row>
    <row r="279" spans="30:35">
      <c r="AD279" s="1125"/>
      <c r="AE279" s="1125"/>
      <c r="AF279" s="1125"/>
      <c r="AG279" s="1125"/>
      <c r="AH279" s="1125"/>
      <c r="AI279" s="1125"/>
    </row>
    <row r="280" spans="30:35">
      <c r="AD280" s="1125"/>
      <c r="AE280" s="1125"/>
      <c r="AF280" s="1125"/>
      <c r="AG280" s="1125"/>
      <c r="AH280" s="1125"/>
      <c r="AI280" s="1125"/>
    </row>
    <row r="281" spans="30:35">
      <c r="AD281" s="1125"/>
      <c r="AE281" s="1125"/>
      <c r="AF281" s="1125"/>
      <c r="AG281" s="1125"/>
      <c r="AH281" s="1125"/>
      <c r="AI281" s="1125"/>
    </row>
    <row r="282" spans="30:35">
      <c r="AD282" s="1125"/>
      <c r="AE282" s="1125"/>
      <c r="AF282" s="1125"/>
      <c r="AG282" s="1125"/>
      <c r="AH282" s="1125"/>
      <c r="AI282" s="1125"/>
    </row>
    <row r="283" spans="30:35">
      <c r="AD283" s="1125"/>
      <c r="AE283" s="1125"/>
      <c r="AF283" s="1125"/>
      <c r="AG283" s="1125"/>
      <c r="AH283" s="1125"/>
      <c r="AI283" s="1125"/>
    </row>
    <row r="284" spans="30:35">
      <c r="AD284" s="1125"/>
      <c r="AE284" s="1125"/>
      <c r="AF284" s="1125"/>
      <c r="AG284" s="1125"/>
      <c r="AH284" s="1125"/>
      <c r="AI284" s="1125"/>
    </row>
    <row r="285" spans="30:35">
      <c r="AD285" s="1125"/>
      <c r="AE285" s="1125"/>
      <c r="AF285" s="1125"/>
      <c r="AG285" s="1125"/>
      <c r="AH285" s="1125"/>
      <c r="AI285" s="1125"/>
    </row>
    <row r="286" spans="30:35">
      <c r="AD286" s="1125"/>
      <c r="AE286" s="1125"/>
      <c r="AF286" s="1125"/>
      <c r="AG286" s="1125"/>
      <c r="AH286" s="1125"/>
      <c r="AI286" s="1125"/>
    </row>
    <row r="287" spans="30:35">
      <c r="AD287" s="1125"/>
      <c r="AE287" s="1125"/>
      <c r="AF287" s="1125"/>
      <c r="AG287" s="1125"/>
      <c r="AH287" s="1125"/>
      <c r="AI287" s="1125"/>
    </row>
    <row r="288" spans="30:35">
      <c r="AD288" s="1125"/>
      <c r="AE288" s="1125"/>
      <c r="AF288" s="1125"/>
      <c r="AG288" s="1125"/>
      <c r="AH288" s="1125"/>
      <c r="AI288" s="1125"/>
    </row>
    <row r="289" spans="30:35">
      <c r="AD289" s="1125"/>
      <c r="AE289" s="1125"/>
      <c r="AF289" s="1125"/>
      <c r="AG289" s="1125"/>
      <c r="AH289" s="1125"/>
      <c r="AI289" s="1125"/>
    </row>
    <row r="290" spans="30:35">
      <c r="AD290" s="1125"/>
      <c r="AE290" s="1125"/>
      <c r="AF290" s="1125"/>
      <c r="AG290" s="1125"/>
      <c r="AH290" s="1125"/>
      <c r="AI290" s="1125"/>
    </row>
    <row r="291" spans="30:35">
      <c r="AD291" s="1125"/>
      <c r="AE291" s="1125"/>
      <c r="AF291" s="1125"/>
      <c r="AG291" s="1125"/>
      <c r="AH291" s="1125"/>
      <c r="AI291" s="1125"/>
    </row>
    <row r="292" spans="30:35">
      <c r="AD292" s="1125"/>
      <c r="AE292" s="1125"/>
      <c r="AF292" s="1125"/>
      <c r="AG292" s="1125"/>
      <c r="AH292" s="1125"/>
      <c r="AI292" s="1125"/>
    </row>
    <row r="293" spans="30:35">
      <c r="AD293" s="1125"/>
      <c r="AE293" s="1125"/>
      <c r="AF293" s="1125"/>
      <c r="AG293" s="1125"/>
      <c r="AH293" s="1125"/>
      <c r="AI293" s="1125"/>
    </row>
    <row r="294" spans="30:35">
      <c r="AD294" s="1125"/>
      <c r="AE294" s="1125"/>
      <c r="AF294" s="1125"/>
      <c r="AG294" s="1125"/>
      <c r="AH294" s="1125"/>
      <c r="AI294" s="1125"/>
    </row>
    <row r="295" spans="30:35">
      <c r="AD295" s="1125"/>
      <c r="AE295" s="1125"/>
      <c r="AF295" s="1125"/>
      <c r="AG295" s="1125"/>
      <c r="AH295" s="1125"/>
      <c r="AI295" s="1125"/>
    </row>
    <row r="296" spans="30:35">
      <c r="AD296" s="1125"/>
      <c r="AE296" s="1125"/>
      <c r="AF296" s="1125"/>
      <c r="AG296" s="1125"/>
      <c r="AH296" s="1125"/>
      <c r="AI296" s="1125"/>
    </row>
    <row r="297" spans="30:35">
      <c r="AD297" s="1125"/>
      <c r="AE297" s="1125"/>
      <c r="AF297" s="1125"/>
      <c r="AG297" s="1125"/>
      <c r="AH297" s="1125"/>
      <c r="AI297" s="1125"/>
    </row>
    <row r="298" spans="30:35">
      <c r="AD298" s="1125"/>
      <c r="AE298" s="1125"/>
      <c r="AF298" s="1125"/>
      <c r="AG298" s="1125"/>
      <c r="AH298" s="1125"/>
      <c r="AI298" s="1125"/>
    </row>
    <row r="299" spans="30:35">
      <c r="AD299" s="1125"/>
      <c r="AE299" s="1125"/>
      <c r="AF299" s="1125"/>
      <c r="AG299" s="1125"/>
      <c r="AH299" s="1125"/>
      <c r="AI299" s="1125"/>
    </row>
    <row r="300" spans="30:35">
      <c r="AD300" s="1125"/>
      <c r="AE300" s="1125"/>
      <c r="AF300" s="1125"/>
      <c r="AG300" s="1125"/>
      <c r="AH300" s="1125"/>
      <c r="AI300" s="1125"/>
    </row>
    <row r="301" spans="30:35">
      <c r="AD301" s="1125"/>
      <c r="AE301" s="1125"/>
      <c r="AF301" s="1125"/>
      <c r="AG301" s="1125"/>
      <c r="AH301" s="1125"/>
      <c r="AI301" s="1125"/>
    </row>
    <row r="302" spans="30:35">
      <c r="AD302" s="1125"/>
      <c r="AE302" s="1125"/>
      <c r="AF302" s="1125"/>
      <c r="AG302" s="1125"/>
      <c r="AH302" s="1125"/>
      <c r="AI302" s="1125"/>
    </row>
    <row r="303" spans="30:35">
      <c r="AD303" s="1125"/>
      <c r="AE303" s="1125"/>
      <c r="AF303" s="1125"/>
      <c r="AG303" s="1125"/>
      <c r="AH303" s="1125"/>
      <c r="AI303" s="1125"/>
    </row>
    <row r="304" spans="30:35">
      <c r="AD304" s="1125"/>
      <c r="AE304" s="1125"/>
      <c r="AF304" s="1125"/>
      <c r="AG304" s="1125"/>
      <c r="AH304" s="1125"/>
      <c r="AI304" s="1125"/>
    </row>
    <row r="305" spans="30:35">
      <c r="AD305" s="1125"/>
      <c r="AE305" s="1125"/>
      <c r="AF305" s="1125"/>
      <c r="AG305" s="1125"/>
      <c r="AH305" s="1125"/>
      <c r="AI305" s="1125"/>
    </row>
    <row r="306" spans="30:35">
      <c r="AD306" s="1125"/>
      <c r="AE306" s="1125"/>
      <c r="AF306" s="1125"/>
      <c r="AG306" s="1125"/>
      <c r="AH306" s="1125"/>
      <c r="AI306" s="1125"/>
    </row>
    <row r="307" spans="30:35">
      <c r="AD307" s="1125"/>
      <c r="AE307" s="1125"/>
      <c r="AF307" s="1125"/>
      <c r="AG307" s="1125"/>
      <c r="AH307" s="1125"/>
      <c r="AI307" s="1125"/>
    </row>
    <row r="308" spans="30:35">
      <c r="AD308" s="1125"/>
      <c r="AE308" s="1125"/>
      <c r="AF308" s="1125"/>
      <c r="AG308" s="1125"/>
      <c r="AH308" s="1125"/>
      <c r="AI308" s="1125"/>
    </row>
    <row r="309" spans="30:35">
      <c r="AD309" s="1125"/>
      <c r="AE309" s="1125"/>
      <c r="AF309" s="1125"/>
      <c r="AG309" s="1125"/>
      <c r="AH309" s="1125"/>
      <c r="AI309" s="1125"/>
    </row>
    <row r="310" spans="30:35">
      <c r="AD310" s="1125"/>
      <c r="AE310" s="1125"/>
      <c r="AF310" s="1125"/>
      <c r="AG310" s="1125"/>
      <c r="AH310" s="1125"/>
      <c r="AI310" s="1125"/>
    </row>
    <row r="311" spans="30:35">
      <c r="AD311" s="1125"/>
      <c r="AE311" s="1125"/>
      <c r="AF311" s="1125"/>
      <c r="AG311" s="1125"/>
      <c r="AH311" s="1125"/>
      <c r="AI311" s="1125"/>
    </row>
    <row r="312" spans="30:35">
      <c r="AD312" s="1125"/>
      <c r="AE312" s="1125"/>
      <c r="AF312" s="1125"/>
      <c r="AG312" s="1125"/>
      <c r="AH312" s="1125"/>
      <c r="AI312" s="1125"/>
    </row>
    <row r="313" spans="30:35">
      <c r="AD313" s="1125"/>
      <c r="AE313" s="1125"/>
      <c r="AF313" s="1125"/>
      <c r="AG313" s="1125"/>
      <c r="AH313" s="1125"/>
      <c r="AI313" s="1125"/>
    </row>
    <row r="314" spans="30:35">
      <c r="AD314" s="1125"/>
      <c r="AE314" s="1125"/>
      <c r="AF314" s="1125"/>
      <c r="AG314" s="1125"/>
      <c r="AH314" s="1125"/>
      <c r="AI314" s="1125"/>
    </row>
    <row r="315" spans="30:35">
      <c r="AD315" s="1125"/>
      <c r="AE315" s="1125"/>
      <c r="AF315" s="1125"/>
      <c r="AG315" s="1125"/>
      <c r="AH315" s="1125"/>
      <c r="AI315" s="1125"/>
    </row>
    <row r="316" spans="30:35">
      <c r="AD316" s="1125"/>
      <c r="AE316" s="1125"/>
      <c r="AF316" s="1125"/>
      <c r="AG316" s="1125"/>
      <c r="AH316" s="1125"/>
      <c r="AI316" s="1125"/>
    </row>
    <row r="317" spans="30:35">
      <c r="AD317" s="1125"/>
      <c r="AE317" s="1125"/>
      <c r="AF317" s="1125"/>
      <c r="AG317" s="1125"/>
      <c r="AH317" s="1125"/>
      <c r="AI317" s="1125"/>
    </row>
    <row r="318" spans="30:35">
      <c r="AD318" s="1125"/>
      <c r="AE318" s="1125"/>
      <c r="AF318" s="1125"/>
      <c r="AG318" s="1125"/>
      <c r="AH318" s="1125"/>
      <c r="AI318" s="1125"/>
    </row>
    <row r="319" spans="30:35">
      <c r="AD319" s="1125"/>
      <c r="AE319" s="1125"/>
      <c r="AF319" s="1125"/>
      <c r="AG319" s="1125"/>
      <c r="AH319" s="1125"/>
      <c r="AI319" s="1125"/>
    </row>
    <row r="320" spans="30:35">
      <c r="AD320" s="1125"/>
      <c r="AE320" s="1125"/>
      <c r="AF320" s="1125"/>
      <c r="AG320" s="1125"/>
      <c r="AH320" s="1125"/>
      <c r="AI320" s="1125"/>
    </row>
    <row r="321" spans="30:35">
      <c r="AD321" s="1125"/>
      <c r="AE321" s="1125"/>
      <c r="AF321" s="1125"/>
      <c r="AG321" s="1125"/>
      <c r="AH321" s="1125"/>
      <c r="AI321" s="1125"/>
    </row>
    <row r="322" spans="30:35">
      <c r="AD322" s="1125"/>
      <c r="AE322" s="1125"/>
      <c r="AF322" s="1125"/>
      <c r="AG322" s="1125"/>
      <c r="AH322" s="1125"/>
      <c r="AI322" s="1125"/>
    </row>
    <row r="323" spans="30:35">
      <c r="AD323" s="1125"/>
      <c r="AE323" s="1125"/>
      <c r="AF323" s="1125"/>
      <c r="AG323" s="1125"/>
      <c r="AH323" s="1125"/>
      <c r="AI323" s="1125"/>
    </row>
    <row r="324" spans="30:35">
      <c r="AD324" s="1125"/>
      <c r="AE324" s="1125"/>
      <c r="AF324" s="1125"/>
      <c r="AG324" s="1125"/>
      <c r="AH324" s="1125"/>
      <c r="AI324" s="1125"/>
    </row>
    <row r="325" spans="30:35">
      <c r="AD325" s="1125"/>
      <c r="AE325" s="1125"/>
      <c r="AF325" s="1125"/>
      <c r="AG325" s="1125"/>
      <c r="AH325" s="1125"/>
      <c r="AI325" s="1125"/>
    </row>
    <row r="326" spans="30:35">
      <c r="AD326" s="1125"/>
      <c r="AE326" s="1125"/>
      <c r="AF326" s="1125"/>
      <c r="AG326" s="1125"/>
      <c r="AH326" s="1125"/>
      <c r="AI326" s="1125"/>
    </row>
    <row r="327" spans="30:35">
      <c r="AD327" s="1125"/>
      <c r="AE327" s="1125"/>
      <c r="AF327" s="1125"/>
      <c r="AG327" s="1125"/>
      <c r="AH327" s="1125"/>
      <c r="AI327" s="1125"/>
    </row>
    <row r="328" spans="30:35">
      <c r="AD328" s="1125"/>
      <c r="AE328" s="1125"/>
      <c r="AF328" s="1125"/>
      <c r="AG328" s="1125"/>
      <c r="AH328" s="1125"/>
      <c r="AI328" s="1125"/>
    </row>
    <row r="329" spans="30:35">
      <c r="AD329" s="1125"/>
      <c r="AE329" s="1125"/>
      <c r="AF329" s="1125"/>
      <c r="AG329" s="1125"/>
      <c r="AH329" s="1125"/>
      <c r="AI329" s="1125"/>
    </row>
    <row r="330" spans="30:35">
      <c r="AD330" s="1125"/>
      <c r="AE330" s="1125"/>
      <c r="AF330" s="1125"/>
      <c r="AG330" s="1125"/>
      <c r="AH330" s="1125"/>
      <c r="AI330" s="1125"/>
    </row>
    <row r="331" spans="30:35">
      <c r="AD331" s="1125"/>
      <c r="AE331" s="1125"/>
      <c r="AF331" s="1125"/>
      <c r="AG331" s="1125"/>
      <c r="AH331" s="1125"/>
      <c r="AI331" s="1125"/>
    </row>
    <row r="332" spans="30:35">
      <c r="AD332" s="1125"/>
      <c r="AE332" s="1125"/>
      <c r="AF332" s="1125"/>
      <c r="AG332" s="1125"/>
      <c r="AH332" s="1125"/>
      <c r="AI332" s="1125"/>
    </row>
    <row r="333" spans="30:35">
      <c r="AD333" s="1125"/>
      <c r="AE333" s="1125"/>
      <c r="AF333" s="1125"/>
      <c r="AG333" s="1125"/>
      <c r="AH333" s="1125"/>
      <c r="AI333" s="1125"/>
    </row>
    <row r="334" spans="30:35">
      <c r="AD334" s="1125"/>
      <c r="AE334" s="1125"/>
      <c r="AF334" s="1125"/>
      <c r="AG334" s="1125"/>
      <c r="AH334" s="1125"/>
      <c r="AI334" s="1125"/>
    </row>
    <row r="335" spans="30:35">
      <c r="AD335" s="1125"/>
      <c r="AE335" s="1125"/>
      <c r="AF335" s="1125"/>
      <c r="AG335" s="1125"/>
      <c r="AH335" s="1125"/>
      <c r="AI335" s="1125"/>
    </row>
    <row r="336" spans="30:35">
      <c r="AD336" s="1125"/>
      <c r="AE336" s="1125"/>
      <c r="AF336" s="1125"/>
      <c r="AG336" s="1125"/>
      <c r="AH336" s="1125"/>
      <c r="AI336" s="1125"/>
    </row>
    <row r="337" spans="30:35">
      <c r="AD337" s="1125"/>
      <c r="AE337" s="1125"/>
      <c r="AF337" s="1125"/>
      <c r="AG337" s="1125"/>
      <c r="AH337" s="1125"/>
      <c r="AI337" s="1125"/>
    </row>
    <row r="338" spans="30:35">
      <c r="AD338" s="1125"/>
      <c r="AE338" s="1125"/>
      <c r="AF338" s="1125"/>
      <c r="AG338" s="1125"/>
      <c r="AH338" s="1125"/>
      <c r="AI338" s="1125"/>
    </row>
    <row r="339" spans="30:35">
      <c r="AD339" s="1125"/>
      <c r="AE339" s="1125"/>
      <c r="AF339" s="1125"/>
      <c r="AG339" s="1125"/>
      <c r="AH339" s="1125"/>
      <c r="AI339" s="1125"/>
    </row>
    <row r="340" spans="30:35">
      <c r="AD340" s="1125"/>
      <c r="AE340" s="1125"/>
      <c r="AF340" s="1125"/>
      <c r="AG340" s="1125"/>
      <c r="AH340" s="1125"/>
      <c r="AI340" s="1125"/>
    </row>
    <row r="341" spans="30:35">
      <c r="AD341" s="1125"/>
      <c r="AE341" s="1125"/>
      <c r="AF341" s="1125"/>
      <c r="AG341" s="1125"/>
      <c r="AH341" s="1125"/>
      <c r="AI341" s="1125"/>
    </row>
    <row r="342" spans="30:35">
      <c r="AD342" s="1125"/>
      <c r="AE342" s="1125"/>
      <c r="AF342" s="1125"/>
      <c r="AG342" s="1125"/>
      <c r="AH342" s="1125"/>
      <c r="AI342" s="1125"/>
    </row>
    <row r="343" spans="30:35">
      <c r="AD343" s="1125"/>
      <c r="AE343" s="1125"/>
      <c r="AF343" s="1125"/>
      <c r="AG343" s="1125"/>
      <c r="AH343" s="1125"/>
      <c r="AI343" s="1125"/>
    </row>
    <row r="344" spans="30:35">
      <c r="AD344" s="1125"/>
      <c r="AE344" s="1125"/>
      <c r="AF344" s="1125"/>
      <c r="AG344" s="1125"/>
      <c r="AH344" s="1125"/>
      <c r="AI344" s="1125"/>
    </row>
    <row r="345" spans="30:35">
      <c r="AD345" s="1125"/>
      <c r="AE345" s="1125"/>
      <c r="AF345" s="1125"/>
      <c r="AG345" s="1125"/>
      <c r="AH345" s="1125"/>
      <c r="AI345" s="1125"/>
    </row>
    <row r="346" spans="30:35">
      <c r="AD346" s="1125"/>
      <c r="AE346" s="1125"/>
      <c r="AF346" s="1125"/>
      <c r="AG346" s="1125"/>
      <c r="AH346" s="1125"/>
      <c r="AI346" s="1125"/>
    </row>
    <row r="347" spans="30:35">
      <c r="AD347" s="1125"/>
      <c r="AE347" s="1125"/>
      <c r="AF347" s="1125"/>
      <c r="AG347" s="1125"/>
      <c r="AH347" s="1125"/>
      <c r="AI347" s="1125"/>
    </row>
    <row r="348" spans="30:35">
      <c r="AD348" s="1125"/>
      <c r="AE348" s="1125"/>
      <c r="AF348" s="1125"/>
      <c r="AG348" s="1125"/>
      <c r="AH348" s="1125"/>
      <c r="AI348" s="1125"/>
    </row>
    <row r="349" spans="30:35">
      <c r="AD349" s="1125"/>
      <c r="AE349" s="1125"/>
      <c r="AF349" s="1125"/>
      <c r="AG349" s="1125"/>
      <c r="AH349" s="1125"/>
      <c r="AI349" s="1125"/>
    </row>
    <row r="350" spans="30:35">
      <c r="AD350" s="1125"/>
      <c r="AE350" s="1125"/>
      <c r="AF350" s="1125"/>
      <c r="AG350" s="1125"/>
      <c r="AH350" s="1125"/>
      <c r="AI350" s="1125"/>
    </row>
    <row r="351" spans="30:35">
      <c r="AD351" s="1125"/>
      <c r="AE351" s="1125"/>
      <c r="AF351" s="1125"/>
      <c r="AG351" s="1125"/>
      <c r="AH351" s="1125"/>
      <c r="AI351" s="1125"/>
    </row>
    <row r="352" spans="30:35">
      <c r="AD352" s="1125"/>
      <c r="AE352" s="1125"/>
      <c r="AF352" s="1125"/>
      <c r="AG352" s="1125"/>
      <c r="AH352" s="1125"/>
      <c r="AI352" s="1125"/>
    </row>
    <row r="353" spans="30:35">
      <c r="AD353" s="1125"/>
      <c r="AE353" s="1125"/>
      <c r="AF353" s="1125"/>
      <c r="AG353" s="1125"/>
      <c r="AH353" s="1125"/>
      <c r="AI353" s="1125"/>
    </row>
    <row r="354" spans="30:35">
      <c r="AD354" s="1125"/>
      <c r="AE354" s="1125"/>
      <c r="AF354" s="1125"/>
      <c r="AG354" s="1125"/>
      <c r="AH354" s="1125"/>
      <c r="AI354" s="1125"/>
    </row>
    <row r="355" spans="30:35">
      <c r="AD355" s="1125"/>
      <c r="AE355" s="1125"/>
      <c r="AF355" s="1125"/>
      <c r="AG355" s="1125"/>
      <c r="AH355" s="1125"/>
      <c r="AI355" s="1125"/>
    </row>
    <row r="356" spans="30:35">
      <c r="AD356" s="1125"/>
      <c r="AE356" s="1125"/>
      <c r="AF356" s="1125"/>
      <c r="AG356" s="1125"/>
      <c r="AH356" s="1125"/>
      <c r="AI356" s="1125"/>
    </row>
    <row r="357" spans="30:35">
      <c r="AD357" s="1125"/>
      <c r="AE357" s="1125"/>
      <c r="AF357" s="1125"/>
      <c r="AG357" s="1125"/>
      <c r="AH357" s="1125"/>
      <c r="AI357" s="1125"/>
    </row>
    <row r="358" spans="30:35">
      <c r="AD358" s="1125"/>
      <c r="AE358" s="1125"/>
      <c r="AF358" s="1125"/>
      <c r="AG358" s="1125"/>
      <c r="AH358" s="1125"/>
      <c r="AI358" s="1125"/>
    </row>
    <row r="359" spans="30:35">
      <c r="AD359" s="1125"/>
      <c r="AE359" s="1125"/>
      <c r="AF359" s="1125"/>
      <c r="AG359" s="1125"/>
      <c r="AH359" s="1125"/>
      <c r="AI359" s="1125"/>
    </row>
    <row r="360" spans="30:35">
      <c r="AD360" s="1125"/>
      <c r="AE360" s="1125"/>
      <c r="AF360" s="1125"/>
      <c r="AG360" s="1125"/>
      <c r="AH360" s="1125"/>
      <c r="AI360" s="1125"/>
    </row>
    <row r="361" spans="30:35">
      <c r="AD361" s="1125"/>
      <c r="AE361" s="1125"/>
      <c r="AF361" s="1125"/>
      <c r="AG361" s="1125"/>
      <c r="AH361" s="1125"/>
      <c r="AI361" s="1125"/>
    </row>
    <row r="362" spans="30:35">
      <c r="AD362" s="1125"/>
      <c r="AE362" s="1125"/>
      <c r="AF362" s="1125"/>
      <c r="AG362" s="1125"/>
      <c r="AH362" s="1125"/>
      <c r="AI362" s="1125"/>
    </row>
    <row r="363" spans="30:35">
      <c r="AD363" s="1125"/>
      <c r="AE363" s="1125"/>
      <c r="AF363" s="1125"/>
      <c r="AG363" s="1125"/>
      <c r="AH363" s="1125"/>
      <c r="AI363" s="1125"/>
    </row>
    <row r="364" spans="30:35">
      <c r="AD364" s="1125"/>
      <c r="AE364" s="1125"/>
      <c r="AF364" s="1125"/>
      <c r="AG364" s="1125"/>
      <c r="AH364" s="1125"/>
      <c r="AI364" s="1125"/>
    </row>
    <row r="365" spans="30:35">
      <c r="AD365" s="1125"/>
      <c r="AE365" s="1125"/>
      <c r="AF365" s="1125"/>
      <c r="AG365" s="1125"/>
      <c r="AH365" s="1125"/>
      <c r="AI365" s="1125"/>
    </row>
    <row r="366" spans="30:35">
      <c r="AD366" s="1125"/>
      <c r="AE366" s="1125"/>
      <c r="AF366" s="1125"/>
      <c r="AG366" s="1125"/>
      <c r="AH366" s="1125"/>
      <c r="AI366" s="1125"/>
    </row>
    <row r="367" spans="30:35">
      <c r="AD367" s="1125"/>
      <c r="AE367" s="1125"/>
      <c r="AF367" s="1125"/>
      <c r="AG367" s="1125"/>
      <c r="AH367" s="1125"/>
      <c r="AI367" s="1125"/>
    </row>
    <row r="368" spans="30:35">
      <c r="AD368" s="1125"/>
      <c r="AE368" s="1125"/>
      <c r="AF368" s="1125"/>
      <c r="AG368" s="1125"/>
      <c r="AH368" s="1125"/>
      <c r="AI368" s="1125"/>
    </row>
    <row r="369" spans="30:35">
      <c r="AD369" s="1125"/>
      <c r="AE369" s="1125"/>
      <c r="AF369" s="1126"/>
      <c r="AG369" s="1126"/>
      <c r="AH369" s="1125"/>
      <c r="AI369" s="1125"/>
    </row>
    <row r="370" spans="30:35">
      <c r="AD370" s="1125"/>
      <c r="AE370" s="1125"/>
      <c r="AF370" s="1126"/>
      <c r="AG370" s="1126"/>
      <c r="AH370" s="1125"/>
      <c r="AI370" s="1125"/>
    </row>
    <row r="371" spans="30:35">
      <c r="AD371" s="1125"/>
      <c r="AE371" s="1125"/>
      <c r="AF371" s="1126"/>
      <c r="AG371" s="1126"/>
      <c r="AH371" s="1125"/>
      <c r="AI371" s="1125"/>
    </row>
    <row r="372" spans="30:35">
      <c r="AD372" s="1125"/>
      <c r="AE372" s="1125"/>
      <c r="AF372" s="1126"/>
      <c r="AG372" s="1126"/>
      <c r="AH372" s="1126"/>
      <c r="AI372" s="1125"/>
    </row>
    <row r="373" spans="30:35">
      <c r="AD373" s="1125"/>
      <c r="AE373" s="1125"/>
      <c r="AF373" s="1126"/>
      <c r="AG373" s="1126"/>
      <c r="AH373" s="1126"/>
      <c r="AI373" s="1125"/>
    </row>
    <row r="374" spans="30:35">
      <c r="AD374" s="1125"/>
      <c r="AE374" s="1125"/>
      <c r="AF374" s="1126"/>
      <c r="AG374" s="1126"/>
      <c r="AH374" s="1126"/>
      <c r="AI374" s="1125"/>
    </row>
    <row r="375" spans="30:35">
      <c r="AD375" s="1125"/>
      <c r="AE375" s="1125"/>
      <c r="AF375" s="1126"/>
      <c r="AG375" s="1126"/>
      <c r="AH375" s="1126"/>
      <c r="AI375" s="1125"/>
    </row>
    <row r="376" spans="30:35">
      <c r="AD376" s="1125"/>
      <c r="AE376" s="1125"/>
      <c r="AF376" s="1126"/>
      <c r="AG376" s="1126"/>
      <c r="AH376" s="1126"/>
      <c r="AI376" s="1125"/>
    </row>
    <row r="377" spans="30:35">
      <c r="AD377" s="1125"/>
      <c r="AE377" s="1125"/>
      <c r="AF377" s="1126"/>
      <c r="AG377" s="1126"/>
      <c r="AH377" s="1126"/>
      <c r="AI377" s="1125"/>
    </row>
    <row r="378" spans="30:35">
      <c r="AD378" s="1125"/>
      <c r="AE378" s="1125"/>
      <c r="AF378" s="1126"/>
      <c r="AG378" s="1126"/>
      <c r="AH378" s="1126"/>
      <c r="AI378" s="1125"/>
    </row>
    <row r="379" spans="30:35">
      <c r="AD379" s="1125"/>
      <c r="AE379" s="1125"/>
      <c r="AF379" s="1126"/>
      <c r="AG379" s="1126"/>
      <c r="AH379" s="1126"/>
      <c r="AI379" s="1125"/>
    </row>
    <row r="380" spans="30:35">
      <c r="AD380" s="1125"/>
      <c r="AE380" s="1125"/>
      <c r="AF380" s="1126"/>
      <c r="AG380" s="1126"/>
      <c r="AH380" s="1126"/>
      <c r="AI380" s="1125"/>
    </row>
    <row r="381" spans="30:35">
      <c r="AD381" s="1125"/>
      <c r="AE381" s="1125"/>
      <c r="AF381" s="1126"/>
      <c r="AG381" s="1126"/>
      <c r="AH381" s="1126"/>
      <c r="AI381" s="1125"/>
    </row>
    <row r="382" spans="30:35">
      <c r="AD382" s="1125"/>
      <c r="AE382" s="1125"/>
      <c r="AF382" s="1126"/>
      <c r="AG382" s="1126"/>
      <c r="AH382" s="1126"/>
      <c r="AI382" s="1125"/>
    </row>
    <row r="383" spans="30:35">
      <c r="AD383" s="1125"/>
      <c r="AE383" s="1125"/>
      <c r="AF383" s="1126"/>
      <c r="AG383" s="1126"/>
      <c r="AH383" s="1126"/>
      <c r="AI383" s="1125"/>
    </row>
    <row r="384" spans="30:35">
      <c r="AD384" s="1125"/>
      <c r="AE384" s="1125"/>
      <c r="AF384" s="1126"/>
      <c r="AG384" s="1126"/>
      <c r="AH384" s="1126"/>
      <c r="AI384" s="1125"/>
    </row>
    <row r="385" spans="30:35">
      <c r="AD385" s="1125"/>
      <c r="AE385" s="1125"/>
      <c r="AF385" s="1126"/>
      <c r="AG385" s="1126"/>
      <c r="AH385" s="1126"/>
      <c r="AI385" s="1125"/>
    </row>
    <row r="386" spans="30:35">
      <c r="AD386" s="1125"/>
      <c r="AE386" s="1125"/>
      <c r="AF386" s="1126"/>
      <c r="AG386" s="1126"/>
      <c r="AH386" s="1126"/>
      <c r="AI386" s="1125"/>
    </row>
    <row r="387" spans="30:35">
      <c r="AD387" s="1125"/>
      <c r="AE387" s="1125"/>
      <c r="AF387" s="1126"/>
      <c r="AG387" s="1126"/>
      <c r="AH387" s="1126"/>
      <c r="AI387" s="1125"/>
    </row>
    <row r="388" spans="30:35">
      <c r="AD388" s="1125"/>
      <c r="AE388" s="1125"/>
      <c r="AF388" s="1126"/>
      <c r="AG388" s="1126"/>
      <c r="AH388" s="1126"/>
      <c r="AI388" s="1125"/>
    </row>
    <row r="389" spans="30:35">
      <c r="AD389" s="1125"/>
      <c r="AE389" s="1125"/>
      <c r="AF389" s="1126"/>
      <c r="AG389" s="1126"/>
      <c r="AH389" s="1126"/>
      <c r="AI389" s="1125"/>
    </row>
    <row r="390" spans="30:35">
      <c r="AD390" s="1125"/>
      <c r="AE390" s="1125"/>
      <c r="AF390" s="1126"/>
      <c r="AG390" s="1126"/>
      <c r="AH390" s="1126"/>
      <c r="AI390" s="1125"/>
    </row>
    <row r="391" spans="30:35">
      <c r="AD391" s="1125"/>
      <c r="AE391" s="1125"/>
      <c r="AF391" s="1126"/>
      <c r="AG391" s="1126"/>
      <c r="AH391" s="1126"/>
      <c r="AI391" s="1125"/>
    </row>
    <row r="392" spans="30:35">
      <c r="AD392" s="1125"/>
      <c r="AE392" s="1125"/>
      <c r="AF392" s="1126"/>
      <c r="AG392" s="1125"/>
      <c r="AH392" s="1125"/>
      <c r="AI392" s="1125"/>
    </row>
    <row r="393" spans="30:35">
      <c r="AD393" s="1125"/>
      <c r="AE393" s="1125"/>
      <c r="AF393" s="1126"/>
      <c r="AG393" s="1125"/>
      <c r="AH393" s="1125"/>
      <c r="AI393" s="1125"/>
    </row>
    <row r="394" spans="30:35">
      <c r="AD394" s="1125"/>
      <c r="AE394" s="1125"/>
      <c r="AF394" s="1126"/>
      <c r="AG394" s="1125"/>
      <c r="AH394" s="1125"/>
      <c r="AI394" s="1125"/>
    </row>
    <row r="395" spans="30:35">
      <c r="AD395" s="1125"/>
      <c r="AE395" s="1125"/>
      <c r="AF395" s="1126"/>
      <c r="AG395" s="1125"/>
      <c r="AH395" s="1125"/>
      <c r="AI395" s="1125"/>
    </row>
    <row r="396" spans="30:35">
      <c r="AD396" s="1125"/>
      <c r="AE396" s="1125"/>
      <c r="AF396" s="1126"/>
      <c r="AG396" s="1125"/>
      <c r="AH396" s="1125"/>
      <c r="AI396" s="1125"/>
    </row>
    <row r="397" spans="30:35">
      <c r="AD397" s="1125"/>
      <c r="AE397" s="1125"/>
      <c r="AF397" s="1126"/>
      <c r="AG397" s="1125"/>
      <c r="AH397" s="1125"/>
      <c r="AI397" s="1125"/>
    </row>
    <row r="398" spans="30:35">
      <c r="AD398" s="1125"/>
      <c r="AE398" s="1125"/>
      <c r="AF398" s="1126"/>
      <c r="AG398" s="1125"/>
      <c r="AH398" s="1125"/>
      <c r="AI398" s="1125"/>
    </row>
    <row r="399" spans="30:35">
      <c r="AD399" s="1125"/>
      <c r="AE399" s="1125"/>
      <c r="AF399" s="1126"/>
      <c r="AG399" s="1125"/>
      <c r="AH399" s="1125"/>
      <c r="AI399" s="1125"/>
    </row>
    <row r="400" spans="30:35">
      <c r="AD400" s="1125"/>
      <c r="AE400" s="1125"/>
      <c r="AF400" s="1126"/>
      <c r="AG400" s="1125"/>
      <c r="AH400" s="1125"/>
      <c r="AI400" s="1125"/>
    </row>
    <row r="401" spans="30:35">
      <c r="AD401" s="1125"/>
      <c r="AE401" s="1125"/>
      <c r="AF401" s="1126"/>
      <c r="AG401" s="1125"/>
      <c r="AH401" s="1125"/>
      <c r="AI401" s="1125"/>
    </row>
    <row r="402" spans="30:35">
      <c r="AD402" s="1125"/>
      <c r="AE402" s="1125"/>
      <c r="AF402" s="1126"/>
      <c r="AG402" s="1125"/>
      <c r="AH402" s="1125"/>
      <c r="AI402" s="1125"/>
    </row>
    <row r="403" spans="30:35">
      <c r="AD403" s="1125"/>
      <c r="AE403" s="1125"/>
      <c r="AF403" s="1125"/>
      <c r="AG403" s="1125"/>
      <c r="AH403" s="1125"/>
      <c r="AI403" s="1125"/>
    </row>
    <row r="404" spans="30:35">
      <c r="AD404" s="1125"/>
      <c r="AE404" s="1125"/>
      <c r="AF404" s="1125"/>
      <c r="AG404" s="1125"/>
      <c r="AH404" s="1125"/>
      <c r="AI404" s="1125"/>
    </row>
    <row r="405" spans="30:35">
      <c r="AD405" s="1125"/>
      <c r="AE405" s="1125"/>
      <c r="AF405" s="1125"/>
      <c r="AG405" s="1125"/>
      <c r="AH405" s="1125"/>
      <c r="AI405" s="1125"/>
    </row>
    <row r="406" spans="30:35">
      <c r="AD406" s="1125"/>
      <c r="AE406" s="1125"/>
      <c r="AF406" s="1125"/>
      <c r="AG406" s="1125"/>
      <c r="AH406" s="1125"/>
      <c r="AI406" s="1125"/>
    </row>
    <row r="407" spans="30:35">
      <c r="AD407" s="1125"/>
      <c r="AE407" s="1125"/>
      <c r="AF407" s="1125"/>
      <c r="AG407" s="1125"/>
      <c r="AH407" s="1125"/>
      <c r="AI407" s="1125"/>
    </row>
    <row r="408" spans="30:35">
      <c r="AD408" s="1125"/>
      <c r="AE408" s="1125"/>
      <c r="AF408" s="1125"/>
      <c r="AG408" s="1125"/>
      <c r="AH408" s="1125"/>
      <c r="AI408" s="1125"/>
    </row>
    <row r="409" spans="30:35">
      <c r="AD409" s="1125"/>
      <c r="AE409" s="1125"/>
      <c r="AF409" s="1125"/>
      <c r="AG409" s="1125"/>
      <c r="AH409" s="1125"/>
      <c r="AI409" s="1125"/>
    </row>
    <row r="410" spans="30:35">
      <c r="AD410" s="1125"/>
      <c r="AE410" s="1125"/>
      <c r="AF410" s="1125"/>
      <c r="AG410" s="1125"/>
      <c r="AH410" s="1125"/>
      <c r="AI410" s="1125"/>
    </row>
    <row r="411" spans="30:35">
      <c r="AD411" s="1125"/>
      <c r="AE411" s="1125"/>
      <c r="AF411" s="1125"/>
      <c r="AG411" s="1125"/>
      <c r="AH411" s="1125"/>
      <c r="AI411" s="1125"/>
    </row>
    <row r="412" spans="30:35">
      <c r="AD412" s="1125"/>
      <c r="AE412" s="1125"/>
      <c r="AF412" s="1125"/>
      <c r="AG412" s="1125"/>
      <c r="AH412" s="1125"/>
      <c r="AI412" s="1125"/>
    </row>
    <row r="413" spans="30:35">
      <c r="AD413" s="1125"/>
      <c r="AE413" s="1125"/>
      <c r="AF413" s="1125"/>
      <c r="AG413" s="1125"/>
      <c r="AH413" s="1125"/>
      <c r="AI413" s="1125"/>
    </row>
    <row r="414" spans="30:35">
      <c r="AD414" s="1125"/>
      <c r="AE414" s="1125"/>
      <c r="AF414" s="1125"/>
      <c r="AG414" s="1125"/>
      <c r="AH414" s="1125"/>
      <c r="AI414" s="1125"/>
    </row>
    <row r="415" spans="30:35">
      <c r="AD415" s="1125"/>
      <c r="AE415" s="1125"/>
      <c r="AF415" s="1125"/>
      <c r="AG415" s="1125"/>
      <c r="AH415" s="1125"/>
      <c r="AI415" s="1125"/>
    </row>
    <row r="416" spans="30:35">
      <c r="AD416" s="1125"/>
      <c r="AE416" s="1125"/>
      <c r="AF416" s="1125"/>
      <c r="AG416" s="1125"/>
      <c r="AH416" s="1125"/>
      <c r="AI416" s="1125"/>
    </row>
    <row r="417" spans="30:35">
      <c r="AD417" s="1125"/>
      <c r="AE417" s="1125"/>
      <c r="AF417" s="1125"/>
      <c r="AG417" s="1125"/>
      <c r="AH417" s="1125"/>
      <c r="AI417" s="1125"/>
    </row>
    <row r="418" spans="30:35">
      <c r="AD418" s="1125"/>
      <c r="AE418" s="1125"/>
      <c r="AF418" s="1125"/>
      <c r="AG418" s="1125"/>
      <c r="AH418" s="1125"/>
      <c r="AI418" s="1125"/>
    </row>
    <row r="419" spans="30:35">
      <c r="AD419" s="1125"/>
      <c r="AE419" s="1125"/>
      <c r="AF419" s="1125"/>
      <c r="AG419" s="1125"/>
      <c r="AH419" s="1125"/>
      <c r="AI419" s="1125"/>
    </row>
    <row r="420" spans="30:35">
      <c r="AD420" s="1125"/>
      <c r="AE420" s="1125"/>
      <c r="AF420" s="1125"/>
      <c r="AG420" s="1125"/>
      <c r="AH420" s="1125"/>
      <c r="AI420" s="1125"/>
    </row>
    <row r="421" spans="30:35">
      <c r="AD421" s="1125"/>
      <c r="AE421" s="1125"/>
      <c r="AF421" s="1125"/>
      <c r="AG421" s="1125"/>
      <c r="AH421" s="1125"/>
      <c r="AI421" s="1125"/>
    </row>
    <row r="422" spans="30:35">
      <c r="AD422" s="1125"/>
      <c r="AE422" s="1125"/>
      <c r="AF422" s="1125"/>
      <c r="AG422" s="1125"/>
      <c r="AH422" s="1125"/>
      <c r="AI422" s="1125"/>
    </row>
    <row r="423" spans="30:35">
      <c r="AD423" s="1125"/>
      <c r="AE423" s="1125"/>
      <c r="AF423" s="1125"/>
      <c r="AG423" s="1125"/>
      <c r="AH423" s="1125"/>
      <c r="AI423" s="1125"/>
    </row>
    <row r="424" spans="30:35">
      <c r="AD424" s="1125"/>
      <c r="AE424" s="1125"/>
      <c r="AF424" s="1125"/>
      <c r="AG424" s="1125"/>
      <c r="AH424" s="1125"/>
      <c r="AI424" s="1125"/>
    </row>
    <row r="425" spans="30:35">
      <c r="AD425" s="1125"/>
      <c r="AE425" s="1125"/>
      <c r="AF425" s="1125"/>
      <c r="AG425" s="1125"/>
      <c r="AH425" s="1125"/>
      <c r="AI425" s="1125"/>
    </row>
    <row r="426" spans="30:35">
      <c r="AD426" s="1125"/>
      <c r="AE426" s="1125"/>
      <c r="AF426" s="1125"/>
      <c r="AG426" s="1125"/>
      <c r="AH426" s="1125"/>
      <c r="AI426" s="1125"/>
    </row>
    <row r="427" spans="30:35">
      <c r="AD427" s="1125"/>
      <c r="AE427" s="1125"/>
      <c r="AF427" s="1125"/>
      <c r="AG427" s="1125"/>
      <c r="AH427" s="1125"/>
      <c r="AI427" s="1125"/>
    </row>
    <row r="428" spans="30:35">
      <c r="AD428" s="1125"/>
      <c r="AE428" s="1125"/>
      <c r="AF428" s="1125"/>
      <c r="AG428" s="1125"/>
      <c r="AH428" s="1125"/>
      <c r="AI428" s="1125"/>
    </row>
    <row r="429" spans="30:35">
      <c r="AD429" s="1125"/>
      <c r="AE429" s="1125"/>
      <c r="AF429" s="1125"/>
      <c r="AG429" s="1125"/>
      <c r="AH429" s="1125"/>
      <c r="AI429" s="1125"/>
    </row>
    <row r="430" spans="30:35">
      <c r="AD430" s="1125"/>
      <c r="AE430" s="1125"/>
      <c r="AF430" s="1125"/>
      <c r="AG430" s="1125"/>
      <c r="AH430" s="1125"/>
      <c r="AI430" s="1125"/>
    </row>
    <row r="431" spans="30:35">
      <c r="AD431" s="1125"/>
      <c r="AE431" s="1125"/>
      <c r="AF431" s="1125"/>
      <c r="AG431" s="1125"/>
      <c r="AH431" s="1125"/>
      <c r="AI431" s="1125"/>
    </row>
    <row r="432" spans="30:35">
      <c r="AD432" s="1125"/>
      <c r="AE432" s="1125"/>
      <c r="AF432" s="1125"/>
      <c r="AG432" s="1125"/>
      <c r="AH432" s="1125"/>
      <c r="AI432" s="1125"/>
    </row>
    <row r="433" spans="30:35">
      <c r="AD433" s="1125"/>
      <c r="AE433" s="1125"/>
      <c r="AF433" s="1125"/>
      <c r="AG433" s="1125"/>
      <c r="AH433" s="1125"/>
      <c r="AI433" s="1125"/>
    </row>
    <row r="434" spans="30:35">
      <c r="AD434" s="1125"/>
      <c r="AE434" s="1125"/>
      <c r="AF434" s="1125"/>
      <c r="AG434" s="1125"/>
      <c r="AH434" s="1125"/>
      <c r="AI434" s="1125"/>
    </row>
    <row r="435" spans="30:35">
      <c r="AD435" s="1125"/>
      <c r="AE435" s="1125"/>
      <c r="AF435" s="1125"/>
      <c r="AG435" s="1125"/>
      <c r="AH435" s="1125"/>
      <c r="AI435" s="1125"/>
    </row>
    <row r="436" spans="30:35">
      <c r="AD436" s="1125"/>
      <c r="AE436" s="1125"/>
      <c r="AF436" s="1125"/>
      <c r="AG436" s="1125"/>
      <c r="AH436" s="1125"/>
      <c r="AI436" s="1125"/>
    </row>
    <row r="437" spans="30:35">
      <c r="AD437" s="1125"/>
      <c r="AE437" s="1125"/>
      <c r="AF437" s="1125"/>
      <c r="AG437" s="1125"/>
      <c r="AH437" s="1125"/>
      <c r="AI437" s="1125"/>
    </row>
    <row r="438" spans="30:35">
      <c r="AD438" s="1125"/>
      <c r="AE438" s="1125"/>
      <c r="AF438" s="1125"/>
      <c r="AG438" s="1125"/>
      <c r="AH438" s="1125"/>
      <c r="AI438" s="1125"/>
    </row>
    <row r="439" spans="30:35">
      <c r="AD439" s="1125"/>
      <c r="AE439" s="1125"/>
      <c r="AF439" s="1125"/>
      <c r="AG439" s="1125"/>
      <c r="AH439" s="1125"/>
      <c r="AI439" s="1125"/>
    </row>
    <row r="440" spans="30:35">
      <c r="AD440" s="1125"/>
      <c r="AE440" s="1125"/>
      <c r="AF440" s="1125"/>
      <c r="AG440" s="1125"/>
      <c r="AH440" s="1125"/>
      <c r="AI440" s="1125"/>
    </row>
    <row r="441" spans="30:35">
      <c r="AD441" s="1125"/>
      <c r="AE441" s="1125"/>
      <c r="AF441" s="1125"/>
      <c r="AG441" s="1125"/>
      <c r="AH441" s="1125"/>
      <c r="AI441" s="1125"/>
    </row>
    <row r="442" spans="30:35">
      <c r="AD442" s="1125"/>
      <c r="AE442" s="1125"/>
      <c r="AF442" s="1125"/>
      <c r="AG442" s="1125"/>
      <c r="AH442" s="1125"/>
      <c r="AI442" s="1125"/>
    </row>
    <row r="443" spans="30:35">
      <c r="AD443" s="1125"/>
      <c r="AE443" s="1125"/>
      <c r="AF443" s="1125"/>
      <c r="AG443" s="1125"/>
      <c r="AH443" s="1125"/>
      <c r="AI443" s="1125"/>
    </row>
    <row r="444" spans="30:35">
      <c r="AD444" s="1125"/>
      <c r="AE444" s="1125"/>
      <c r="AF444" s="1125"/>
      <c r="AG444" s="1125"/>
      <c r="AH444" s="1125"/>
      <c r="AI444" s="1125"/>
    </row>
    <row r="445" spans="30:35">
      <c r="AD445" s="1125"/>
      <c r="AE445" s="1125"/>
      <c r="AF445" s="1125"/>
      <c r="AG445" s="1125"/>
      <c r="AH445" s="1125"/>
      <c r="AI445" s="1125"/>
    </row>
    <row r="446" spans="30:35">
      <c r="AD446" s="1125"/>
      <c r="AE446" s="1125"/>
      <c r="AF446" s="1125"/>
      <c r="AG446" s="1125"/>
      <c r="AH446" s="1125"/>
      <c r="AI446" s="1125"/>
    </row>
    <row r="447" spans="30:35">
      <c r="AD447" s="1125"/>
      <c r="AE447" s="1125"/>
      <c r="AF447" s="1125"/>
      <c r="AG447" s="1125"/>
      <c r="AH447" s="1125"/>
      <c r="AI447" s="1125"/>
    </row>
    <row r="448" spans="30:35">
      <c r="AD448" s="1125"/>
      <c r="AE448" s="1125"/>
      <c r="AF448" s="1125"/>
      <c r="AG448" s="1125"/>
      <c r="AH448" s="1125"/>
      <c r="AI448" s="1125"/>
    </row>
    <row r="449" spans="30:35">
      <c r="AD449" s="1125"/>
      <c r="AE449" s="1125"/>
      <c r="AF449" s="1125"/>
      <c r="AG449" s="1125"/>
      <c r="AH449" s="1125"/>
      <c r="AI449" s="1125"/>
    </row>
    <row r="450" spans="30:35">
      <c r="AD450" s="1125"/>
      <c r="AE450" s="1125"/>
      <c r="AF450" s="1125"/>
      <c r="AG450" s="1125"/>
      <c r="AH450" s="1125"/>
      <c r="AI450" s="1125"/>
    </row>
    <row r="451" spans="30:35">
      <c r="AD451" s="1125"/>
      <c r="AE451" s="1125"/>
      <c r="AF451" s="1125"/>
      <c r="AG451" s="1125"/>
      <c r="AH451" s="1125"/>
      <c r="AI451" s="1125"/>
    </row>
    <row r="452" spans="30:35">
      <c r="AD452" s="1125"/>
      <c r="AE452" s="1125"/>
      <c r="AF452" s="1125"/>
      <c r="AG452" s="1125"/>
      <c r="AH452" s="1125"/>
      <c r="AI452" s="1125"/>
    </row>
    <row r="453" spans="30:35">
      <c r="AD453" s="1125"/>
      <c r="AE453" s="1125"/>
      <c r="AF453" s="1125"/>
      <c r="AG453" s="1125"/>
      <c r="AH453" s="1125"/>
      <c r="AI453" s="1125"/>
    </row>
    <row r="454" spans="30:35">
      <c r="AD454" s="1125"/>
      <c r="AE454" s="1125"/>
      <c r="AF454" s="1125"/>
      <c r="AG454" s="1125"/>
      <c r="AH454" s="1125"/>
      <c r="AI454" s="1125"/>
    </row>
    <row r="455" spans="30:35">
      <c r="AD455" s="1125"/>
      <c r="AE455" s="1125"/>
      <c r="AF455" s="1125"/>
      <c r="AG455" s="1125"/>
      <c r="AH455" s="1125"/>
      <c r="AI455" s="1125"/>
    </row>
    <row r="456" spans="30:35">
      <c r="AD456" s="1125"/>
      <c r="AE456" s="1125"/>
      <c r="AF456" s="1125"/>
      <c r="AG456" s="1125"/>
      <c r="AH456" s="1125"/>
      <c r="AI456" s="1125"/>
    </row>
    <row r="457" spans="30:35">
      <c r="AD457" s="1125"/>
      <c r="AE457" s="1125"/>
      <c r="AF457" s="1125"/>
      <c r="AG457" s="1125"/>
      <c r="AH457" s="1125"/>
      <c r="AI457" s="1125"/>
    </row>
    <row r="458" spans="30:35">
      <c r="AD458" s="1125"/>
      <c r="AE458" s="1125"/>
      <c r="AF458" s="1125"/>
      <c r="AG458" s="1125"/>
      <c r="AH458" s="1125"/>
      <c r="AI458" s="1125"/>
    </row>
    <row r="459" spans="30:35">
      <c r="AD459" s="1125"/>
      <c r="AE459" s="1125"/>
      <c r="AF459" s="1125"/>
      <c r="AG459" s="1125"/>
      <c r="AH459" s="1125"/>
      <c r="AI459" s="1125"/>
    </row>
    <row r="460" spans="30:35">
      <c r="AD460" s="1125"/>
      <c r="AE460" s="1125"/>
      <c r="AF460" s="1125"/>
      <c r="AG460" s="1125"/>
      <c r="AH460" s="1125"/>
      <c r="AI460" s="1125"/>
    </row>
    <row r="461" spans="30:35">
      <c r="AD461" s="1125"/>
      <c r="AE461" s="1125"/>
      <c r="AF461" s="1125"/>
      <c r="AG461" s="1125"/>
      <c r="AH461" s="1125"/>
      <c r="AI461" s="1125"/>
    </row>
    <row r="462" spans="30:35">
      <c r="AD462" s="1125"/>
      <c r="AE462" s="1125"/>
      <c r="AF462" s="1125"/>
      <c r="AG462" s="1125"/>
      <c r="AH462" s="1125"/>
      <c r="AI462" s="1125"/>
    </row>
    <row r="463" spans="30:35">
      <c r="AD463" s="1125"/>
      <c r="AE463" s="1125"/>
      <c r="AF463" s="1125"/>
      <c r="AG463" s="1125"/>
      <c r="AH463" s="1125"/>
      <c r="AI463" s="1125"/>
    </row>
    <row r="464" spans="30:35">
      <c r="AD464" s="1125"/>
      <c r="AE464" s="1125"/>
      <c r="AF464" s="1125"/>
      <c r="AG464" s="1125"/>
      <c r="AH464" s="1125"/>
      <c r="AI464" s="1125"/>
    </row>
    <row r="465" spans="30:35">
      <c r="AD465" s="1125"/>
      <c r="AE465" s="1125"/>
      <c r="AF465" s="1125"/>
      <c r="AG465" s="1125"/>
      <c r="AH465" s="1125"/>
      <c r="AI465" s="1125"/>
    </row>
    <row r="466" spans="30:35">
      <c r="AD466" s="1125"/>
      <c r="AE466" s="1125"/>
      <c r="AF466" s="1125"/>
      <c r="AG466" s="1125"/>
      <c r="AH466" s="1125"/>
      <c r="AI466" s="1125"/>
    </row>
    <row r="467" spans="30:35">
      <c r="AD467" s="1125"/>
      <c r="AE467" s="1125"/>
      <c r="AF467" s="1125"/>
      <c r="AG467" s="1125"/>
      <c r="AH467" s="1125"/>
      <c r="AI467" s="1125"/>
    </row>
    <row r="468" spans="30:35">
      <c r="AD468" s="1125"/>
      <c r="AE468" s="1125"/>
      <c r="AF468" s="1125"/>
      <c r="AG468" s="1125"/>
      <c r="AH468" s="1125"/>
      <c r="AI468" s="1125"/>
    </row>
    <row r="469" spans="30:35">
      <c r="AD469" s="1125"/>
      <c r="AE469" s="1125"/>
      <c r="AF469" s="1125"/>
      <c r="AG469" s="1125"/>
      <c r="AH469" s="1125"/>
      <c r="AI469" s="1125"/>
    </row>
    <row r="470" spans="30:35">
      <c r="AD470" s="1125"/>
      <c r="AE470" s="1125"/>
      <c r="AF470" s="1125"/>
      <c r="AG470" s="1125"/>
      <c r="AH470" s="1125"/>
      <c r="AI470" s="1125"/>
    </row>
    <row r="471" spans="30:35">
      <c r="AD471" s="1125"/>
      <c r="AE471" s="1125"/>
      <c r="AF471" s="1125"/>
      <c r="AG471" s="1125"/>
      <c r="AH471" s="1125"/>
      <c r="AI471" s="1125"/>
    </row>
    <row r="472" spans="30:35">
      <c r="AD472" s="1125"/>
      <c r="AE472" s="1125"/>
      <c r="AF472" s="1125"/>
      <c r="AG472" s="1125"/>
      <c r="AH472" s="1125"/>
      <c r="AI472" s="1125"/>
    </row>
    <row r="473" spans="30:35">
      <c r="AD473" s="1125"/>
      <c r="AE473" s="1125"/>
      <c r="AF473" s="1125"/>
      <c r="AG473" s="1125"/>
      <c r="AH473" s="1125"/>
      <c r="AI473" s="1125"/>
    </row>
    <row r="474" spans="30:35">
      <c r="AD474" s="1125"/>
      <c r="AE474" s="1125"/>
      <c r="AF474" s="1125"/>
      <c r="AG474" s="1125"/>
      <c r="AH474" s="1125"/>
      <c r="AI474" s="1125"/>
    </row>
    <row r="475" spans="30:35">
      <c r="AD475" s="1125"/>
      <c r="AE475" s="1125"/>
      <c r="AF475" s="1125"/>
      <c r="AG475" s="1125"/>
      <c r="AH475" s="1125"/>
      <c r="AI475" s="1125"/>
    </row>
    <row r="476" spans="30:35">
      <c r="AD476" s="1125"/>
      <c r="AE476" s="1125"/>
      <c r="AF476" s="1125"/>
      <c r="AG476" s="1125"/>
      <c r="AH476" s="1125"/>
      <c r="AI476" s="1125"/>
    </row>
    <row r="477" spans="30:35">
      <c r="AD477" s="1125"/>
      <c r="AE477" s="1125"/>
      <c r="AF477" s="1125"/>
      <c r="AG477" s="1125"/>
      <c r="AH477" s="1125"/>
      <c r="AI477" s="1125"/>
    </row>
    <row r="478" spans="30:35">
      <c r="AD478" s="1125"/>
      <c r="AE478" s="1125"/>
      <c r="AF478" s="1125"/>
      <c r="AG478" s="1125"/>
      <c r="AH478" s="1125"/>
      <c r="AI478" s="1125"/>
    </row>
    <row r="479" spans="30:35">
      <c r="AD479" s="1125"/>
      <c r="AE479" s="1125"/>
      <c r="AF479" s="1125"/>
      <c r="AG479" s="1125"/>
      <c r="AH479" s="1125"/>
      <c r="AI479" s="1125"/>
    </row>
    <row r="480" spans="30:35">
      <c r="AD480" s="1125"/>
      <c r="AE480" s="1125"/>
      <c r="AF480" s="1125"/>
      <c r="AG480" s="1125"/>
      <c r="AH480" s="1125"/>
      <c r="AI480" s="1125"/>
    </row>
    <row r="481" spans="30:35">
      <c r="AD481" s="1125"/>
      <c r="AE481" s="1125"/>
      <c r="AF481" s="1125"/>
      <c r="AG481" s="1125"/>
      <c r="AH481" s="1125"/>
      <c r="AI481" s="1125"/>
    </row>
    <row r="482" spans="30:35">
      <c r="AD482" s="1125"/>
      <c r="AE482" s="1125"/>
      <c r="AF482" s="1125"/>
      <c r="AG482" s="1125"/>
      <c r="AH482" s="1125"/>
      <c r="AI482" s="1125"/>
    </row>
    <row r="483" spans="30:35">
      <c r="AD483" s="1125"/>
      <c r="AE483" s="1125"/>
      <c r="AF483" s="1125"/>
      <c r="AG483" s="1125"/>
      <c r="AH483" s="1125"/>
      <c r="AI483" s="1125"/>
    </row>
    <row r="484" spans="30:35">
      <c r="AD484" s="1125"/>
      <c r="AE484" s="1125"/>
      <c r="AF484" s="1125"/>
      <c r="AG484" s="1125"/>
      <c r="AH484" s="1125"/>
      <c r="AI484" s="1125"/>
    </row>
    <row r="485" spans="30:35">
      <c r="AD485" s="1125"/>
      <c r="AE485" s="1125"/>
      <c r="AF485" s="1125"/>
      <c r="AG485" s="1125"/>
      <c r="AH485" s="1125"/>
      <c r="AI485" s="1125"/>
    </row>
    <row r="486" spans="30:35">
      <c r="AD486" s="1125"/>
      <c r="AE486" s="1125"/>
      <c r="AF486" s="1125"/>
      <c r="AG486" s="1125"/>
      <c r="AH486" s="1125"/>
      <c r="AI486" s="1125"/>
    </row>
    <row r="487" spans="30:35">
      <c r="AD487" s="1125"/>
      <c r="AE487" s="1125"/>
      <c r="AF487" s="1125"/>
      <c r="AG487" s="1125"/>
      <c r="AH487" s="1125"/>
      <c r="AI487" s="1125"/>
    </row>
    <row r="488" spans="30:35">
      <c r="AD488" s="1125"/>
      <c r="AE488" s="1125"/>
      <c r="AF488" s="1125"/>
      <c r="AG488" s="1125"/>
      <c r="AH488" s="1125"/>
      <c r="AI488" s="1125"/>
    </row>
    <row r="489" spans="30:35">
      <c r="AD489" s="1125"/>
      <c r="AE489" s="1125"/>
      <c r="AF489" s="1125"/>
      <c r="AG489" s="1125"/>
      <c r="AH489" s="1125"/>
      <c r="AI489" s="1125"/>
    </row>
    <row r="490" spans="30:35">
      <c r="AD490" s="1125"/>
      <c r="AE490" s="1125"/>
      <c r="AF490" s="1125"/>
      <c r="AG490" s="1125"/>
      <c r="AH490" s="1125"/>
      <c r="AI490" s="1125"/>
    </row>
    <row r="491" spans="30:35">
      <c r="AD491" s="1125"/>
      <c r="AE491" s="1125"/>
      <c r="AF491" s="1125"/>
      <c r="AG491" s="1125"/>
      <c r="AH491" s="1125"/>
      <c r="AI491" s="1125"/>
    </row>
    <row r="492" spans="30:35">
      <c r="AD492" s="1125"/>
      <c r="AE492" s="1125"/>
      <c r="AF492" s="1125"/>
      <c r="AG492" s="1125"/>
      <c r="AH492" s="1125"/>
      <c r="AI492" s="1125"/>
    </row>
    <row r="493" spans="30:35">
      <c r="AD493" s="1125"/>
      <c r="AE493" s="1125"/>
      <c r="AF493" s="1125"/>
      <c r="AG493" s="1125"/>
      <c r="AH493" s="1125"/>
      <c r="AI493" s="1125"/>
    </row>
    <row r="494" spans="30:35">
      <c r="AD494" s="1125"/>
      <c r="AE494" s="1125"/>
      <c r="AF494" s="1125"/>
      <c r="AG494" s="1125"/>
      <c r="AH494" s="1125"/>
      <c r="AI494" s="1125"/>
    </row>
    <row r="495" spans="30:35">
      <c r="AD495" s="1125"/>
      <c r="AE495" s="1125"/>
      <c r="AF495" s="1125"/>
      <c r="AG495" s="1125"/>
      <c r="AH495" s="1125"/>
      <c r="AI495" s="1125"/>
    </row>
    <row r="496" spans="30:35">
      <c r="AD496" s="1125"/>
      <c r="AE496" s="1125"/>
      <c r="AF496" s="1125"/>
      <c r="AG496" s="1125"/>
      <c r="AH496" s="1125"/>
      <c r="AI496" s="1125"/>
    </row>
    <row r="497" spans="30:35">
      <c r="AD497" s="1125"/>
      <c r="AE497" s="1125"/>
      <c r="AF497" s="1125"/>
      <c r="AG497" s="1125"/>
      <c r="AH497" s="1125"/>
      <c r="AI497" s="1125"/>
    </row>
    <row r="498" spans="30:35">
      <c r="AD498" s="1125"/>
      <c r="AE498" s="1125"/>
      <c r="AF498" s="1125"/>
      <c r="AG498" s="1125"/>
      <c r="AH498" s="1125"/>
      <c r="AI498" s="1125"/>
    </row>
    <row r="499" spans="30:35">
      <c r="AD499" s="1125"/>
      <c r="AE499" s="1125"/>
      <c r="AF499" s="1125"/>
      <c r="AG499" s="1125"/>
      <c r="AH499" s="1125"/>
      <c r="AI499" s="1125"/>
    </row>
    <row r="500" spans="30:35">
      <c r="AD500" s="1125"/>
      <c r="AE500" s="1125"/>
      <c r="AF500" s="1125"/>
      <c r="AG500" s="1125"/>
      <c r="AH500" s="1125"/>
      <c r="AI500" s="1125"/>
    </row>
    <row r="501" spans="30:35">
      <c r="AD501" s="1125"/>
      <c r="AE501" s="1125"/>
      <c r="AF501" s="1125"/>
      <c r="AG501" s="1125"/>
      <c r="AH501" s="1125"/>
      <c r="AI501" s="1125"/>
    </row>
    <row r="502" spans="30:35">
      <c r="AD502" s="1125"/>
      <c r="AE502" s="1125"/>
      <c r="AF502" s="1125"/>
      <c r="AG502" s="1125"/>
      <c r="AH502" s="1125"/>
      <c r="AI502" s="1125"/>
    </row>
    <row r="503" spans="30:35">
      <c r="AD503" s="1125"/>
      <c r="AE503" s="1125"/>
      <c r="AF503" s="1125"/>
      <c r="AG503" s="1125"/>
      <c r="AH503" s="1125"/>
      <c r="AI503" s="1125"/>
    </row>
    <row r="504" spans="30:35">
      <c r="AD504" s="1125"/>
      <c r="AE504" s="1125"/>
      <c r="AF504" s="1125"/>
      <c r="AG504" s="1125"/>
      <c r="AH504" s="1125"/>
      <c r="AI504" s="1125"/>
    </row>
    <row r="505" spans="30:35">
      <c r="AD505" s="1125"/>
      <c r="AE505" s="1125"/>
      <c r="AF505" s="1125"/>
      <c r="AG505" s="1125"/>
      <c r="AH505" s="1125"/>
      <c r="AI505" s="1125"/>
    </row>
    <row r="506" spans="30:35">
      <c r="AD506" s="1125"/>
      <c r="AE506" s="1125"/>
      <c r="AF506" s="1125"/>
      <c r="AG506" s="1125"/>
      <c r="AH506" s="1125"/>
      <c r="AI506" s="1125"/>
    </row>
    <row r="507" spans="30:35">
      <c r="AD507" s="1125"/>
      <c r="AE507" s="1125"/>
      <c r="AF507" s="1125"/>
      <c r="AG507" s="1125"/>
      <c r="AH507" s="1125"/>
      <c r="AI507" s="1125"/>
    </row>
    <row r="508" spans="30:35">
      <c r="AD508" s="1125"/>
      <c r="AE508" s="1125"/>
      <c r="AF508" s="1125"/>
      <c r="AG508" s="1125"/>
      <c r="AH508" s="1125"/>
      <c r="AI508" s="1125"/>
    </row>
    <row r="509" spans="30:35">
      <c r="AD509" s="1125"/>
      <c r="AE509" s="1125"/>
      <c r="AF509" s="1125"/>
      <c r="AG509" s="1125"/>
      <c r="AH509" s="1125"/>
      <c r="AI509" s="1125"/>
    </row>
    <row r="510" spans="30:35">
      <c r="AD510" s="1125"/>
      <c r="AE510" s="1125"/>
      <c r="AF510" s="1125"/>
      <c r="AG510" s="1125"/>
      <c r="AH510" s="1125"/>
      <c r="AI510" s="1125"/>
    </row>
    <row r="511" spans="30:35">
      <c r="AD511" s="1125"/>
      <c r="AE511" s="1125"/>
      <c r="AF511" s="1125"/>
      <c r="AG511" s="1125"/>
      <c r="AH511" s="1125"/>
      <c r="AI511" s="1125"/>
    </row>
    <row r="512" spans="30:35">
      <c r="AD512" s="1125"/>
      <c r="AE512" s="1125"/>
      <c r="AF512" s="1125"/>
      <c r="AG512" s="1125"/>
      <c r="AH512" s="1125"/>
      <c r="AI512" s="1125"/>
    </row>
    <row r="513" spans="30:35">
      <c r="AD513" s="1125"/>
      <c r="AE513" s="1125"/>
      <c r="AF513" s="1125"/>
      <c r="AG513" s="1125"/>
      <c r="AH513" s="1125"/>
      <c r="AI513" s="1125"/>
    </row>
    <row r="514" spans="30:35">
      <c r="AD514" s="1125"/>
      <c r="AE514" s="1125"/>
      <c r="AF514" s="1125"/>
      <c r="AG514" s="1125"/>
      <c r="AH514" s="1125"/>
      <c r="AI514" s="1125"/>
    </row>
    <row r="515" spans="30:35">
      <c r="AD515" s="1125"/>
      <c r="AE515" s="1125"/>
      <c r="AF515" s="1125"/>
      <c r="AG515" s="1125"/>
      <c r="AH515" s="1125"/>
      <c r="AI515" s="1125"/>
    </row>
    <row r="516" spans="30:35">
      <c r="AD516" s="1125"/>
      <c r="AE516" s="1125"/>
      <c r="AF516" s="1125"/>
      <c r="AG516" s="1125"/>
      <c r="AH516" s="1125"/>
      <c r="AI516" s="1125"/>
    </row>
    <row r="517" spans="30:35">
      <c r="AD517" s="1125"/>
      <c r="AE517" s="1125"/>
      <c r="AF517" s="1125"/>
      <c r="AG517" s="1125"/>
      <c r="AH517" s="1125"/>
      <c r="AI517" s="1125"/>
    </row>
    <row r="518" spans="30:35">
      <c r="AD518" s="1125"/>
      <c r="AE518" s="1125"/>
      <c r="AF518" s="1125"/>
      <c r="AG518" s="1125"/>
      <c r="AH518" s="1125"/>
      <c r="AI518" s="1125"/>
    </row>
    <row r="519" spans="30:35">
      <c r="AD519" s="1125"/>
      <c r="AE519" s="1125"/>
      <c r="AF519" s="1125"/>
      <c r="AG519" s="1125"/>
      <c r="AH519" s="1125"/>
      <c r="AI519" s="1125"/>
    </row>
    <row r="520" spans="30:35">
      <c r="AD520" s="1125"/>
      <c r="AE520" s="1125"/>
      <c r="AF520" s="1125"/>
      <c r="AG520" s="1125"/>
      <c r="AH520" s="1125"/>
      <c r="AI520" s="1125"/>
    </row>
    <row r="521" spans="30:35">
      <c r="AD521" s="1125"/>
      <c r="AE521" s="1125"/>
      <c r="AF521" s="1125"/>
      <c r="AG521" s="1125"/>
      <c r="AH521" s="1125"/>
      <c r="AI521" s="1125"/>
    </row>
    <row r="522" spans="30:35">
      <c r="AD522" s="1125"/>
      <c r="AE522" s="1125"/>
      <c r="AF522" s="1125"/>
      <c r="AG522" s="1125"/>
      <c r="AH522" s="1125"/>
      <c r="AI522" s="1125"/>
    </row>
    <row r="523" spans="30:35">
      <c r="AD523" s="1125"/>
      <c r="AE523" s="1125"/>
      <c r="AF523" s="1125"/>
      <c r="AG523" s="1125"/>
      <c r="AH523" s="1125"/>
      <c r="AI523" s="1125"/>
    </row>
    <row r="524" spans="30:35">
      <c r="AD524" s="1125"/>
      <c r="AE524" s="1125"/>
      <c r="AF524" s="1125"/>
      <c r="AG524" s="1125"/>
      <c r="AH524" s="1125"/>
      <c r="AI524" s="1125"/>
    </row>
    <row r="525" spans="30:35">
      <c r="AD525" s="1125"/>
      <c r="AE525" s="1125"/>
      <c r="AF525" s="1125"/>
      <c r="AG525" s="1125"/>
      <c r="AH525" s="1125"/>
      <c r="AI525" s="1125"/>
    </row>
    <row r="526" spans="30:35">
      <c r="AD526" s="1125"/>
      <c r="AE526" s="1125"/>
      <c r="AF526" s="1125"/>
      <c r="AG526" s="1125"/>
      <c r="AH526" s="1125"/>
      <c r="AI526" s="1125"/>
    </row>
    <row r="527" spans="30:35">
      <c r="AD527" s="1125"/>
      <c r="AE527" s="1125"/>
      <c r="AF527" s="1125"/>
      <c r="AG527" s="1125"/>
      <c r="AH527" s="1125"/>
      <c r="AI527" s="1125"/>
    </row>
    <row r="528" spans="30:35">
      <c r="AD528" s="1125"/>
      <c r="AE528" s="1125"/>
      <c r="AF528" s="1125"/>
      <c r="AG528" s="1125"/>
      <c r="AH528" s="1125"/>
      <c r="AI528" s="1125"/>
    </row>
    <row r="529" spans="30:35">
      <c r="AD529" s="1125"/>
      <c r="AE529" s="1125"/>
      <c r="AF529" s="1125"/>
      <c r="AG529" s="1125"/>
      <c r="AH529" s="1125"/>
      <c r="AI529" s="1125"/>
    </row>
    <row r="530" spans="30:35">
      <c r="AD530" s="1125"/>
      <c r="AE530" s="1125"/>
      <c r="AF530" s="1125"/>
      <c r="AG530" s="1125"/>
      <c r="AH530" s="1125"/>
      <c r="AI530" s="1125"/>
    </row>
    <row r="531" spans="30:35">
      <c r="AD531" s="1125"/>
      <c r="AE531" s="1125"/>
      <c r="AF531" s="1125"/>
      <c r="AG531" s="1125"/>
      <c r="AH531" s="1125"/>
      <c r="AI531" s="1125"/>
    </row>
    <row r="532" spans="30:35">
      <c r="AD532" s="1125"/>
      <c r="AE532" s="1125"/>
      <c r="AF532" s="1125"/>
      <c r="AG532" s="1125"/>
      <c r="AH532" s="1125"/>
      <c r="AI532" s="1125"/>
    </row>
    <row r="533" spans="30:35">
      <c r="AD533" s="1125"/>
      <c r="AE533" s="1125"/>
      <c r="AF533" s="1125"/>
      <c r="AG533" s="1125"/>
      <c r="AH533" s="1125"/>
      <c r="AI533" s="1125"/>
    </row>
    <row r="534" spans="30:35">
      <c r="AD534" s="1125"/>
      <c r="AE534" s="1125"/>
      <c r="AF534" s="1125"/>
      <c r="AG534" s="1125"/>
      <c r="AH534" s="1125"/>
      <c r="AI534" s="1125"/>
    </row>
    <row r="535" spans="30:35">
      <c r="AD535" s="1125"/>
      <c r="AE535" s="1125"/>
      <c r="AF535" s="1125"/>
      <c r="AG535" s="1125"/>
      <c r="AH535" s="1125"/>
      <c r="AI535" s="1125"/>
    </row>
    <row r="536" spans="30:35">
      <c r="AD536" s="1125"/>
      <c r="AE536" s="1125"/>
      <c r="AF536" s="1125"/>
      <c r="AG536" s="1125"/>
      <c r="AH536" s="1125"/>
      <c r="AI536" s="1125"/>
    </row>
    <row r="537" spans="30:35">
      <c r="AD537" s="1125"/>
      <c r="AE537" s="1125"/>
      <c r="AF537" s="1125"/>
      <c r="AG537" s="1125"/>
      <c r="AH537" s="1125"/>
      <c r="AI537" s="1125"/>
    </row>
    <row r="538" spans="30:35">
      <c r="AD538" s="1125"/>
      <c r="AE538" s="1125"/>
      <c r="AF538" s="1125"/>
      <c r="AG538" s="1125"/>
      <c r="AH538" s="1125"/>
      <c r="AI538" s="1125"/>
    </row>
    <row r="539" spans="30:35">
      <c r="AD539" s="1125"/>
      <c r="AE539" s="1125"/>
      <c r="AF539" s="1125"/>
      <c r="AG539" s="1125"/>
      <c r="AH539" s="1125"/>
      <c r="AI539" s="1125"/>
    </row>
    <row r="540" spans="30:35">
      <c r="AD540" s="1125"/>
      <c r="AE540" s="1125"/>
      <c r="AF540" s="1125"/>
      <c r="AG540" s="1125"/>
      <c r="AH540" s="1125"/>
      <c r="AI540" s="1125"/>
    </row>
    <row r="541" spans="30:35">
      <c r="AD541" s="1125"/>
      <c r="AE541" s="1125"/>
      <c r="AF541" s="1125"/>
      <c r="AG541" s="1125"/>
      <c r="AH541" s="1125"/>
      <c r="AI541" s="1125"/>
    </row>
    <row r="542" spans="30:35">
      <c r="AD542" s="1125"/>
      <c r="AE542" s="1125"/>
      <c r="AF542" s="1125"/>
      <c r="AG542" s="1125"/>
      <c r="AH542" s="1125"/>
      <c r="AI542" s="1125"/>
    </row>
    <row r="543" spans="30:35">
      <c r="AD543" s="1125"/>
      <c r="AE543" s="1125"/>
      <c r="AF543" s="1125"/>
      <c r="AG543" s="1125"/>
      <c r="AH543" s="1125"/>
      <c r="AI543" s="1125"/>
    </row>
    <row r="544" spans="30:35">
      <c r="AD544" s="1125"/>
      <c r="AE544" s="1125"/>
      <c r="AF544" s="1125"/>
      <c r="AG544" s="1125"/>
      <c r="AH544" s="1125"/>
      <c r="AI544" s="1125"/>
    </row>
    <row r="545" spans="30:35">
      <c r="AD545" s="1125"/>
      <c r="AE545" s="1125"/>
      <c r="AF545" s="1125"/>
      <c r="AG545" s="1125"/>
      <c r="AH545" s="1125"/>
      <c r="AI545" s="1125"/>
    </row>
    <row r="546" spans="30:35">
      <c r="AD546" s="1125"/>
      <c r="AE546" s="1125"/>
      <c r="AF546" s="1125"/>
      <c r="AG546" s="1125"/>
      <c r="AH546" s="1125"/>
      <c r="AI546" s="1125"/>
    </row>
    <row r="547" spans="30:35">
      <c r="AD547" s="1125"/>
      <c r="AE547" s="1125"/>
      <c r="AF547" s="1125"/>
      <c r="AG547" s="1125"/>
      <c r="AH547" s="1125"/>
      <c r="AI547" s="1125"/>
    </row>
    <row r="548" spans="30:35">
      <c r="AD548" s="1125"/>
      <c r="AE548" s="1125"/>
      <c r="AF548" s="1125"/>
      <c r="AG548" s="1125"/>
      <c r="AH548" s="1125"/>
      <c r="AI548" s="1125"/>
    </row>
    <row r="549" spans="30:35">
      <c r="AD549" s="1125"/>
      <c r="AE549" s="1125"/>
      <c r="AF549" s="1125"/>
      <c r="AG549" s="1125"/>
      <c r="AH549" s="1125"/>
      <c r="AI549" s="1125"/>
    </row>
    <row r="550" spans="30:35">
      <c r="AD550" s="1125"/>
      <c r="AE550" s="1125"/>
      <c r="AF550" s="1125"/>
      <c r="AG550" s="1125"/>
      <c r="AH550" s="1125"/>
      <c r="AI550" s="1125"/>
    </row>
    <row r="551" spans="30:35">
      <c r="AD551" s="1125"/>
      <c r="AE551" s="1125"/>
      <c r="AF551" s="1125"/>
      <c r="AG551" s="1125"/>
      <c r="AH551" s="1125"/>
      <c r="AI551" s="1125"/>
    </row>
    <row r="552" spans="30:35">
      <c r="AD552" s="1125"/>
      <c r="AE552" s="1125"/>
      <c r="AF552" s="1125"/>
      <c r="AG552" s="1125"/>
      <c r="AH552" s="1125"/>
      <c r="AI552" s="1125"/>
    </row>
    <row r="553" spans="30:35">
      <c r="AD553" s="1125"/>
      <c r="AE553" s="1125"/>
      <c r="AF553" s="1125"/>
      <c r="AG553" s="1125"/>
      <c r="AH553" s="1125"/>
      <c r="AI553" s="1125"/>
    </row>
    <row r="554" spans="30:35">
      <c r="AD554" s="1125"/>
      <c r="AE554" s="1125"/>
      <c r="AF554" s="1125"/>
      <c r="AG554" s="1125"/>
      <c r="AH554" s="1125"/>
      <c r="AI554" s="1125"/>
    </row>
    <row r="555" spans="30:35">
      <c r="AD555" s="1125"/>
      <c r="AE555" s="1125"/>
      <c r="AF555" s="1125"/>
      <c r="AG555" s="1125"/>
      <c r="AH555" s="1125"/>
      <c r="AI555" s="1125"/>
    </row>
    <row r="556" spans="30:35">
      <c r="AD556" s="1125"/>
      <c r="AE556" s="1125"/>
      <c r="AF556" s="1125"/>
      <c r="AG556" s="1125"/>
      <c r="AH556" s="1125"/>
      <c r="AI556" s="1125"/>
    </row>
    <row r="557" spans="30:35">
      <c r="AD557" s="1125"/>
      <c r="AE557" s="1125"/>
      <c r="AF557" s="1125"/>
      <c r="AG557" s="1125"/>
      <c r="AH557" s="1125"/>
      <c r="AI557" s="1125"/>
    </row>
    <row r="558" spans="30:35">
      <c r="AD558" s="1125"/>
      <c r="AE558" s="1125"/>
      <c r="AF558" s="1125"/>
      <c r="AG558" s="1125"/>
      <c r="AH558" s="1125"/>
      <c r="AI558" s="1125"/>
    </row>
    <row r="559" spans="30:35">
      <c r="AD559" s="1125"/>
      <c r="AE559" s="1125"/>
      <c r="AF559" s="1125"/>
      <c r="AG559" s="1125"/>
      <c r="AH559" s="1125"/>
      <c r="AI559" s="1125"/>
    </row>
    <row r="560" spans="30:35">
      <c r="AD560" s="1125"/>
      <c r="AE560" s="1125"/>
      <c r="AF560" s="1125"/>
      <c r="AG560" s="1125"/>
      <c r="AH560" s="1125"/>
      <c r="AI560" s="1125"/>
    </row>
    <row r="561" spans="30:35">
      <c r="AD561" s="1125"/>
      <c r="AE561" s="1125"/>
      <c r="AF561" s="1125"/>
      <c r="AG561" s="1125"/>
      <c r="AH561" s="1125"/>
      <c r="AI561" s="1125"/>
    </row>
    <row r="562" spans="30:35">
      <c r="AD562" s="1125"/>
      <c r="AE562" s="1125"/>
      <c r="AF562" s="1125"/>
      <c r="AG562" s="1125"/>
      <c r="AH562" s="1125"/>
      <c r="AI562" s="1125"/>
    </row>
    <row r="563" spans="30:35">
      <c r="AD563" s="1125"/>
      <c r="AE563" s="1125"/>
      <c r="AF563" s="1125"/>
      <c r="AG563" s="1125"/>
      <c r="AH563" s="1125"/>
      <c r="AI563" s="1125"/>
    </row>
    <row r="564" spans="30:35">
      <c r="AD564" s="1125"/>
      <c r="AE564" s="1125"/>
      <c r="AF564" s="1125"/>
      <c r="AG564" s="1125"/>
      <c r="AH564" s="1125"/>
      <c r="AI564" s="1125"/>
    </row>
    <row r="565" spans="30:35">
      <c r="AD565" s="1125"/>
      <c r="AE565" s="1125"/>
      <c r="AF565" s="1125"/>
      <c r="AG565" s="1125"/>
      <c r="AH565" s="1125"/>
      <c r="AI565" s="1125"/>
    </row>
    <row r="566" spans="30:35">
      <c r="AD566" s="1125"/>
      <c r="AE566" s="1125"/>
      <c r="AF566" s="1125"/>
      <c r="AG566" s="1125"/>
      <c r="AH566" s="1125"/>
      <c r="AI566" s="1125"/>
    </row>
    <row r="567" spans="30:35">
      <c r="AD567" s="1125"/>
      <c r="AE567" s="1125"/>
      <c r="AF567" s="1125"/>
      <c r="AG567" s="1125"/>
      <c r="AH567" s="1125"/>
      <c r="AI567" s="1125"/>
    </row>
    <row r="568" spans="30:35">
      <c r="AD568" s="1125"/>
      <c r="AE568" s="1125"/>
      <c r="AF568" s="1125"/>
      <c r="AG568" s="1125"/>
      <c r="AH568" s="1125"/>
      <c r="AI568" s="1125"/>
    </row>
    <row r="569" spans="30:35">
      <c r="AD569" s="1125"/>
      <c r="AE569" s="1125"/>
      <c r="AF569" s="1125"/>
      <c r="AG569" s="1125"/>
      <c r="AH569" s="1125"/>
      <c r="AI569" s="1125"/>
    </row>
    <row r="570" spans="30:35">
      <c r="AD570" s="1125"/>
      <c r="AE570" s="1125"/>
      <c r="AF570" s="1125"/>
      <c r="AG570" s="1125"/>
      <c r="AH570" s="1125"/>
      <c r="AI570" s="1125"/>
    </row>
    <row r="571" spans="30:35">
      <c r="AD571" s="1125"/>
      <c r="AE571" s="1125"/>
      <c r="AF571" s="1125"/>
      <c r="AG571" s="1125"/>
      <c r="AH571" s="1125"/>
      <c r="AI571" s="1125"/>
    </row>
    <row r="572" spans="30:35">
      <c r="AD572" s="1125"/>
      <c r="AE572" s="1125"/>
      <c r="AF572" s="1125"/>
      <c r="AG572" s="1125"/>
      <c r="AH572" s="1125"/>
      <c r="AI572" s="1125"/>
    </row>
    <row r="573" spans="30:35">
      <c r="AD573" s="1125"/>
      <c r="AE573" s="1125"/>
      <c r="AF573" s="1125"/>
      <c r="AG573" s="1125"/>
      <c r="AH573" s="1125"/>
      <c r="AI573" s="1125"/>
    </row>
    <row r="574" spans="30:35">
      <c r="AD574" s="1125"/>
      <c r="AE574" s="1125"/>
      <c r="AF574" s="1125"/>
      <c r="AG574" s="1125"/>
      <c r="AH574" s="1125"/>
      <c r="AI574" s="1125"/>
    </row>
    <row r="575" spans="30:35">
      <c r="AD575" s="1125"/>
      <c r="AE575" s="1125"/>
      <c r="AF575" s="1125"/>
      <c r="AG575" s="1125"/>
      <c r="AH575" s="1125"/>
      <c r="AI575" s="1125"/>
    </row>
    <row r="576" spans="30:35">
      <c r="AD576" s="1125"/>
      <c r="AE576" s="1125"/>
      <c r="AF576" s="1125"/>
      <c r="AG576" s="1125"/>
      <c r="AH576" s="1125"/>
      <c r="AI576" s="1125"/>
    </row>
    <row r="577" spans="30:35">
      <c r="AD577" s="1125"/>
      <c r="AE577" s="1125"/>
      <c r="AF577" s="1125"/>
      <c r="AG577" s="1125"/>
      <c r="AH577" s="1125"/>
      <c r="AI577" s="1125"/>
    </row>
    <row r="578" spans="30:35">
      <c r="AD578" s="1125"/>
      <c r="AE578" s="1125"/>
      <c r="AF578" s="1125"/>
      <c r="AG578" s="1125"/>
      <c r="AH578" s="1125"/>
      <c r="AI578" s="1125"/>
    </row>
    <row r="579" spans="30:35">
      <c r="AD579" s="1125"/>
      <c r="AE579" s="1125"/>
      <c r="AF579" s="1125"/>
      <c r="AG579" s="1125"/>
      <c r="AH579" s="1125"/>
      <c r="AI579" s="1125"/>
    </row>
    <row r="580" spans="30:35">
      <c r="AD580" s="1125"/>
      <c r="AE580" s="1125"/>
      <c r="AF580" s="1125"/>
      <c r="AG580" s="1125"/>
      <c r="AH580" s="1125"/>
      <c r="AI580" s="1125"/>
    </row>
    <row r="581" spans="30:35">
      <c r="AD581" s="1125"/>
      <c r="AE581" s="1125"/>
      <c r="AF581" s="1125"/>
      <c r="AG581" s="1125"/>
      <c r="AH581" s="1125"/>
      <c r="AI581" s="1125"/>
    </row>
    <row r="582" spans="30:35">
      <c r="AD582" s="1125"/>
      <c r="AE582" s="1125"/>
      <c r="AF582" s="1125"/>
      <c r="AG582" s="1125"/>
      <c r="AH582" s="1125"/>
      <c r="AI582" s="1125"/>
    </row>
    <row r="583" spans="30:35">
      <c r="AD583" s="1125"/>
      <c r="AE583" s="1125"/>
      <c r="AF583" s="1125"/>
      <c r="AG583" s="1125"/>
      <c r="AH583" s="1125"/>
      <c r="AI583" s="1125"/>
    </row>
    <row r="584" spans="30:35">
      <c r="AD584" s="1125"/>
      <c r="AE584" s="1125"/>
      <c r="AF584" s="1125"/>
      <c r="AG584" s="1125"/>
      <c r="AH584" s="1125"/>
      <c r="AI584" s="1125"/>
    </row>
    <row r="585" spans="30:35">
      <c r="AD585" s="1125"/>
      <c r="AE585" s="1125"/>
      <c r="AF585" s="1125"/>
      <c r="AG585" s="1125"/>
      <c r="AH585" s="1125"/>
      <c r="AI585" s="1125"/>
    </row>
    <row r="586" spans="30:35">
      <c r="AD586" s="1125"/>
      <c r="AE586" s="1125"/>
      <c r="AF586" s="1125"/>
      <c r="AG586" s="1125"/>
      <c r="AH586" s="1125"/>
      <c r="AI586" s="1125"/>
    </row>
    <row r="587" spans="30:35">
      <c r="AD587" s="1125"/>
      <c r="AE587" s="1125"/>
      <c r="AF587" s="1125"/>
      <c r="AG587" s="1125"/>
      <c r="AH587" s="1125"/>
      <c r="AI587" s="1125"/>
    </row>
    <row r="588" spans="30:35">
      <c r="AD588" s="1125"/>
      <c r="AE588" s="1125"/>
      <c r="AF588" s="1125"/>
      <c r="AG588" s="1125"/>
      <c r="AH588" s="1125"/>
      <c r="AI588" s="1125"/>
    </row>
    <row r="589" spans="30:35">
      <c r="AD589" s="1125"/>
      <c r="AE589" s="1125"/>
      <c r="AF589" s="1125"/>
      <c r="AG589" s="1125"/>
      <c r="AH589" s="1125"/>
      <c r="AI589" s="1125"/>
    </row>
    <row r="590" spans="30:35">
      <c r="AD590" s="1125"/>
      <c r="AE590" s="1125"/>
      <c r="AF590" s="1125"/>
      <c r="AG590" s="1125"/>
      <c r="AH590" s="1125"/>
      <c r="AI590" s="1125"/>
    </row>
    <row r="591" spans="30:35">
      <c r="AD591" s="1125"/>
      <c r="AE591" s="1125"/>
      <c r="AF591" s="1125"/>
      <c r="AG591" s="1125"/>
      <c r="AH591" s="1125"/>
      <c r="AI591" s="1125"/>
    </row>
    <row r="592" spans="30:35">
      <c r="AD592" s="1125"/>
      <c r="AE592" s="1125"/>
      <c r="AF592" s="1125"/>
      <c r="AG592" s="1125"/>
      <c r="AH592" s="1125"/>
      <c r="AI592" s="1125"/>
    </row>
    <row r="593" spans="30:35">
      <c r="AD593" s="1125"/>
      <c r="AE593" s="1125"/>
      <c r="AF593" s="1125"/>
      <c r="AG593" s="1125"/>
      <c r="AH593" s="1125"/>
      <c r="AI593" s="1125"/>
    </row>
    <row r="594" spans="30:35">
      <c r="AD594" s="1125"/>
      <c r="AE594" s="1125"/>
      <c r="AF594" s="1125"/>
      <c r="AG594" s="1125"/>
      <c r="AH594" s="1125"/>
      <c r="AI594" s="1125"/>
    </row>
    <row r="595" spans="30:35">
      <c r="AD595" s="1125"/>
      <c r="AE595" s="1125"/>
      <c r="AF595" s="1125"/>
      <c r="AG595" s="1125"/>
      <c r="AH595" s="1125"/>
      <c r="AI595" s="1125"/>
    </row>
    <row r="596" spans="30:35">
      <c r="AD596" s="1125"/>
      <c r="AE596" s="1125"/>
      <c r="AF596" s="1125"/>
      <c r="AG596" s="1125"/>
      <c r="AH596" s="1125"/>
      <c r="AI596" s="1125"/>
    </row>
    <row r="597" spans="30:35">
      <c r="AD597" s="1125"/>
      <c r="AE597" s="1125"/>
      <c r="AF597" s="1125"/>
      <c r="AG597" s="1125"/>
      <c r="AH597" s="1125"/>
      <c r="AI597" s="1125"/>
    </row>
    <row r="598" spans="30:35">
      <c r="AD598" s="1125"/>
      <c r="AE598" s="1125"/>
      <c r="AF598" s="1125"/>
      <c r="AG598" s="1125"/>
      <c r="AH598" s="1125"/>
      <c r="AI598" s="1125"/>
    </row>
    <row r="599" spans="30:35">
      <c r="AD599" s="1125"/>
      <c r="AE599" s="1125"/>
      <c r="AF599" s="1125"/>
      <c r="AG599" s="1125"/>
      <c r="AH599" s="1125"/>
      <c r="AI599" s="1125"/>
    </row>
    <row r="600" spans="30:35">
      <c r="AD600" s="1125"/>
      <c r="AE600" s="1125"/>
      <c r="AF600" s="1125"/>
      <c r="AG600" s="1125"/>
      <c r="AH600" s="1125"/>
      <c r="AI600" s="1125"/>
    </row>
    <row r="601" spans="30:35">
      <c r="AD601" s="1125"/>
      <c r="AE601" s="1125"/>
      <c r="AF601" s="1125"/>
      <c r="AG601" s="1125"/>
      <c r="AH601" s="1125"/>
      <c r="AI601" s="1125"/>
    </row>
    <row r="602" spans="30:35">
      <c r="AD602" s="1125"/>
      <c r="AE602" s="1125"/>
      <c r="AF602" s="1125"/>
      <c r="AG602" s="1125"/>
      <c r="AH602" s="1125"/>
      <c r="AI602" s="1125"/>
    </row>
    <row r="603" spans="30:35">
      <c r="AD603" s="1125"/>
      <c r="AE603" s="1125"/>
      <c r="AF603" s="1125"/>
      <c r="AG603" s="1125"/>
      <c r="AH603" s="1125"/>
      <c r="AI603" s="1125"/>
    </row>
    <row r="604" spans="30:35">
      <c r="AD604" s="1125"/>
      <c r="AE604" s="1125"/>
      <c r="AF604" s="1125"/>
      <c r="AG604" s="1125"/>
      <c r="AH604" s="1125"/>
      <c r="AI604" s="1125"/>
    </row>
    <row r="605" spans="30:35">
      <c r="AD605" s="1125"/>
      <c r="AE605" s="1125"/>
      <c r="AF605" s="1125"/>
      <c r="AG605" s="1125"/>
      <c r="AH605" s="1125"/>
      <c r="AI605" s="1125"/>
    </row>
    <row r="606" spans="30:35">
      <c r="AD606" s="1125"/>
      <c r="AE606" s="1125"/>
      <c r="AF606" s="1125"/>
      <c r="AG606" s="1125"/>
      <c r="AH606" s="1125"/>
      <c r="AI606" s="1125"/>
    </row>
    <row r="607" spans="30:35">
      <c r="AD607" s="1125"/>
      <c r="AE607" s="1125"/>
      <c r="AF607" s="1125"/>
      <c r="AG607" s="1125"/>
      <c r="AH607" s="1125"/>
      <c r="AI607" s="1125"/>
    </row>
    <row r="608" spans="30:35">
      <c r="AD608" s="1125"/>
      <c r="AE608" s="1125"/>
      <c r="AF608" s="1125"/>
      <c r="AG608" s="1125"/>
      <c r="AH608" s="1125"/>
      <c r="AI608" s="1125"/>
    </row>
    <row r="609" spans="30:35">
      <c r="AD609" s="1125"/>
      <c r="AE609" s="1125"/>
      <c r="AF609" s="1125"/>
      <c r="AG609" s="1125"/>
      <c r="AH609" s="1125"/>
      <c r="AI609" s="1125"/>
    </row>
    <row r="610" spans="30:35">
      <c r="AD610" s="1125"/>
      <c r="AE610" s="1125"/>
      <c r="AF610" s="1125"/>
      <c r="AG610" s="1125"/>
      <c r="AH610" s="1125"/>
      <c r="AI610" s="1125"/>
    </row>
    <row r="611" spans="30:35">
      <c r="AD611" s="1125"/>
      <c r="AE611" s="1125"/>
      <c r="AF611" s="1125"/>
      <c r="AG611" s="1125"/>
      <c r="AH611" s="1125"/>
      <c r="AI611" s="1125"/>
    </row>
    <row r="612" spans="30:35">
      <c r="AD612" s="1125"/>
      <c r="AE612" s="1125"/>
      <c r="AF612" s="1125"/>
      <c r="AG612" s="1125"/>
      <c r="AH612" s="1125"/>
      <c r="AI612" s="1125"/>
    </row>
    <row r="613" spans="30:35">
      <c r="AD613" s="1125"/>
      <c r="AE613" s="1125"/>
      <c r="AF613" s="1125"/>
      <c r="AG613" s="1125"/>
      <c r="AH613" s="1125"/>
      <c r="AI613" s="1125"/>
    </row>
    <row r="614" spans="30:35">
      <c r="AD614" s="1125"/>
      <c r="AE614" s="1125"/>
      <c r="AF614" s="1125"/>
      <c r="AG614" s="1125"/>
      <c r="AH614" s="1125"/>
      <c r="AI614" s="1125"/>
    </row>
    <row r="615" spans="30:35">
      <c r="AD615" s="1125"/>
      <c r="AE615" s="1125"/>
      <c r="AF615" s="1125"/>
      <c r="AG615" s="1125"/>
      <c r="AH615" s="1125"/>
      <c r="AI615" s="1125"/>
    </row>
    <row r="616" spans="30:35">
      <c r="AD616" s="1125"/>
      <c r="AE616" s="1125"/>
      <c r="AF616" s="1125"/>
      <c r="AG616" s="1125"/>
      <c r="AH616" s="1125"/>
      <c r="AI616" s="1125"/>
    </row>
    <row r="617" spans="30:35">
      <c r="AD617" s="1125"/>
      <c r="AE617" s="1125"/>
      <c r="AF617" s="1125"/>
      <c r="AG617" s="1125"/>
      <c r="AH617" s="1125"/>
      <c r="AI617" s="1125"/>
    </row>
    <row r="618" spans="30:35">
      <c r="AD618" s="1125"/>
      <c r="AE618" s="1125"/>
      <c r="AF618" s="1125"/>
      <c r="AG618" s="1125"/>
      <c r="AH618" s="1125"/>
      <c r="AI618" s="1125"/>
    </row>
    <row r="619" spans="30:35">
      <c r="AD619" s="1125"/>
      <c r="AE619" s="1125"/>
      <c r="AF619" s="1125"/>
      <c r="AG619" s="1125"/>
      <c r="AH619" s="1125"/>
      <c r="AI619" s="1125"/>
    </row>
    <row r="620" spans="30:35">
      <c r="AD620" s="1125"/>
      <c r="AE620" s="1125"/>
      <c r="AF620" s="1125"/>
      <c r="AG620" s="1125"/>
      <c r="AH620" s="1125"/>
      <c r="AI620" s="1125"/>
    </row>
    <row r="621" spans="30:35">
      <c r="AD621" s="1125"/>
      <c r="AE621" s="1125"/>
      <c r="AF621" s="1125"/>
      <c r="AG621" s="1125"/>
      <c r="AH621" s="1125"/>
      <c r="AI621" s="1125"/>
    </row>
    <row r="622" spans="30:35">
      <c r="AD622" s="1125"/>
      <c r="AE622" s="1125"/>
      <c r="AF622" s="1125"/>
      <c r="AG622" s="1125"/>
      <c r="AH622" s="1125"/>
      <c r="AI622" s="1125"/>
    </row>
    <row r="623" spans="30:35">
      <c r="AD623" s="1125"/>
      <c r="AE623" s="1125"/>
      <c r="AF623" s="1125"/>
      <c r="AG623" s="1125"/>
      <c r="AH623" s="1125"/>
      <c r="AI623" s="1125"/>
    </row>
    <row r="624" spans="30:35">
      <c r="AD624" s="1125"/>
      <c r="AE624" s="1125"/>
      <c r="AF624" s="1125"/>
      <c r="AG624" s="1125"/>
      <c r="AH624" s="1125"/>
      <c r="AI624" s="1125"/>
    </row>
    <row r="625" spans="30:35">
      <c r="AD625" s="1125"/>
      <c r="AE625" s="1125"/>
      <c r="AF625" s="1125"/>
      <c r="AG625" s="1125"/>
      <c r="AH625" s="1125"/>
      <c r="AI625" s="1125"/>
    </row>
    <row r="626" spans="30:35">
      <c r="AD626" s="1125"/>
      <c r="AE626" s="1125"/>
      <c r="AF626" s="1125"/>
      <c r="AG626" s="1125"/>
      <c r="AH626" s="1125"/>
      <c r="AI626" s="1125"/>
    </row>
    <row r="627" spans="30:35">
      <c r="AD627" s="1125"/>
      <c r="AE627" s="1125"/>
      <c r="AF627" s="1125"/>
      <c r="AG627" s="1125"/>
      <c r="AH627" s="1125"/>
      <c r="AI627" s="1125"/>
    </row>
    <row r="628" spans="30:35">
      <c r="AD628" s="1125"/>
      <c r="AE628" s="1125"/>
      <c r="AF628" s="1125"/>
      <c r="AG628" s="1125"/>
      <c r="AH628" s="1125"/>
      <c r="AI628" s="1125"/>
    </row>
    <row r="629" spans="30:35">
      <c r="AD629" s="1125"/>
      <c r="AE629" s="1125"/>
      <c r="AF629" s="1125"/>
      <c r="AG629" s="1125"/>
      <c r="AH629" s="1125"/>
      <c r="AI629" s="1125"/>
    </row>
    <row r="630" spans="30:35">
      <c r="AD630" s="1125"/>
      <c r="AE630" s="1125"/>
      <c r="AF630" s="1125"/>
      <c r="AG630" s="1125"/>
      <c r="AH630" s="1125"/>
      <c r="AI630" s="1125"/>
    </row>
    <row r="631" spans="30:35">
      <c r="AD631" s="1125"/>
      <c r="AE631" s="1125"/>
      <c r="AF631" s="1125"/>
      <c r="AG631" s="1125"/>
      <c r="AH631" s="1125"/>
      <c r="AI631" s="1125"/>
    </row>
    <row r="632" spans="30:35">
      <c r="AD632" s="1125"/>
      <c r="AE632" s="1125"/>
      <c r="AF632" s="1125"/>
      <c r="AG632" s="1125"/>
      <c r="AH632" s="1125"/>
      <c r="AI632" s="1125"/>
    </row>
    <row r="633" spans="30:35">
      <c r="AD633" s="1125"/>
      <c r="AE633" s="1125"/>
      <c r="AF633" s="1125"/>
      <c r="AG633" s="1125"/>
      <c r="AH633" s="1125"/>
      <c r="AI633" s="1125"/>
    </row>
    <row r="634" spans="30:35">
      <c r="AD634" s="1125"/>
      <c r="AE634" s="1125"/>
      <c r="AF634" s="1125"/>
      <c r="AG634" s="1125"/>
      <c r="AH634" s="1125"/>
      <c r="AI634" s="1125"/>
    </row>
    <row r="635" spans="30:35">
      <c r="AD635" s="1125"/>
      <c r="AE635" s="1125"/>
      <c r="AF635" s="1125"/>
      <c r="AG635" s="1125"/>
      <c r="AH635" s="1125"/>
      <c r="AI635" s="1125"/>
    </row>
    <row r="636" spans="30:35">
      <c r="AD636" s="1125"/>
      <c r="AE636" s="1125"/>
      <c r="AF636" s="1125"/>
      <c r="AG636" s="1125"/>
      <c r="AH636" s="1125"/>
      <c r="AI636" s="1125"/>
    </row>
    <row r="637" spans="30:35">
      <c r="AD637" s="1125"/>
      <c r="AE637" s="1125"/>
      <c r="AF637" s="1125"/>
      <c r="AG637" s="1125"/>
      <c r="AH637" s="1125"/>
      <c r="AI637" s="1125"/>
    </row>
    <row r="638" spans="30:35">
      <c r="AD638" s="1125"/>
      <c r="AE638" s="1125"/>
      <c r="AF638" s="1125"/>
      <c r="AG638" s="1125"/>
      <c r="AH638" s="1125"/>
      <c r="AI638" s="1125"/>
    </row>
    <row r="639" spans="30:35">
      <c r="AD639" s="1125"/>
      <c r="AE639" s="1125"/>
      <c r="AF639" s="1125"/>
      <c r="AG639" s="1125"/>
      <c r="AH639" s="1125"/>
      <c r="AI639" s="1125"/>
    </row>
    <row r="640" spans="30:35">
      <c r="AD640" s="1125"/>
      <c r="AE640" s="1125"/>
      <c r="AF640" s="1125"/>
      <c r="AG640" s="1125"/>
      <c r="AH640" s="1125"/>
      <c r="AI640" s="1125"/>
    </row>
    <row r="641" spans="30:35">
      <c r="AD641" s="1125"/>
      <c r="AE641" s="1125"/>
      <c r="AF641" s="1125"/>
      <c r="AG641" s="1125"/>
      <c r="AH641" s="1125"/>
      <c r="AI641" s="1125"/>
    </row>
    <row r="642" spans="30:35">
      <c r="AD642" s="1125"/>
      <c r="AE642" s="1125"/>
      <c r="AF642" s="1125"/>
      <c r="AG642" s="1125"/>
      <c r="AH642" s="1125"/>
      <c r="AI642" s="1125"/>
    </row>
    <row r="643" spans="30:35">
      <c r="AD643" s="1125"/>
      <c r="AE643" s="1125"/>
      <c r="AF643" s="1125"/>
      <c r="AG643" s="1125"/>
      <c r="AH643" s="1125"/>
      <c r="AI643" s="1125"/>
    </row>
    <row r="644" spans="30:35">
      <c r="AD644" s="1125"/>
      <c r="AE644" s="1125"/>
      <c r="AF644" s="1125"/>
      <c r="AG644" s="1125"/>
      <c r="AH644" s="1125"/>
      <c r="AI644" s="1125"/>
    </row>
    <row r="645" spans="30:35">
      <c r="AD645" s="1125"/>
      <c r="AE645" s="1125"/>
      <c r="AF645" s="1125"/>
      <c r="AG645" s="1125"/>
      <c r="AH645" s="1125"/>
      <c r="AI645" s="1125"/>
    </row>
    <row r="646" spans="30:35">
      <c r="AD646" s="1125"/>
      <c r="AE646" s="1125"/>
      <c r="AF646" s="1125"/>
      <c r="AG646" s="1125"/>
      <c r="AH646" s="1125"/>
      <c r="AI646" s="1125"/>
    </row>
    <row r="647" spans="30:35">
      <c r="AD647" s="1125"/>
      <c r="AE647" s="1125"/>
      <c r="AF647" s="1125"/>
      <c r="AG647" s="1125"/>
      <c r="AH647" s="1125"/>
      <c r="AI647" s="1125"/>
    </row>
    <row r="648" spans="30:35">
      <c r="AD648" s="1125"/>
      <c r="AE648" s="1125"/>
      <c r="AF648" s="1125"/>
      <c r="AG648" s="1125"/>
      <c r="AH648" s="1125"/>
      <c r="AI648" s="1125"/>
    </row>
    <row r="649" spans="30:35">
      <c r="AD649" s="1125"/>
      <c r="AE649" s="1125"/>
      <c r="AF649" s="1125"/>
      <c r="AG649" s="1125"/>
      <c r="AH649" s="1125"/>
      <c r="AI649" s="1125"/>
    </row>
    <row r="650" spans="30:35">
      <c r="AD650" s="1125"/>
      <c r="AE650" s="1125"/>
      <c r="AF650" s="1125"/>
      <c r="AG650" s="1125"/>
      <c r="AH650" s="1125"/>
      <c r="AI650" s="1125"/>
    </row>
    <row r="651" spans="30:35">
      <c r="AD651" s="1125"/>
      <c r="AE651" s="1125"/>
      <c r="AF651" s="1125"/>
      <c r="AG651" s="1125"/>
      <c r="AH651" s="1125"/>
      <c r="AI651" s="1125"/>
    </row>
    <row r="652" spans="30:35">
      <c r="AD652" s="1125"/>
      <c r="AE652" s="1125"/>
      <c r="AF652" s="1125"/>
      <c r="AG652" s="1125"/>
      <c r="AH652" s="1125"/>
      <c r="AI652" s="1125"/>
    </row>
    <row r="653" spans="30:35">
      <c r="AD653" s="1125"/>
      <c r="AE653" s="1125"/>
      <c r="AF653" s="1125"/>
      <c r="AG653" s="1125"/>
      <c r="AH653" s="1125"/>
      <c r="AI653" s="1125"/>
    </row>
    <row r="654" spans="30:35">
      <c r="AD654" s="1125"/>
      <c r="AE654" s="1125"/>
      <c r="AF654" s="1125"/>
      <c r="AG654" s="1125"/>
      <c r="AH654" s="1125"/>
      <c r="AI654" s="1125"/>
    </row>
    <row r="655" spans="30:35">
      <c r="AD655" s="1125"/>
      <c r="AE655" s="1125"/>
      <c r="AF655" s="1125"/>
      <c r="AG655" s="1125"/>
      <c r="AH655" s="1125"/>
      <c r="AI655" s="1125"/>
    </row>
    <row r="656" spans="30:35">
      <c r="AD656" s="1125"/>
      <c r="AE656" s="1125"/>
      <c r="AF656" s="1125"/>
      <c r="AG656" s="1125"/>
      <c r="AH656" s="1125"/>
      <c r="AI656" s="1125"/>
    </row>
    <row r="657" spans="30:35">
      <c r="AD657" s="1125"/>
      <c r="AE657" s="1125"/>
      <c r="AF657" s="1125"/>
      <c r="AG657" s="1125"/>
      <c r="AH657" s="1125"/>
      <c r="AI657" s="1125"/>
    </row>
    <row r="658" spans="30:35">
      <c r="AD658" s="1125"/>
      <c r="AE658" s="1125"/>
      <c r="AF658" s="1125"/>
      <c r="AG658" s="1125"/>
      <c r="AH658" s="1125"/>
      <c r="AI658" s="1125"/>
    </row>
    <row r="659" spans="30:35">
      <c r="AD659" s="1125"/>
      <c r="AE659" s="1125"/>
      <c r="AF659" s="1125"/>
      <c r="AG659" s="1125"/>
      <c r="AH659" s="1125"/>
      <c r="AI659" s="1125"/>
    </row>
    <row r="660" spans="30:35">
      <c r="AD660" s="1125"/>
      <c r="AE660" s="1125"/>
      <c r="AF660" s="1125"/>
      <c r="AG660" s="1125"/>
      <c r="AH660" s="1125"/>
      <c r="AI660" s="1125"/>
    </row>
    <row r="661" spans="30:35">
      <c r="AD661" s="1125"/>
      <c r="AE661" s="1125"/>
      <c r="AF661" s="1125"/>
      <c r="AG661" s="1125"/>
      <c r="AH661" s="1125"/>
      <c r="AI661" s="1125"/>
    </row>
    <row r="662" spans="30:35">
      <c r="AD662" s="1125"/>
      <c r="AE662" s="1125"/>
      <c r="AF662" s="1125"/>
      <c r="AG662" s="1125"/>
      <c r="AH662" s="1125"/>
      <c r="AI662" s="1125"/>
    </row>
    <row r="663" spans="30:35">
      <c r="AD663" s="1125"/>
      <c r="AE663" s="1125"/>
      <c r="AF663" s="1125"/>
      <c r="AG663" s="1125"/>
      <c r="AH663" s="1125"/>
      <c r="AI663" s="1125"/>
    </row>
    <row r="664" spans="30:35">
      <c r="AD664" s="1125"/>
      <c r="AE664" s="1125"/>
      <c r="AF664" s="1125"/>
      <c r="AG664" s="1125"/>
      <c r="AH664" s="1125"/>
      <c r="AI664" s="1125"/>
    </row>
    <row r="665" spans="30:35">
      <c r="AD665" s="1125"/>
      <c r="AE665" s="1125"/>
      <c r="AF665" s="1125"/>
      <c r="AG665" s="1125"/>
      <c r="AH665" s="1125"/>
      <c r="AI665" s="1125"/>
    </row>
    <row r="666" spans="30:35">
      <c r="AD666" s="1125"/>
      <c r="AE666" s="1125"/>
      <c r="AF666" s="1125"/>
      <c r="AG666" s="1125"/>
      <c r="AH666" s="1125"/>
      <c r="AI666" s="1125"/>
    </row>
    <row r="667" spans="30:35">
      <c r="AD667" s="1125"/>
      <c r="AE667" s="1125"/>
      <c r="AF667" s="1125"/>
      <c r="AG667" s="1125"/>
      <c r="AH667" s="1125"/>
      <c r="AI667" s="1125"/>
    </row>
    <row r="668" spans="30:35">
      <c r="AD668" s="1125"/>
      <c r="AE668" s="1125"/>
      <c r="AF668" s="1125"/>
      <c r="AG668" s="1125"/>
      <c r="AH668" s="1125"/>
      <c r="AI668" s="1125"/>
    </row>
    <row r="669" spans="30:35">
      <c r="AD669" s="1125"/>
      <c r="AE669" s="1125"/>
      <c r="AF669" s="1125"/>
      <c r="AG669" s="1125"/>
      <c r="AH669" s="1125"/>
      <c r="AI669" s="1125"/>
    </row>
    <row r="670" spans="30:35">
      <c r="AD670" s="1125"/>
      <c r="AE670" s="1125"/>
      <c r="AF670" s="1125"/>
      <c r="AG670" s="1125"/>
      <c r="AH670" s="1125"/>
      <c r="AI670" s="1125"/>
    </row>
    <row r="671" spans="30:35">
      <c r="AD671" s="1125"/>
      <c r="AE671" s="1125"/>
      <c r="AF671" s="1125"/>
      <c r="AG671" s="1125"/>
      <c r="AH671" s="1125"/>
      <c r="AI671" s="1125"/>
    </row>
    <row r="672" spans="30:35">
      <c r="AD672" s="1125"/>
      <c r="AE672" s="1125"/>
      <c r="AF672" s="1125"/>
      <c r="AG672" s="1125"/>
      <c r="AH672" s="1125"/>
      <c r="AI672" s="1125"/>
    </row>
    <row r="673" spans="30:35">
      <c r="AD673" s="1125"/>
      <c r="AE673" s="1125"/>
      <c r="AF673" s="1125"/>
      <c r="AG673" s="1125"/>
      <c r="AH673" s="1125"/>
      <c r="AI673" s="1125"/>
    </row>
    <row r="674" spans="30:35">
      <c r="AD674" s="1125"/>
      <c r="AE674" s="1125"/>
      <c r="AF674" s="1125"/>
      <c r="AG674" s="1125"/>
      <c r="AH674" s="1125"/>
      <c r="AI674" s="1125"/>
    </row>
    <row r="675" spans="30:35">
      <c r="AD675" s="1125"/>
      <c r="AE675" s="1125"/>
      <c r="AF675" s="1125"/>
      <c r="AG675" s="1125"/>
      <c r="AH675" s="1125"/>
      <c r="AI675" s="1125"/>
    </row>
    <row r="676" spans="30:35">
      <c r="AD676" s="1125"/>
      <c r="AE676" s="1125"/>
      <c r="AF676" s="1125"/>
      <c r="AG676" s="1125"/>
      <c r="AH676" s="1125"/>
      <c r="AI676" s="1125"/>
    </row>
    <row r="677" spans="30:35">
      <c r="AD677" s="1125"/>
      <c r="AE677" s="1125"/>
      <c r="AF677" s="1125"/>
      <c r="AG677" s="1125"/>
      <c r="AH677" s="1125"/>
      <c r="AI677" s="1125"/>
    </row>
    <row r="678" spans="30:35">
      <c r="AD678" s="1125"/>
      <c r="AE678" s="1125"/>
      <c r="AF678" s="1125"/>
      <c r="AG678" s="1125"/>
      <c r="AH678" s="1125"/>
      <c r="AI678" s="1125"/>
    </row>
    <row r="679" spans="30:35">
      <c r="AD679" s="1125"/>
      <c r="AE679" s="1125"/>
      <c r="AF679" s="1125"/>
      <c r="AG679" s="1125"/>
      <c r="AH679" s="1125"/>
      <c r="AI679" s="1125"/>
    </row>
    <row r="680" spans="30:35">
      <c r="AD680" s="1125"/>
      <c r="AE680" s="1125"/>
      <c r="AF680" s="1125"/>
      <c r="AG680" s="1125"/>
      <c r="AH680" s="1125"/>
      <c r="AI680" s="1125"/>
    </row>
    <row r="681" spans="30:35">
      <c r="AD681" s="1125"/>
      <c r="AE681" s="1125"/>
      <c r="AF681" s="1125"/>
      <c r="AG681" s="1125"/>
      <c r="AH681" s="1125"/>
      <c r="AI681" s="1125"/>
    </row>
    <row r="682" spans="30:35">
      <c r="AD682" s="1125"/>
      <c r="AE682" s="1125"/>
      <c r="AF682" s="1125"/>
      <c r="AG682" s="1125"/>
      <c r="AH682" s="1125"/>
      <c r="AI682" s="1125"/>
    </row>
    <row r="683" spans="30:35">
      <c r="AD683" s="1125"/>
      <c r="AE683" s="1125"/>
      <c r="AF683" s="1125"/>
      <c r="AG683" s="1125"/>
      <c r="AH683" s="1125"/>
      <c r="AI683" s="1125"/>
    </row>
    <row r="684" spans="30:35">
      <c r="AD684" s="1125"/>
      <c r="AE684" s="1125"/>
      <c r="AF684" s="1125"/>
      <c r="AG684" s="1125"/>
      <c r="AH684" s="1125"/>
      <c r="AI684" s="1125"/>
    </row>
    <row r="685" spans="30:35">
      <c r="AD685" s="1125"/>
      <c r="AE685" s="1125"/>
      <c r="AF685" s="1125"/>
      <c r="AG685" s="1125"/>
      <c r="AH685" s="1125"/>
      <c r="AI685" s="1125"/>
    </row>
    <row r="686" spans="30:35">
      <c r="AD686" s="1125"/>
      <c r="AE686" s="1125"/>
      <c r="AF686" s="1125"/>
      <c r="AG686" s="1125"/>
      <c r="AH686" s="1125"/>
      <c r="AI686" s="1125"/>
    </row>
    <row r="687" spans="30:35">
      <c r="AD687" s="1125"/>
      <c r="AE687" s="1125"/>
      <c r="AF687" s="1125"/>
      <c r="AG687" s="1125"/>
      <c r="AH687" s="1125"/>
      <c r="AI687" s="1125"/>
    </row>
    <row r="688" spans="30:35">
      <c r="AD688" s="1125"/>
      <c r="AE688" s="1125"/>
      <c r="AF688" s="1125"/>
      <c r="AG688" s="1125"/>
      <c r="AH688" s="1125"/>
      <c r="AI688" s="1125"/>
    </row>
    <row r="689" spans="30:35">
      <c r="AD689" s="1125"/>
      <c r="AE689" s="1125"/>
      <c r="AF689" s="1125"/>
      <c r="AG689" s="1125"/>
      <c r="AH689" s="1125"/>
      <c r="AI689" s="1125"/>
    </row>
    <row r="690" spans="30:35">
      <c r="AD690" s="1125"/>
      <c r="AE690" s="1125"/>
      <c r="AF690" s="1125"/>
      <c r="AG690" s="1125"/>
      <c r="AH690" s="1125"/>
      <c r="AI690" s="1125"/>
    </row>
    <row r="691" spans="30:35">
      <c r="AD691" s="1125"/>
      <c r="AE691" s="1125"/>
      <c r="AF691" s="1125"/>
      <c r="AG691" s="1125"/>
      <c r="AH691" s="1125"/>
      <c r="AI691" s="1125"/>
    </row>
    <row r="692" spans="30:35">
      <c r="AD692" s="1125"/>
      <c r="AE692" s="1125"/>
      <c r="AF692" s="1125"/>
      <c r="AG692" s="1125"/>
      <c r="AH692" s="1125"/>
      <c r="AI692" s="1125"/>
    </row>
    <row r="693" spans="30:35">
      <c r="AD693" s="1125"/>
      <c r="AE693" s="1125"/>
      <c r="AF693" s="1125"/>
      <c r="AG693" s="1125"/>
      <c r="AH693" s="1125"/>
      <c r="AI693" s="1125"/>
    </row>
    <row r="694" spans="30:35">
      <c r="AD694" s="1125"/>
      <c r="AE694" s="1125"/>
      <c r="AF694" s="1125"/>
      <c r="AG694" s="1125"/>
      <c r="AH694" s="1125"/>
      <c r="AI694" s="1125"/>
    </row>
    <row r="695" spans="30:35">
      <c r="AD695" s="1125"/>
      <c r="AE695" s="1125"/>
      <c r="AF695" s="1125"/>
      <c r="AG695" s="1125"/>
      <c r="AH695" s="1125"/>
      <c r="AI695" s="1125"/>
    </row>
    <row r="696" spans="30:35">
      <c r="AD696" s="1125"/>
      <c r="AE696" s="1125"/>
      <c r="AF696" s="1125"/>
      <c r="AG696" s="1125"/>
      <c r="AH696" s="1125"/>
      <c r="AI696" s="1125"/>
    </row>
    <row r="697" spans="30:35">
      <c r="AD697" s="1125"/>
      <c r="AE697" s="1125"/>
      <c r="AF697" s="1125"/>
      <c r="AG697" s="1125"/>
      <c r="AH697" s="1125"/>
      <c r="AI697" s="1125"/>
    </row>
    <row r="698" spans="30:35">
      <c r="AD698" s="1125"/>
      <c r="AE698" s="1125"/>
      <c r="AF698" s="1125"/>
      <c r="AG698" s="1125"/>
      <c r="AH698" s="1125"/>
      <c r="AI698" s="1125"/>
    </row>
    <row r="699" spans="30:35">
      <c r="AD699" s="1125"/>
      <c r="AE699" s="1125"/>
      <c r="AF699" s="1125"/>
      <c r="AG699" s="1125"/>
      <c r="AH699" s="1125"/>
      <c r="AI699" s="1125"/>
    </row>
    <row r="700" spans="30:35">
      <c r="AD700" s="1125"/>
      <c r="AE700" s="1125"/>
      <c r="AF700" s="1125"/>
      <c r="AG700" s="1125"/>
      <c r="AH700" s="1125"/>
      <c r="AI700" s="1125"/>
    </row>
    <row r="701" spans="30:35">
      <c r="AD701" s="1125"/>
      <c r="AE701" s="1125"/>
      <c r="AF701" s="1125"/>
      <c r="AG701" s="1125"/>
      <c r="AH701" s="1125"/>
      <c r="AI701" s="1125"/>
    </row>
    <row r="702" spans="30:35">
      <c r="AD702" s="1125"/>
      <c r="AE702" s="1125"/>
      <c r="AF702" s="1125"/>
      <c r="AG702" s="1125"/>
      <c r="AH702" s="1125"/>
      <c r="AI702" s="1125"/>
    </row>
    <row r="703" spans="30:35">
      <c r="AD703" s="1125"/>
      <c r="AE703" s="1125"/>
      <c r="AF703" s="1125"/>
      <c r="AG703" s="1125"/>
      <c r="AH703" s="1125"/>
      <c r="AI703" s="1125"/>
    </row>
    <row r="704" spans="30:35">
      <c r="AD704" s="1125"/>
      <c r="AE704" s="1125"/>
      <c r="AF704" s="1125"/>
      <c r="AG704" s="1125"/>
      <c r="AH704" s="1125"/>
      <c r="AI704" s="1125"/>
    </row>
    <row r="705" spans="30:35">
      <c r="AD705" s="1125"/>
      <c r="AE705" s="1125"/>
      <c r="AF705" s="1125"/>
      <c r="AG705" s="1125"/>
      <c r="AH705" s="1125"/>
      <c r="AI705" s="1125"/>
    </row>
    <row r="706" spans="30:35">
      <c r="AD706" s="1125"/>
      <c r="AE706" s="1125"/>
      <c r="AF706" s="1125"/>
      <c r="AG706" s="1125"/>
      <c r="AH706" s="1125"/>
      <c r="AI706" s="1125"/>
    </row>
    <row r="707" spans="30:35">
      <c r="AD707" s="1125"/>
      <c r="AE707" s="1125"/>
      <c r="AF707" s="1125"/>
      <c r="AG707" s="1125"/>
      <c r="AH707" s="1125"/>
      <c r="AI707" s="1125"/>
    </row>
    <row r="708" spans="30:35">
      <c r="AD708" s="1125"/>
      <c r="AE708" s="1125"/>
      <c r="AF708" s="1125"/>
      <c r="AG708" s="1125"/>
      <c r="AH708" s="1125"/>
      <c r="AI708" s="1125"/>
    </row>
    <row r="709" spans="30:35">
      <c r="AD709" s="1125"/>
      <c r="AE709" s="1125"/>
      <c r="AF709" s="1125"/>
      <c r="AG709" s="1125"/>
      <c r="AH709" s="1125"/>
      <c r="AI709" s="1125"/>
    </row>
    <row r="710" spans="30:35">
      <c r="AD710" s="1125"/>
      <c r="AE710" s="1125"/>
      <c r="AF710" s="1125"/>
      <c r="AG710" s="1125"/>
      <c r="AH710" s="1125"/>
      <c r="AI710" s="1125"/>
    </row>
    <row r="711" spans="30:35">
      <c r="AD711" s="1125"/>
      <c r="AE711" s="1125"/>
      <c r="AF711" s="1125"/>
      <c r="AG711" s="1125"/>
      <c r="AH711" s="1125"/>
      <c r="AI711" s="1125"/>
    </row>
    <row r="712" spans="30:35">
      <c r="AD712" s="1125"/>
      <c r="AE712" s="1125"/>
      <c r="AF712" s="1125"/>
      <c r="AG712" s="1125"/>
      <c r="AH712" s="1125"/>
      <c r="AI712" s="1125"/>
    </row>
    <row r="713" spans="30:35">
      <c r="AD713" s="1125"/>
      <c r="AE713" s="1125"/>
      <c r="AF713" s="1125"/>
      <c r="AG713" s="1125"/>
      <c r="AH713" s="1125"/>
      <c r="AI713" s="1125"/>
    </row>
    <row r="714" spans="30:35">
      <c r="AD714" s="1125"/>
      <c r="AE714" s="1125"/>
      <c r="AF714" s="1125"/>
      <c r="AG714" s="1125"/>
      <c r="AH714" s="1125"/>
      <c r="AI714" s="1125"/>
    </row>
    <row r="715" spans="30:35">
      <c r="AD715" s="1125"/>
      <c r="AE715" s="1125"/>
      <c r="AF715" s="1125"/>
      <c r="AG715" s="1125"/>
      <c r="AH715" s="1125"/>
      <c r="AI715" s="1125"/>
    </row>
    <row r="716" spans="30:35">
      <c r="AD716" s="1125"/>
      <c r="AE716" s="1125"/>
      <c r="AF716" s="1125"/>
      <c r="AG716" s="1125"/>
      <c r="AH716" s="1125"/>
      <c r="AI716" s="1125"/>
    </row>
    <row r="717" spans="30:35">
      <c r="AD717" s="1125"/>
      <c r="AE717" s="1125"/>
      <c r="AF717" s="1125"/>
      <c r="AG717" s="1125"/>
      <c r="AH717" s="1125"/>
      <c r="AI717" s="1125"/>
    </row>
    <row r="718" spans="30:35">
      <c r="AD718" s="1125"/>
      <c r="AE718" s="1125"/>
      <c r="AF718" s="1125"/>
      <c r="AG718" s="1125"/>
      <c r="AH718" s="1125"/>
      <c r="AI718" s="1125"/>
    </row>
    <row r="719" spans="30:35">
      <c r="AD719" s="1125"/>
      <c r="AE719" s="1125"/>
      <c r="AF719" s="1125"/>
      <c r="AG719" s="1125"/>
      <c r="AH719" s="1125"/>
      <c r="AI719" s="1125"/>
    </row>
    <row r="720" spans="30:35">
      <c r="AD720" s="1125"/>
      <c r="AE720" s="1125"/>
      <c r="AF720" s="1125"/>
      <c r="AG720" s="1125"/>
      <c r="AH720" s="1125"/>
      <c r="AI720" s="1125"/>
    </row>
    <row r="721" spans="30:35">
      <c r="AD721" s="1125"/>
      <c r="AE721" s="1125"/>
      <c r="AF721" s="1125"/>
      <c r="AG721" s="1125"/>
      <c r="AH721" s="1125"/>
      <c r="AI721" s="1125"/>
    </row>
    <row r="722" spans="30:35">
      <c r="AD722" s="1125"/>
      <c r="AE722" s="1125"/>
      <c r="AF722" s="1125"/>
      <c r="AG722" s="1125"/>
      <c r="AH722" s="1125"/>
      <c r="AI722" s="1125"/>
    </row>
    <row r="723" spans="30:35">
      <c r="AD723" s="1125"/>
      <c r="AE723" s="1125"/>
      <c r="AF723" s="1125"/>
      <c r="AG723" s="1125"/>
      <c r="AH723" s="1125"/>
      <c r="AI723" s="1125"/>
    </row>
    <row r="724" spans="30:35">
      <c r="AD724" s="1125"/>
      <c r="AE724" s="1125"/>
      <c r="AF724" s="1125"/>
      <c r="AG724" s="1125"/>
      <c r="AH724" s="1125"/>
      <c r="AI724" s="1125"/>
    </row>
    <row r="725" spans="30:35">
      <c r="AD725" s="1125"/>
      <c r="AE725" s="1125"/>
      <c r="AF725" s="1125"/>
      <c r="AG725" s="1125"/>
      <c r="AH725" s="1125"/>
      <c r="AI725" s="1125"/>
    </row>
    <row r="726" spans="30:35">
      <c r="AD726" s="1125"/>
      <c r="AE726" s="1125"/>
      <c r="AF726" s="1125"/>
      <c r="AG726" s="1125"/>
      <c r="AH726" s="1125"/>
      <c r="AI726" s="1125"/>
    </row>
    <row r="727" spans="30:35">
      <c r="AD727" s="1125"/>
      <c r="AE727" s="1125"/>
      <c r="AF727" s="1125"/>
      <c r="AG727" s="1125"/>
      <c r="AH727" s="1125"/>
      <c r="AI727" s="1125"/>
    </row>
    <row r="728" spans="30:35">
      <c r="AD728" s="1125"/>
      <c r="AE728" s="1125"/>
      <c r="AF728" s="1125"/>
      <c r="AG728" s="1125"/>
      <c r="AH728" s="1125"/>
      <c r="AI728" s="1125"/>
    </row>
    <row r="729" spans="30:35">
      <c r="AD729" s="1125"/>
      <c r="AE729" s="1125"/>
      <c r="AF729" s="1125"/>
      <c r="AG729" s="1125"/>
      <c r="AH729" s="1125"/>
      <c r="AI729" s="1125"/>
    </row>
    <row r="730" spans="30:35">
      <c r="AD730" s="1125"/>
      <c r="AE730" s="1125"/>
      <c r="AF730" s="1125"/>
      <c r="AG730" s="1125"/>
      <c r="AH730" s="1125"/>
      <c r="AI730" s="1125"/>
    </row>
    <row r="731" spans="30:35">
      <c r="AD731" s="1125"/>
      <c r="AE731" s="1125"/>
      <c r="AF731" s="1125"/>
      <c r="AG731" s="1125"/>
      <c r="AH731" s="1125"/>
      <c r="AI731" s="1125"/>
    </row>
    <row r="732" spans="30:35">
      <c r="AD732" s="1125"/>
      <c r="AE732" s="1125"/>
      <c r="AF732" s="1125"/>
      <c r="AG732" s="1125"/>
      <c r="AH732" s="1125"/>
      <c r="AI732" s="1125"/>
    </row>
    <row r="733" spans="30:35">
      <c r="AD733" s="1125"/>
      <c r="AE733" s="1125"/>
      <c r="AF733" s="1125"/>
      <c r="AG733" s="1125"/>
      <c r="AH733" s="1125"/>
      <c r="AI733" s="1125"/>
    </row>
    <row r="734" spans="30:35">
      <c r="AD734" s="1125"/>
      <c r="AE734" s="1125"/>
      <c r="AF734" s="1125"/>
      <c r="AG734" s="1125"/>
      <c r="AH734" s="1125"/>
      <c r="AI734" s="1125"/>
    </row>
    <row r="735" spans="30:35">
      <c r="AD735" s="1125"/>
      <c r="AE735" s="1125"/>
      <c r="AF735" s="1125"/>
      <c r="AG735" s="1125"/>
      <c r="AH735" s="1125"/>
      <c r="AI735" s="1125"/>
    </row>
    <row r="736" spans="30:35">
      <c r="AD736" s="1125"/>
      <c r="AE736" s="1125"/>
      <c r="AF736" s="1125"/>
      <c r="AG736" s="1125"/>
      <c r="AH736" s="1125"/>
      <c r="AI736" s="1125"/>
    </row>
    <row r="737" spans="30:35">
      <c r="AD737" s="1125"/>
      <c r="AE737" s="1125"/>
      <c r="AF737" s="1125"/>
      <c r="AG737" s="1125"/>
      <c r="AH737" s="1125"/>
      <c r="AI737" s="1125"/>
    </row>
    <row r="738" spans="30:35">
      <c r="AD738" s="1125"/>
      <c r="AE738" s="1125"/>
      <c r="AF738" s="1125"/>
      <c r="AG738" s="1125"/>
      <c r="AH738" s="1125"/>
      <c r="AI738" s="1125"/>
    </row>
    <row r="739" spans="30:35">
      <c r="AD739" s="1125"/>
      <c r="AE739" s="1125"/>
      <c r="AF739" s="1125"/>
      <c r="AG739" s="1125"/>
      <c r="AH739" s="1125"/>
      <c r="AI739" s="1125"/>
    </row>
    <row r="740" spans="30:35">
      <c r="AD740" s="1125"/>
      <c r="AE740" s="1125"/>
      <c r="AF740" s="1125"/>
      <c r="AG740" s="1125"/>
      <c r="AH740" s="1125"/>
      <c r="AI740" s="1125"/>
    </row>
    <row r="741" spans="30:35">
      <c r="AD741" s="1125"/>
      <c r="AE741" s="1125"/>
      <c r="AF741" s="1125"/>
      <c r="AG741" s="1125"/>
      <c r="AH741" s="1125"/>
      <c r="AI741" s="1125"/>
    </row>
    <row r="742" spans="30:35">
      <c r="AD742" s="1125"/>
      <c r="AE742" s="1125"/>
      <c r="AF742" s="1125"/>
      <c r="AG742" s="1125"/>
      <c r="AH742" s="1125"/>
      <c r="AI742" s="1125"/>
    </row>
    <row r="743" spans="30:35">
      <c r="AD743" s="1125"/>
      <c r="AE743" s="1125"/>
      <c r="AF743" s="1125"/>
      <c r="AG743" s="1125"/>
      <c r="AH743" s="1125"/>
      <c r="AI743" s="1125"/>
    </row>
    <row r="744" spans="30:35">
      <c r="AD744" s="1125"/>
      <c r="AE744" s="1125"/>
      <c r="AF744" s="1125"/>
      <c r="AG744" s="1125"/>
      <c r="AH744" s="1125"/>
      <c r="AI744" s="1125"/>
    </row>
    <row r="745" spans="30:35">
      <c r="AD745" s="1125"/>
      <c r="AE745" s="1125"/>
      <c r="AF745" s="1125"/>
      <c r="AG745" s="1125"/>
      <c r="AH745" s="1125"/>
      <c r="AI745" s="1125"/>
    </row>
    <row r="746" spans="30:35">
      <c r="AD746" s="1125"/>
      <c r="AE746" s="1125"/>
      <c r="AF746" s="1125"/>
      <c r="AG746" s="1125"/>
      <c r="AH746" s="1125"/>
      <c r="AI746" s="1125"/>
    </row>
    <row r="747" spans="30:35">
      <c r="AD747" s="1125"/>
      <c r="AE747" s="1125"/>
      <c r="AF747" s="1125"/>
      <c r="AG747" s="1125"/>
      <c r="AH747" s="1125"/>
      <c r="AI747" s="1125"/>
    </row>
    <row r="748" spans="30:35">
      <c r="AD748" s="1125"/>
      <c r="AE748" s="1125"/>
      <c r="AF748" s="1125"/>
      <c r="AG748" s="1125"/>
      <c r="AH748" s="1125"/>
      <c r="AI748" s="1125"/>
    </row>
    <row r="749" spans="30:35">
      <c r="AD749" s="1125"/>
      <c r="AE749" s="1125"/>
      <c r="AF749" s="1125"/>
      <c r="AG749" s="1125"/>
      <c r="AH749" s="1125"/>
      <c r="AI749" s="1125"/>
    </row>
    <row r="750" spans="30:35">
      <c r="AD750" s="1125"/>
      <c r="AE750" s="1125"/>
      <c r="AF750" s="1125"/>
      <c r="AG750" s="1125"/>
      <c r="AH750" s="1125"/>
      <c r="AI750" s="1125"/>
    </row>
    <row r="751" spans="30:35">
      <c r="AD751" s="1125"/>
      <c r="AE751" s="1125"/>
      <c r="AF751" s="1125"/>
      <c r="AG751" s="1125"/>
      <c r="AH751" s="1125"/>
      <c r="AI751" s="1125"/>
    </row>
    <row r="752" spans="30:35">
      <c r="AD752" s="1125"/>
      <c r="AE752" s="1125"/>
      <c r="AF752" s="1125"/>
      <c r="AG752" s="1125"/>
      <c r="AH752" s="1125"/>
      <c r="AI752" s="1125"/>
    </row>
    <row r="753" spans="30:35">
      <c r="AD753" s="1125"/>
      <c r="AE753" s="1125"/>
      <c r="AF753" s="1125"/>
      <c r="AG753" s="1125"/>
      <c r="AH753" s="1125"/>
      <c r="AI753" s="1125"/>
    </row>
    <row r="754" spans="30:35">
      <c r="AD754" s="1125"/>
      <c r="AE754" s="1125"/>
      <c r="AF754" s="1125"/>
      <c r="AG754" s="1125"/>
      <c r="AH754" s="1125"/>
      <c r="AI754" s="1125"/>
    </row>
    <row r="755" spans="30:35">
      <c r="AD755" s="1125"/>
      <c r="AE755" s="1125"/>
      <c r="AF755" s="1125"/>
      <c r="AG755" s="1125"/>
      <c r="AH755" s="1125"/>
      <c r="AI755" s="1125"/>
    </row>
    <row r="756" spans="30:35">
      <c r="AD756" s="1125"/>
      <c r="AE756" s="1125"/>
      <c r="AF756" s="1125"/>
      <c r="AG756" s="1125"/>
      <c r="AH756" s="1125"/>
      <c r="AI756" s="1125"/>
    </row>
    <row r="757" spans="30:35">
      <c r="AD757" s="1125"/>
      <c r="AE757" s="1125"/>
      <c r="AF757" s="1125"/>
      <c r="AG757" s="1125"/>
      <c r="AH757" s="1125"/>
      <c r="AI757" s="1125"/>
    </row>
    <row r="758" spans="30:35">
      <c r="AD758" s="1125"/>
      <c r="AE758" s="1125"/>
      <c r="AF758" s="1125"/>
      <c r="AG758" s="1125"/>
      <c r="AH758" s="1125"/>
      <c r="AI758" s="1125"/>
    </row>
    <row r="759" spans="30:35">
      <c r="AD759" s="1125"/>
      <c r="AE759" s="1125"/>
      <c r="AF759" s="1125"/>
      <c r="AG759" s="1125"/>
      <c r="AH759" s="1125"/>
      <c r="AI759" s="1125"/>
    </row>
    <row r="760" spans="30:35">
      <c r="AD760" s="1125"/>
      <c r="AE760" s="1125"/>
      <c r="AF760" s="1125"/>
      <c r="AG760" s="1125"/>
      <c r="AH760" s="1125"/>
      <c r="AI760" s="1125"/>
    </row>
    <row r="761" spans="30:35">
      <c r="AD761" s="1125"/>
      <c r="AE761" s="1125"/>
      <c r="AF761" s="1125"/>
      <c r="AG761" s="1125"/>
      <c r="AH761" s="1125"/>
      <c r="AI761" s="1125"/>
    </row>
    <row r="762" spans="30:35">
      <c r="AD762" s="1125"/>
      <c r="AE762" s="1125"/>
      <c r="AF762" s="1125"/>
      <c r="AG762" s="1125"/>
      <c r="AH762" s="1125"/>
      <c r="AI762" s="1125"/>
    </row>
    <row r="763" spans="30:35">
      <c r="AD763" s="1125"/>
      <c r="AE763" s="1125"/>
      <c r="AF763" s="1125"/>
      <c r="AG763" s="1125"/>
      <c r="AH763" s="1125"/>
      <c r="AI763" s="1125"/>
    </row>
    <row r="764" spans="30:35">
      <c r="AD764" s="1125"/>
      <c r="AE764" s="1125"/>
      <c r="AF764" s="1125"/>
      <c r="AG764" s="1125"/>
      <c r="AH764" s="1125"/>
      <c r="AI764" s="1125"/>
    </row>
    <row r="765" spans="30:35">
      <c r="AD765" s="1125"/>
      <c r="AE765" s="1125"/>
      <c r="AF765" s="1125"/>
      <c r="AG765" s="1125"/>
      <c r="AH765" s="1125"/>
      <c r="AI765" s="1125"/>
    </row>
    <row r="766" spans="30:35">
      <c r="AD766" s="1125"/>
      <c r="AE766" s="1125"/>
      <c r="AF766" s="1125"/>
      <c r="AG766" s="1125"/>
      <c r="AH766" s="1125"/>
      <c r="AI766" s="1125"/>
    </row>
    <row r="767" spans="30:35">
      <c r="AD767" s="1125"/>
      <c r="AE767" s="1125"/>
      <c r="AF767" s="1125"/>
      <c r="AG767" s="1125"/>
      <c r="AH767" s="1125"/>
      <c r="AI767" s="1125"/>
    </row>
    <row r="768" spans="30:35">
      <c r="AD768" s="1125"/>
      <c r="AE768" s="1125"/>
      <c r="AF768" s="1125"/>
      <c r="AG768" s="1125"/>
      <c r="AH768" s="1125"/>
      <c r="AI768" s="1125"/>
    </row>
    <row r="769" spans="30:35">
      <c r="AD769" s="1125"/>
      <c r="AE769" s="1125"/>
      <c r="AF769" s="1125"/>
      <c r="AG769" s="1125"/>
      <c r="AH769" s="1125"/>
      <c r="AI769" s="1125"/>
    </row>
    <row r="770" spans="30:35">
      <c r="AD770" s="1125"/>
      <c r="AE770" s="1125"/>
      <c r="AF770" s="1125"/>
      <c r="AG770" s="1125"/>
      <c r="AH770" s="1125"/>
      <c r="AI770" s="1125"/>
    </row>
    <row r="771" spans="30:35">
      <c r="AD771" s="1125"/>
      <c r="AE771" s="1125"/>
      <c r="AF771" s="1125"/>
      <c r="AG771" s="1125"/>
      <c r="AH771" s="1125"/>
      <c r="AI771" s="1125"/>
    </row>
    <row r="772" spans="30:35">
      <c r="AD772" s="1125"/>
      <c r="AE772" s="1125"/>
      <c r="AF772" s="1125"/>
      <c r="AG772" s="1125"/>
      <c r="AH772" s="1125"/>
      <c r="AI772" s="1125"/>
    </row>
    <row r="773" spans="30:35">
      <c r="AD773" s="1125"/>
      <c r="AE773" s="1125"/>
      <c r="AF773" s="1125"/>
      <c r="AG773" s="1125"/>
      <c r="AH773" s="1125"/>
      <c r="AI773" s="1125"/>
    </row>
    <row r="774" spans="30:35">
      <c r="AD774" s="1125"/>
      <c r="AE774" s="1125"/>
      <c r="AF774" s="1125"/>
      <c r="AG774" s="1125"/>
      <c r="AH774" s="1125"/>
      <c r="AI774" s="1125"/>
    </row>
    <row r="775" spans="30:35">
      <c r="AD775" s="1125"/>
      <c r="AE775" s="1125"/>
      <c r="AF775" s="1125"/>
      <c r="AG775" s="1125"/>
      <c r="AH775" s="1125"/>
      <c r="AI775" s="1125"/>
    </row>
    <row r="776" spans="30:35">
      <c r="AD776" s="1125"/>
      <c r="AE776" s="1125"/>
      <c r="AF776" s="1125"/>
      <c r="AG776" s="1125"/>
      <c r="AH776" s="1125"/>
      <c r="AI776" s="1125"/>
    </row>
    <row r="777" spans="30:35">
      <c r="AD777" s="1125"/>
      <c r="AE777" s="1125"/>
      <c r="AF777" s="1125"/>
      <c r="AG777" s="1125"/>
      <c r="AH777" s="1125"/>
      <c r="AI777" s="1125"/>
    </row>
    <row r="778" spans="30:35">
      <c r="AD778" s="1125"/>
      <c r="AE778" s="1125"/>
      <c r="AF778" s="1125"/>
      <c r="AG778" s="1125"/>
      <c r="AH778" s="1125"/>
      <c r="AI778" s="1125"/>
    </row>
    <row r="779" spans="30:35">
      <c r="AD779" s="1125"/>
      <c r="AE779" s="1125"/>
      <c r="AF779" s="1125"/>
      <c r="AG779" s="1125"/>
      <c r="AH779" s="1125"/>
      <c r="AI779" s="1125"/>
    </row>
    <row r="780" spans="30:35">
      <c r="AD780" s="1125"/>
      <c r="AE780" s="1125"/>
      <c r="AF780" s="1125"/>
      <c r="AG780" s="1125"/>
      <c r="AH780" s="1125"/>
      <c r="AI780" s="1125"/>
    </row>
    <row r="781" spans="30:35">
      <c r="AD781" s="1125"/>
      <c r="AE781" s="1125"/>
      <c r="AF781" s="1125"/>
      <c r="AG781" s="1125"/>
      <c r="AH781" s="1125"/>
      <c r="AI781" s="1125"/>
    </row>
    <row r="782" spans="30:35">
      <c r="AD782" s="1125"/>
      <c r="AE782" s="1125"/>
      <c r="AF782" s="1125"/>
      <c r="AG782" s="1125"/>
      <c r="AH782" s="1125"/>
      <c r="AI782" s="1125"/>
    </row>
    <row r="783" spans="30:35">
      <c r="AD783" s="1125"/>
      <c r="AE783" s="1125"/>
      <c r="AF783" s="1125"/>
      <c r="AG783" s="1125"/>
      <c r="AH783" s="1125"/>
      <c r="AI783" s="1125"/>
    </row>
    <row r="784" spans="30:35">
      <c r="AD784" s="1125"/>
      <c r="AE784" s="1125"/>
      <c r="AF784" s="1125"/>
      <c r="AG784" s="1125"/>
      <c r="AH784" s="1125"/>
      <c r="AI784" s="1125"/>
    </row>
    <row r="785" spans="30:35">
      <c r="AD785" s="1125"/>
      <c r="AE785" s="1125"/>
      <c r="AF785" s="1125"/>
      <c r="AG785" s="1125"/>
      <c r="AH785" s="1125"/>
      <c r="AI785" s="1125"/>
    </row>
    <row r="786" spans="30:35">
      <c r="AD786" s="1125"/>
      <c r="AE786" s="1125"/>
      <c r="AF786" s="1125"/>
      <c r="AG786" s="1125"/>
      <c r="AH786" s="1125"/>
      <c r="AI786" s="1125"/>
    </row>
    <row r="787" spans="30:35">
      <c r="AD787" s="1125"/>
      <c r="AE787" s="1125"/>
      <c r="AF787" s="1125"/>
      <c r="AG787" s="1125"/>
      <c r="AH787" s="1125"/>
      <c r="AI787" s="1125"/>
    </row>
    <row r="788" spans="30:35">
      <c r="AD788" s="1125"/>
      <c r="AE788" s="1125"/>
      <c r="AF788" s="1125"/>
      <c r="AG788" s="1125"/>
      <c r="AH788" s="1125"/>
      <c r="AI788" s="1125"/>
    </row>
    <row r="789" spans="30:35">
      <c r="AD789" s="1125"/>
      <c r="AE789" s="1125"/>
      <c r="AF789" s="1125"/>
      <c r="AG789" s="1125"/>
      <c r="AH789" s="1125"/>
      <c r="AI789" s="1125"/>
    </row>
    <row r="790" spans="30:35">
      <c r="AD790" s="1125"/>
      <c r="AE790" s="1125"/>
      <c r="AF790" s="1125"/>
      <c r="AG790" s="1125"/>
      <c r="AH790" s="1125"/>
      <c r="AI790" s="1125"/>
    </row>
    <row r="791" spans="30:35">
      <c r="AD791" s="1125"/>
      <c r="AE791" s="1125"/>
      <c r="AF791" s="1125"/>
      <c r="AG791" s="1125"/>
      <c r="AH791" s="1125"/>
      <c r="AI791" s="1125"/>
    </row>
    <row r="792" spans="30:35">
      <c r="AD792" s="1125"/>
      <c r="AE792" s="1125"/>
      <c r="AF792" s="1125"/>
      <c r="AG792" s="1125"/>
      <c r="AH792" s="1125"/>
      <c r="AI792" s="1125"/>
    </row>
    <row r="793" spans="30:35">
      <c r="AD793" s="1125"/>
      <c r="AE793" s="1125"/>
      <c r="AF793" s="1125"/>
      <c r="AG793" s="1125"/>
      <c r="AH793" s="1125"/>
      <c r="AI793" s="1125"/>
    </row>
    <row r="794" spans="30:35">
      <c r="AD794" s="1125"/>
      <c r="AE794" s="1125"/>
      <c r="AF794" s="1125"/>
      <c r="AG794" s="1125"/>
      <c r="AH794" s="1125"/>
      <c r="AI794" s="1125"/>
    </row>
    <row r="795" spans="30:35">
      <c r="AD795" s="1125"/>
      <c r="AE795" s="1125"/>
      <c r="AF795" s="1125"/>
      <c r="AG795" s="1125"/>
      <c r="AH795" s="1125"/>
      <c r="AI795" s="1125"/>
    </row>
    <row r="796" spans="30:35">
      <c r="AD796" s="1125"/>
      <c r="AE796" s="1125"/>
      <c r="AF796" s="1125"/>
      <c r="AG796" s="1125"/>
      <c r="AH796" s="1125"/>
      <c r="AI796" s="1125"/>
    </row>
    <row r="797" spans="30:35">
      <c r="AD797" s="1125"/>
      <c r="AE797" s="1125"/>
      <c r="AF797" s="1125"/>
      <c r="AG797" s="1125"/>
      <c r="AH797" s="1125"/>
      <c r="AI797" s="1125"/>
    </row>
    <row r="798" spans="30:35">
      <c r="AD798" s="1125"/>
      <c r="AE798" s="1125"/>
      <c r="AF798" s="1125"/>
      <c r="AG798" s="1125"/>
      <c r="AH798" s="1125"/>
      <c r="AI798" s="1125"/>
    </row>
    <row r="799" spans="30:35">
      <c r="AD799" s="1125"/>
      <c r="AE799" s="1125"/>
      <c r="AF799" s="1125"/>
      <c r="AG799" s="1125"/>
      <c r="AH799" s="1125"/>
      <c r="AI799" s="1125"/>
    </row>
    <row r="800" spans="30:35">
      <c r="AD800" s="1125"/>
      <c r="AE800" s="1125"/>
      <c r="AF800" s="1125"/>
      <c r="AG800" s="1125"/>
      <c r="AH800" s="1125"/>
      <c r="AI800" s="1125"/>
    </row>
    <row r="801" spans="30:35">
      <c r="AD801" s="1125"/>
      <c r="AE801" s="1125"/>
      <c r="AF801" s="1125"/>
      <c r="AG801" s="1125"/>
      <c r="AH801" s="1125"/>
      <c r="AI801" s="1125"/>
    </row>
    <row r="802" spans="30:35">
      <c r="AD802" s="1125"/>
      <c r="AE802" s="1125"/>
      <c r="AF802" s="1125"/>
      <c r="AG802" s="1125"/>
      <c r="AH802" s="1125"/>
      <c r="AI802" s="1125"/>
    </row>
    <row r="803" spans="30:35">
      <c r="AD803" s="1125"/>
      <c r="AE803" s="1125"/>
      <c r="AF803" s="1125"/>
      <c r="AG803" s="1125"/>
      <c r="AH803" s="1125"/>
      <c r="AI803" s="1125"/>
    </row>
    <row r="804" spans="30:35">
      <c r="AD804" s="1125"/>
      <c r="AE804" s="1125"/>
      <c r="AF804" s="1125"/>
      <c r="AG804" s="1125"/>
      <c r="AH804" s="1125"/>
      <c r="AI804" s="1125"/>
    </row>
    <row r="805" spans="30:35">
      <c r="AD805" s="1125"/>
      <c r="AE805" s="1125"/>
      <c r="AF805" s="1125"/>
      <c r="AG805" s="1125"/>
      <c r="AH805" s="1125"/>
      <c r="AI805" s="1125"/>
    </row>
    <row r="806" spans="30:35">
      <c r="AD806" s="1125"/>
      <c r="AE806" s="1125"/>
      <c r="AF806" s="1125"/>
      <c r="AG806" s="1125"/>
      <c r="AH806" s="1125"/>
      <c r="AI806" s="1125"/>
    </row>
    <row r="807" spans="30:35">
      <c r="AD807" s="1125"/>
      <c r="AE807" s="1125"/>
      <c r="AF807" s="1125"/>
      <c r="AG807" s="1125"/>
      <c r="AH807" s="1125"/>
      <c r="AI807" s="1125"/>
    </row>
    <row r="808" spans="30:35">
      <c r="AD808" s="1125"/>
      <c r="AE808" s="1125"/>
      <c r="AF808" s="1125"/>
      <c r="AG808" s="1125"/>
      <c r="AH808" s="1125"/>
      <c r="AI808" s="1125"/>
    </row>
    <row r="809" spans="30:35">
      <c r="AD809" s="1125"/>
      <c r="AE809" s="1125"/>
      <c r="AF809" s="1125"/>
      <c r="AG809" s="1125"/>
      <c r="AH809" s="1125"/>
      <c r="AI809" s="1125"/>
    </row>
    <row r="810" spans="30:35">
      <c r="AD810" s="1125"/>
      <c r="AE810" s="1125"/>
      <c r="AF810" s="1125"/>
      <c r="AG810" s="1125"/>
      <c r="AH810" s="1125"/>
      <c r="AI810" s="1125"/>
    </row>
    <row r="811" spans="30:35">
      <c r="AD811" s="1125"/>
      <c r="AE811" s="1125"/>
      <c r="AF811" s="1125"/>
      <c r="AG811" s="1125"/>
      <c r="AH811" s="1125"/>
      <c r="AI811" s="1125"/>
    </row>
    <row r="812" spans="30:35">
      <c r="AD812" s="1125"/>
      <c r="AE812" s="1125"/>
      <c r="AF812" s="1125"/>
      <c r="AG812" s="1125"/>
      <c r="AH812" s="1125"/>
      <c r="AI812" s="1125"/>
    </row>
    <row r="813" spans="30:35">
      <c r="AD813" s="1125"/>
      <c r="AE813" s="1125"/>
      <c r="AF813" s="1125"/>
      <c r="AG813" s="1125"/>
      <c r="AH813" s="1125"/>
      <c r="AI813" s="1125"/>
    </row>
    <row r="814" spans="30:35">
      <c r="AD814" s="1125"/>
      <c r="AE814" s="1125"/>
      <c r="AF814" s="1125"/>
      <c r="AG814" s="1125"/>
      <c r="AH814" s="1125"/>
      <c r="AI814" s="1125"/>
    </row>
    <row r="815" spans="30:35">
      <c r="AD815" s="1125"/>
      <c r="AE815" s="1125"/>
      <c r="AF815" s="1125"/>
      <c r="AG815" s="1125"/>
      <c r="AH815" s="1125"/>
      <c r="AI815" s="1125"/>
    </row>
    <row r="816" spans="30:35">
      <c r="AD816" s="1125"/>
      <c r="AE816" s="1125"/>
      <c r="AF816" s="1125"/>
      <c r="AG816" s="1125"/>
      <c r="AH816" s="1125"/>
      <c r="AI816" s="1125"/>
    </row>
    <row r="817" spans="30:35">
      <c r="AD817" s="1125"/>
      <c r="AE817" s="1125"/>
      <c r="AF817" s="1125"/>
      <c r="AG817" s="1125"/>
      <c r="AH817" s="1125"/>
      <c r="AI817" s="1125"/>
    </row>
    <row r="818" spans="30:35">
      <c r="AD818" s="1125"/>
      <c r="AE818" s="1125"/>
      <c r="AF818" s="1125"/>
      <c r="AG818" s="1125"/>
      <c r="AH818" s="1125"/>
      <c r="AI818" s="1125"/>
    </row>
    <row r="819" spans="30:35">
      <c r="AD819" s="1125"/>
      <c r="AE819" s="1125"/>
      <c r="AF819" s="1125"/>
      <c r="AG819" s="1125"/>
      <c r="AH819" s="1125"/>
      <c r="AI819" s="1125"/>
    </row>
    <row r="820" spans="30:35">
      <c r="AD820" s="1125"/>
      <c r="AE820" s="1125"/>
      <c r="AF820" s="1125"/>
      <c r="AG820" s="1125"/>
      <c r="AH820" s="1125"/>
      <c r="AI820" s="1125"/>
    </row>
    <row r="821" spans="30:35">
      <c r="AD821" s="1125"/>
      <c r="AE821" s="1125"/>
      <c r="AF821" s="1125"/>
      <c r="AG821" s="1125"/>
      <c r="AH821" s="1125"/>
      <c r="AI821" s="1125"/>
    </row>
    <row r="822" spans="30:35">
      <c r="AD822" s="1125"/>
      <c r="AE822" s="1125"/>
      <c r="AF822" s="1125"/>
      <c r="AG822" s="1125"/>
      <c r="AH822" s="1125"/>
      <c r="AI822" s="1125"/>
    </row>
    <row r="823" spans="30:35">
      <c r="AD823" s="1125"/>
      <c r="AE823" s="1125"/>
      <c r="AF823" s="1125"/>
      <c r="AG823" s="1125"/>
      <c r="AH823" s="1125"/>
      <c r="AI823" s="1125"/>
    </row>
    <row r="824" spans="30:35">
      <c r="AD824" s="1125"/>
      <c r="AE824" s="1125"/>
      <c r="AF824" s="1125"/>
      <c r="AG824" s="1125"/>
      <c r="AH824" s="1125"/>
      <c r="AI824" s="1125"/>
    </row>
    <row r="825" spans="30:35">
      <c r="AD825" s="1125"/>
      <c r="AE825" s="1125"/>
      <c r="AF825" s="1125"/>
      <c r="AG825" s="1125"/>
      <c r="AH825" s="1125"/>
      <c r="AI825" s="1125"/>
    </row>
    <row r="826" spans="30:35">
      <c r="AD826" s="1125"/>
      <c r="AE826" s="1125"/>
      <c r="AF826" s="1125"/>
      <c r="AG826" s="1125"/>
      <c r="AH826" s="1125"/>
      <c r="AI826" s="1125"/>
    </row>
    <row r="827" spans="30:35">
      <c r="AD827" s="1125"/>
      <c r="AE827" s="1125"/>
      <c r="AF827" s="1125"/>
      <c r="AG827" s="1125"/>
      <c r="AH827" s="1125"/>
      <c r="AI827" s="1125"/>
    </row>
    <row r="828" spans="30:35">
      <c r="AD828" s="1125"/>
      <c r="AE828" s="1125"/>
      <c r="AF828" s="1125"/>
      <c r="AG828" s="1125"/>
      <c r="AH828" s="1125"/>
      <c r="AI828" s="1125"/>
    </row>
    <row r="829" spans="30:35">
      <c r="AD829" s="1125"/>
      <c r="AE829" s="1125"/>
      <c r="AF829" s="1125"/>
      <c r="AG829" s="1125"/>
      <c r="AH829" s="1125"/>
      <c r="AI829" s="1125"/>
    </row>
    <row r="830" spans="30:35">
      <c r="AD830" s="1125"/>
      <c r="AE830" s="1125"/>
      <c r="AF830" s="1125"/>
      <c r="AG830" s="1125"/>
      <c r="AH830" s="1125"/>
      <c r="AI830" s="1125"/>
    </row>
    <row r="831" spans="30:35">
      <c r="AD831" s="1125"/>
      <c r="AE831" s="1125"/>
      <c r="AF831" s="1125"/>
      <c r="AG831" s="1125"/>
      <c r="AH831" s="1125"/>
      <c r="AI831" s="1125"/>
    </row>
    <row r="832" spans="30:35">
      <c r="AD832" s="1125"/>
      <c r="AE832" s="1125"/>
      <c r="AF832" s="1125"/>
      <c r="AG832" s="1125"/>
      <c r="AH832" s="1125"/>
      <c r="AI832" s="1125"/>
    </row>
    <row r="833" spans="30:35">
      <c r="AD833" s="1125"/>
      <c r="AE833" s="1125"/>
      <c r="AF833" s="1125"/>
      <c r="AG833" s="1125"/>
      <c r="AH833" s="1125"/>
      <c r="AI833" s="1125"/>
    </row>
    <row r="834" spans="30:35">
      <c r="AD834" s="1125"/>
      <c r="AE834" s="1125"/>
      <c r="AF834" s="1125"/>
      <c r="AG834" s="1125"/>
      <c r="AH834" s="1125"/>
      <c r="AI834" s="1125"/>
    </row>
    <row r="835" spans="30:35">
      <c r="AD835" s="1125"/>
      <c r="AE835" s="1125"/>
      <c r="AF835" s="1125"/>
      <c r="AG835" s="1125"/>
      <c r="AH835" s="1125"/>
      <c r="AI835" s="1125"/>
    </row>
    <row r="836" spans="30:35">
      <c r="AD836" s="1125"/>
      <c r="AE836" s="1125"/>
      <c r="AF836" s="1125"/>
      <c r="AG836" s="1125"/>
      <c r="AH836" s="1125"/>
      <c r="AI836" s="1125"/>
    </row>
    <row r="837" spans="30:35">
      <c r="AD837" s="1125"/>
      <c r="AE837" s="1125"/>
      <c r="AF837" s="1125"/>
      <c r="AG837" s="1125"/>
      <c r="AH837" s="1125"/>
      <c r="AI837" s="1125"/>
    </row>
    <row r="838" spans="30:35">
      <c r="AD838" s="1125"/>
      <c r="AE838" s="1125"/>
      <c r="AF838" s="1125"/>
      <c r="AG838" s="1125"/>
      <c r="AH838" s="1125"/>
      <c r="AI838" s="1125"/>
    </row>
    <row r="839" spans="30:35">
      <c r="AD839" s="1125"/>
      <c r="AE839" s="1125"/>
      <c r="AF839" s="1125"/>
      <c r="AG839" s="1125"/>
      <c r="AH839" s="1125"/>
      <c r="AI839" s="1125"/>
    </row>
    <row r="840" spans="30:35">
      <c r="AD840" s="1125"/>
      <c r="AE840" s="1125"/>
      <c r="AF840" s="1125"/>
      <c r="AG840" s="1125"/>
      <c r="AH840" s="1125"/>
      <c r="AI840" s="1125"/>
    </row>
    <row r="841" spans="30:35">
      <c r="AD841" s="1125"/>
      <c r="AE841" s="1125"/>
      <c r="AF841" s="1125"/>
      <c r="AG841" s="1125"/>
      <c r="AH841" s="1125"/>
      <c r="AI841" s="1125"/>
    </row>
    <row r="842" spans="30:35">
      <c r="AD842" s="1125"/>
      <c r="AE842" s="1125"/>
      <c r="AF842" s="1125"/>
      <c r="AG842" s="1125"/>
      <c r="AH842" s="1125"/>
      <c r="AI842" s="1125"/>
    </row>
    <row r="843" spans="30:35">
      <c r="AD843" s="1125"/>
      <c r="AE843" s="1125"/>
      <c r="AF843" s="1125"/>
      <c r="AG843" s="1125"/>
      <c r="AH843" s="1125"/>
      <c r="AI843" s="1125"/>
    </row>
    <row r="844" spans="30:35">
      <c r="AD844" s="1125"/>
      <c r="AE844" s="1125"/>
      <c r="AF844" s="1125"/>
      <c r="AG844" s="1125"/>
      <c r="AH844" s="1125"/>
      <c r="AI844" s="1125"/>
    </row>
    <row r="845" spans="30:35">
      <c r="AD845" s="1125"/>
      <c r="AE845" s="1125"/>
      <c r="AF845" s="1125"/>
      <c r="AG845" s="1125"/>
      <c r="AH845" s="1125"/>
      <c r="AI845" s="1125"/>
    </row>
    <row r="846" spans="30:35">
      <c r="AD846" s="1125"/>
      <c r="AE846" s="1125"/>
      <c r="AF846" s="1125"/>
      <c r="AG846" s="1125"/>
      <c r="AH846" s="1125"/>
      <c r="AI846" s="1125"/>
    </row>
    <row r="847" spans="30:35">
      <c r="AD847" s="1125"/>
      <c r="AE847" s="1125"/>
      <c r="AF847" s="1125"/>
      <c r="AG847" s="1125"/>
      <c r="AH847" s="1125"/>
      <c r="AI847" s="1125"/>
    </row>
    <row r="848" spans="30:35">
      <c r="AD848" s="1125"/>
      <c r="AE848" s="1125"/>
      <c r="AF848" s="1125"/>
      <c r="AG848" s="1125"/>
      <c r="AH848" s="1125"/>
      <c r="AI848" s="1125"/>
    </row>
    <row r="849" spans="30:35">
      <c r="AD849" s="1125"/>
      <c r="AE849" s="1125"/>
      <c r="AF849" s="1125"/>
      <c r="AG849" s="1125"/>
      <c r="AH849" s="1125"/>
      <c r="AI849" s="1125"/>
    </row>
    <row r="850" spans="30:35">
      <c r="AD850" s="1125"/>
      <c r="AE850" s="1125"/>
      <c r="AF850" s="1125"/>
      <c r="AG850" s="1125"/>
      <c r="AH850" s="1125"/>
      <c r="AI850" s="1125"/>
    </row>
    <row r="851" spans="30:35">
      <c r="AD851" s="1125"/>
      <c r="AE851" s="1125"/>
      <c r="AF851" s="1125"/>
      <c r="AG851" s="1125"/>
      <c r="AH851" s="1125"/>
      <c r="AI851" s="1125"/>
    </row>
    <row r="852" spans="30:35">
      <c r="AD852" s="1125"/>
      <c r="AE852" s="1125"/>
      <c r="AF852" s="1125"/>
      <c r="AG852" s="1125"/>
      <c r="AH852" s="1125"/>
      <c r="AI852" s="1125"/>
    </row>
    <row r="853" spans="30:35">
      <c r="AD853" s="1125"/>
      <c r="AE853" s="1125"/>
      <c r="AF853" s="1125"/>
      <c r="AG853" s="1125"/>
      <c r="AH853" s="1125"/>
      <c r="AI853" s="1125"/>
    </row>
    <row r="854" spans="30:35">
      <c r="AD854" s="1125"/>
      <c r="AE854" s="1125"/>
      <c r="AF854" s="1125"/>
      <c r="AG854" s="1125"/>
      <c r="AH854" s="1125"/>
      <c r="AI854" s="1125"/>
    </row>
    <row r="855" spans="30:35">
      <c r="AD855" s="1125"/>
      <c r="AE855" s="1125"/>
      <c r="AF855" s="1125"/>
      <c r="AG855" s="1125"/>
      <c r="AH855" s="1125"/>
      <c r="AI855" s="1125"/>
    </row>
    <row r="856" spans="30:35">
      <c r="AD856" s="1125"/>
      <c r="AE856" s="1125"/>
      <c r="AF856" s="1125"/>
      <c r="AG856" s="1125"/>
      <c r="AH856" s="1125"/>
      <c r="AI856" s="1125"/>
    </row>
    <row r="857" spans="30:35">
      <c r="AD857" s="1125"/>
      <c r="AE857" s="1125"/>
      <c r="AF857" s="1125"/>
      <c r="AG857" s="1125"/>
      <c r="AH857" s="1125"/>
      <c r="AI857" s="1125"/>
    </row>
    <row r="858" spans="30:35">
      <c r="AD858" s="1125"/>
      <c r="AE858" s="1125"/>
      <c r="AF858" s="1125"/>
      <c r="AG858" s="1125"/>
      <c r="AH858" s="1125"/>
      <c r="AI858" s="1125"/>
    </row>
    <row r="859" spans="30:35">
      <c r="AD859" s="1125"/>
      <c r="AE859" s="1125"/>
      <c r="AF859" s="1125"/>
      <c r="AG859" s="1125"/>
      <c r="AH859" s="1125"/>
      <c r="AI859" s="1125"/>
    </row>
    <row r="860" spans="30:35">
      <c r="AD860" s="1125"/>
      <c r="AE860" s="1125"/>
      <c r="AF860" s="1125"/>
      <c r="AG860" s="1125"/>
      <c r="AH860" s="1125"/>
      <c r="AI860" s="1125"/>
    </row>
    <row r="861" spans="30:35">
      <c r="AD861" s="1125"/>
      <c r="AE861" s="1125"/>
      <c r="AF861" s="1125"/>
      <c r="AG861" s="1125"/>
      <c r="AH861" s="1125"/>
      <c r="AI861" s="1125"/>
    </row>
    <row r="862" spans="30:35">
      <c r="AD862" s="1125"/>
      <c r="AE862" s="1125"/>
      <c r="AF862" s="1125"/>
      <c r="AG862" s="1125"/>
      <c r="AH862" s="1125"/>
      <c r="AI862" s="1125"/>
    </row>
    <row r="863" spans="30:35">
      <c r="AD863" s="1125"/>
      <c r="AE863" s="1125"/>
      <c r="AF863" s="1125"/>
      <c r="AG863" s="1125"/>
      <c r="AH863" s="1125"/>
      <c r="AI863" s="1125"/>
    </row>
    <row r="864" spans="30:35">
      <c r="AD864" s="1125"/>
      <c r="AE864" s="1125"/>
      <c r="AF864" s="1125"/>
      <c r="AG864" s="1125"/>
      <c r="AH864" s="1125"/>
      <c r="AI864" s="1125"/>
    </row>
    <row r="865" spans="30:35">
      <c r="AD865" s="1125"/>
      <c r="AE865" s="1125"/>
      <c r="AF865" s="1125"/>
      <c r="AG865" s="1125"/>
      <c r="AH865" s="1125"/>
      <c r="AI865" s="1125"/>
    </row>
    <row r="866" spans="30:35">
      <c r="AD866" s="1125"/>
      <c r="AE866" s="1125"/>
      <c r="AF866" s="1125"/>
      <c r="AG866" s="1125"/>
      <c r="AH866" s="1125"/>
      <c r="AI866" s="1125"/>
    </row>
    <row r="867" spans="30:35">
      <c r="AD867" s="1125"/>
      <c r="AE867" s="1125"/>
      <c r="AF867" s="1125"/>
      <c r="AG867" s="1125"/>
      <c r="AH867" s="1125"/>
      <c r="AI867" s="1125"/>
    </row>
    <row r="868" spans="30:35">
      <c r="AD868" s="1125"/>
      <c r="AE868" s="1125"/>
      <c r="AF868" s="1125"/>
      <c r="AG868" s="1125"/>
      <c r="AH868" s="1125"/>
      <c r="AI868" s="1125"/>
    </row>
    <row r="869" spans="30:35">
      <c r="AD869" s="1125"/>
      <c r="AE869" s="1125"/>
      <c r="AF869" s="1125"/>
      <c r="AG869" s="1125"/>
      <c r="AH869" s="1125"/>
      <c r="AI869" s="1125"/>
    </row>
    <row r="870" spans="30:35">
      <c r="AD870" s="1125"/>
      <c r="AE870" s="1125"/>
      <c r="AF870" s="1125"/>
      <c r="AG870" s="1125"/>
      <c r="AH870" s="1125"/>
      <c r="AI870" s="1125"/>
    </row>
    <row r="871" spans="30:35">
      <c r="AD871" s="1125"/>
      <c r="AE871" s="1125"/>
      <c r="AF871" s="1125"/>
      <c r="AG871" s="1125"/>
      <c r="AH871" s="1125"/>
      <c r="AI871" s="1125"/>
    </row>
    <row r="872" spans="30:35">
      <c r="AD872" s="1125"/>
      <c r="AE872" s="1125"/>
      <c r="AF872" s="1125"/>
      <c r="AG872" s="1125"/>
      <c r="AH872" s="1125"/>
      <c r="AI872" s="1125"/>
    </row>
    <row r="873" spans="30:35">
      <c r="AD873" s="1125"/>
      <c r="AE873" s="1125"/>
      <c r="AF873" s="1125"/>
      <c r="AG873" s="1125"/>
      <c r="AH873" s="1125"/>
      <c r="AI873" s="1125"/>
    </row>
    <row r="874" spans="30:35">
      <c r="AD874" s="1125"/>
      <c r="AE874" s="1125"/>
      <c r="AF874" s="1125"/>
      <c r="AG874" s="1125"/>
      <c r="AH874" s="1125"/>
      <c r="AI874" s="1125"/>
    </row>
    <row r="875" spans="30:35">
      <c r="AD875" s="1125"/>
      <c r="AE875" s="1125"/>
      <c r="AF875" s="1125"/>
      <c r="AG875" s="1125"/>
      <c r="AH875" s="1125"/>
      <c r="AI875" s="1125"/>
    </row>
    <row r="876" spans="30:35">
      <c r="AD876" s="1125"/>
      <c r="AE876" s="1125"/>
      <c r="AF876" s="1125"/>
      <c r="AG876" s="1125"/>
      <c r="AH876" s="1125"/>
      <c r="AI876" s="1125"/>
    </row>
    <row r="877" spans="30:35">
      <c r="AD877" s="1125"/>
      <c r="AE877" s="1125"/>
      <c r="AF877" s="1125"/>
      <c r="AG877" s="1125"/>
      <c r="AH877" s="1125"/>
      <c r="AI877" s="1125"/>
    </row>
    <row r="878" spans="30:35">
      <c r="AD878" s="1125"/>
      <c r="AE878" s="1125"/>
      <c r="AF878" s="1125"/>
      <c r="AG878" s="1125"/>
      <c r="AH878" s="1125"/>
      <c r="AI878" s="1125"/>
    </row>
    <row r="879" spans="30:35">
      <c r="AD879" s="1125"/>
      <c r="AE879" s="1125"/>
      <c r="AF879" s="1125"/>
      <c r="AG879" s="1125"/>
      <c r="AH879" s="1125"/>
      <c r="AI879" s="1125"/>
    </row>
    <row r="880" spans="30:35">
      <c r="AD880" s="1125"/>
      <c r="AE880" s="1125"/>
      <c r="AF880" s="1125"/>
      <c r="AG880" s="1125"/>
      <c r="AH880" s="1125"/>
      <c r="AI880" s="1125"/>
    </row>
    <row r="881" spans="30:35">
      <c r="AD881" s="1125"/>
      <c r="AE881" s="1125"/>
      <c r="AF881" s="1125"/>
      <c r="AG881" s="1125"/>
      <c r="AH881" s="1125"/>
      <c r="AI881" s="1125"/>
    </row>
    <row r="882" spans="30:35">
      <c r="AD882" s="1125"/>
      <c r="AE882" s="1125"/>
      <c r="AF882" s="1125"/>
      <c r="AG882" s="1125"/>
      <c r="AH882" s="1125"/>
      <c r="AI882" s="1125"/>
    </row>
    <row r="883" spans="30:35">
      <c r="AD883" s="1125"/>
      <c r="AE883" s="1125"/>
      <c r="AF883" s="1125"/>
      <c r="AG883" s="1125"/>
      <c r="AH883" s="1125"/>
      <c r="AI883" s="1125"/>
    </row>
    <row r="884" spans="30:35">
      <c r="AD884" s="1125"/>
      <c r="AE884" s="1125"/>
      <c r="AF884" s="1125"/>
      <c r="AG884" s="1125"/>
      <c r="AH884" s="1125"/>
      <c r="AI884" s="1125"/>
    </row>
    <row r="885" spans="30:35">
      <c r="AD885" s="1125"/>
      <c r="AE885" s="1125"/>
      <c r="AF885" s="1125"/>
      <c r="AG885" s="1125"/>
      <c r="AH885" s="1125"/>
      <c r="AI885" s="1125"/>
    </row>
    <row r="886" spans="30:35">
      <c r="AD886" s="1125"/>
      <c r="AE886" s="1125"/>
      <c r="AF886" s="1125"/>
      <c r="AG886" s="1125"/>
      <c r="AH886" s="1125"/>
      <c r="AI886" s="1125"/>
    </row>
    <row r="887" spans="30:35">
      <c r="AD887" s="1125"/>
      <c r="AE887" s="1125"/>
      <c r="AF887" s="1125"/>
      <c r="AG887" s="1125"/>
      <c r="AH887" s="1125"/>
      <c r="AI887" s="1125"/>
    </row>
    <row r="888" spans="30:35">
      <c r="AD888" s="1125"/>
      <c r="AE888" s="1125"/>
      <c r="AF888" s="1125"/>
      <c r="AG888" s="1125"/>
      <c r="AH888" s="1125"/>
      <c r="AI888" s="1125"/>
    </row>
    <row r="889" spans="30:35">
      <c r="AD889" s="1125"/>
      <c r="AE889" s="1125"/>
      <c r="AF889" s="1125"/>
      <c r="AG889" s="1125"/>
      <c r="AH889" s="1125"/>
      <c r="AI889" s="1125"/>
    </row>
    <row r="890" spans="30:35">
      <c r="AD890" s="1125"/>
      <c r="AE890" s="1125"/>
      <c r="AF890" s="1125"/>
      <c r="AG890" s="1125"/>
      <c r="AH890" s="1125"/>
      <c r="AI890" s="1125"/>
    </row>
    <row r="891" spans="30:35">
      <c r="AD891" s="1125"/>
      <c r="AE891" s="1125"/>
      <c r="AF891" s="1125"/>
      <c r="AG891" s="1125"/>
      <c r="AH891" s="1125"/>
      <c r="AI891" s="1125"/>
    </row>
    <row r="892" spans="30:35">
      <c r="AD892" s="1125"/>
      <c r="AE892" s="1125"/>
      <c r="AF892" s="1125"/>
      <c r="AG892" s="1125"/>
      <c r="AH892" s="1125"/>
      <c r="AI892" s="1125"/>
    </row>
    <row r="893" spans="30:35">
      <c r="AD893" s="1125"/>
      <c r="AE893" s="1125"/>
      <c r="AF893" s="1125"/>
      <c r="AG893" s="1125"/>
      <c r="AH893" s="1125"/>
      <c r="AI893" s="1125"/>
    </row>
    <row r="894" spans="30:35">
      <c r="AD894" s="1125"/>
      <c r="AE894" s="1125"/>
      <c r="AF894" s="1125"/>
      <c r="AG894" s="1125"/>
      <c r="AH894" s="1125"/>
      <c r="AI894" s="1125"/>
    </row>
    <row r="895" spans="30:35">
      <c r="AD895" s="1125"/>
      <c r="AE895" s="1125"/>
      <c r="AF895" s="1125"/>
      <c r="AG895" s="1125"/>
      <c r="AH895" s="1125"/>
      <c r="AI895" s="1125"/>
    </row>
    <row r="896" spans="30:35">
      <c r="AD896" s="1125"/>
      <c r="AE896" s="1125"/>
      <c r="AF896" s="1125"/>
      <c r="AG896" s="1125"/>
      <c r="AH896" s="1125"/>
      <c r="AI896" s="1125"/>
    </row>
    <row r="897" spans="30:35">
      <c r="AD897" s="1125"/>
      <c r="AE897" s="1125"/>
      <c r="AF897" s="1125"/>
      <c r="AG897" s="1125"/>
      <c r="AH897" s="1125"/>
      <c r="AI897" s="1125"/>
    </row>
    <row r="898" spans="30:35">
      <c r="AD898" s="1125"/>
      <c r="AE898" s="1125"/>
      <c r="AF898" s="1125"/>
      <c r="AG898" s="1125"/>
      <c r="AH898" s="1125"/>
      <c r="AI898" s="1125"/>
    </row>
    <row r="899" spans="30:35">
      <c r="AD899" s="1125"/>
      <c r="AE899" s="1125"/>
      <c r="AF899" s="1125"/>
      <c r="AG899" s="1125"/>
      <c r="AH899" s="1125"/>
      <c r="AI899" s="1125"/>
    </row>
    <row r="900" spans="30:35">
      <c r="AD900" s="1125"/>
      <c r="AE900" s="1125"/>
      <c r="AF900" s="1125"/>
      <c r="AG900" s="1125"/>
      <c r="AH900" s="1125"/>
      <c r="AI900" s="1125"/>
    </row>
    <row r="901" spans="30:35">
      <c r="AD901" s="1125"/>
      <c r="AE901" s="1125"/>
      <c r="AF901" s="1125"/>
      <c r="AG901" s="1125"/>
      <c r="AH901" s="1125"/>
      <c r="AI901" s="1125"/>
    </row>
    <row r="902" spans="30:35">
      <c r="AD902" s="1125"/>
      <c r="AE902" s="1125"/>
      <c r="AF902" s="1125"/>
      <c r="AG902" s="1125"/>
      <c r="AH902" s="1125"/>
      <c r="AI902" s="1125"/>
    </row>
    <row r="903" spans="30:35">
      <c r="AD903" s="1125"/>
      <c r="AE903" s="1125"/>
      <c r="AF903" s="1125"/>
      <c r="AG903" s="1125"/>
      <c r="AH903" s="1125"/>
      <c r="AI903" s="1125"/>
    </row>
    <row r="904" spans="30:35">
      <c r="AD904" s="1125"/>
      <c r="AE904" s="1125"/>
      <c r="AF904" s="1125"/>
      <c r="AG904" s="1125"/>
      <c r="AH904" s="1125"/>
      <c r="AI904" s="1125"/>
    </row>
    <row r="905" spans="30:35">
      <c r="AD905" s="1125"/>
      <c r="AE905" s="1125"/>
      <c r="AF905" s="1125"/>
      <c r="AG905" s="1125"/>
      <c r="AH905" s="1125"/>
      <c r="AI905" s="1125"/>
    </row>
    <row r="906" spans="30:35">
      <c r="AD906" s="1125"/>
      <c r="AE906" s="1125"/>
      <c r="AF906" s="1125"/>
      <c r="AG906" s="1125"/>
      <c r="AH906" s="1125"/>
      <c r="AI906" s="1125"/>
    </row>
    <row r="907" spans="30:35">
      <c r="AD907" s="1125"/>
      <c r="AE907" s="1125"/>
      <c r="AF907" s="1125"/>
      <c r="AG907" s="1125"/>
      <c r="AH907" s="1125"/>
      <c r="AI907" s="1125"/>
    </row>
    <row r="908" spans="30:35">
      <c r="AD908" s="1125"/>
      <c r="AE908" s="1125"/>
      <c r="AF908" s="1125"/>
      <c r="AG908" s="1125"/>
      <c r="AH908" s="1125"/>
      <c r="AI908" s="1125"/>
    </row>
    <row r="909" spans="30:35">
      <c r="AD909" s="1125"/>
      <c r="AE909" s="1125"/>
      <c r="AF909" s="1125"/>
      <c r="AG909" s="1125"/>
      <c r="AH909" s="1125"/>
      <c r="AI909" s="1125"/>
    </row>
    <row r="910" spans="30:35">
      <c r="AD910" s="1125"/>
      <c r="AE910" s="1125"/>
      <c r="AF910" s="1125"/>
      <c r="AG910" s="1125"/>
      <c r="AH910" s="1125"/>
      <c r="AI910" s="1125"/>
    </row>
    <row r="911" spans="30:35">
      <c r="AD911" s="1125"/>
      <c r="AE911" s="1125"/>
      <c r="AF911" s="1125"/>
      <c r="AG911" s="1125"/>
      <c r="AH911" s="1125"/>
      <c r="AI911" s="1125"/>
    </row>
    <row r="912" spans="30:35">
      <c r="AD912" s="1125"/>
      <c r="AE912" s="1125"/>
      <c r="AF912" s="1125"/>
      <c r="AG912" s="1125"/>
      <c r="AH912" s="1125"/>
      <c r="AI912" s="1125"/>
    </row>
    <row r="913" spans="30:35">
      <c r="AD913" s="1125"/>
      <c r="AE913" s="1125"/>
      <c r="AF913" s="1125"/>
      <c r="AG913" s="1125"/>
      <c r="AH913" s="1125"/>
      <c r="AI913" s="1125"/>
    </row>
    <row r="914" spans="30:35">
      <c r="AD914" s="1125"/>
      <c r="AE914" s="1125"/>
      <c r="AF914" s="1125"/>
      <c r="AG914" s="1125"/>
      <c r="AH914" s="1125"/>
      <c r="AI914" s="1125"/>
    </row>
    <row r="915" spans="30:35">
      <c r="AD915" s="1125"/>
      <c r="AE915" s="1125"/>
      <c r="AF915" s="1125"/>
      <c r="AG915" s="1125"/>
      <c r="AH915" s="1125"/>
      <c r="AI915" s="1125"/>
    </row>
    <row r="916" spans="30:35">
      <c r="AD916" s="1125"/>
      <c r="AE916" s="1125"/>
      <c r="AF916" s="1125"/>
      <c r="AG916" s="1125"/>
      <c r="AH916" s="1125"/>
      <c r="AI916" s="1125"/>
    </row>
    <row r="917" spans="30:35">
      <c r="AD917" s="1125"/>
      <c r="AE917" s="1125"/>
      <c r="AF917" s="1125"/>
      <c r="AG917" s="1125"/>
      <c r="AH917" s="1125"/>
      <c r="AI917" s="1125"/>
    </row>
    <row r="918" spans="30:35">
      <c r="AD918" s="1125"/>
      <c r="AE918" s="1125"/>
      <c r="AF918" s="1125"/>
      <c r="AG918" s="1125"/>
      <c r="AH918" s="1125"/>
      <c r="AI918" s="1125"/>
    </row>
    <row r="919" spans="30:35">
      <c r="AD919" s="1125"/>
      <c r="AE919" s="1125"/>
      <c r="AF919" s="1125"/>
      <c r="AG919" s="1125"/>
      <c r="AH919" s="1125"/>
      <c r="AI919" s="1125"/>
    </row>
    <row r="920" spans="30:35">
      <c r="AD920" s="1125"/>
      <c r="AE920" s="1125"/>
      <c r="AF920" s="1125"/>
      <c r="AG920" s="1125"/>
      <c r="AH920" s="1125"/>
      <c r="AI920" s="1125"/>
    </row>
    <row r="921" spans="30:35">
      <c r="AD921" s="1125"/>
      <c r="AE921" s="1125"/>
      <c r="AF921" s="1125"/>
      <c r="AG921" s="1125"/>
      <c r="AH921" s="1125"/>
      <c r="AI921" s="1125"/>
    </row>
    <row r="922" spans="30:35">
      <c r="AD922" s="1125"/>
      <c r="AE922" s="1125"/>
      <c r="AF922" s="1125"/>
      <c r="AG922" s="1125"/>
      <c r="AH922" s="1125"/>
      <c r="AI922" s="1125"/>
    </row>
    <row r="923" spans="30:35">
      <c r="AD923" s="1125"/>
      <c r="AE923" s="1125"/>
      <c r="AF923" s="1125"/>
      <c r="AG923" s="1125"/>
      <c r="AH923" s="1125"/>
      <c r="AI923" s="1125"/>
    </row>
    <row r="924" spans="30:35">
      <c r="AD924" s="1125"/>
      <c r="AE924" s="1125"/>
      <c r="AF924" s="1125"/>
      <c r="AG924" s="1125"/>
      <c r="AH924" s="1125"/>
      <c r="AI924" s="1125"/>
    </row>
    <row r="925" spans="30:35">
      <c r="AD925" s="1125"/>
      <c r="AE925" s="1125"/>
      <c r="AF925" s="1125"/>
      <c r="AG925" s="1125"/>
      <c r="AH925" s="1125"/>
      <c r="AI925" s="1125"/>
    </row>
    <row r="926" spans="30:35">
      <c r="AD926" s="1125"/>
      <c r="AE926" s="1125"/>
      <c r="AF926" s="1125"/>
      <c r="AG926" s="1125"/>
      <c r="AH926" s="1125"/>
      <c r="AI926" s="1125"/>
    </row>
    <row r="927" spans="30:35">
      <c r="AD927" s="1125"/>
      <c r="AE927" s="1125"/>
      <c r="AF927" s="1125"/>
      <c r="AG927" s="1125"/>
      <c r="AH927" s="1125"/>
      <c r="AI927" s="1125"/>
    </row>
    <row r="928" spans="30:35">
      <c r="AD928" s="1125"/>
      <c r="AE928" s="1125"/>
      <c r="AF928" s="1125"/>
      <c r="AG928" s="1125"/>
      <c r="AH928" s="1125"/>
      <c r="AI928" s="1125"/>
    </row>
    <row r="929" spans="30:35">
      <c r="AD929" s="1125"/>
      <c r="AE929" s="1125"/>
      <c r="AF929" s="1125"/>
      <c r="AG929" s="1125"/>
      <c r="AH929" s="1125"/>
      <c r="AI929" s="1125"/>
    </row>
    <row r="930" spans="30:35">
      <c r="AD930" s="1125"/>
      <c r="AE930" s="1125"/>
      <c r="AF930" s="1125"/>
      <c r="AG930" s="1125"/>
      <c r="AH930" s="1125"/>
      <c r="AI930" s="1125"/>
    </row>
    <row r="931" spans="30:35">
      <c r="AD931" s="1125"/>
      <c r="AE931" s="1125"/>
      <c r="AF931" s="1125"/>
      <c r="AG931" s="1125"/>
      <c r="AH931" s="1125"/>
      <c r="AI931" s="1125"/>
    </row>
    <row r="932" spans="30:35">
      <c r="AD932" s="1125"/>
      <c r="AE932" s="1125"/>
      <c r="AF932" s="1125"/>
      <c r="AG932" s="1125"/>
      <c r="AH932" s="1125"/>
      <c r="AI932" s="1125"/>
    </row>
    <row r="933" spans="30:35">
      <c r="AD933" s="1125"/>
      <c r="AE933" s="1125"/>
      <c r="AF933" s="1125"/>
      <c r="AG933" s="1125"/>
      <c r="AH933" s="1125"/>
      <c r="AI933" s="1125"/>
    </row>
    <row r="934" spans="30:35">
      <c r="AD934" s="1125"/>
      <c r="AE934" s="1125"/>
      <c r="AF934" s="1125"/>
      <c r="AG934" s="1125"/>
      <c r="AH934" s="1125"/>
      <c r="AI934" s="1125"/>
    </row>
    <row r="935" spans="30:35">
      <c r="AD935" s="1125"/>
      <c r="AE935" s="1125"/>
      <c r="AF935" s="1125"/>
      <c r="AG935" s="1125"/>
      <c r="AH935" s="1125"/>
      <c r="AI935" s="1125"/>
    </row>
    <row r="936" spans="30:35">
      <c r="AD936" s="1125"/>
      <c r="AE936" s="1125"/>
      <c r="AF936" s="1125"/>
      <c r="AG936" s="1125"/>
      <c r="AH936" s="1125"/>
      <c r="AI936" s="1125"/>
    </row>
    <row r="937" spans="30:35">
      <c r="AD937" s="1125"/>
      <c r="AE937" s="1125"/>
      <c r="AF937" s="1125"/>
      <c r="AG937" s="1125"/>
      <c r="AH937" s="1125"/>
      <c r="AI937" s="1125"/>
    </row>
    <row r="938" spans="30:35">
      <c r="AD938" s="1125"/>
      <c r="AE938" s="1125"/>
      <c r="AF938" s="1125"/>
      <c r="AG938" s="1125"/>
      <c r="AH938" s="1125"/>
      <c r="AI938" s="1125"/>
    </row>
    <row r="939" spans="30:35">
      <c r="AD939" s="1125"/>
      <c r="AE939" s="1125"/>
      <c r="AF939" s="1125"/>
      <c r="AG939" s="1125"/>
      <c r="AH939" s="1125"/>
      <c r="AI939" s="1125"/>
    </row>
    <row r="940" spans="30:35">
      <c r="AD940" s="1125"/>
      <c r="AE940" s="1125"/>
      <c r="AF940" s="1125"/>
      <c r="AG940" s="1125"/>
      <c r="AH940" s="1125"/>
      <c r="AI940" s="1125"/>
    </row>
    <row r="941" spans="30:35">
      <c r="AD941" s="1125"/>
      <c r="AE941" s="1125"/>
      <c r="AF941" s="1125"/>
      <c r="AG941" s="1125"/>
      <c r="AH941" s="1125"/>
      <c r="AI941" s="1125"/>
    </row>
    <row r="942" spans="30:35">
      <c r="AD942" s="1125"/>
      <c r="AE942" s="1125"/>
      <c r="AF942" s="1125"/>
      <c r="AG942" s="1125"/>
      <c r="AH942" s="1125"/>
      <c r="AI942" s="1125"/>
    </row>
    <row r="943" spans="30:35">
      <c r="AD943" s="1125"/>
      <c r="AE943" s="1125"/>
      <c r="AF943" s="1125"/>
      <c r="AG943" s="1125"/>
      <c r="AH943" s="1125"/>
      <c r="AI943" s="1125"/>
    </row>
    <row r="944" spans="30:35">
      <c r="AD944" s="1125"/>
      <c r="AE944" s="1125"/>
      <c r="AF944" s="1125"/>
      <c r="AG944" s="1125"/>
      <c r="AH944" s="1125"/>
      <c r="AI944" s="1125"/>
    </row>
    <row r="945" spans="30:35">
      <c r="AD945" s="1125"/>
      <c r="AE945" s="1125"/>
      <c r="AF945" s="1125"/>
      <c r="AG945" s="1125"/>
      <c r="AH945" s="1125"/>
      <c r="AI945" s="1125"/>
    </row>
    <row r="946" spans="30:35">
      <c r="AD946" s="1125"/>
      <c r="AE946" s="1125"/>
      <c r="AF946" s="1125"/>
      <c r="AG946" s="1125"/>
      <c r="AH946" s="1125"/>
      <c r="AI946" s="1125"/>
    </row>
    <row r="947" spans="30:35">
      <c r="AD947" s="1125"/>
      <c r="AE947" s="1125"/>
      <c r="AF947" s="1125"/>
      <c r="AG947" s="1125"/>
      <c r="AH947" s="1125"/>
      <c r="AI947" s="1125"/>
    </row>
    <row r="948" spans="30:35">
      <c r="AD948" s="1125"/>
      <c r="AE948" s="1125"/>
      <c r="AF948" s="1125"/>
      <c r="AG948" s="1125"/>
      <c r="AH948" s="1125"/>
      <c r="AI948" s="1125"/>
    </row>
    <row r="949" spans="30:35">
      <c r="AD949" s="1125"/>
      <c r="AE949" s="1125"/>
      <c r="AF949" s="1125"/>
      <c r="AG949" s="1125"/>
      <c r="AH949" s="1125"/>
      <c r="AI949" s="1125"/>
    </row>
    <row r="950" spans="30:35">
      <c r="AD950" s="1125"/>
      <c r="AE950" s="1125"/>
      <c r="AF950" s="1125"/>
      <c r="AG950" s="1125"/>
      <c r="AH950" s="1125"/>
      <c r="AI950" s="1125"/>
    </row>
    <row r="951" spans="30:35">
      <c r="AD951" s="1125"/>
      <c r="AE951" s="1125"/>
      <c r="AF951" s="1125"/>
      <c r="AG951" s="1125"/>
      <c r="AH951" s="1125"/>
      <c r="AI951" s="1125"/>
    </row>
    <row r="952" spans="30:35">
      <c r="AD952" s="1125"/>
      <c r="AE952" s="1125"/>
      <c r="AF952" s="1125"/>
      <c r="AG952" s="1125"/>
      <c r="AH952" s="1125"/>
      <c r="AI952" s="1125"/>
    </row>
    <row r="953" spans="30:35">
      <c r="AD953" s="1125"/>
      <c r="AE953" s="1125"/>
      <c r="AF953" s="1125"/>
      <c r="AG953" s="1125"/>
      <c r="AH953" s="1125"/>
      <c r="AI953" s="1125"/>
    </row>
    <row r="954" spans="30:35">
      <c r="AD954" s="1125"/>
      <c r="AE954" s="1125"/>
      <c r="AF954" s="1125"/>
      <c r="AG954" s="1125"/>
      <c r="AH954" s="1125"/>
      <c r="AI954" s="1125"/>
    </row>
    <row r="955" spans="30:35">
      <c r="AD955" s="1125"/>
      <c r="AE955" s="1125"/>
      <c r="AF955" s="1125"/>
      <c r="AG955" s="1125"/>
      <c r="AH955" s="1125"/>
      <c r="AI955" s="1125"/>
    </row>
    <row r="956" spans="30:35">
      <c r="AD956" s="1125"/>
      <c r="AE956" s="1125"/>
      <c r="AF956" s="1125"/>
      <c r="AG956" s="1125"/>
      <c r="AH956" s="1125"/>
      <c r="AI956" s="1125"/>
    </row>
    <row r="957" spans="30:35">
      <c r="AD957" s="1125"/>
      <c r="AE957" s="1125"/>
      <c r="AF957" s="1125"/>
      <c r="AG957" s="1125"/>
      <c r="AH957" s="1125"/>
      <c r="AI957" s="1125"/>
    </row>
    <row r="958" spans="30:35">
      <c r="AD958" s="1125"/>
      <c r="AE958" s="1125"/>
      <c r="AF958" s="1125"/>
      <c r="AG958" s="1125"/>
      <c r="AH958" s="1125"/>
      <c r="AI958" s="1125"/>
    </row>
    <row r="959" spans="30:35">
      <c r="AD959" s="1125"/>
      <c r="AE959" s="1125"/>
      <c r="AF959" s="1125"/>
      <c r="AG959" s="1125"/>
      <c r="AH959" s="1125"/>
      <c r="AI959" s="1125"/>
    </row>
    <row r="960" spans="30:35">
      <c r="AD960" s="1125"/>
      <c r="AE960" s="1125"/>
      <c r="AF960" s="1125"/>
      <c r="AG960" s="1125"/>
      <c r="AH960" s="1125"/>
      <c r="AI960" s="1125"/>
    </row>
    <row r="961" spans="30:35">
      <c r="AD961" s="1125"/>
      <c r="AE961" s="1125"/>
      <c r="AF961" s="1125"/>
      <c r="AG961" s="1125"/>
      <c r="AH961" s="1125"/>
      <c r="AI961" s="1125"/>
    </row>
    <row r="962" spans="30:35">
      <c r="AD962" s="1125"/>
      <c r="AE962" s="1125"/>
      <c r="AF962" s="1125"/>
      <c r="AG962" s="1125"/>
      <c r="AH962" s="1125"/>
      <c r="AI962" s="1125"/>
    </row>
    <row r="963" spans="30:35">
      <c r="AD963" s="1125"/>
      <c r="AE963" s="1125"/>
      <c r="AF963" s="1125"/>
      <c r="AG963" s="1125"/>
      <c r="AH963" s="1125"/>
      <c r="AI963" s="1125"/>
    </row>
    <row r="964" spans="30:35">
      <c r="AD964" s="1125"/>
      <c r="AE964" s="1125"/>
      <c r="AF964" s="1125"/>
      <c r="AG964" s="1125"/>
      <c r="AH964" s="1125"/>
      <c r="AI964" s="1125"/>
    </row>
    <row r="965" spans="30:35">
      <c r="AD965" s="1125"/>
      <c r="AE965" s="1125"/>
      <c r="AF965" s="1125"/>
      <c r="AG965" s="1125"/>
      <c r="AH965" s="1125"/>
      <c r="AI965" s="1125"/>
    </row>
    <row r="966" spans="30:35">
      <c r="AD966" s="1125"/>
      <c r="AE966" s="1125"/>
      <c r="AF966" s="1125"/>
      <c r="AG966" s="1125"/>
      <c r="AH966" s="1125"/>
      <c r="AI966" s="1125"/>
    </row>
    <row r="967" spans="30:35">
      <c r="AD967" s="1125"/>
      <c r="AE967" s="1125"/>
      <c r="AF967" s="1125"/>
      <c r="AG967" s="1125"/>
      <c r="AH967" s="1125"/>
      <c r="AI967" s="1125"/>
    </row>
    <row r="968" spans="30:35">
      <c r="AD968" s="1125"/>
      <c r="AE968" s="1125"/>
      <c r="AF968" s="1125"/>
      <c r="AG968" s="1125"/>
      <c r="AH968" s="1125"/>
      <c r="AI968" s="1125"/>
    </row>
    <row r="969" spans="30:35">
      <c r="AD969" s="1125"/>
      <c r="AE969" s="1125"/>
      <c r="AF969" s="1125"/>
      <c r="AG969" s="1125"/>
      <c r="AH969" s="1125"/>
      <c r="AI969" s="1125"/>
    </row>
    <row r="970" spans="30:35">
      <c r="AD970" s="1125"/>
      <c r="AE970" s="1125"/>
      <c r="AF970" s="1125"/>
      <c r="AG970" s="1125"/>
      <c r="AH970" s="1125"/>
      <c r="AI970" s="1125"/>
    </row>
    <row r="971" spans="30:35">
      <c r="AD971" s="1125"/>
      <c r="AE971" s="1125"/>
      <c r="AF971" s="1125"/>
      <c r="AG971" s="1125"/>
      <c r="AH971" s="1125"/>
      <c r="AI971" s="1125"/>
    </row>
    <row r="972" spans="30:35">
      <c r="AD972" s="1125"/>
      <c r="AE972" s="1125"/>
      <c r="AF972" s="1125"/>
      <c r="AG972" s="1125"/>
      <c r="AH972" s="1125"/>
      <c r="AI972" s="1125"/>
    </row>
    <row r="973" spans="30:35">
      <c r="AD973" s="1125"/>
      <c r="AE973" s="1125"/>
      <c r="AF973" s="1125"/>
      <c r="AG973" s="1125"/>
      <c r="AH973" s="1125"/>
      <c r="AI973" s="1125"/>
    </row>
    <row r="974" spans="30:35">
      <c r="AD974" s="1125"/>
      <c r="AE974" s="1125"/>
      <c r="AF974" s="1125"/>
      <c r="AG974" s="1125"/>
      <c r="AH974" s="1125"/>
      <c r="AI974" s="1125"/>
    </row>
    <row r="975" spans="30:35">
      <c r="AD975" s="1125"/>
      <c r="AE975" s="1125"/>
      <c r="AF975" s="1125"/>
      <c r="AG975" s="1125"/>
      <c r="AH975" s="1125"/>
      <c r="AI975" s="1125"/>
    </row>
    <row r="976" spans="30:35">
      <c r="AD976" s="1125"/>
      <c r="AE976" s="1125"/>
      <c r="AF976" s="1125"/>
      <c r="AG976" s="1125"/>
      <c r="AH976" s="1125"/>
      <c r="AI976" s="1125"/>
    </row>
    <row r="977" spans="30:35">
      <c r="AD977" s="1125"/>
      <c r="AE977" s="1125"/>
      <c r="AF977" s="1125"/>
      <c r="AG977" s="1125"/>
      <c r="AH977" s="1125"/>
      <c r="AI977" s="1125"/>
    </row>
    <row r="978" spans="30:35">
      <c r="AD978" s="1125"/>
      <c r="AE978" s="1125"/>
      <c r="AF978" s="1125"/>
      <c r="AG978" s="1125"/>
      <c r="AH978" s="1125"/>
      <c r="AI978" s="1125"/>
    </row>
    <row r="979" spans="30:35">
      <c r="AD979" s="1125"/>
      <c r="AE979" s="1125"/>
      <c r="AF979" s="1125"/>
      <c r="AG979" s="1125"/>
      <c r="AH979" s="1125"/>
      <c r="AI979" s="1125"/>
    </row>
    <row r="980" spans="30:35">
      <c r="AD980" s="1125"/>
      <c r="AE980" s="1125"/>
      <c r="AF980" s="1125"/>
      <c r="AG980" s="1125"/>
      <c r="AH980" s="1125"/>
      <c r="AI980" s="1125"/>
    </row>
    <row r="981" spans="30:35">
      <c r="AD981" s="1125"/>
      <c r="AE981" s="1125"/>
      <c r="AF981" s="1125"/>
      <c r="AG981" s="1125"/>
      <c r="AH981" s="1125"/>
      <c r="AI981" s="1125"/>
    </row>
    <row r="982" spans="30:35">
      <c r="AD982" s="1125"/>
      <c r="AE982" s="1125"/>
      <c r="AF982" s="1125"/>
      <c r="AG982" s="1125"/>
      <c r="AH982" s="1125"/>
      <c r="AI982" s="1125"/>
    </row>
    <row r="983" spans="30:35">
      <c r="AD983" s="1125"/>
      <c r="AE983" s="1125"/>
      <c r="AF983" s="1125"/>
      <c r="AG983" s="1125"/>
      <c r="AH983" s="1125"/>
      <c r="AI983" s="1125"/>
    </row>
    <row r="984" spans="30:35">
      <c r="AD984" s="1125"/>
      <c r="AE984" s="1125"/>
      <c r="AF984" s="1125"/>
      <c r="AG984" s="1125"/>
      <c r="AH984" s="1125"/>
      <c r="AI984" s="1125"/>
    </row>
    <row r="985" spans="30:35">
      <c r="AD985" s="1125"/>
      <c r="AE985" s="1125"/>
      <c r="AF985" s="1125"/>
      <c r="AG985" s="1125"/>
      <c r="AH985" s="1125"/>
      <c r="AI985" s="1125"/>
    </row>
    <row r="986" spans="30:35">
      <c r="AD986" s="1125"/>
      <c r="AE986" s="1125"/>
      <c r="AF986" s="1125"/>
      <c r="AG986" s="1125"/>
      <c r="AH986" s="1125"/>
      <c r="AI986" s="1125"/>
    </row>
    <row r="987" spans="30:35">
      <c r="AD987" s="1125"/>
      <c r="AE987" s="1125"/>
      <c r="AF987" s="1125"/>
      <c r="AG987" s="1125"/>
      <c r="AH987" s="1125"/>
      <c r="AI987" s="1125"/>
    </row>
    <row r="988" spans="30:35">
      <c r="AD988" s="1125"/>
      <c r="AE988" s="1125"/>
      <c r="AF988" s="1125"/>
      <c r="AG988" s="1125"/>
      <c r="AH988" s="1125"/>
      <c r="AI988" s="1125"/>
    </row>
    <row r="989" spans="30:35">
      <c r="AD989" s="1125"/>
      <c r="AE989" s="1125"/>
      <c r="AF989" s="1125"/>
      <c r="AG989" s="1125"/>
      <c r="AH989" s="1125"/>
      <c r="AI989" s="1125"/>
    </row>
    <row r="990" spans="30:35">
      <c r="AD990" s="1125"/>
      <c r="AE990" s="1125"/>
      <c r="AF990" s="1125"/>
      <c r="AG990" s="1125"/>
      <c r="AH990" s="1125"/>
      <c r="AI990" s="1125"/>
    </row>
    <row r="991" spans="30:35">
      <c r="AD991" s="1125"/>
      <c r="AE991" s="1125"/>
      <c r="AF991" s="1125"/>
      <c r="AG991" s="1125"/>
      <c r="AH991" s="1125"/>
      <c r="AI991" s="1125"/>
    </row>
    <row r="992" spans="30:35">
      <c r="AD992" s="1125"/>
      <c r="AE992" s="1125"/>
      <c r="AF992" s="1125"/>
      <c r="AG992" s="1125"/>
      <c r="AH992" s="1125"/>
      <c r="AI992" s="1125"/>
    </row>
    <row r="993" spans="30:35">
      <c r="AD993" s="1125"/>
      <c r="AE993" s="1125"/>
      <c r="AF993" s="1125"/>
      <c r="AG993" s="1125"/>
      <c r="AH993" s="1125"/>
      <c r="AI993" s="1125"/>
    </row>
    <row r="994" spans="30:35">
      <c r="AD994" s="1125"/>
      <c r="AE994" s="1125"/>
      <c r="AF994" s="1125"/>
      <c r="AG994" s="1125"/>
      <c r="AH994" s="1125"/>
      <c r="AI994" s="1125"/>
    </row>
    <row r="995" spans="30:35">
      <c r="AD995" s="1125"/>
      <c r="AE995" s="1125"/>
      <c r="AF995" s="1125"/>
      <c r="AG995" s="1125"/>
      <c r="AH995" s="1125"/>
      <c r="AI995" s="1125"/>
    </row>
    <row r="996" spans="30:35">
      <c r="AD996" s="1125"/>
      <c r="AE996" s="1125"/>
      <c r="AF996" s="1125"/>
      <c r="AG996" s="1125"/>
      <c r="AH996" s="1125"/>
      <c r="AI996" s="1125"/>
    </row>
    <row r="997" spans="30:35">
      <c r="AD997" s="1125"/>
      <c r="AE997" s="1125"/>
      <c r="AF997" s="1125"/>
      <c r="AG997" s="1125"/>
      <c r="AH997" s="1125"/>
      <c r="AI997" s="1125"/>
    </row>
    <row r="998" spans="30:35">
      <c r="AD998" s="1125"/>
      <c r="AE998" s="1125"/>
      <c r="AF998" s="1125"/>
      <c r="AG998" s="1125"/>
      <c r="AH998" s="1125"/>
      <c r="AI998" s="1125"/>
    </row>
    <row r="999" spans="30:35">
      <c r="AD999" s="1125"/>
      <c r="AE999" s="1125"/>
      <c r="AF999" s="1125"/>
      <c r="AG999" s="1125"/>
      <c r="AH999" s="1125"/>
      <c r="AI999" s="1125"/>
    </row>
    <row r="1000" spans="30:35">
      <c r="AD1000" s="1125"/>
      <c r="AE1000" s="1125"/>
      <c r="AF1000" s="1125"/>
      <c r="AG1000" s="1125"/>
      <c r="AH1000" s="1125"/>
      <c r="AI1000" s="1125"/>
    </row>
    <row r="1001" spans="30:35">
      <c r="AD1001" s="1125"/>
      <c r="AE1001" s="1125"/>
      <c r="AF1001" s="1125"/>
      <c r="AG1001" s="1125"/>
      <c r="AH1001" s="1125"/>
      <c r="AI1001" s="1125"/>
    </row>
    <row r="1002" spans="30:35">
      <c r="AD1002" s="1125"/>
      <c r="AE1002" s="1125"/>
      <c r="AF1002" s="1125"/>
      <c r="AG1002" s="1125"/>
      <c r="AH1002" s="1125"/>
      <c r="AI1002" s="1125"/>
    </row>
    <row r="1003" spans="30:35">
      <c r="AD1003" s="1125"/>
      <c r="AE1003" s="1125"/>
      <c r="AF1003" s="1125"/>
      <c r="AG1003" s="1125"/>
      <c r="AH1003" s="1125"/>
      <c r="AI1003" s="1125"/>
    </row>
    <row r="1004" spans="30:35">
      <c r="AD1004" s="1125"/>
      <c r="AE1004" s="1125"/>
      <c r="AF1004" s="1125"/>
      <c r="AG1004" s="1125"/>
      <c r="AH1004" s="1125"/>
      <c r="AI1004" s="1125"/>
    </row>
    <row r="1005" spans="30:35">
      <c r="AD1005" s="1125"/>
      <c r="AE1005" s="1125"/>
      <c r="AF1005" s="1125"/>
      <c r="AG1005" s="1125"/>
      <c r="AH1005" s="1125"/>
      <c r="AI1005" s="1125"/>
    </row>
    <row r="1006" spans="30:35">
      <c r="AD1006" s="1125"/>
      <c r="AE1006" s="1125"/>
      <c r="AF1006" s="1125"/>
      <c r="AG1006" s="1125"/>
      <c r="AH1006" s="1125"/>
      <c r="AI1006" s="1125"/>
    </row>
    <row r="1007" spans="30:35">
      <c r="AD1007" s="1125"/>
      <c r="AE1007" s="1125"/>
      <c r="AF1007" s="1125"/>
      <c r="AG1007" s="1125"/>
      <c r="AH1007" s="1125"/>
      <c r="AI1007" s="1125"/>
    </row>
    <row r="1008" spans="30:35">
      <c r="AD1008" s="1125"/>
      <c r="AE1008" s="1125"/>
      <c r="AF1008" s="1125"/>
      <c r="AG1008" s="1125"/>
      <c r="AH1008" s="1125"/>
      <c r="AI1008" s="1125"/>
    </row>
    <row r="1009" spans="30:35">
      <c r="AD1009" s="1125"/>
      <c r="AE1009" s="1125"/>
      <c r="AF1009" s="1125"/>
      <c r="AG1009" s="1125"/>
      <c r="AH1009" s="1125"/>
      <c r="AI1009" s="1125"/>
    </row>
    <row r="1010" spans="30:35">
      <c r="AD1010" s="1125"/>
      <c r="AE1010" s="1125"/>
      <c r="AF1010" s="1125"/>
      <c r="AG1010" s="1125"/>
      <c r="AH1010" s="1125"/>
      <c r="AI1010" s="1125"/>
    </row>
    <row r="1011" spans="30:35">
      <c r="AD1011" s="1125"/>
      <c r="AE1011" s="1125"/>
      <c r="AF1011" s="1125"/>
      <c r="AG1011" s="1125"/>
      <c r="AH1011" s="1125"/>
      <c r="AI1011" s="1125"/>
    </row>
    <row r="1012" spans="30:35">
      <c r="AD1012" s="1125"/>
      <c r="AE1012" s="1125"/>
      <c r="AF1012" s="1125"/>
      <c r="AG1012" s="1125"/>
      <c r="AH1012" s="1125"/>
      <c r="AI1012" s="1125"/>
    </row>
    <row r="1013" spans="30:35">
      <c r="AD1013" s="1125"/>
      <c r="AE1013" s="1125"/>
      <c r="AF1013" s="1125"/>
      <c r="AG1013" s="1125"/>
      <c r="AH1013" s="1125"/>
      <c r="AI1013" s="1125"/>
    </row>
    <row r="1014" spans="30:35">
      <c r="AD1014" s="1125"/>
      <c r="AE1014" s="1125"/>
      <c r="AF1014" s="1125"/>
      <c r="AG1014" s="1125"/>
      <c r="AH1014" s="1125"/>
      <c r="AI1014" s="1125"/>
    </row>
    <row r="1015" spans="30:35">
      <c r="AD1015" s="1125"/>
      <c r="AE1015" s="1125"/>
      <c r="AF1015" s="1125"/>
      <c r="AG1015" s="1125"/>
      <c r="AH1015" s="1125"/>
      <c r="AI1015" s="1125"/>
    </row>
    <row r="1016" spans="30:35">
      <c r="AD1016" s="1125"/>
      <c r="AE1016" s="1125"/>
      <c r="AF1016" s="1125"/>
      <c r="AG1016" s="1125"/>
      <c r="AH1016" s="1125"/>
      <c r="AI1016" s="1125"/>
    </row>
    <row r="1017" spans="30:35">
      <c r="AD1017" s="1125"/>
      <c r="AE1017" s="1125"/>
      <c r="AF1017" s="1125"/>
      <c r="AG1017" s="1125"/>
      <c r="AH1017" s="1125"/>
      <c r="AI1017" s="1125"/>
    </row>
    <row r="1018" spans="30:35">
      <c r="AD1018" s="1125"/>
      <c r="AE1018" s="1125"/>
      <c r="AF1018" s="1125"/>
      <c r="AG1018" s="1125"/>
      <c r="AH1018" s="1125"/>
      <c r="AI1018" s="1125"/>
    </row>
    <row r="1019" spans="30:35">
      <c r="AD1019" s="1125"/>
      <c r="AE1019" s="1125"/>
      <c r="AF1019" s="1125"/>
      <c r="AG1019" s="1125"/>
      <c r="AH1019" s="1125"/>
      <c r="AI1019" s="1125"/>
    </row>
    <row r="1020" spans="30:35">
      <c r="AD1020" s="1125"/>
      <c r="AE1020" s="1125"/>
      <c r="AF1020" s="1125"/>
      <c r="AG1020" s="1125"/>
      <c r="AH1020" s="1125"/>
      <c r="AI1020" s="1125"/>
    </row>
    <row r="1021" spans="30:35">
      <c r="AD1021" s="1125"/>
      <c r="AE1021" s="1125"/>
      <c r="AF1021" s="1125"/>
      <c r="AG1021" s="1125"/>
      <c r="AH1021" s="1125"/>
      <c r="AI1021" s="1125"/>
    </row>
    <row r="1022" spans="30:35">
      <c r="AD1022" s="1125"/>
      <c r="AE1022" s="1125"/>
      <c r="AF1022" s="1125"/>
      <c r="AG1022" s="1125"/>
      <c r="AH1022" s="1125"/>
      <c r="AI1022" s="1125"/>
    </row>
    <row r="1023" spans="30:35">
      <c r="AD1023" s="1125"/>
      <c r="AE1023" s="1125"/>
      <c r="AF1023" s="1125"/>
      <c r="AG1023" s="1125"/>
      <c r="AH1023" s="1125"/>
      <c r="AI1023" s="1125"/>
    </row>
    <row r="1024" spans="30:35">
      <c r="AD1024" s="1125"/>
      <c r="AE1024" s="1125"/>
      <c r="AF1024" s="1125"/>
      <c r="AG1024" s="1125"/>
      <c r="AH1024" s="1125"/>
      <c r="AI1024" s="1125"/>
    </row>
    <row r="1025" spans="30:35">
      <c r="AD1025" s="1125"/>
      <c r="AE1025" s="1125"/>
      <c r="AF1025" s="1125"/>
      <c r="AG1025" s="1125"/>
      <c r="AH1025" s="1125"/>
      <c r="AI1025" s="1125"/>
    </row>
    <row r="1026" spans="30:35">
      <c r="AD1026" s="1125"/>
      <c r="AE1026" s="1125"/>
      <c r="AF1026" s="1125"/>
      <c r="AG1026" s="1125"/>
      <c r="AH1026" s="1125"/>
      <c r="AI1026" s="1125"/>
    </row>
    <row r="1027" spans="30:35">
      <c r="AD1027" s="1125"/>
      <c r="AE1027" s="1125"/>
      <c r="AF1027" s="1125"/>
      <c r="AG1027" s="1125"/>
      <c r="AH1027" s="1125"/>
      <c r="AI1027" s="1125"/>
    </row>
    <row r="1028" spans="30:35">
      <c r="AD1028" s="1125"/>
      <c r="AE1028" s="1125"/>
      <c r="AF1028" s="1125"/>
      <c r="AG1028" s="1125"/>
      <c r="AH1028" s="1125"/>
      <c r="AI1028" s="1125"/>
    </row>
    <row r="1029" spans="30:35">
      <c r="AD1029" s="1125"/>
      <c r="AE1029" s="1125"/>
      <c r="AF1029" s="1125"/>
      <c r="AG1029" s="1125"/>
      <c r="AH1029" s="1125"/>
      <c r="AI1029" s="1125"/>
    </row>
    <row r="1030" spans="30:35">
      <c r="AD1030" s="1125"/>
      <c r="AE1030" s="1125"/>
      <c r="AF1030" s="1125"/>
      <c r="AG1030" s="1125"/>
      <c r="AH1030" s="1125"/>
      <c r="AI1030" s="1125"/>
    </row>
    <row r="1031" spans="30:35">
      <c r="AD1031" s="1125"/>
      <c r="AE1031" s="1125"/>
      <c r="AF1031" s="1125"/>
      <c r="AG1031" s="1125"/>
      <c r="AH1031" s="1125"/>
      <c r="AI1031" s="1125"/>
    </row>
    <row r="1032" spans="30:35">
      <c r="AD1032" s="1125"/>
      <c r="AE1032" s="1125"/>
      <c r="AF1032" s="1125"/>
      <c r="AG1032" s="1125"/>
      <c r="AH1032" s="1125"/>
      <c r="AI1032" s="1125"/>
    </row>
    <row r="1033" spans="30:35">
      <c r="AD1033" s="1125"/>
      <c r="AE1033" s="1125"/>
      <c r="AF1033" s="1125"/>
      <c r="AG1033" s="1125"/>
      <c r="AH1033" s="1125"/>
      <c r="AI1033" s="1125"/>
    </row>
    <row r="1034" spans="30:35">
      <c r="AD1034" s="1125"/>
      <c r="AE1034" s="1125"/>
      <c r="AF1034" s="1125"/>
      <c r="AG1034" s="1125"/>
      <c r="AH1034" s="1125"/>
      <c r="AI1034" s="1125"/>
    </row>
    <row r="1035" spans="30:35">
      <c r="AD1035" s="1125"/>
      <c r="AE1035" s="1125"/>
      <c r="AF1035" s="1125"/>
      <c r="AG1035" s="1125"/>
      <c r="AH1035" s="1125"/>
      <c r="AI1035" s="1125"/>
    </row>
    <row r="1036" spans="30:35">
      <c r="AD1036" s="1125"/>
      <c r="AE1036" s="1125"/>
      <c r="AF1036" s="1125"/>
      <c r="AG1036" s="1125"/>
      <c r="AH1036" s="1125"/>
      <c r="AI1036" s="1125"/>
    </row>
    <row r="1037" spans="30:35">
      <c r="AD1037" s="1125"/>
      <c r="AE1037" s="1125"/>
      <c r="AF1037" s="1125"/>
      <c r="AG1037" s="1125"/>
      <c r="AH1037" s="1125"/>
      <c r="AI1037" s="1125"/>
    </row>
    <row r="1038" spans="30:35">
      <c r="AD1038" s="1125"/>
      <c r="AE1038" s="1125"/>
      <c r="AF1038" s="1125"/>
      <c r="AG1038" s="1125"/>
      <c r="AH1038" s="1125"/>
      <c r="AI1038" s="1125"/>
    </row>
    <row r="1039" spans="30:35">
      <c r="AD1039" s="1125"/>
      <c r="AE1039" s="1125"/>
      <c r="AF1039" s="1125"/>
      <c r="AG1039" s="1125"/>
      <c r="AH1039" s="1125"/>
      <c r="AI1039" s="1125"/>
    </row>
    <row r="1040" spans="30:35">
      <c r="AD1040" s="1125"/>
      <c r="AE1040" s="1125"/>
      <c r="AF1040" s="1125"/>
      <c r="AG1040" s="1125"/>
      <c r="AH1040" s="1125"/>
      <c r="AI1040" s="1125"/>
    </row>
    <row r="1041" spans="30:35">
      <c r="AD1041" s="1125"/>
      <c r="AE1041" s="1125"/>
      <c r="AF1041" s="1125"/>
      <c r="AG1041" s="1125"/>
      <c r="AH1041" s="1125"/>
      <c r="AI1041" s="1125"/>
    </row>
    <row r="1042" spans="30:35">
      <c r="AD1042" s="1125"/>
      <c r="AE1042" s="1125"/>
      <c r="AF1042" s="1125"/>
      <c r="AG1042" s="1125"/>
      <c r="AH1042" s="1125"/>
      <c r="AI1042" s="1125"/>
    </row>
    <row r="1043" spans="30:35">
      <c r="AD1043" s="1125"/>
      <c r="AE1043" s="1125"/>
      <c r="AF1043" s="1125"/>
      <c r="AG1043" s="1125"/>
      <c r="AH1043" s="1125"/>
      <c r="AI1043" s="1125"/>
    </row>
    <row r="1044" spans="30:35">
      <c r="AD1044" s="1125"/>
      <c r="AE1044" s="1125"/>
      <c r="AF1044" s="1125"/>
      <c r="AG1044" s="1125"/>
      <c r="AH1044" s="1125"/>
      <c r="AI1044" s="1125"/>
    </row>
    <row r="1045" spans="30:35">
      <c r="AD1045" s="1125"/>
      <c r="AE1045" s="1125"/>
      <c r="AF1045" s="1125"/>
      <c r="AG1045" s="1125"/>
      <c r="AH1045" s="1125"/>
      <c r="AI1045" s="1125"/>
    </row>
    <row r="1046" spans="30:35">
      <c r="AD1046" s="1125"/>
      <c r="AE1046" s="1125"/>
      <c r="AF1046" s="1125"/>
      <c r="AG1046" s="1125"/>
      <c r="AH1046" s="1125"/>
      <c r="AI1046" s="1125"/>
    </row>
    <row r="1047" spans="30:35">
      <c r="AD1047" s="1125"/>
      <c r="AE1047" s="1125"/>
      <c r="AF1047" s="1125"/>
      <c r="AG1047" s="1125"/>
      <c r="AH1047" s="1125"/>
      <c r="AI1047" s="1125"/>
    </row>
    <row r="1048" spans="30:35">
      <c r="AD1048" s="1125"/>
      <c r="AE1048" s="1125"/>
      <c r="AF1048" s="1125"/>
      <c r="AG1048" s="1125"/>
      <c r="AH1048" s="1125"/>
      <c r="AI1048" s="1125"/>
    </row>
    <row r="1049" spans="30:35">
      <c r="AD1049" s="1125"/>
      <c r="AE1049" s="1125"/>
      <c r="AF1049" s="1125"/>
      <c r="AG1049" s="1125"/>
      <c r="AH1049" s="1125"/>
      <c r="AI1049" s="1125"/>
    </row>
    <row r="1050" spans="30:35">
      <c r="AD1050" s="1125"/>
      <c r="AE1050" s="1125"/>
      <c r="AF1050" s="1125"/>
      <c r="AG1050" s="1125"/>
      <c r="AH1050" s="1125"/>
      <c r="AI1050" s="1125"/>
    </row>
    <row r="1051" spans="30:35">
      <c r="AD1051" s="1125"/>
      <c r="AE1051" s="1125"/>
      <c r="AF1051" s="1125"/>
      <c r="AG1051" s="1125"/>
      <c r="AH1051" s="1125"/>
      <c r="AI1051" s="1125"/>
    </row>
    <row r="1052" spans="30:35">
      <c r="AD1052" s="1125"/>
      <c r="AE1052" s="1125"/>
      <c r="AF1052" s="1125"/>
      <c r="AG1052" s="1125"/>
      <c r="AH1052" s="1125"/>
      <c r="AI1052" s="1125"/>
    </row>
    <row r="1053" spans="30:35">
      <c r="AD1053" s="1125"/>
      <c r="AE1053" s="1125"/>
      <c r="AF1053" s="1125"/>
      <c r="AG1053" s="1125"/>
      <c r="AH1053" s="1125"/>
      <c r="AI1053" s="1125"/>
    </row>
    <row r="1054" spans="30:35">
      <c r="AD1054" s="1125"/>
      <c r="AE1054" s="1125"/>
      <c r="AF1054" s="1125"/>
      <c r="AG1054" s="1125"/>
      <c r="AH1054" s="1125"/>
      <c r="AI1054" s="1125"/>
    </row>
    <row r="1055" spans="30:35">
      <c r="AD1055" s="1125"/>
      <c r="AE1055" s="1125"/>
      <c r="AF1055" s="1125"/>
      <c r="AG1055" s="1125"/>
      <c r="AH1055" s="1125"/>
      <c r="AI1055" s="1125"/>
    </row>
    <row r="1056" spans="30:35">
      <c r="AD1056" s="1125"/>
      <c r="AE1056" s="1125"/>
      <c r="AF1056" s="1125"/>
      <c r="AG1056" s="1125"/>
      <c r="AH1056" s="1125"/>
      <c r="AI1056" s="1125"/>
    </row>
    <row r="1057" spans="30:35">
      <c r="AD1057" s="1125"/>
      <c r="AE1057" s="1125"/>
      <c r="AF1057" s="1125"/>
      <c r="AG1057" s="1125"/>
      <c r="AH1057" s="1125"/>
      <c r="AI1057" s="1125"/>
    </row>
    <row r="1058" spans="30:35">
      <c r="AD1058" s="1125"/>
      <c r="AE1058" s="1125"/>
      <c r="AF1058" s="1125"/>
      <c r="AG1058" s="1125"/>
      <c r="AH1058" s="1125"/>
      <c r="AI1058" s="1125"/>
    </row>
    <row r="1059" spans="30:35">
      <c r="AD1059" s="1125"/>
      <c r="AE1059" s="1125"/>
      <c r="AF1059" s="1125"/>
      <c r="AG1059" s="1125"/>
      <c r="AH1059" s="1125"/>
      <c r="AI1059" s="1125"/>
    </row>
    <row r="1060" spans="30:35">
      <c r="AD1060" s="1125"/>
      <c r="AE1060" s="1125"/>
      <c r="AF1060" s="1125"/>
      <c r="AG1060" s="1125"/>
      <c r="AH1060" s="1125"/>
      <c r="AI1060" s="1125"/>
    </row>
    <row r="1061" spans="30:35">
      <c r="AD1061" s="1125"/>
      <c r="AE1061" s="1125"/>
      <c r="AF1061" s="1125"/>
      <c r="AG1061" s="1125"/>
      <c r="AH1061" s="1125"/>
      <c r="AI1061" s="1125"/>
    </row>
    <row r="1062" spans="30:35">
      <c r="AD1062" s="1125"/>
      <c r="AE1062" s="1125"/>
      <c r="AF1062" s="1125"/>
      <c r="AG1062" s="1125"/>
      <c r="AH1062" s="1125"/>
      <c r="AI1062" s="1125"/>
    </row>
    <row r="1063" spans="30:35">
      <c r="AD1063" s="1125"/>
      <c r="AE1063" s="1125"/>
      <c r="AF1063" s="1125"/>
      <c r="AG1063" s="1125"/>
      <c r="AH1063" s="1125"/>
      <c r="AI1063" s="1125"/>
    </row>
    <row r="1064" spans="30:35">
      <c r="AD1064" s="1125"/>
      <c r="AE1064" s="1125"/>
      <c r="AF1064" s="1125"/>
      <c r="AG1064" s="1125"/>
      <c r="AH1064" s="1125"/>
      <c r="AI1064" s="1125"/>
    </row>
    <row r="1065" spans="30:35">
      <c r="AD1065" s="1125"/>
      <c r="AE1065" s="1125"/>
      <c r="AF1065" s="1125"/>
      <c r="AG1065" s="1125"/>
      <c r="AH1065" s="1125"/>
      <c r="AI1065" s="1125"/>
    </row>
    <row r="1066" spans="30:35">
      <c r="AD1066" s="1125"/>
      <c r="AE1066" s="1125"/>
      <c r="AF1066" s="1125"/>
      <c r="AG1066" s="1125"/>
      <c r="AH1066" s="1125"/>
      <c r="AI1066" s="1125"/>
    </row>
    <row r="1067" spans="30:35">
      <c r="AD1067" s="1125"/>
      <c r="AE1067" s="1125"/>
      <c r="AF1067" s="1125"/>
      <c r="AG1067" s="1125"/>
      <c r="AH1067" s="1125"/>
      <c r="AI1067" s="1125"/>
    </row>
    <row r="1068" spans="30:35">
      <c r="AD1068" s="1125"/>
      <c r="AE1068" s="1125"/>
      <c r="AF1068" s="1125"/>
      <c r="AG1068" s="1125"/>
      <c r="AH1068" s="1125"/>
      <c r="AI1068" s="1125"/>
    </row>
    <row r="1069" spans="30:35">
      <c r="AD1069" s="1125"/>
      <c r="AE1069" s="1125"/>
      <c r="AF1069" s="1125"/>
      <c r="AG1069" s="1125"/>
      <c r="AH1069" s="1125"/>
      <c r="AI1069" s="1125"/>
    </row>
    <row r="1070" spans="30:35">
      <c r="AD1070" s="1125"/>
      <c r="AE1070" s="1125"/>
      <c r="AF1070" s="1125"/>
      <c r="AG1070" s="1125"/>
      <c r="AH1070" s="1125"/>
      <c r="AI1070" s="1125"/>
    </row>
    <row r="1071" spans="30:35">
      <c r="AD1071" s="1125"/>
      <c r="AE1071" s="1125"/>
      <c r="AF1071" s="1125"/>
      <c r="AG1071" s="1125"/>
      <c r="AH1071" s="1125"/>
      <c r="AI1071" s="1125"/>
    </row>
    <row r="1072" spans="30:35">
      <c r="AD1072" s="1125"/>
      <c r="AE1072" s="1125"/>
      <c r="AF1072" s="1125"/>
      <c r="AG1072" s="1125"/>
      <c r="AH1072" s="1125"/>
      <c r="AI1072" s="1125"/>
    </row>
    <row r="1073" spans="30:35">
      <c r="AD1073" s="1125"/>
      <c r="AE1073" s="1125"/>
      <c r="AF1073" s="1125"/>
      <c r="AG1073" s="1125"/>
      <c r="AH1073" s="1125"/>
      <c r="AI1073" s="1125"/>
    </row>
    <row r="1074" spans="30:35">
      <c r="AD1074" s="1125"/>
      <c r="AE1074" s="1125"/>
      <c r="AF1074" s="1125"/>
      <c r="AG1074" s="1125"/>
      <c r="AH1074" s="1125"/>
      <c r="AI1074" s="1125"/>
    </row>
    <row r="1075" spans="30:35">
      <c r="AD1075" s="1125"/>
      <c r="AE1075" s="1125"/>
      <c r="AF1075" s="1125"/>
      <c r="AG1075" s="1125"/>
      <c r="AH1075" s="1125"/>
      <c r="AI1075" s="1125"/>
    </row>
    <row r="1076" spans="30:35">
      <c r="AD1076" s="1125"/>
      <c r="AE1076" s="1125"/>
      <c r="AF1076" s="1125"/>
      <c r="AG1076" s="1125"/>
      <c r="AH1076" s="1125"/>
      <c r="AI1076" s="1125"/>
    </row>
    <row r="1077" spans="30:35">
      <c r="AD1077" s="1125"/>
      <c r="AE1077" s="1125"/>
      <c r="AF1077" s="1125"/>
      <c r="AG1077" s="1125"/>
      <c r="AH1077" s="1125"/>
      <c r="AI1077" s="1125"/>
    </row>
    <row r="1078" spans="30:35">
      <c r="AD1078" s="1125"/>
      <c r="AE1078" s="1125"/>
      <c r="AF1078" s="1125"/>
      <c r="AG1078" s="1125"/>
      <c r="AH1078" s="1125"/>
      <c r="AI1078" s="1125"/>
    </row>
    <row r="1079" spans="30:35">
      <c r="AD1079" s="1125"/>
      <c r="AE1079" s="1125"/>
      <c r="AF1079" s="1125"/>
      <c r="AG1079" s="1125"/>
      <c r="AH1079" s="1125"/>
      <c r="AI1079" s="1125"/>
    </row>
    <row r="1080" spans="30:35">
      <c r="AD1080" s="1125"/>
      <c r="AE1080" s="1125"/>
      <c r="AF1080" s="1125"/>
      <c r="AG1080" s="1125"/>
      <c r="AH1080" s="1125"/>
      <c r="AI1080" s="1125"/>
    </row>
    <row r="1081" spans="30:35">
      <c r="AD1081" s="1125"/>
      <c r="AE1081" s="1125"/>
      <c r="AF1081" s="1125"/>
      <c r="AG1081" s="1125"/>
      <c r="AH1081" s="1125"/>
      <c r="AI1081" s="1125"/>
    </row>
    <row r="1082" spans="30:35">
      <c r="AD1082" s="1125"/>
      <c r="AE1082" s="1125"/>
      <c r="AF1082" s="1125"/>
      <c r="AG1082" s="1125"/>
      <c r="AH1082" s="1125"/>
      <c r="AI1082" s="1125"/>
    </row>
    <row r="1083" spans="30:35">
      <c r="AD1083" s="1125"/>
      <c r="AE1083" s="1125"/>
      <c r="AF1083" s="1125"/>
      <c r="AG1083" s="1125"/>
      <c r="AH1083" s="1125"/>
      <c r="AI1083" s="1125"/>
    </row>
    <row r="1084" spans="30:35">
      <c r="AD1084" s="1125"/>
      <c r="AE1084" s="1125"/>
      <c r="AF1084" s="1125"/>
      <c r="AG1084" s="1125"/>
      <c r="AH1084" s="1125"/>
      <c r="AI1084" s="1125"/>
    </row>
    <row r="1085" spans="30:35">
      <c r="AD1085" s="1125"/>
      <c r="AE1085" s="1125"/>
      <c r="AF1085" s="1125"/>
      <c r="AG1085" s="1125"/>
      <c r="AH1085" s="1125"/>
      <c r="AI1085" s="1125"/>
    </row>
    <row r="1086" spans="30:35">
      <c r="AD1086" s="1125"/>
      <c r="AE1086" s="1125"/>
      <c r="AF1086" s="1125"/>
      <c r="AG1086" s="1125"/>
      <c r="AH1086" s="1125"/>
      <c r="AI1086" s="1125"/>
    </row>
    <row r="1087" spans="30:35">
      <c r="AD1087" s="1125"/>
      <c r="AE1087" s="1125"/>
      <c r="AF1087" s="1125"/>
      <c r="AG1087" s="1125"/>
      <c r="AH1087" s="1125"/>
      <c r="AI1087" s="1125"/>
    </row>
    <row r="1088" spans="30:35">
      <c r="AD1088" s="1125"/>
      <c r="AE1088" s="1125"/>
      <c r="AF1088" s="1125"/>
      <c r="AG1088" s="1125"/>
      <c r="AH1088" s="1125"/>
      <c r="AI1088" s="1125"/>
    </row>
    <row r="1089" spans="30:35">
      <c r="AD1089" s="1125"/>
      <c r="AE1089" s="1125"/>
      <c r="AF1089" s="1125"/>
      <c r="AG1089" s="1125"/>
      <c r="AH1089" s="1125"/>
      <c r="AI1089" s="1125"/>
    </row>
    <row r="1090" spans="30:35">
      <c r="AD1090" s="1125"/>
      <c r="AE1090" s="1125"/>
      <c r="AF1090" s="1125"/>
      <c r="AG1090" s="1125"/>
      <c r="AH1090" s="1125"/>
      <c r="AI1090" s="1125"/>
    </row>
    <row r="1091" spans="30:35">
      <c r="AD1091" s="1125"/>
      <c r="AE1091" s="1125"/>
      <c r="AF1091" s="1125"/>
      <c r="AG1091" s="1125"/>
      <c r="AH1091" s="1125"/>
      <c r="AI1091" s="1125"/>
    </row>
    <row r="1092" spans="30:35">
      <c r="AD1092" s="1125"/>
      <c r="AE1092" s="1125"/>
      <c r="AF1092" s="1125"/>
      <c r="AG1092" s="1125"/>
      <c r="AH1092" s="1125"/>
      <c r="AI1092" s="1125"/>
    </row>
    <row r="1093" spans="30:35">
      <c r="AD1093" s="1125"/>
      <c r="AE1093" s="1125"/>
      <c r="AF1093" s="1125"/>
      <c r="AG1093" s="1125"/>
      <c r="AH1093" s="1125"/>
      <c r="AI1093" s="1125"/>
    </row>
    <row r="1094" spans="30:35">
      <c r="AD1094" s="1125"/>
      <c r="AE1094" s="1125"/>
      <c r="AF1094" s="1125"/>
      <c r="AG1094" s="1125"/>
      <c r="AH1094" s="1125"/>
      <c r="AI1094" s="1125"/>
    </row>
    <row r="1095" spans="30:35">
      <c r="AD1095" s="1125"/>
      <c r="AE1095" s="1125"/>
      <c r="AF1095" s="1125"/>
      <c r="AG1095" s="1125"/>
      <c r="AH1095" s="1125"/>
      <c r="AI1095" s="1125"/>
    </row>
    <row r="1096" spans="30:35">
      <c r="AD1096" s="1125"/>
      <c r="AE1096" s="1125"/>
      <c r="AF1096" s="1125"/>
      <c r="AG1096" s="1125"/>
      <c r="AH1096" s="1125"/>
      <c r="AI1096" s="1125"/>
    </row>
    <row r="1097" spans="30:35">
      <c r="AD1097" s="1125"/>
      <c r="AE1097" s="1125"/>
      <c r="AF1097" s="1125"/>
      <c r="AG1097" s="1125"/>
      <c r="AH1097" s="1125"/>
      <c r="AI1097" s="1125"/>
    </row>
    <row r="1098" spans="30:35">
      <c r="AD1098" s="1125"/>
      <c r="AE1098" s="1125"/>
      <c r="AF1098" s="1125"/>
      <c r="AG1098" s="1125"/>
      <c r="AH1098" s="1125"/>
      <c r="AI1098" s="1125"/>
    </row>
    <row r="1099" spans="30:35">
      <c r="AD1099" s="1125"/>
      <c r="AE1099" s="1125"/>
      <c r="AF1099" s="1125"/>
      <c r="AG1099" s="1125"/>
      <c r="AH1099" s="1125"/>
      <c r="AI1099" s="1125"/>
    </row>
    <row r="1100" spans="30:35">
      <c r="AD1100" s="1125"/>
      <c r="AE1100" s="1125"/>
      <c r="AF1100" s="1125"/>
      <c r="AG1100" s="1125"/>
      <c r="AH1100" s="1125"/>
      <c r="AI1100" s="1125"/>
    </row>
    <row r="1101" spans="30:35">
      <c r="AD1101" s="1125"/>
      <c r="AE1101" s="1125"/>
      <c r="AF1101" s="1125"/>
      <c r="AG1101" s="1125"/>
      <c r="AH1101" s="1125"/>
      <c r="AI1101" s="1125"/>
    </row>
    <row r="1102" spans="30:35">
      <c r="AD1102" s="1125"/>
      <c r="AE1102" s="1125"/>
      <c r="AF1102" s="1125"/>
      <c r="AG1102" s="1125"/>
      <c r="AH1102" s="1125"/>
      <c r="AI1102" s="1125"/>
    </row>
    <row r="1103" spans="30:35">
      <c r="AD1103" s="1125"/>
      <c r="AE1103" s="1125"/>
      <c r="AF1103" s="1125"/>
      <c r="AG1103" s="1125"/>
      <c r="AH1103" s="1125"/>
      <c r="AI1103" s="1125"/>
    </row>
    <row r="1104" spans="30:35">
      <c r="AD1104" s="1125"/>
      <c r="AE1104" s="1125"/>
      <c r="AF1104" s="1125"/>
      <c r="AG1104" s="1125"/>
      <c r="AH1104" s="1125"/>
      <c r="AI1104" s="1125"/>
    </row>
    <row r="1105" spans="30:35">
      <c r="AD1105" s="1125"/>
      <c r="AE1105" s="1125"/>
      <c r="AF1105" s="1125"/>
      <c r="AG1105" s="1125"/>
      <c r="AH1105" s="1125"/>
      <c r="AI1105" s="1125"/>
    </row>
    <row r="1106" spans="30:35">
      <c r="AD1106" s="1125"/>
      <c r="AE1106" s="1125"/>
      <c r="AF1106" s="1125"/>
      <c r="AG1106" s="1125"/>
      <c r="AH1106" s="1125"/>
      <c r="AI1106" s="1125"/>
    </row>
    <row r="1107" spans="30:35">
      <c r="AD1107" s="1125"/>
      <c r="AE1107" s="1125"/>
      <c r="AF1107" s="1125"/>
      <c r="AG1107" s="1125"/>
      <c r="AH1107" s="1125"/>
      <c r="AI1107" s="1125"/>
    </row>
    <row r="1108" spans="30:35">
      <c r="AD1108" s="1125"/>
      <c r="AE1108" s="1125"/>
      <c r="AF1108" s="1125"/>
      <c r="AG1108" s="1125"/>
      <c r="AH1108" s="1125"/>
      <c r="AI1108" s="1125"/>
    </row>
    <row r="1109" spans="30:35">
      <c r="AD1109" s="1125"/>
      <c r="AE1109" s="1125"/>
      <c r="AF1109" s="1125"/>
      <c r="AG1109" s="1125"/>
      <c r="AH1109" s="1125"/>
      <c r="AI1109" s="1125"/>
    </row>
    <row r="1110" spans="30:35">
      <c r="AD1110" s="1125"/>
      <c r="AE1110" s="1125"/>
      <c r="AF1110" s="1125"/>
      <c r="AG1110" s="1125"/>
      <c r="AH1110" s="1125"/>
      <c r="AI1110" s="1125"/>
    </row>
    <row r="1111" spans="30:35">
      <c r="AD1111" s="1125"/>
      <c r="AE1111" s="1125"/>
      <c r="AF1111" s="1125"/>
      <c r="AG1111" s="1125"/>
      <c r="AH1111" s="1125"/>
      <c r="AI1111" s="1125"/>
    </row>
    <row r="1112" spans="30:35">
      <c r="AD1112" s="1125"/>
      <c r="AE1112" s="1125"/>
      <c r="AF1112" s="1125"/>
      <c r="AG1112" s="1125"/>
      <c r="AH1112" s="1125"/>
      <c r="AI1112" s="1125"/>
    </row>
    <row r="1113" spans="30:35">
      <c r="AD1113" s="1125"/>
      <c r="AE1113" s="1125"/>
      <c r="AF1113" s="1125"/>
      <c r="AG1113" s="1125"/>
      <c r="AH1113" s="1125"/>
      <c r="AI1113" s="1125"/>
    </row>
    <row r="1114" spans="30:35">
      <c r="AD1114" s="1125"/>
      <c r="AE1114" s="1125"/>
      <c r="AF1114" s="1125"/>
      <c r="AG1114" s="1125"/>
      <c r="AH1114" s="1125"/>
      <c r="AI1114" s="1125"/>
    </row>
    <row r="1115" spans="30:35">
      <c r="AD1115" s="1125"/>
      <c r="AE1115" s="1125"/>
      <c r="AF1115" s="1125"/>
      <c r="AG1115" s="1125"/>
      <c r="AH1115" s="1125"/>
      <c r="AI1115" s="1125"/>
    </row>
    <row r="1116" spans="30:35">
      <c r="AD1116" s="1125"/>
      <c r="AE1116" s="1125"/>
      <c r="AF1116" s="1125"/>
      <c r="AG1116" s="1125"/>
      <c r="AH1116" s="1125"/>
      <c r="AI1116" s="1125"/>
    </row>
    <row r="1117" spans="30:35">
      <c r="AD1117" s="1125"/>
      <c r="AE1117" s="1125"/>
      <c r="AF1117" s="1125"/>
      <c r="AG1117" s="1125"/>
      <c r="AH1117" s="1125"/>
      <c r="AI1117" s="1125"/>
    </row>
    <row r="1118" spans="30:35">
      <c r="AD1118" s="1125"/>
      <c r="AE1118" s="1125"/>
      <c r="AF1118" s="1125"/>
      <c r="AG1118" s="1125"/>
      <c r="AH1118" s="1125"/>
      <c r="AI1118" s="1125"/>
    </row>
    <row r="1119" spans="30:35">
      <c r="AD1119" s="1125"/>
      <c r="AE1119" s="1125"/>
      <c r="AF1119" s="1125"/>
      <c r="AG1119" s="1125"/>
      <c r="AH1119" s="1125"/>
      <c r="AI1119" s="1125"/>
    </row>
    <row r="1120" spans="30:35">
      <c r="AD1120" s="1125"/>
      <c r="AE1120" s="1125"/>
      <c r="AF1120" s="1125"/>
      <c r="AG1120" s="1125"/>
      <c r="AH1120" s="1125"/>
      <c r="AI1120" s="1125"/>
    </row>
    <row r="1121" spans="30:35">
      <c r="AD1121" s="1125"/>
      <c r="AE1121" s="1125"/>
      <c r="AF1121" s="1125"/>
      <c r="AG1121" s="1125"/>
      <c r="AH1121" s="1125"/>
      <c r="AI1121" s="1125"/>
    </row>
    <row r="1122" spans="30:35">
      <c r="AD1122" s="1125"/>
      <c r="AE1122" s="1125"/>
      <c r="AF1122" s="1125"/>
      <c r="AG1122" s="1125"/>
      <c r="AH1122" s="1125"/>
      <c r="AI1122" s="1125"/>
    </row>
    <row r="1123" spans="30:35">
      <c r="AD1123" s="1125"/>
      <c r="AE1123" s="1125"/>
      <c r="AF1123" s="1125"/>
      <c r="AG1123" s="1125"/>
      <c r="AH1123" s="1125"/>
      <c r="AI1123" s="1125"/>
    </row>
    <row r="1124" spans="30:35">
      <c r="AD1124" s="1125"/>
      <c r="AE1124" s="1125"/>
      <c r="AF1124" s="1125"/>
      <c r="AG1124" s="1125"/>
      <c r="AH1124" s="1125"/>
      <c r="AI1124" s="1125"/>
    </row>
    <row r="1125" spans="30:35">
      <c r="AD1125" s="1125"/>
      <c r="AE1125" s="1125"/>
      <c r="AF1125" s="1125"/>
      <c r="AG1125" s="1125"/>
      <c r="AH1125" s="1125"/>
      <c r="AI1125" s="1125"/>
    </row>
    <row r="1126" spans="30:35">
      <c r="AD1126" s="1125"/>
      <c r="AE1126" s="1125"/>
      <c r="AF1126" s="1125"/>
      <c r="AG1126" s="1125"/>
      <c r="AH1126" s="1125"/>
      <c r="AI1126" s="1125"/>
    </row>
    <row r="1127" spans="30:35">
      <c r="AD1127" s="1125"/>
      <c r="AE1127" s="1125"/>
      <c r="AF1127" s="1125"/>
      <c r="AG1127" s="1125"/>
      <c r="AH1127" s="1125"/>
      <c r="AI1127" s="1125"/>
    </row>
    <row r="1128" spans="30:35">
      <c r="AD1128" s="1125"/>
      <c r="AE1128" s="1125"/>
      <c r="AF1128" s="1125"/>
      <c r="AG1128" s="1125"/>
      <c r="AH1128" s="1125"/>
      <c r="AI1128" s="1125"/>
    </row>
    <row r="1129" spans="30:35">
      <c r="AD1129" s="1125"/>
      <c r="AE1129" s="1125"/>
      <c r="AF1129" s="1125"/>
      <c r="AG1129" s="1125"/>
      <c r="AH1129" s="1125"/>
      <c r="AI1129" s="1125"/>
    </row>
    <row r="1130" spans="30:35">
      <c r="AD1130" s="1125"/>
      <c r="AE1130" s="1125"/>
      <c r="AF1130" s="1125"/>
      <c r="AG1130" s="1125"/>
      <c r="AH1130" s="1125"/>
      <c r="AI1130" s="1125"/>
    </row>
    <row r="1131" spans="30:35">
      <c r="AD1131" s="1125"/>
      <c r="AE1131" s="1125"/>
      <c r="AF1131" s="1125"/>
      <c r="AG1131" s="1125"/>
      <c r="AH1131" s="1125"/>
      <c r="AI1131" s="1125"/>
    </row>
    <row r="1132" spans="30:35">
      <c r="AD1132" s="1125"/>
      <c r="AE1132" s="1125"/>
      <c r="AF1132" s="1125"/>
      <c r="AG1132" s="1125"/>
      <c r="AH1132" s="1125"/>
      <c r="AI1132" s="1125"/>
    </row>
    <row r="1133" spans="30:35">
      <c r="AD1133" s="1125"/>
      <c r="AE1133" s="1125"/>
      <c r="AF1133" s="1125"/>
      <c r="AG1133" s="1125"/>
      <c r="AH1133" s="1125"/>
      <c r="AI1133" s="1125"/>
    </row>
    <row r="1134" spans="30:35">
      <c r="AD1134" s="1125"/>
      <c r="AE1134" s="1125"/>
      <c r="AF1134" s="1125"/>
      <c r="AG1134" s="1125"/>
      <c r="AH1134" s="1125"/>
      <c r="AI1134" s="1125"/>
    </row>
    <row r="1135" spans="30:35">
      <c r="AD1135" s="1125"/>
      <c r="AE1135" s="1125"/>
      <c r="AF1135" s="1125"/>
      <c r="AG1135" s="1125"/>
      <c r="AH1135" s="1125"/>
      <c r="AI1135" s="1125"/>
    </row>
    <row r="1136" spans="30:35">
      <c r="AD1136" s="1125"/>
      <c r="AE1136" s="1125"/>
      <c r="AF1136" s="1125"/>
      <c r="AG1136" s="1125"/>
      <c r="AH1136" s="1125"/>
      <c r="AI1136" s="1125"/>
    </row>
    <row r="1137" spans="30:35">
      <c r="AD1137" s="1125"/>
      <c r="AE1137" s="1125"/>
      <c r="AF1137" s="1125"/>
      <c r="AG1137" s="1125"/>
      <c r="AH1137" s="1125"/>
      <c r="AI1137" s="1125"/>
    </row>
    <row r="1138" spans="30:35">
      <c r="AD1138" s="1125"/>
      <c r="AE1138" s="1125"/>
      <c r="AF1138" s="1125"/>
      <c r="AG1138" s="1125"/>
      <c r="AH1138" s="1125"/>
      <c r="AI1138" s="1125"/>
    </row>
    <row r="1139" spans="30:35">
      <c r="AD1139" s="1125"/>
      <c r="AE1139" s="1125"/>
      <c r="AF1139" s="1125"/>
      <c r="AG1139" s="1125"/>
      <c r="AH1139" s="1125"/>
      <c r="AI1139" s="1125"/>
    </row>
    <row r="1140" spans="30:35">
      <c r="AD1140" s="1125"/>
      <c r="AE1140" s="1125"/>
      <c r="AF1140" s="1125"/>
      <c r="AG1140" s="1125"/>
      <c r="AH1140" s="1125"/>
      <c r="AI1140" s="1125"/>
    </row>
    <row r="1141" spans="30:35">
      <c r="AD1141" s="1125"/>
      <c r="AE1141" s="1125"/>
      <c r="AF1141" s="1125"/>
      <c r="AG1141" s="1125"/>
      <c r="AH1141" s="1125"/>
      <c r="AI1141" s="1125"/>
    </row>
    <row r="1142" spans="30:35">
      <c r="AD1142" s="1125"/>
      <c r="AE1142" s="1125"/>
      <c r="AF1142" s="1125"/>
      <c r="AG1142" s="1125"/>
      <c r="AH1142" s="1125"/>
      <c r="AI1142" s="1125"/>
    </row>
    <row r="1143" spans="30:35">
      <c r="AD1143" s="1125"/>
      <c r="AE1143" s="1125"/>
      <c r="AF1143" s="1125"/>
      <c r="AG1143" s="1125"/>
      <c r="AH1143" s="1125"/>
      <c r="AI1143" s="1125"/>
    </row>
    <row r="1144" spans="30:35">
      <c r="AD1144" s="1125"/>
      <c r="AE1144" s="1125"/>
      <c r="AF1144" s="1125"/>
      <c r="AG1144" s="1125"/>
      <c r="AH1144" s="1125"/>
      <c r="AI1144" s="1125"/>
    </row>
    <row r="1145" spans="30:35">
      <c r="AD1145" s="1125"/>
      <c r="AE1145" s="1125"/>
      <c r="AF1145" s="1125"/>
      <c r="AG1145" s="1125"/>
      <c r="AH1145" s="1125"/>
      <c r="AI1145" s="1125"/>
    </row>
    <row r="1146" spans="30:35">
      <c r="AD1146" s="1125"/>
      <c r="AE1146" s="1125"/>
      <c r="AF1146" s="1125"/>
      <c r="AG1146" s="1125"/>
      <c r="AH1146" s="1125"/>
      <c r="AI1146" s="1125"/>
    </row>
    <row r="1147" spans="30:35">
      <c r="AD1147" s="1125"/>
      <c r="AE1147" s="1125"/>
      <c r="AF1147" s="1125"/>
      <c r="AG1147" s="1125"/>
      <c r="AH1147" s="1125"/>
      <c r="AI1147" s="1125"/>
    </row>
    <row r="1148" spans="30:35">
      <c r="AD1148" s="1125"/>
      <c r="AE1148" s="1125"/>
      <c r="AF1148" s="1125"/>
      <c r="AG1148" s="1125"/>
      <c r="AH1148" s="1125"/>
      <c r="AI1148" s="1125"/>
    </row>
    <row r="1149" spans="30:35">
      <c r="AD1149" s="1125"/>
      <c r="AE1149" s="1125"/>
      <c r="AF1149" s="1125"/>
      <c r="AG1149" s="1125"/>
      <c r="AH1149" s="1125"/>
      <c r="AI1149" s="1125"/>
    </row>
    <row r="1150" spans="30:35">
      <c r="AD1150" s="1125"/>
      <c r="AE1150" s="1125"/>
      <c r="AF1150" s="1125"/>
      <c r="AG1150" s="1125"/>
      <c r="AH1150" s="1125"/>
      <c r="AI1150" s="1125"/>
    </row>
    <row r="1151" spans="30:35">
      <c r="AD1151" s="1125"/>
      <c r="AE1151" s="1125"/>
      <c r="AF1151" s="1125"/>
      <c r="AG1151" s="1125"/>
      <c r="AH1151" s="1125"/>
      <c r="AI1151" s="1125"/>
    </row>
    <row r="1152" spans="30:35">
      <c r="AD1152" s="1125"/>
      <c r="AE1152" s="1125"/>
      <c r="AF1152" s="1125"/>
      <c r="AG1152" s="1125"/>
      <c r="AH1152" s="1125"/>
      <c r="AI1152" s="1125"/>
    </row>
    <row r="1153" spans="30:35">
      <c r="AD1153" s="1125"/>
      <c r="AE1153" s="1125"/>
      <c r="AF1153" s="1125"/>
      <c r="AG1153" s="1125"/>
      <c r="AH1153" s="1125"/>
      <c r="AI1153" s="1125"/>
    </row>
    <row r="1154" spans="30:35">
      <c r="AD1154" s="1125"/>
      <c r="AE1154" s="1125"/>
      <c r="AF1154" s="1125"/>
      <c r="AG1154" s="1125"/>
      <c r="AH1154" s="1125"/>
      <c r="AI1154" s="1125"/>
    </row>
    <row r="1155" spans="30:35">
      <c r="AD1155" s="1125"/>
      <c r="AE1155" s="1125"/>
      <c r="AF1155" s="1125"/>
      <c r="AG1155" s="1125"/>
      <c r="AH1155" s="1125"/>
      <c r="AI1155" s="1125"/>
    </row>
    <row r="1156" spans="30:35">
      <c r="AD1156" s="1125"/>
      <c r="AE1156" s="1125"/>
      <c r="AF1156" s="1125"/>
      <c r="AG1156" s="1125"/>
      <c r="AH1156" s="1125"/>
      <c r="AI1156" s="1125"/>
    </row>
    <row r="1157" spans="30:35">
      <c r="AD1157" s="1125"/>
      <c r="AE1157" s="1125"/>
      <c r="AF1157" s="1125"/>
      <c r="AG1157" s="1125"/>
      <c r="AH1157" s="1125"/>
      <c r="AI1157" s="1125"/>
    </row>
    <row r="1158" spans="30:35">
      <c r="AD1158" s="1125"/>
      <c r="AE1158" s="1125"/>
      <c r="AF1158" s="1125"/>
      <c r="AG1158" s="1125"/>
      <c r="AH1158" s="1125"/>
      <c r="AI1158" s="1125"/>
    </row>
    <row r="1159" spans="30:35">
      <c r="AD1159" s="1125"/>
      <c r="AE1159" s="1125"/>
      <c r="AF1159" s="1125"/>
      <c r="AG1159" s="1125"/>
      <c r="AH1159" s="1125"/>
      <c r="AI1159" s="1125"/>
    </row>
    <row r="1160" spans="30:35">
      <c r="AD1160" s="1125"/>
      <c r="AE1160" s="1125"/>
      <c r="AF1160" s="1125"/>
      <c r="AG1160" s="1125"/>
      <c r="AH1160" s="1125"/>
      <c r="AI1160" s="1125"/>
    </row>
    <row r="1161" spans="30:35">
      <c r="AD1161" s="1125"/>
      <c r="AE1161" s="1125"/>
      <c r="AF1161" s="1125"/>
      <c r="AG1161" s="1125"/>
      <c r="AH1161" s="1125"/>
      <c r="AI1161" s="1125"/>
    </row>
    <row r="1162" spans="30:35">
      <c r="AD1162" s="1125"/>
      <c r="AE1162" s="1125"/>
      <c r="AF1162" s="1125"/>
      <c r="AG1162" s="1125"/>
      <c r="AH1162" s="1125"/>
      <c r="AI1162" s="1125"/>
    </row>
    <row r="1163" spans="30:35">
      <c r="AD1163" s="1125"/>
      <c r="AE1163" s="1125"/>
      <c r="AF1163" s="1125"/>
      <c r="AG1163" s="1125"/>
      <c r="AH1163" s="1125"/>
      <c r="AI1163" s="1125"/>
    </row>
    <row r="1164" spans="30:35">
      <c r="AD1164" s="1125"/>
      <c r="AE1164" s="1125"/>
      <c r="AF1164" s="1125"/>
      <c r="AG1164" s="1125"/>
      <c r="AH1164" s="1125"/>
      <c r="AI1164" s="1125"/>
    </row>
    <row r="1165" spans="30:35">
      <c r="AD1165" s="1125"/>
      <c r="AE1165" s="1125"/>
      <c r="AF1165" s="1125"/>
      <c r="AG1165" s="1125"/>
      <c r="AH1165" s="1125"/>
      <c r="AI1165" s="1125"/>
    </row>
    <row r="1166" spans="30:35">
      <c r="AD1166" s="1125"/>
      <c r="AE1166" s="1125"/>
      <c r="AF1166" s="1125"/>
      <c r="AG1166" s="1125"/>
      <c r="AH1166" s="1125"/>
      <c r="AI1166" s="1125"/>
    </row>
    <row r="1167" spans="30:35">
      <c r="AD1167" s="1125"/>
      <c r="AE1167" s="1125"/>
      <c r="AF1167" s="1125"/>
      <c r="AG1167" s="1125"/>
      <c r="AH1167" s="1125"/>
      <c r="AI1167" s="1125"/>
    </row>
    <row r="1168" spans="30:35">
      <c r="AD1168" s="1125"/>
      <c r="AE1168" s="1125"/>
      <c r="AF1168" s="1125"/>
      <c r="AG1168" s="1125"/>
      <c r="AH1168" s="1125"/>
      <c r="AI1168" s="1125"/>
    </row>
    <row r="1169" spans="30:35">
      <c r="AD1169" s="1125"/>
      <c r="AE1169" s="1125"/>
      <c r="AF1169" s="1125"/>
      <c r="AG1169" s="1125"/>
      <c r="AH1169" s="1125"/>
      <c r="AI1169" s="1125"/>
    </row>
    <row r="1170" spans="30:35">
      <c r="AD1170" s="1125"/>
      <c r="AE1170" s="1125"/>
      <c r="AF1170" s="1125"/>
      <c r="AG1170" s="1125"/>
      <c r="AH1170" s="1125"/>
      <c r="AI1170" s="1125"/>
    </row>
    <row r="1171" spans="30:35">
      <c r="AD1171" s="1125"/>
      <c r="AE1171" s="1125"/>
      <c r="AF1171" s="1125"/>
      <c r="AG1171" s="1125"/>
      <c r="AH1171" s="1125"/>
      <c r="AI1171" s="1125"/>
    </row>
    <row r="1172" spans="30:35">
      <c r="AD1172" s="1125"/>
      <c r="AE1172" s="1125"/>
      <c r="AF1172" s="1125"/>
      <c r="AG1172" s="1125"/>
      <c r="AH1172" s="1125"/>
      <c r="AI1172" s="1125"/>
    </row>
    <row r="1173" spans="30:35">
      <c r="AD1173" s="1125"/>
      <c r="AE1173" s="1125"/>
      <c r="AF1173" s="1125"/>
      <c r="AG1173" s="1125"/>
      <c r="AH1173" s="1125"/>
      <c r="AI1173" s="1125"/>
    </row>
    <row r="1174" spans="30:35">
      <c r="AD1174" s="1125"/>
      <c r="AE1174" s="1125"/>
      <c r="AF1174" s="1125"/>
      <c r="AG1174" s="1125"/>
      <c r="AH1174" s="1125"/>
      <c r="AI1174" s="1125"/>
    </row>
    <row r="1175" spans="30:35">
      <c r="AD1175" s="1125"/>
      <c r="AE1175" s="1125"/>
      <c r="AF1175" s="1125"/>
      <c r="AG1175" s="1125"/>
      <c r="AH1175" s="1125"/>
      <c r="AI1175" s="1125"/>
    </row>
    <row r="1176" spans="30:35">
      <c r="AD1176" s="1125"/>
      <c r="AE1176" s="1125"/>
      <c r="AF1176" s="1125"/>
      <c r="AG1176" s="1125"/>
      <c r="AH1176" s="1125"/>
      <c r="AI1176" s="1125"/>
    </row>
    <row r="1177" spans="30:35">
      <c r="AD1177" s="1125"/>
      <c r="AE1177" s="1125"/>
      <c r="AF1177" s="1125"/>
      <c r="AG1177" s="1125"/>
      <c r="AH1177" s="1125"/>
      <c r="AI1177" s="1125"/>
    </row>
    <row r="1178" spans="30:35">
      <c r="AD1178" s="1125"/>
      <c r="AE1178" s="1125"/>
      <c r="AF1178" s="1125"/>
      <c r="AG1178" s="1125"/>
      <c r="AH1178" s="1125"/>
      <c r="AI1178" s="1125"/>
    </row>
    <row r="1179" spans="30:35">
      <c r="AD1179" s="1125"/>
      <c r="AE1179" s="1125"/>
      <c r="AF1179" s="1125"/>
      <c r="AG1179" s="1125"/>
      <c r="AH1179" s="1125"/>
      <c r="AI1179" s="1125"/>
    </row>
    <row r="1180" spans="30:35">
      <c r="AD1180" s="1125"/>
      <c r="AE1180" s="1125"/>
      <c r="AF1180" s="1125"/>
      <c r="AG1180" s="1125"/>
      <c r="AH1180" s="1125"/>
      <c r="AI1180" s="1125"/>
    </row>
    <row r="1181" spans="30:35">
      <c r="AD1181" s="1125"/>
      <c r="AE1181" s="1125"/>
      <c r="AF1181" s="1125"/>
      <c r="AG1181" s="1125"/>
      <c r="AH1181" s="1125"/>
      <c r="AI1181" s="1125"/>
    </row>
    <row r="1182" spans="30:35">
      <c r="AD1182" s="1125"/>
      <c r="AE1182" s="1125"/>
      <c r="AF1182" s="1125"/>
      <c r="AG1182" s="1125"/>
      <c r="AH1182" s="1125"/>
      <c r="AI1182" s="1125"/>
    </row>
    <row r="1183" spans="30:35">
      <c r="AD1183" s="1125"/>
      <c r="AE1183" s="1125"/>
      <c r="AF1183" s="1125"/>
      <c r="AG1183" s="1125"/>
      <c r="AH1183" s="1125"/>
      <c r="AI1183" s="1125"/>
    </row>
    <row r="1184" spans="30:35">
      <c r="AD1184" s="1125"/>
      <c r="AE1184" s="1125"/>
      <c r="AF1184" s="1125"/>
      <c r="AG1184" s="1125"/>
      <c r="AH1184" s="1125"/>
      <c r="AI1184" s="1125"/>
    </row>
    <row r="1185" spans="30:35">
      <c r="AD1185" s="1125"/>
      <c r="AE1185" s="1125"/>
      <c r="AF1185" s="1125"/>
      <c r="AG1185" s="1125"/>
      <c r="AH1185" s="1125"/>
      <c r="AI1185" s="1125"/>
    </row>
    <row r="1186" spans="30:35">
      <c r="AD1186" s="1125"/>
      <c r="AE1186" s="1125"/>
      <c r="AF1186" s="1125"/>
      <c r="AG1186" s="1125"/>
      <c r="AH1186" s="1125"/>
      <c r="AI1186" s="1125"/>
    </row>
    <row r="1187" spans="30:35">
      <c r="AD1187" s="1125"/>
      <c r="AE1187" s="1125"/>
      <c r="AF1187" s="1125"/>
      <c r="AG1187" s="1125"/>
      <c r="AH1187" s="1125"/>
      <c r="AI1187" s="1125"/>
    </row>
    <row r="1188" spans="30:35">
      <c r="AD1188" s="1125"/>
      <c r="AE1188" s="1125"/>
      <c r="AF1188" s="1125"/>
      <c r="AG1188" s="1125"/>
      <c r="AH1188" s="1125"/>
      <c r="AI1188" s="1125"/>
    </row>
    <row r="1189" spans="30:35">
      <c r="AD1189" s="1125"/>
      <c r="AE1189" s="1125"/>
      <c r="AF1189" s="1125"/>
      <c r="AG1189" s="1125"/>
      <c r="AH1189" s="1125"/>
      <c r="AI1189" s="1125"/>
    </row>
    <row r="1190" spans="30:35">
      <c r="AD1190" s="1125"/>
      <c r="AE1190" s="1125"/>
      <c r="AF1190" s="1125"/>
      <c r="AG1190" s="1125"/>
      <c r="AH1190" s="1125"/>
      <c r="AI1190" s="1125"/>
    </row>
    <row r="1191" spans="30:35">
      <c r="AD1191" s="1125"/>
      <c r="AE1191" s="1125"/>
      <c r="AF1191" s="1125"/>
      <c r="AG1191" s="1125"/>
      <c r="AH1191" s="1125"/>
      <c r="AI1191" s="1125"/>
    </row>
    <row r="1192" spans="30:35">
      <c r="AD1192" s="1125"/>
      <c r="AE1192" s="1125"/>
      <c r="AF1192" s="1125"/>
      <c r="AG1192" s="1125"/>
      <c r="AH1192" s="1125"/>
      <c r="AI1192" s="1125"/>
    </row>
    <row r="1193" spans="30:35">
      <c r="AD1193" s="1125"/>
      <c r="AE1193" s="1125"/>
      <c r="AF1193" s="1125"/>
      <c r="AG1193" s="1125"/>
      <c r="AH1193" s="1125"/>
      <c r="AI1193" s="1125"/>
    </row>
    <row r="1194" spans="30:35">
      <c r="AD1194" s="1125"/>
      <c r="AE1194" s="1125"/>
      <c r="AF1194" s="1125"/>
      <c r="AG1194" s="1125"/>
      <c r="AH1194" s="1125"/>
      <c r="AI1194" s="1125"/>
    </row>
    <row r="1195" spans="30:35">
      <c r="AD1195" s="1125"/>
      <c r="AE1195" s="1125"/>
      <c r="AF1195" s="1125"/>
      <c r="AG1195" s="1125"/>
      <c r="AH1195" s="1125"/>
      <c r="AI1195" s="1125"/>
    </row>
    <row r="1196" spans="30:35">
      <c r="AD1196" s="1125"/>
      <c r="AE1196" s="1125"/>
      <c r="AF1196" s="1125"/>
      <c r="AG1196" s="1125"/>
      <c r="AH1196" s="1125"/>
      <c r="AI1196" s="1125"/>
    </row>
    <row r="1197" spans="30:35">
      <c r="AD1197" s="1125"/>
      <c r="AE1197" s="1125"/>
      <c r="AF1197" s="1125"/>
      <c r="AG1197" s="1125"/>
      <c r="AH1197" s="1125"/>
      <c r="AI1197" s="1125"/>
    </row>
    <row r="1198" spans="30:35">
      <c r="AD1198" s="1125"/>
      <c r="AE1198" s="1125"/>
      <c r="AF1198" s="1125"/>
      <c r="AG1198" s="1125"/>
      <c r="AH1198" s="1125"/>
      <c r="AI1198" s="1125"/>
    </row>
    <row r="1199" spans="30:35">
      <c r="AD1199" s="1125"/>
      <c r="AE1199" s="1125"/>
      <c r="AF1199" s="1125"/>
      <c r="AG1199" s="1125"/>
      <c r="AH1199" s="1125"/>
      <c r="AI1199" s="1125"/>
    </row>
    <row r="1200" spans="30:35">
      <c r="AD1200" s="1125"/>
      <c r="AE1200" s="1125"/>
      <c r="AF1200" s="1125"/>
      <c r="AG1200" s="1125"/>
      <c r="AH1200" s="1125"/>
      <c r="AI1200" s="1125"/>
    </row>
    <row r="1201" spans="30:35">
      <c r="AD1201" s="1125"/>
      <c r="AE1201" s="1125"/>
      <c r="AF1201" s="1125"/>
      <c r="AG1201" s="1125"/>
      <c r="AH1201" s="1125"/>
      <c r="AI1201" s="1125"/>
    </row>
    <row r="1202" spans="30:35">
      <c r="AD1202" s="1125"/>
      <c r="AE1202" s="1125"/>
      <c r="AF1202" s="1125"/>
      <c r="AG1202" s="1125"/>
      <c r="AH1202" s="1125"/>
      <c r="AI1202" s="1125"/>
    </row>
    <row r="1203" spans="30:35">
      <c r="AD1203" s="1125"/>
      <c r="AE1203" s="1125"/>
      <c r="AF1203" s="1125"/>
      <c r="AG1203" s="1125"/>
      <c r="AH1203" s="1125"/>
      <c r="AI1203" s="1125"/>
    </row>
    <row r="1204" spans="30:35">
      <c r="AD1204" s="1125"/>
      <c r="AE1204" s="1125"/>
      <c r="AF1204" s="1125"/>
      <c r="AG1204" s="1125"/>
      <c r="AH1204" s="1125"/>
      <c r="AI1204" s="1125"/>
    </row>
    <row r="1205" spans="30:35">
      <c r="AD1205" s="1125"/>
      <c r="AE1205" s="1125"/>
      <c r="AF1205" s="1125"/>
      <c r="AG1205" s="1125"/>
      <c r="AH1205" s="1125"/>
      <c r="AI1205" s="1125"/>
    </row>
    <row r="1206" spans="30:35">
      <c r="AD1206" s="1125"/>
      <c r="AE1206" s="1125"/>
      <c r="AF1206" s="1125"/>
      <c r="AG1206" s="1125"/>
      <c r="AH1206" s="1125"/>
      <c r="AI1206" s="1125"/>
    </row>
    <row r="1207" spans="30:35">
      <c r="AD1207" s="1125"/>
      <c r="AE1207" s="1125"/>
      <c r="AF1207" s="1125"/>
      <c r="AG1207" s="1125"/>
      <c r="AH1207" s="1125"/>
      <c r="AI1207" s="1125"/>
    </row>
    <row r="1208" spans="30:35">
      <c r="AD1208" s="1125"/>
      <c r="AE1208" s="1125"/>
      <c r="AF1208" s="1125"/>
      <c r="AG1208" s="1125"/>
      <c r="AH1208" s="1125"/>
      <c r="AI1208" s="1125"/>
    </row>
    <row r="1209" spans="30:35">
      <c r="AD1209" s="1125"/>
      <c r="AE1209" s="1125"/>
      <c r="AF1209" s="1125"/>
      <c r="AG1209" s="1125"/>
      <c r="AH1209" s="1125"/>
      <c r="AI1209" s="1125"/>
    </row>
    <row r="1210" spans="30:35">
      <c r="AD1210" s="1125"/>
      <c r="AE1210" s="1125"/>
      <c r="AF1210" s="1125"/>
      <c r="AG1210" s="1125"/>
      <c r="AH1210" s="1125"/>
      <c r="AI1210" s="1125"/>
    </row>
    <row r="1211" spans="30:35">
      <c r="AD1211" s="1125"/>
      <c r="AE1211" s="1125"/>
      <c r="AF1211" s="1125"/>
      <c r="AG1211" s="1125"/>
      <c r="AH1211" s="1125"/>
      <c r="AI1211" s="1125"/>
    </row>
    <row r="1212" spans="30:35">
      <c r="AD1212" s="1125"/>
      <c r="AE1212" s="1125"/>
      <c r="AF1212" s="1125"/>
      <c r="AG1212" s="1125"/>
      <c r="AH1212" s="1125"/>
      <c r="AI1212" s="1125"/>
    </row>
    <row r="1213" spans="30:35">
      <c r="AD1213" s="1125"/>
      <c r="AE1213" s="1125"/>
      <c r="AF1213" s="1125"/>
      <c r="AG1213" s="1125"/>
      <c r="AH1213" s="1125"/>
      <c r="AI1213" s="1125"/>
    </row>
    <row r="1214" spans="30:35">
      <c r="AD1214" s="1125"/>
      <c r="AE1214" s="1125"/>
      <c r="AF1214" s="1125"/>
      <c r="AG1214" s="1125"/>
      <c r="AH1214" s="1125"/>
      <c r="AI1214" s="1125"/>
    </row>
    <row r="1215" spans="30:35">
      <c r="AD1215" s="1125"/>
      <c r="AE1215" s="1125"/>
      <c r="AF1215" s="1125"/>
      <c r="AG1215" s="1125"/>
      <c r="AH1215" s="1125"/>
      <c r="AI1215" s="1125"/>
    </row>
    <row r="1216" spans="30:35">
      <c r="AD1216" s="1125"/>
      <c r="AE1216" s="1125"/>
      <c r="AF1216" s="1125"/>
      <c r="AG1216" s="1125"/>
      <c r="AH1216" s="1125"/>
      <c r="AI1216" s="1125"/>
    </row>
    <row r="1217" spans="30:35">
      <c r="AD1217" s="1125"/>
      <c r="AE1217" s="1125"/>
      <c r="AF1217" s="1125"/>
      <c r="AG1217" s="1125"/>
      <c r="AH1217" s="1125"/>
      <c r="AI1217" s="1125"/>
    </row>
    <row r="1218" spans="30:35">
      <c r="AD1218" s="1125"/>
      <c r="AE1218" s="1125"/>
      <c r="AF1218" s="1125"/>
      <c r="AG1218" s="1125"/>
      <c r="AH1218" s="1125"/>
      <c r="AI1218" s="1125"/>
    </row>
    <row r="1219" spans="30:35">
      <c r="AD1219" s="1125"/>
      <c r="AE1219" s="1125"/>
      <c r="AF1219" s="1125"/>
      <c r="AG1219" s="1125"/>
      <c r="AH1219" s="1125"/>
      <c r="AI1219" s="1125"/>
    </row>
    <row r="1220" spans="30:35">
      <c r="AD1220" s="1125"/>
      <c r="AE1220" s="1125"/>
      <c r="AF1220" s="1125"/>
      <c r="AG1220" s="1125"/>
      <c r="AH1220" s="1125"/>
      <c r="AI1220" s="1125"/>
    </row>
    <row r="1221" spans="30:35">
      <c r="AD1221" s="1125"/>
      <c r="AE1221" s="1125"/>
      <c r="AF1221" s="1125"/>
      <c r="AG1221" s="1125"/>
      <c r="AH1221" s="1125"/>
      <c r="AI1221" s="1125"/>
    </row>
    <row r="1222" spans="30:35">
      <c r="AD1222" s="1125"/>
      <c r="AE1222" s="1125"/>
      <c r="AF1222" s="1125"/>
      <c r="AG1222" s="1125"/>
      <c r="AH1222" s="1125"/>
      <c r="AI1222" s="1125"/>
    </row>
    <row r="1223" spans="30:35">
      <c r="AD1223" s="1125"/>
      <c r="AE1223" s="1125"/>
      <c r="AF1223" s="1125"/>
      <c r="AG1223" s="1125"/>
      <c r="AH1223" s="1125"/>
      <c r="AI1223" s="1125"/>
    </row>
    <row r="1224" spans="30:35">
      <c r="AD1224" s="1125"/>
      <c r="AE1224" s="1125"/>
      <c r="AF1224" s="1125"/>
      <c r="AG1224" s="1125"/>
      <c r="AH1224" s="1125"/>
      <c r="AI1224" s="1125"/>
    </row>
    <row r="1225" spans="30:35">
      <c r="AD1225" s="1125"/>
      <c r="AE1225" s="1125"/>
      <c r="AF1225" s="1125"/>
      <c r="AG1225" s="1125"/>
      <c r="AH1225" s="1125"/>
      <c r="AI1225" s="1125"/>
    </row>
    <row r="1226" spans="30:35">
      <c r="AD1226" s="1125"/>
      <c r="AE1226" s="1125"/>
      <c r="AF1226" s="1125"/>
      <c r="AG1226" s="1125"/>
      <c r="AH1226" s="1125"/>
      <c r="AI1226" s="1125"/>
    </row>
    <row r="1227" spans="30:35">
      <c r="AD1227" s="1125"/>
      <c r="AE1227" s="1125"/>
      <c r="AF1227" s="1125"/>
      <c r="AG1227" s="1125"/>
      <c r="AH1227" s="1125"/>
      <c r="AI1227" s="1125"/>
    </row>
    <row r="1228" spans="30:35">
      <c r="AD1228" s="1125"/>
      <c r="AE1228" s="1125"/>
      <c r="AF1228" s="1125"/>
      <c r="AG1228" s="1125"/>
      <c r="AH1228" s="1125"/>
      <c r="AI1228" s="1125"/>
    </row>
    <row r="1229" spans="30:35">
      <c r="AD1229" s="1125"/>
      <c r="AE1229" s="1125"/>
      <c r="AF1229" s="1125"/>
      <c r="AG1229" s="1125"/>
      <c r="AH1229" s="1125"/>
      <c r="AI1229" s="1125"/>
    </row>
    <row r="1230" spans="30:35">
      <c r="AD1230" s="1125"/>
      <c r="AE1230" s="1125"/>
      <c r="AF1230" s="1125"/>
      <c r="AG1230" s="1125"/>
      <c r="AH1230" s="1125"/>
      <c r="AI1230" s="1125"/>
    </row>
    <row r="1231" spans="30:35">
      <c r="AD1231" s="1125"/>
      <c r="AE1231" s="1125"/>
      <c r="AF1231" s="1125"/>
      <c r="AG1231" s="1125"/>
      <c r="AH1231" s="1125"/>
      <c r="AI1231" s="1125"/>
    </row>
    <row r="1232" spans="30:35">
      <c r="AD1232" s="1125"/>
      <c r="AE1232" s="1125"/>
      <c r="AF1232" s="1125"/>
      <c r="AG1232" s="1125"/>
      <c r="AH1232" s="1125"/>
      <c r="AI1232" s="1125"/>
    </row>
    <row r="1233" spans="30:35">
      <c r="AD1233" s="1125"/>
      <c r="AE1233" s="1125"/>
      <c r="AF1233" s="1125"/>
      <c r="AG1233" s="1125"/>
      <c r="AH1233" s="1125"/>
      <c r="AI1233" s="1125"/>
    </row>
    <row r="1234" spans="30:35">
      <c r="AD1234" s="1125"/>
      <c r="AE1234" s="1125"/>
      <c r="AF1234" s="1125"/>
      <c r="AG1234" s="1125"/>
      <c r="AH1234" s="1125"/>
      <c r="AI1234" s="1125"/>
    </row>
    <row r="1235" spans="30:35">
      <c r="AD1235" s="1125"/>
      <c r="AE1235" s="1125"/>
      <c r="AF1235" s="1125"/>
      <c r="AG1235" s="1125"/>
      <c r="AH1235" s="1125"/>
      <c r="AI1235" s="1125"/>
    </row>
    <row r="1236" spans="30:35">
      <c r="AD1236" s="1125"/>
      <c r="AE1236" s="1125"/>
      <c r="AF1236" s="1125"/>
      <c r="AG1236" s="1125"/>
      <c r="AH1236" s="1125"/>
      <c r="AI1236" s="1125"/>
    </row>
    <row r="1237" spans="30:35">
      <c r="AD1237" s="1125"/>
      <c r="AE1237" s="1125"/>
      <c r="AF1237" s="1125"/>
      <c r="AG1237" s="1125"/>
      <c r="AH1237" s="1125"/>
      <c r="AI1237" s="1125"/>
    </row>
    <row r="1238" spans="30:35">
      <c r="AD1238" s="1125"/>
      <c r="AE1238" s="1125"/>
      <c r="AF1238" s="1125"/>
      <c r="AG1238" s="1125"/>
      <c r="AH1238" s="1125"/>
      <c r="AI1238" s="1125"/>
    </row>
    <row r="1239" spans="30:35">
      <c r="AD1239" s="1125"/>
      <c r="AE1239" s="1125"/>
      <c r="AF1239" s="1125"/>
      <c r="AG1239" s="1125"/>
      <c r="AH1239" s="1125"/>
      <c r="AI1239" s="1125"/>
    </row>
    <row r="1240" spans="30:35">
      <c r="AD1240" s="1125"/>
      <c r="AE1240" s="1125"/>
      <c r="AF1240" s="1125"/>
      <c r="AG1240" s="1125"/>
      <c r="AH1240" s="1125"/>
      <c r="AI1240" s="1125"/>
    </row>
    <row r="1241" spans="30:35">
      <c r="AD1241" s="1125"/>
      <c r="AE1241" s="1125"/>
      <c r="AF1241" s="1125"/>
      <c r="AG1241" s="1125"/>
      <c r="AH1241" s="1125"/>
      <c r="AI1241" s="1125"/>
    </row>
    <row r="1242" spans="30:35">
      <c r="AD1242" s="1125"/>
      <c r="AE1242" s="1125"/>
      <c r="AF1242" s="1125"/>
      <c r="AG1242" s="1125"/>
      <c r="AH1242" s="1125"/>
      <c r="AI1242" s="1125"/>
    </row>
    <row r="1243" spans="30:35">
      <c r="AD1243" s="1125"/>
      <c r="AE1243" s="1125"/>
      <c r="AF1243" s="1125"/>
      <c r="AG1243" s="1125"/>
      <c r="AH1243" s="1125"/>
      <c r="AI1243" s="1125"/>
    </row>
    <row r="1244" spans="30:35">
      <c r="AD1244" s="1125"/>
      <c r="AE1244" s="1125"/>
      <c r="AF1244" s="1125"/>
      <c r="AG1244" s="1125"/>
      <c r="AH1244" s="1125"/>
      <c r="AI1244" s="1125"/>
    </row>
    <row r="1245" spans="30:35">
      <c r="AD1245" s="1125"/>
      <c r="AE1245" s="1125"/>
      <c r="AF1245" s="1125"/>
      <c r="AG1245" s="1125"/>
      <c r="AH1245" s="1125"/>
      <c r="AI1245" s="1125"/>
    </row>
    <row r="1246" spans="30:35">
      <c r="AD1246" s="1125"/>
      <c r="AE1246" s="1125"/>
      <c r="AF1246" s="1125"/>
      <c r="AG1246" s="1125"/>
      <c r="AH1246" s="1125"/>
      <c r="AI1246" s="1125"/>
    </row>
    <row r="1247" spans="30:35">
      <c r="AD1247" s="1125"/>
      <c r="AE1247" s="1125"/>
      <c r="AF1247" s="1125"/>
      <c r="AG1247" s="1125"/>
      <c r="AH1247" s="1125"/>
      <c r="AI1247" s="1125"/>
    </row>
    <row r="1248" spans="30:35">
      <c r="AD1248" s="1125"/>
      <c r="AE1248" s="1125"/>
      <c r="AF1248" s="1125"/>
      <c r="AG1248" s="1125"/>
      <c r="AH1248" s="1125"/>
      <c r="AI1248" s="1125"/>
    </row>
    <row r="1249" spans="30:35">
      <c r="AD1249" s="1125"/>
      <c r="AE1249" s="1125"/>
      <c r="AF1249" s="1125"/>
      <c r="AG1249" s="1125"/>
      <c r="AH1249" s="1125"/>
      <c r="AI1249" s="1125"/>
    </row>
    <row r="1250" spans="30:35">
      <c r="AD1250" s="1125"/>
      <c r="AE1250" s="1125"/>
      <c r="AF1250" s="1125"/>
      <c r="AG1250" s="1125"/>
      <c r="AH1250" s="1125"/>
      <c r="AI1250" s="1125"/>
    </row>
    <row r="1251" spans="30:35">
      <c r="AD1251" s="1125"/>
      <c r="AE1251" s="1125"/>
      <c r="AF1251" s="1125"/>
      <c r="AG1251" s="1125"/>
      <c r="AH1251" s="1125"/>
      <c r="AI1251" s="1125"/>
    </row>
    <row r="1252" spans="30:35">
      <c r="AD1252" s="1125"/>
      <c r="AE1252" s="1125"/>
      <c r="AF1252" s="1125"/>
      <c r="AG1252" s="1125"/>
      <c r="AH1252" s="1125"/>
      <c r="AI1252" s="1125"/>
    </row>
    <row r="1253" spans="30:35">
      <c r="AD1253" s="1125"/>
      <c r="AE1253" s="1125"/>
      <c r="AF1253" s="1125"/>
      <c r="AG1253" s="1125"/>
      <c r="AH1253" s="1125"/>
      <c r="AI1253" s="1125"/>
    </row>
    <row r="1254" spans="30:35">
      <c r="AD1254" s="1125"/>
      <c r="AE1254" s="1125"/>
      <c r="AF1254" s="1125"/>
      <c r="AG1254" s="1125"/>
      <c r="AH1254" s="1125"/>
      <c r="AI1254" s="1125"/>
    </row>
    <row r="1255" spans="30:35">
      <c r="AD1255" s="1125"/>
      <c r="AE1255" s="1125"/>
      <c r="AF1255" s="1125"/>
      <c r="AG1255" s="1125"/>
      <c r="AH1255" s="1125"/>
      <c r="AI1255" s="1125"/>
    </row>
    <row r="1256" spans="30:35">
      <c r="AD1256" s="1125"/>
      <c r="AE1256" s="1125"/>
      <c r="AF1256" s="1125"/>
      <c r="AG1256" s="1125"/>
      <c r="AH1256" s="1125"/>
      <c r="AI1256" s="1125"/>
    </row>
    <row r="1257" spans="30:35">
      <c r="AD1257" s="1125"/>
      <c r="AE1257" s="1125"/>
      <c r="AF1257" s="1125"/>
      <c r="AG1257" s="1125"/>
      <c r="AH1257" s="1125"/>
      <c r="AI1257" s="1125"/>
    </row>
    <row r="1258" spans="30:35">
      <c r="AD1258" s="1125"/>
      <c r="AE1258" s="1125"/>
      <c r="AF1258" s="1125"/>
      <c r="AG1258" s="1125"/>
      <c r="AH1258" s="1125"/>
      <c r="AI1258" s="1125"/>
    </row>
    <row r="1259" spans="30:35">
      <c r="AD1259" s="1125"/>
      <c r="AE1259" s="1125"/>
      <c r="AF1259" s="1125"/>
      <c r="AG1259" s="1125"/>
      <c r="AH1259" s="1125"/>
      <c r="AI1259" s="1125"/>
    </row>
    <row r="1260" spans="30:35">
      <c r="AD1260" s="1125"/>
      <c r="AE1260" s="1125"/>
      <c r="AF1260" s="1125"/>
      <c r="AG1260" s="1125"/>
      <c r="AH1260" s="1125"/>
      <c r="AI1260" s="1125"/>
    </row>
    <row r="1261" spans="30:35">
      <c r="AD1261" s="1125"/>
      <c r="AE1261" s="1125"/>
      <c r="AF1261" s="1125"/>
      <c r="AG1261" s="1125"/>
      <c r="AH1261" s="1125"/>
      <c r="AI1261" s="1125"/>
    </row>
    <row r="1262" spans="30:35">
      <c r="AD1262" s="1125"/>
      <c r="AE1262" s="1125"/>
      <c r="AF1262" s="1125"/>
      <c r="AG1262" s="1125"/>
      <c r="AH1262" s="1125"/>
      <c r="AI1262" s="1125"/>
    </row>
    <row r="1263" spans="30:35">
      <c r="AD1263" s="1125"/>
      <c r="AE1263" s="1125"/>
      <c r="AF1263" s="1125"/>
      <c r="AG1263" s="1125"/>
      <c r="AH1263" s="1125"/>
      <c r="AI1263" s="1125"/>
    </row>
    <row r="1264" spans="30:35">
      <c r="AD1264" s="1125"/>
      <c r="AE1264" s="1125"/>
      <c r="AF1264" s="1125"/>
      <c r="AG1264" s="1125"/>
      <c r="AH1264" s="1125"/>
      <c r="AI1264" s="1125"/>
    </row>
    <row r="1265" spans="30:35">
      <c r="AD1265" s="1125"/>
      <c r="AE1265" s="1125"/>
      <c r="AF1265" s="1125"/>
      <c r="AG1265" s="1125"/>
      <c r="AH1265" s="1125"/>
      <c r="AI1265" s="1125"/>
    </row>
    <row r="1266" spans="30:35">
      <c r="AD1266" s="1125"/>
      <c r="AE1266" s="1125"/>
      <c r="AF1266" s="1125"/>
      <c r="AG1266" s="1125"/>
      <c r="AH1266" s="1125"/>
      <c r="AI1266" s="1125"/>
    </row>
    <row r="1267" spans="30:35">
      <c r="AD1267" s="1125"/>
      <c r="AE1267" s="1125"/>
      <c r="AF1267" s="1125"/>
      <c r="AG1267" s="1125"/>
      <c r="AH1267" s="1125"/>
      <c r="AI1267" s="1125"/>
    </row>
    <row r="1268" spans="30:35">
      <c r="AD1268" s="1125"/>
      <c r="AE1268" s="1125"/>
      <c r="AF1268" s="1125"/>
      <c r="AG1268" s="1125"/>
      <c r="AH1268" s="1125"/>
      <c r="AI1268" s="1125"/>
    </row>
    <row r="1269" spans="30:35">
      <c r="AD1269" s="1125"/>
      <c r="AE1269" s="1125"/>
      <c r="AF1269" s="1125"/>
      <c r="AG1269" s="1125"/>
      <c r="AH1269" s="1125"/>
      <c r="AI1269" s="1125"/>
    </row>
    <row r="1270" spans="30:35">
      <c r="AD1270" s="1125"/>
      <c r="AE1270" s="1125"/>
      <c r="AF1270" s="1125"/>
      <c r="AG1270" s="1125"/>
      <c r="AH1270" s="1125"/>
      <c r="AI1270" s="1125"/>
    </row>
    <row r="1271" spans="30:35">
      <c r="AD1271" s="1125"/>
      <c r="AE1271" s="1125"/>
      <c r="AF1271" s="1125"/>
      <c r="AG1271" s="1125"/>
      <c r="AH1271" s="1125"/>
      <c r="AI1271" s="1125"/>
    </row>
    <row r="1272" spans="30:35">
      <c r="AD1272" s="1125"/>
      <c r="AE1272" s="1125"/>
      <c r="AF1272" s="1125"/>
      <c r="AG1272" s="1125"/>
      <c r="AH1272" s="1125"/>
      <c r="AI1272" s="1125"/>
    </row>
    <row r="1273" spans="30:35">
      <c r="AD1273" s="1125"/>
      <c r="AE1273" s="1125"/>
      <c r="AF1273" s="1125"/>
      <c r="AG1273" s="1125"/>
      <c r="AH1273" s="1125"/>
      <c r="AI1273" s="1125"/>
    </row>
    <row r="1274" spans="30:35">
      <c r="AD1274" s="1125"/>
      <c r="AE1274" s="1125"/>
      <c r="AF1274" s="1125"/>
      <c r="AG1274" s="1125"/>
      <c r="AH1274" s="1125"/>
      <c r="AI1274" s="1125"/>
    </row>
    <row r="1275" spans="30:35">
      <c r="AD1275" s="1125"/>
      <c r="AE1275" s="1125"/>
      <c r="AF1275" s="1125"/>
      <c r="AG1275" s="1125"/>
      <c r="AH1275" s="1125"/>
      <c r="AI1275" s="1125"/>
    </row>
    <row r="1276" spans="30:35">
      <c r="AD1276" s="1125"/>
      <c r="AE1276" s="1125"/>
      <c r="AF1276" s="1125"/>
      <c r="AG1276" s="1125"/>
      <c r="AH1276" s="1125"/>
      <c r="AI1276" s="1125"/>
    </row>
    <row r="1277" spans="30:35">
      <c r="AD1277" s="1125"/>
      <c r="AE1277" s="1125"/>
      <c r="AF1277" s="1125"/>
      <c r="AG1277" s="1125"/>
      <c r="AH1277" s="1125"/>
      <c r="AI1277" s="1125"/>
    </row>
    <row r="1278" spans="30:35">
      <c r="AD1278" s="1125"/>
      <c r="AE1278" s="1125"/>
      <c r="AF1278" s="1125"/>
      <c r="AG1278" s="1125"/>
      <c r="AH1278" s="1125"/>
      <c r="AI1278" s="1125"/>
    </row>
    <row r="1279" spans="30:35">
      <c r="AD1279" s="1125"/>
      <c r="AE1279" s="1125"/>
      <c r="AF1279" s="1125"/>
      <c r="AG1279" s="1125"/>
      <c r="AH1279" s="1125"/>
      <c r="AI1279" s="1125"/>
    </row>
    <row r="1280" spans="30:35">
      <c r="AD1280" s="1125"/>
      <c r="AE1280" s="1125"/>
      <c r="AF1280" s="1125"/>
      <c r="AG1280" s="1125"/>
      <c r="AH1280" s="1125"/>
      <c r="AI1280" s="1125"/>
    </row>
    <row r="1281" spans="30:35">
      <c r="AD1281" s="1125"/>
      <c r="AE1281" s="1125"/>
      <c r="AF1281" s="1125"/>
      <c r="AG1281" s="1125"/>
      <c r="AH1281" s="1125"/>
      <c r="AI1281" s="1125"/>
    </row>
    <row r="1282" spans="30:35">
      <c r="AD1282" s="1125"/>
      <c r="AE1282" s="1125"/>
      <c r="AF1282" s="1125"/>
      <c r="AG1282" s="1125"/>
      <c r="AH1282" s="1125"/>
      <c r="AI1282" s="1125"/>
    </row>
    <row r="1283" spans="30:35">
      <c r="AD1283" s="1125"/>
      <c r="AE1283" s="1125"/>
      <c r="AF1283" s="1125"/>
      <c r="AG1283" s="1125"/>
      <c r="AH1283" s="1125"/>
      <c r="AI1283" s="1125"/>
    </row>
    <row r="1284" spans="30:35">
      <c r="AD1284" s="1125"/>
      <c r="AE1284" s="1125"/>
      <c r="AF1284" s="1125"/>
      <c r="AG1284" s="1125"/>
      <c r="AH1284" s="1125"/>
      <c r="AI1284" s="1125"/>
    </row>
    <row r="1285" spans="30:35">
      <c r="AD1285" s="1125"/>
      <c r="AE1285" s="1125"/>
      <c r="AF1285" s="1125"/>
      <c r="AG1285" s="1125"/>
      <c r="AH1285" s="1125"/>
      <c r="AI1285" s="1125"/>
    </row>
  </sheetData>
  <customSheetViews>
    <customSheetView guid="{7C71EF2A-5ADA-494C-8F58-DDA71753DD90}" showPageBreaks="1" printArea="1">
      <pane xSplit="2" ySplit="1" topLeftCell="C101" activePane="bottomRight" state="frozen"/>
      <selection pane="bottomRight" activeCell="B123" sqref="B123:AC185"/>
      <pageMargins left="0.31" right="0.16" top="0.46" bottom="0.38" header="0.13" footer="0.17"/>
      <pageSetup scale="45" orientation="landscape" horizontalDpi="4294967295" verticalDpi="4294967295" r:id="rId1"/>
    </customSheetView>
    <customSheetView guid="{B91C2E87-5EDA-40AE-AC27-0E2C17E803CE}" showPageBreaks="1" printArea="1" hiddenColumns="1">
      <pane xSplit="2" ySplit="2" topLeftCell="C3" activePane="bottomRight" state="frozen"/>
      <selection pane="bottomRight" sqref="A1:AC181"/>
      <rowBreaks count="1" manualBreakCount="1">
        <brk id="81" max="28" man="1"/>
      </rowBreaks>
      <pageMargins left="0.31" right="0.16" top="0.46" bottom="0.38" header="0.13" footer="0.17"/>
      <pageSetup scale="44" orientation="landscape" r:id="rId2"/>
    </customSheetView>
    <customSheetView guid="{23F4DC00-BC97-4745-AA5C-F05D469CB1EF}" scale="85" showPageBreaks="1" printArea="1" hiddenColumns="1">
      <pane xSplit="2" ySplit="2" topLeftCell="C118" activePane="bottomRight" state="frozen"/>
      <selection pane="bottomRight" activeCell="A151" sqref="A151:XFD151"/>
      <rowBreaks count="1" manualBreakCount="1">
        <brk id="84" max="29" man="1"/>
      </rowBreaks>
      <pageMargins left="0.31" right="0.16" top="0.46" bottom="0.38" header="0.13" footer="0.17"/>
      <pageSetup scale="50" orientation="landscape" r:id="rId3"/>
    </customSheetView>
    <customSheetView guid="{4593F3EE-0998-4E0E-994A-E02D6BAF3A4B}" showPageBreaks="1" printArea="1" hiddenColumns="1">
      <pane xSplit="2" ySplit="2" topLeftCell="L141" activePane="bottomRight" state="frozen"/>
      <selection pane="bottomRight" sqref="A1:AC170"/>
      <rowBreaks count="1" manualBreakCount="1">
        <brk id="80" max="28" man="1"/>
      </rowBreaks>
      <pageMargins left="0.31" right="0.16" top="0.46" bottom="0.38" header="0.13" footer="0.17"/>
      <pageSetup scale="45" orientation="landscape" r:id="rId4"/>
    </customSheetView>
    <customSheetView guid="{917057C8-5E5F-4164-B84C-85103677A2E5}">
      <pane xSplit="2" ySplit="1" topLeftCell="C99" activePane="bottomRight" state="frozen"/>
      <selection pane="bottomRight" activeCell="B121" sqref="B121:AC182"/>
      <pageMargins left="0.31" right="0.16" top="0.46" bottom="0.38" header="0.13" footer="0.17"/>
      <pageSetup scale="45" orientation="landscape" r:id="rId5"/>
    </customSheetView>
    <customSheetView guid="{5A803268-F6C5-4035-B3E1-A94CB9AA8994}" showPageBreaks="1" printArea="1" hiddenColumns="1">
      <pane xSplit="2" ySplit="2" topLeftCell="I45" activePane="bottomRight" state="frozen"/>
      <selection pane="bottomRight" activeCell="A84" sqref="A84:XFD84"/>
      <rowBreaks count="1" manualBreakCount="1">
        <brk id="85" max="28" man="1"/>
      </rowBreaks>
      <pageMargins left="0.31" right="0.16" top="0.46" bottom="0.38" header="0.13" footer="0.17"/>
      <pageSetup scale="45" orientation="landscape" r:id="rId6"/>
    </customSheetView>
    <customSheetView guid="{751D391F-C74F-4B53-B5B5-25E01AC12EA4}">
      <pane xSplit="2" ySplit="1" topLeftCell="C112" activePane="bottomRight" state="frozen"/>
      <selection pane="bottomRight" activeCell="B132" sqref="B132:AC194"/>
      <pageMargins left="0.31" right="0.16" top="0.46" bottom="0.38" header="0.13" footer="0.17"/>
      <pageSetup scale="45" orientation="landscape" horizontalDpi="4294967295" verticalDpi="4294967295" r:id="rId7"/>
    </customSheetView>
    <customSheetView guid="{D1D1E152-95AB-45D3-AC07-4EC0834D3E0C}" showPageBreaks="1" printArea="1">
      <pane xSplit="2" ySplit="1" topLeftCell="C112" activePane="bottomRight" state="frozen"/>
      <selection pane="bottomRight" activeCell="B132" sqref="B132:AC194"/>
      <pageMargins left="0.31" right="0.16" top="0.46" bottom="0.38" header="0.13" footer="0.17"/>
      <pageSetup scale="45" orientation="landscape" horizontalDpi="4294967295" verticalDpi="4294967295" r:id="rId8"/>
    </customSheetView>
    <customSheetView guid="{4DB6C640-CE65-4513-9E5A-F6CDD1F4B8AF}" showPageBreaks="1">
      <pane xSplit="2" ySplit="1" topLeftCell="H89" activePane="bottomRight" state="frozen"/>
      <selection pane="bottomRight" activeCell="A129" sqref="A129:XFD129"/>
      <pageMargins left="0.31" right="0.16" top="0.46" bottom="0.38" header="0.13" footer="0.17"/>
      <pageSetup scale="45" orientation="landscape" horizontalDpi="4294967295" verticalDpi="4294967295" r:id="rId9"/>
    </customSheetView>
    <customSheetView guid="{C3348F62-02F2-4500-9BF2-19F2DEA57A8D}" showPageBreaks="1" printArea="1">
      <pane xSplit="2" ySplit="1" topLeftCell="C2" activePane="bottomRight" state="frozen"/>
      <selection pane="bottomRight" sqref="A1:AC193"/>
      <pageMargins left="0.31" right="0.16" top="0.46" bottom="0.38" header="0.13" footer="0.17"/>
      <pageSetup scale="45" orientation="landscape" horizontalDpi="4294967295" verticalDpi="4294967295" r:id="rId10"/>
    </customSheetView>
  </customSheetViews>
  <pageMargins left="0.31" right="0.16" top="0.46" bottom="0.38" header="0.13" footer="0.17"/>
  <pageSetup scale="45" orientation="landscape" horizontalDpi="4294967295" verticalDpi="4294967295" r:id="rId1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>
    <tabColor rgb="FFFFFF00"/>
  </sheetPr>
  <dimension ref="A1:EQ368"/>
  <sheetViews>
    <sheetView zoomScale="130" zoomScaleNormal="130" workbookViewId="0"/>
  </sheetViews>
  <sheetFormatPr defaultColWidth="9.140625" defaultRowHeight="14.25"/>
  <cols>
    <col min="1" max="1" width="5.7109375" style="70" customWidth="1"/>
    <col min="2" max="2" width="6.7109375" style="70" customWidth="1"/>
    <col min="3" max="3" width="31" style="70" customWidth="1"/>
    <col min="4" max="4" width="11.42578125" style="70" customWidth="1"/>
    <col min="5" max="5" width="22.140625" style="70" customWidth="1"/>
    <col min="6" max="6" width="10.7109375" style="70" customWidth="1"/>
    <col min="7" max="7" width="8.7109375" style="70" customWidth="1"/>
    <col min="8" max="8" width="14.7109375" style="70" customWidth="1"/>
    <col min="9" max="9" width="11.140625" style="70" customWidth="1"/>
    <col min="10" max="10" width="12.28515625" style="70" customWidth="1"/>
    <col min="11" max="11" width="11.5703125" style="70" customWidth="1"/>
    <col min="12" max="12" width="32.140625" style="70" customWidth="1"/>
    <col min="13" max="13" width="8.140625" style="70" customWidth="1"/>
    <col min="14" max="14" width="18.5703125" style="70" customWidth="1"/>
    <col min="15" max="15" width="13" style="70" customWidth="1"/>
    <col min="16" max="16" width="19" style="70" customWidth="1"/>
    <col min="17" max="17" width="14.85546875" style="70" customWidth="1"/>
    <col min="18" max="18" width="11.140625" style="70" customWidth="1"/>
    <col min="19" max="19" width="11.28515625" style="70" customWidth="1"/>
    <col min="20" max="20" width="16" style="70" customWidth="1"/>
    <col min="21" max="21" width="11.28515625" style="70" customWidth="1"/>
    <col min="22" max="22" width="12.42578125" style="70" customWidth="1"/>
    <col min="23" max="23" width="15.140625" style="70" customWidth="1"/>
    <col min="24" max="24" width="14.5703125" style="70" customWidth="1"/>
    <col min="25" max="25" width="14" style="70" customWidth="1"/>
    <col min="26" max="26" width="15.5703125" style="70" customWidth="1"/>
    <col min="27" max="27" width="16.28515625" style="70" customWidth="1"/>
    <col min="28" max="28" width="13" style="70" customWidth="1"/>
    <col min="29" max="29" width="12.5703125" style="70" customWidth="1"/>
    <col min="30" max="30" width="12" style="70" customWidth="1"/>
    <col min="31" max="31" width="16" style="70" customWidth="1"/>
    <col min="32" max="32" width="12.85546875" style="70" customWidth="1"/>
    <col min="33" max="33" width="13.28515625" style="70" customWidth="1"/>
    <col min="34" max="34" width="12" style="70" customWidth="1"/>
    <col min="35" max="35" width="15.140625" style="70" customWidth="1"/>
    <col min="36" max="36" width="10.28515625" style="70" customWidth="1"/>
    <col min="37" max="37" width="8.7109375" style="70" customWidth="1"/>
    <col min="38" max="38" width="12.85546875" style="70" customWidth="1"/>
    <col min="39" max="39" width="8.42578125" style="70" customWidth="1"/>
    <col min="40" max="41" width="8" style="70" customWidth="1"/>
    <col min="42" max="42" width="10.5703125" style="70" customWidth="1"/>
    <col min="43" max="43" width="8.7109375" style="70" customWidth="1"/>
    <col min="44" max="44" width="9.28515625" style="70" customWidth="1"/>
    <col min="45" max="45" width="11.85546875" style="70" customWidth="1"/>
    <col min="46" max="46" width="10.42578125" style="70" customWidth="1"/>
    <col min="47" max="47" width="11.28515625" style="70" customWidth="1"/>
    <col min="48" max="48" width="8.5703125" style="70" customWidth="1"/>
    <col min="49" max="49" width="13.28515625" style="70" customWidth="1"/>
    <col min="50" max="50" width="9" style="70" customWidth="1"/>
    <col min="51" max="51" width="7.28515625" style="70" customWidth="1"/>
    <col min="52" max="52" width="11.7109375" style="70" customWidth="1"/>
    <col min="53" max="53" width="11.28515625" style="70" customWidth="1"/>
    <col min="54" max="54" width="9.42578125" style="70" customWidth="1"/>
    <col min="55" max="55" width="8.28515625" style="70" customWidth="1"/>
    <col min="56" max="56" width="12" style="70" customWidth="1"/>
    <col min="57" max="57" width="10.5703125" style="70" customWidth="1"/>
    <col min="58" max="58" width="12.7109375" style="70" customWidth="1"/>
    <col min="59" max="59" width="14" style="70" customWidth="1"/>
    <col min="60" max="60" width="11.85546875" style="70" customWidth="1"/>
    <col min="61" max="61" width="10.42578125" style="70" customWidth="1"/>
    <col min="62" max="62" width="10.7109375" style="70" customWidth="1"/>
    <col min="63" max="63" width="10.5703125" style="70" customWidth="1"/>
    <col min="64" max="64" width="10.85546875" style="70" customWidth="1"/>
    <col min="65" max="65" width="9.140625" style="70" customWidth="1"/>
    <col min="66" max="66" width="11.28515625" style="70" customWidth="1"/>
    <col min="67" max="67" width="8.85546875" style="70" customWidth="1"/>
    <col min="68" max="68" width="13.140625" style="70" customWidth="1"/>
    <col min="69" max="69" width="14.7109375" style="70" customWidth="1"/>
    <col min="70" max="70" width="10.5703125" style="70" customWidth="1"/>
    <col min="71" max="71" width="12.7109375" style="70" customWidth="1"/>
    <col min="72" max="72" width="11.140625" style="70" customWidth="1"/>
    <col min="73" max="73" width="11.5703125" style="70" customWidth="1"/>
    <col min="74" max="74" width="10.28515625" style="70" customWidth="1"/>
    <col min="75" max="75" width="13.28515625" style="70" customWidth="1"/>
    <col min="76" max="76" width="14.28515625" style="70" customWidth="1"/>
    <col min="77" max="77" width="11.5703125" style="70" customWidth="1"/>
    <col min="78" max="78" width="10.7109375" style="70" customWidth="1"/>
    <col min="79" max="79" width="10" style="70" customWidth="1"/>
    <col min="80" max="80" width="13.7109375" style="70" customWidth="1"/>
    <col min="81" max="82" width="11.42578125" style="70" customWidth="1"/>
    <col min="83" max="83" width="9.7109375" style="70" customWidth="1"/>
    <col min="84" max="84" width="10.7109375" style="70" customWidth="1"/>
    <col min="85" max="85" width="14" style="70" customWidth="1"/>
    <col min="86" max="86" width="11.28515625" style="70" customWidth="1"/>
    <col min="87" max="87" width="10" style="70" customWidth="1"/>
    <col min="88" max="88" width="11.140625" style="70" customWidth="1"/>
    <col min="89" max="89" width="13" style="70" customWidth="1"/>
    <col min="90" max="90" width="10.85546875" style="70" customWidth="1"/>
    <col min="91" max="91" width="8.7109375" style="70" customWidth="1"/>
    <col min="92" max="92" width="8.42578125" style="70" customWidth="1"/>
    <col min="93" max="93" width="13.28515625" style="70" customWidth="1"/>
    <col min="94" max="94" width="10.140625" style="70" customWidth="1"/>
    <col min="95" max="95" width="9.140625" style="70" customWidth="1"/>
    <col min="96" max="97" width="12.5703125" style="70" customWidth="1"/>
    <col min="98" max="98" width="11.5703125" style="70" customWidth="1"/>
    <col min="99" max="99" width="14.7109375" style="70" customWidth="1"/>
    <col min="100" max="100" width="12.140625" style="70" customWidth="1"/>
    <col min="101" max="101" width="9.85546875" style="70" customWidth="1"/>
    <col min="102" max="102" width="11.140625" style="70" customWidth="1"/>
    <col min="103" max="103" width="13.5703125" style="70" customWidth="1"/>
    <col min="104" max="104" width="11.7109375" style="70" customWidth="1"/>
    <col min="105" max="105" width="12.85546875" style="70" customWidth="1"/>
    <col min="106" max="106" width="10.7109375" style="70" customWidth="1"/>
    <col min="107" max="107" width="9.85546875" style="70" customWidth="1"/>
    <col min="108" max="108" width="8.42578125" style="70" customWidth="1"/>
    <col min="109" max="109" width="8.140625" style="70" customWidth="1"/>
    <col min="110" max="110" width="10" style="70" customWidth="1"/>
    <col min="111" max="111" width="14.28515625" style="70" customWidth="1"/>
    <col min="112" max="112" width="8.85546875" style="70" customWidth="1"/>
    <col min="113" max="113" width="11.42578125" style="70" customWidth="1"/>
    <col min="114" max="114" width="11.28515625" style="70" customWidth="1"/>
    <col min="115" max="115" width="11.42578125" style="70" customWidth="1"/>
    <col min="116" max="116" width="15" style="70" customWidth="1"/>
    <col min="117" max="117" width="11.140625" style="70" customWidth="1"/>
    <col min="118" max="118" width="9.5703125" style="70" customWidth="1"/>
    <col min="119" max="119" width="8.42578125" style="70" customWidth="1"/>
    <col min="120" max="120" width="10.140625" style="70" customWidth="1"/>
    <col min="121" max="121" width="9.7109375" style="70" customWidth="1"/>
    <col min="122" max="122" width="10.7109375" style="70" customWidth="1"/>
    <col min="123" max="123" width="11.140625" style="70" customWidth="1"/>
    <col min="124" max="124" width="8.85546875" style="70" customWidth="1"/>
    <col min="125" max="125" width="11.28515625" style="70" customWidth="1"/>
    <col min="126" max="126" width="9.7109375" style="70" customWidth="1"/>
    <col min="127" max="127" width="9.5703125" style="70" customWidth="1"/>
    <col min="128" max="128" width="9.85546875" style="70" customWidth="1"/>
    <col min="129" max="130" width="11.7109375" style="70" customWidth="1"/>
    <col min="131" max="131" width="13.7109375" style="70" customWidth="1"/>
    <col min="132" max="132" width="15.28515625" style="70" customWidth="1"/>
    <col min="133" max="133" width="9" style="70" customWidth="1"/>
    <col min="134" max="134" width="17.7109375" style="70" customWidth="1"/>
    <col min="135" max="135" width="9.140625" style="70" customWidth="1"/>
    <col min="136" max="136" width="10.7109375" style="70" customWidth="1"/>
    <col min="137" max="137" width="10" style="70" customWidth="1"/>
    <col min="138" max="138" width="9" style="70" customWidth="1"/>
    <col min="139" max="139" width="9.140625" style="70" customWidth="1"/>
    <col min="140" max="140" width="7.140625" style="70" customWidth="1"/>
    <col min="141" max="141" width="7.7109375" style="70" customWidth="1"/>
    <col min="142" max="142" width="9.85546875" style="70" customWidth="1"/>
    <col min="143" max="144" width="12" style="70" customWidth="1"/>
    <col min="145" max="145" width="12.7109375" style="70" customWidth="1"/>
    <col min="146" max="146" width="9.28515625" style="70" customWidth="1"/>
    <col min="147" max="147" width="8.85546875" style="70" customWidth="1"/>
    <col min="148" max="148" width="22" style="70" customWidth="1"/>
    <col min="149" max="149" width="28.85546875" style="70" customWidth="1"/>
    <col min="150" max="151" width="9.140625" style="70"/>
    <col min="152" max="152" width="23.28515625" style="70" customWidth="1"/>
    <col min="153" max="153" width="18.42578125" style="70" customWidth="1"/>
    <col min="154" max="154" width="21.85546875" style="70" customWidth="1"/>
    <col min="155" max="156" width="9.140625" style="70"/>
    <col min="157" max="157" width="20.42578125" style="70" customWidth="1"/>
    <col min="158" max="158" width="25.42578125" style="70" customWidth="1"/>
    <col min="159" max="159" width="9.140625" style="70"/>
    <col min="160" max="160" width="31.140625" style="70" customWidth="1"/>
    <col min="161" max="16384" width="9.140625" style="70"/>
  </cols>
  <sheetData>
    <row r="1" spans="1:147" ht="15">
      <c r="A1" s="3969"/>
      <c r="H1" s="3412"/>
      <c r="I1" s="3412"/>
      <c r="J1" s="3412"/>
      <c r="K1" s="3412"/>
    </row>
    <row r="3" spans="1:147" ht="15">
      <c r="C3" s="1578"/>
      <c r="BA3" s="1403" t="s">
        <v>866</v>
      </c>
      <c r="BB3" s="1403">
        <v>208</v>
      </c>
    </row>
    <row r="4" spans="1:147" s="83" customFormat="1" ht="23.25" customHeight="1">
      <c r="A4" s="85"/>
      <c r="B4" s="125"/>
      <c r="C4" s="106" t="s">
        <v>18</v>
      </c>
      <c r="D4" s="1674" t="s">
        <v>152</v>
      </c>
      <c r="E4" s="1674"/>
      <c r="F4" s="1674"/>
      <c r="G4" s="1674"/>
      <c r="H4" s="1674"/>
      <c r="I4" s="1674"/>
      <c r="J4" s="1674"/>
      <c r="K4" s="125"/>
      <c r="L4" s="127" t="s">
        <v>29</v>
      </c>
      <c r="N4" s="1105" t="s">
        <v>821</v>
      </c>
      <c r="O4" s="1142">
        <v>43106.861886574072</v>
      </c>
    </row>
    <row r="5" spans="1:147" s="83" customFormat="1" ht="48" customHeight="1">
      <c r="A5" s="84"/>
      <c r="B5" s="128"/>
      <c r="C5" s="126"/>
      <c r="D5" s="163" t="s">
        <v>151</v>
      </c>
      <c r="E5" s="163"/>
      <c r="F5" s="163"/>
      <c r="G5" s="163"/>
      <c r="H5" s="163"/>
      <c r="I5" s="163"/>
      <c r="J5" s="163"/>
      <c r="K5" s="134"/>
      <c r="L5" s="129"/>
      <c r="N5" s="2194"/>
      <c r="O5" s="614"/>
      <c r="P5" s="614"/>
      <c r="Q5" s="614"/>
      <c r="R5" s="614"/>
      <c r="S5" s="614"/>
      <c r="T5" s="614"/>
      <c r="U5" s="614"/>
      <c r="V5" s="614"/>
      <c r="W5" s="614"/>
      <c r="X5" s="614"/>
      <c r="Y5" s="614"/>
      <c r="Z5" s="614"/>
      <c r="AA5" s="614"/>
      <c r="AB5" s="614"/>
      <c r="AC5" s="614"/>
      <c r="AD5" s="614"/>
      <c r="AE5" s="614"/>
      <c r="AF5" s="614"/>
      <c r="AG5" s="614"/>
      <c r="AH5" s="614"/>
      <c r="AI5" s="614"/>
      <c r="AJ5" s="614"/>
      <c r="AK5" s="614"/>
      <c r="AL5" s="614"/>
      <c r="AM5" s="614"/>
      <c r="AN5" s="614"/>
      <c r="AO5" s="614"/>
      <c r="AP5" s="614"/>
      <c r="AQ5" s="614"/>
      <c r="AR5" s="614"/>
      <c r="AS5" s="614"/>
      <c r="AT5" s="614"/>
      <c r="AU5" s="614"/>
      <c r="AV5" s="614"/>
      <c r="AW5" s="614"/>
      <c r="AX5" s="614"/>
      <c r="AY5" s="614"/>
      <c r="AZ5" s="614"/>
      <c r="BA5" s="614"/>
      <c r="BB5" s="614"/>
      <c r="BC5" s="614"/>
      <c r="BD5" s="614"/>
      <c r="BE5" s="614"/>
      <c r="BF5" s="614"/>
      <c r="BG5" s="614"/>
      <c r="BH5" s="614"/>
      <c r="BI5" s="614"/>
      <c r="BJ5" s="614"/>
      <c r="BK5" s="614"/>
      <c r="BL5" s="614"/>
      <c r="BM5" s="614"/>
      <c r="BN5" s="614"/>
      <c r="BO5" s="614"/>
      <c r="BP5" s="614"/>
      <c r="BQ5" s="614"/>
      <c r="BR5" s="614"/>
      <c r="BS5" s="614"/>
      <c r="BT5" s="614"/>
      <c r="BU5" s="614"/>
      <c r="BV5" s="614"/>
      <c r="BW5" s="614"/>
      <c r="BX5" s="614"/>
      <c r="BY5" s="614"/>
      <c r="BZ5" s="614"/>
      <c r="CA5" s="614"/>
      <c r="CB5" s="614"/>
      <c r="CC5" s="614"/>
      <c r="CD5" s="614"/>
      <c r="CE5" s="614"/>
      <c r="CF5" s="614"/>
      <c r="CG5" s="614"/>
      <c r="CH5" s="614"/>
      <c r="CI5" s="614"/>
      <c r="CJ5" s="614"/>
      <c r="CK5" s="614"/>
      <c r="CL5" s="614"/>
      <c r="CM5" s="614"/>
      <c r="CN5" s="614"/>
      <c r="CO5" s="614"/>
      <c r="CP5" s="614"/>
      <c r="CQ5" s="614"/>
      <c r="CR5" s="614"/>
      <c r="CS5" s="614"/>
      <c r="CT5" s="614"/>
      <c r="CU5" s="614"/>
      <c r="CV5" s="614"/>
      <c r="CW5" s="614"/>
      <c r="CX5" s="614"/>
      <c r="CY5" s="614"/>
      <c r="CZ5" s="614"/>
      <c r="DA5" s="614"/>
      <c r="DB5" s="614"/>
      <c r="DC5" s="614"/>
      <c r="DD5" s="614"/>
      <c r="DE5" s="614"/>
      <c r="DF5" s="614"/>
      <c r="DG5" s="614"/>
      <c r="DH5" s="614"/>
      <c r="DI5" s="614"/>
      <c r="DJ5" s="614"/>
      <c r="DK5" s="614"/>
      <c r="DL5" s="614"/>
      <c r="DM5" s="614"/>
      <c r="DN5" s="614"/>
      <c r="DO5" s="614"/>
      <c r="DP5" s="614"/>
      <c r="DQ5" s="614"/>
      <c r="DR5" s="614"/>
      <c r="DS5" s="614"/>
      <c r="DT5" s="614"/>
      <c r="DU5" s="614"/>
      <c r="DV5" s="614"/>
      <c r="DW5" s="614"/>
      <c r="DX5" s="614"/>
      <c r="DY5" s="614"/>
      <c r="DZ5" s="614"/>
      <c r="EA5" s="614"/>
      <c r="EB5" s="614"/>
      <c r="EC5" s="614"/>
      <c r="ED5" s="614"/>
      <c r="EE5" s="614"/>
      <c r="EF5" s="614"/>
      <c r="EG5" s="614"/>
      <c r="EH5" s="614"/>
      <c r="EI5" s="614"/>
      <c r="EJ5" s="614"/>
      <c r="EK5" s="614"/>
      <c r="EL5" s="614"/>
      <c r="EM5" s="614"/>
      <c r="EN5" s="614"/>
      <c r="EO5" s="614"/>
      <c r="EP5" s="614"/>
      <c r="EQ5" s="614"/>
    </row>
    <row r="6" spans="1:147" s="2147" customFormat="1" ht="18.75" thickBot="1">
      <c r="A6" s="2136"/>
      <c r="B6" s="2137" t="s">
        <v>150</v>
      </c>
      <c r="C6" s="2138">
        <f>Forecast!E3</f>
        <v>43107</v>
      </c>
      <c r="D6" s="2139" t="s">
        <v>885</v>
      </c>
      <c r="E6" s="2140"/>
      <c r="F6" s="2141">
        <f>D183</f>
        <v>8218</v>
      </c>
      <c r="G6" s="2142" t="s">
        <v>36</v>
      </c>
      <c r="H6" s="2142"/>
      <c r="I6" s="2143"/>
      <c r="J6" s="2144"/>
      <c r="K6" s="2145" t="s">
        <v>30</v>
      </c>
      <c r="L6" s="2146">
        <f>YesterdayGen!E42</f>
        <v>0.8125</v>
      </c>
      <c r="O6" s="2148"/>
      <c r="P6" s="2149"/>
      <c r="Q6" s="2149"/>
      <c r="R6" s="2149"/>
      <c r="S6" s="2149"/>
      <c r="T6" s="2150"/>
      <c r="U6" s="2151"/>
      <c r="V6" s="2149"/>
      <c r="W6" s="2149"/>
      <c r="X6" s="2149"/>
      <c r="Y6" s="2149"/>
      <c r="Z6" s="2149"/>
      <c r="AA6" s="2149"/>
      <c r="AB6" s="2149"/>
      <c r="AC6" s="2149"/>
      <c r="AD6" s="2149"/>
      <c r="AE6" s="2149"/>
      <c r="AF6" s="2149"/>
      <c r="AG6" s="2149"/>
      <c r="AH6" s="2149"/>
      <c r="AI6" s="2149"/>
      <c r="AJ6" s="2149"/>
      <c r="AK6" s="2149"/>
      <c r="AL6" s="2149"/>
      <c r="AM6" s="2149"/>
      <c r="AN6" s="2149"/>
      <c r="AO6" s="2149"/>
      <c r="AP6" s="2149"/>
      <c r="AQ6" s="2149"/>
      <c r="AR6" s="2149"/>
      <c r="AS6" s="2149"/>
      <c r="AT6" s="2149"/>
      <c r="AU6" s="2149"/>
      <c r="AV6" s="2149"/>
      <c r="AW6" s="2149"/>
      <c r="AX6" s="2149"/>
      <c r="AY6" s="2149"/>
      <c r="AZ6" s="2149"/>
      <c r="BA6" s="2149"/>
      <c r="BB6" s="2149"/>
      <c r="BC6" s="2149"/>
      <c r="BD6" s="2149"/>
      <c r="BE6" s="2149"/>
      <c r="BF6" s="2149"/>
      <c r="BG6" s="2149"/>
      <c r="BH6" s="2149"/>
      <c r="BI6" s="2149"/>
      <c r="BJ6" s="2149"/>
      <c r="BK6" s="2149"/>
      <c r="BL6" s="2149"/>
      <c r="BM6" s="2149"/>
      <c r="BN6" s="2149"/>
      <c r="BO6" s="2149"/>
      <c r="BP6" s="2149"/>
      <c r="BQ6" s="2149"/>
      <c r="BR6" s="2149"/>
      <c r="BS6" s="2149"/>
      <c r="BT6" s="2149"/>
      <c r="BU6" s="2149"/>
      <c r="BV6" s="2149"/>
      <c r="BW6" s="2149"/>
      <c r="BX6" s="2149"/>
      <c r="BY6" s="2149"/>
      <c r="BZ6" s="2149"/>
      <c r="CA6" s="2149"/>
      <c r="CB6" s="2149"/>
      <c r="CC6" s="2149"/>
      <c r="CD6" s="2149"/>
      <c r="CE6" s="2149"/>
      <c r="CF6" s="2149"/>
      <c r="CG6" s="2149"/>
      <c r="CH6" s="2149"/>
      <c r="CI6" s="2149"/>
      <c r="CJ6" s="2149"/>
      <c r="CK6" s="2149"/>
      <c r="CL6" s="2149"/>
      <c r="CM6" s="2149"/>
      <c r="CN6" s="2149"/>
      <c r="CO6" s="2149"/>
      <c r="CP6" s="2149"/>
      <c r="CQ6" s="2149"/>
      <c r="CR6" s="2149"/>
      <c r="CS6" s="2149"/>
      <c r="CT6" s="2149"/>
      <c r="CU6" s="2149"/>
      <c r="CV6" s="2149"/>
      <c r="CW6" s="2149"/>
      <c r="CX6" s="2149"/>
      <c r="CY6" s="2149"/>
      <c r="CZ6" s="2149"/>
      <c r="DA6" s="2149"/>
      <c r="DB6" s="2149"/>
      <c r="DC6" s="2149"/>
      <c r="DD6" s="2149"/>
      <c r="DE6" s="2149"/>
      <c r="DF6" s="2149"/>
      <c r="DG6" s="2149"/>
      <c r="DH6" s="2149"/>
      <c r="DI6" s="2149"/>
      <c r="DJ6" s="2149"/>
      <c r="DK6" s="2149"/>
      <c r="DL6" s="2149"/>
      <c r="DM6" s="2149"/>
      <c r="DN6" s="2149"/>
      <c r="DO6" s="2149"/>
      <c r="DP6" s="2149"/>
      <c r="DQ6" s="2149"/>
      <c r="DR6" s="2149"/>
      <c r="DS6" s="2149"/>
      <c r="DT6" s="2149"/>
      <c r="DU6" s="2149"/>
      <c r="DV6" s="2149"/>
      <c r="DW6" s="2149"/>
      <c r="DX6" s="2149"/>
      <c r="DY6" s="2149"/>
      <c r="DZ6" s="2149"/>
      <c r="EA6" s="2149"/>
      <c r="EB6" s="2149"/>
      <c r="EC6" s="2149"/>
      <c r="ED6" s="2149"/>
      <c r="EE6" s="2149"/>
      <c r="EF6" s="2149"/>
      <c r="EG6" s="2149"/>
      <c r="EH6" s="2149"/>
      <c r="EI6" s="2149"/>
      <c r="EJ6" s="2149"/>
      <c r="EK6" s="2149"/>
      <c r="EL6" s="2149"/>
      <c r="EM6" s="2149"/>
      <c r="EN6" s="2149"/>
      <c r="EO6" s="2149"/>
      <c r="EP6" s="2149"/>
      <c r="EQ6" s="2149"/>
    </row>
    <row r="7" spans="1:147" s="2147" customFormat="1" ht="27.75" customHeight="1">
      <c r="A7" s="80"/>
      <c r="B7" s="5244" t="s">
        <v>149</v>
      </c>
      <c r="C7" s="5244" t="s">
        <v>31</v>
      </c>
      <c r="D7" s="5244" t="s">
        <v>32</v>
      </c>
      <c r="E7" s="5244" t="s">
        <v>33</v>
      </c>
      <c r="F7" s="2174" t="s">
        <v>148</v>
      </c>
      <c r="G7" s="2174" t="s">
        <v>147</v>
      </c>
      <c r="H7" s="3110" t="s">
        <v>146</v>
      </c>
      <c r="I7" s="3109" t="s">
        <v>145</v>
      </c>
      <c r="J7" s="2176" t="s">
        <v>34</v>
      </c>
      <c r="K7" s="2175" t="s">
        <v>35</v>
      </c>
      <c r="L7" s="2177" t="s">
        <v>164</v>
      </c>
      <c r="O7" s="2152"/>
      <c r="P7" s="2152"/>
      <c r="Q7" s="2152"/>
      <c r="R7" s="2152"/>
      <c r="S7" s="2152"/>
      <c r="T7" s="2150"/>
      <c r="U7" s="2153"/>
      <c r="V7" s="2152"/>
      <c r="W7" s="2152"/>
      <c r="X7" s="2152"/>
      <c r="Y7" s="2152"/>
      <c r="Z7" s="2152"/>
      <c r="AA7" s="2152"/>
      <c r="AB7" s="2152"/>
      <c r="AC7" s="2152"/>
      <c r="AD7" s="2152"/>
      <c r="AE7" s="2152"/>
      <c r="AF7" s="2152"/>
      <c r="AG7" s="2152"/>
      <c r="AH7" s="2152"/>
      <c r="AI7" s="2152"/>
      <c r="AJ7" s="2152"/>
      <c r="AK7" s="2152"/>
      <c r="AL7" s="2152"/>
      <c r="AM7" s="2152"/>
      <c r="AN7" s="2152"/>
      <c r="AO7" s="2152"/>
      <c r="AP7" s="2152"/>
      <c r="AQ7" s="2152"/>
      <c r="AR7" s="2152"/>
      <c r="AS7" s="2152"/>
      <c r="AT7" s="2152"/>
      <c r="AU7" s="2152"/>
      <c r="AV7" s="2152"/>
      <c r="AW7" s="2152"/>
      <c r="AX7" s="2152"/>
      <c r="AY7" s="2152"/>
      <c r="AZ7" s="2152"/>
      <c r="BA7" s="2152"/>
      <c r="BB7" s="2152"/>
      <c r="BC7" s="2152"/>
      <c r="BD7" s="2152"/>
      <c r="BE7" s="2152"/>
      <c r="BF7" s="2152"/>
      <c r="BG7" s="2152"/>
      <c r="BH7" s="2152"/>
      <c r="BI7" s="2152"/>
      <c r="BJ7" s="2152"/>
      <c r="BK7" s="2152"/>
      <c r="BL7" s="2152"/>
      <c r="BM7" s="2152"/>
      <c r="BN7" s="2152"/>
      <c r="BO7" s="2152"/>
      <c r="BP7" s="2152"/>
      <c r="BQ7" s="2152"/>
      <c r="BR7" s="2152"/>
      <c r="BS7" s="2152"/>
      <c r="BT7" s="2152"/>
      <c r="BU7" s="2152"/>
      <c r="BV7" s="2152"/>
      <c r="BW7" s="2152"/>
      <c r="BX7" s="2152"/>
      <c r="BY7" s="2152"/>
      <c r="BZ7" s="2152"/>
      <c r="CA7" s="2152"/>
      <c r="CB7" s="2152"/>
      <c r="CC7" s="2152"/>
      <c r="CD7" s="2152"/>
      <c r="CE7" s="2152"/>
      <c r="CF7" s="2152"/>
      <c r="CG7" s="2152"/>
      <c r="CH7" s="2152"/>
      <c r="CI7" s="2152"/>
      <c r="CJ7" s="2152"/>
      <c r="CK7" s="2152"/>
      <c r="CL7" s="2152"/>
      <c r="CM7" s="2152"/>
      <c r="CN7" s="2152"/>
      <c r="CO7" s="2152"/>
      <c r="CP7" s="2152"/>
      <c r="CQ7" s="2152"/>
      <c r="CR7" s="2152"/>
      <c r="CS7" s="2152"/>
      <c r="CT7" s="2152"/>
      <c r="CU7" s="2152"/>
      <c r="CV7" s="2152"/>
      <c r="CW7" s="2152"/>
      <c r="CX7" s="2152"/>
      <c r="CY7" s="2152"/>
      <c r="CZ7" s="2152"/>
      <c r="DA7" s="2152"/>
      <c r="DB7" s="2152"/>
      <c r="DC7" s="2152"/>
      <c r="DD7" s="2152"/>
      <c r="DE7" s="2152"/>
      <c r="DF7" s="2152"/>
      <c r="DG7" s="2152"/>
      <c r="DH7" s="2152"/>
      <c r="DI7" s="2152"/>
      <c r="DJ7" s="2152"/>
      <c r="DK7" s="2152"/>
      <c r="DL7" s="2152"/>
      <c r="DM7" s="2152"/>
      <c r="DN7" s="2152"/>
      <c r="DO7" s="2152"/>
      <c r="DP7" s="2152"/>
      <c r="DQ7" s="2152"/>
      <c r="DR7" s="2152"/>
      <c r="DS7" s="2152"/>
      <c r="DT7" s="2152"/>
      <c r="DU7" s="2152"/>
      <c r="DV7" s="2152"/>
      <c r="DW7" s="2152"/>
      <c r="DX7" s="2152"/>
      <c r="DY7" s="2152"/>
      <c r="DZ7" s="2152"/>
      <c r="EA7" s="2152"/>
      <c r="EB7" s="2152"/>
      <c r="EC7" s="2152"/>
      <c r="ED7" s="2152"/>
      <c r="EE7" s="2152"/>
      <c r="EF7" s="2152"/>
      <c r="EG7" s="2152"/>
      <c r="EH7" s="2152"/>
      <c r="EI7" s="2152"/>
      <c r="EJ7" s="2152"/>
      <c r="EK7" s="2152"/>
      <c r="EL7" s="2152"/>
      <c r="EM7" s="2152"/>
      <c r="EN7" s="2152"/>
      <c r="EO7" s="2152"/>
      <c r="EP7" s="2152"/>
      <c r="EQ7" s="2152"/>
    </row>
    <row r="8" spans="1:147" s="2147" customFormat="1" ht="15" customHeight="1" thickBot="1">
      <c r="A8" s="80"/>
      <c r="B8" s="5245"/>
      <c r="C8" s="5245"/>
      <c r="D8" s="5245"/>
      <c r="E8" s="5245"/>
      <c r="F8" s="2178" t="s">
        <v>36</v>
      </c>
      <c r="G8" s="2179" t="s">
        <v>36</v>
      </c>
      <c r="H8" s="2179" t="s">
        <v>36</v>
      </c>
      <c r="I8" s="2179" t="s">
        <v>36</v>
      </c>
      <c r="J8" s="2180" t="s">
        <v>36</v>
      </c>
      <c r="K8" s="2180" t="s">
        <v>36</v>
      </c>
      <c r="L8" s="2181"/>
      <c r="N8" s="2149"/>
      <c r="T8" s="2150"/>
      <c r="U8" s="2151"/>
    </row>
    <row r="9" spans="1:147" ht="12" customHeight="1">
      <c r="A9" s="77"/>
      <c r="B9" s="2421">
        <v>1</v>
      </c>
      <c r="C9" s="1912" t="str">
        <f>Master!C3</f>
        <v>Ghorasal Repowered CCPP:Unit-3 (GT</v>
      </c>
      <c r="D9" s="2186" t="str">
        <f>Master!C5</f>
        <v>Gas</v>
      </c>
      <c r="E9" s="2186" t="str">
        <f>Master!C4</f>
        <v>PDB</v>
      </c>
      <c r="F9" s="2187">
        <f>Master!C7</f>
        <v>260</v>
      </c>
      <c r="G9" s="2188">
        <f>Master!C8</f>
        <v>260</v>
      </c>
      <c r="H9" s="2183">
        <f>Forecast!M9</f>
        <v>0</v>
      </c>
      <c r="I9" s="2184">
        <f>YesterdayGen!C34</f>
        <v>0</v>
      </c>
      <c r="J9" s="2185">
        <f t="shared" ref="J9:J82" si="0">IF((I9-H9)&gt;0,(I9-H9),0)</f>
        <v>0</v>
      </c>
      <c r="K9" s="2185">
        <f>IF((H9-I9)&gt;L235,(H9-I9),0)</f>
        <v>0</v>
      </c>
      <c r="L9" s="3392" t="s">
        <v>117</v>
      </c>
      <c r="M9" s="3101"/>
      <c r="N9" s="615"/>
      <c r="P9" s="890"/>
      <c r="T9" s="1062"/>
      <c r="U9" s="81"/>
    </row>
    <row r="10" spans="1:147" ht="12" customHeight="1">
      <c r="A10" s="77"/>
      <c r="B10" s="4448">
        <v>2</v>
      </c>
      <c r="C10" s="1912" t="str">
        <f>Master!D3</f>
        <v>Ghorasal Repowered CCPP Unit-4</v>
      </c>
      <c r="D10" s="2186" t="str">
        <f>Master!D5</f>
        <v>Gas</v>
      </c>
      <c r="E10" s="2186" t="str">
        <f>Master!D4</f>
        <v>PDB</v>
      </c>
      <c r="F10" s="2187">
        <f>Master!D7</f>
        <v>210</v>
      </c>
      <c r="G10" s="2188">
        <f>Master!D8</f>
        <v>180</v>
      </c>
      <c r="H10" s="2183">
        <f>Forecast!M10</f>
        <v>180</v>
      </c>
      <c r="I10" s="2189">
        <f>YesterdayGen!D34</f>
        <v>240</v>
      </c>
      <c r="J10" s="2185">
        <f t="shared" si="0"/>
        <v>60</v>
      </c>
      <c r="K10" s="2185">
        <f t="shared" ref="K10:K82" si="1">IF((H10-I10)&gt;0,(H10-I10),0)</f>
        <v>0</v>
      </c>
      <c r="L10" s="3392"/>
      <c r="N10" s="615"/>
      <c r="P10" s="890"/>
      <c r="T10" s="1062"/>
      <c r="U10" s="81"/>
    </row>
    <row r="11" spans="1:147" ht="12" customHeight="1">
      <c r="A11" s="77"/>
      <c r="B11" s="4449"/>
      <c r="C11" s="1912" t="str">
        <f>Master!E3</f>
        <v>Ghorasal TPP Unit-5</v>
      </c>
      <c r="D11" s="2186" t="str">
        <f>Master!E5</f>
        <v>Gas</v>
      </c>
      <c r="E11" s="2186" t="str">
        <f>Master!E4</f>
        <v>PDB</v>
      </c>
      <c r="F11" s="2187">
        <f>Master!E7</f>
        <v>210</v>
      </c>
      <c r="G11" s="2188">
        <f>Master!E8</f>
        <v>190</v>
      </c>
      <c r="H11" s="2183">
        <f>Forecast!M11</f>
        <v>0</v>
      </c>
      <c r="I11" s="2189">
        <f>YesterdayGen!E34</f>
        <v>0</v>
      </c>
      <c r="J11" s="2185">
        <f t="shared" si="0"/>
        <v>0</v>
      </c>
      <c r="K11" s="2185">
        <f t="shared" si="1"/>
        <v>0</v>
      </c>
      <c r="L11" s="3392" t="s">
        <v>174</v>
      </c>
      <c r="N11" s="615"/>
      <c r="P11" s="890"/>
      <c r="T11" s="1062"/>
      <c r="U11" s="81"/>
    </row>
    <row r="12" spans="1:147" ht="12" customHeight="1">
      <c r="A12" s="77"/>
      <c r="B12" s="2421">
        <v>3</v>
      </c>
      <c r="C12" s="1912" t="str">
        <f>Master!F3</f>
        <v>Ghorasal 365 MW CCPP Unit-7</v>
      </c>
      <c r="D12" s="2186" t="str">
        <f>Master!F5</f>
        <v>Gas</v>
      </c>
      <c r="E12" s="2186" t="str">
        <f>Master!F4</f>
        <v>PDB</v>
      </c>
      <c r="F12" s="2187">
        <f>Master!F7</f>
        <v>365</v>
      </c>
      <c r="G12" s="2188">
        <f>Master!F8</f>
        <v>365</v>
      </c>
      <c r="H12" s="2183">
        <f>Forecast!M12</f>
        <v>0</v>
      </c>
      <c r="I12" s="2189">
        <f>YesterdayGen!F34</f>
        <v>0</v>
      </c>
      <c r="J12" s="2185">
        <f t="shared" si="0"/>
        <v>0</v>
      </c>
      <c r="K12" s="2185">
        <f t="shared" si="1"/>
        <v>0</v>
      </c>
      <c r="L12" s="4370" t="s">
        <v>1630</v>
      </c>
      <c r="N12" s="615"/>
      <c r="P12" s="890"/>
      <c r="T12" s="1062"/>
      <c r="U12" s="81"/>
    </row>
    <row r="13" spans="1:147" ht="12" customHeight="1">
      <c r="A13" s="77"/>
      <c r="B13" s="3970"/>
      <c r="C13" s="3963" t="str">
        <f>Master!H3</f>
        <v>Ghorashal 78.5 MW PP(MAX)</v>
      </c>
      <c r="D13" s="3764" t="str">
        <f>Master!H5</f>
        <v>Gas</v>
      </c>
      <c r="E13" s="3764" t="str">
        <f>Master!H4</f>
        <v>QRPP</v>
      </c>
      <c r="F13" s="3964">
        <f>Master!H7</f>
        <v>0</v>
      </c>
      <c r="G13" s="3965">
        <f>Master!H8</f>
        <v>0</v>
      </c>
      <c r="H13" s="3966">
        <f>Forecast!M13</f>
        <v>0</v>
      </c>
      <c r="I13" s="3967">
        <f>YesterdayGen!H34</f>
        <v>0</v>
      </c>
      <c r="J13" s="3968">
        <f t="shared" si="0"/>
        <v>0</v>
      </c>
      <c r="K13" s="3968">
        <f t="shared" si="1"/>
        <v>0</v>
      </c>
      <c r="L13" s="4367" t="s">
        <v>900</v>
      </c>
      <c r="N13" s="615"/>
      <c r="P13" s="890"/>
      <c r="T13" s="1062"/>
      <c r="U13" s="81"/>
    </row>
    <row r="14" spans="1:147" ht="12" customHeight="1">
      <c r="A14" s="77"/>
      <c r="B14" s="2421">
        <v>4</v>
      </c>
      <c r="C14" s="1912" t="str">
        <f>Master!G3</f>
        <v>Ghorashal 108MW PP (Regent)</v>
      </c>
      <c r="D14" s="2186" t="str">
        <f>Master!G5</f>
        <v>Gas</v>
      </c>
      <c r="E14" s="2186" t="str">
        <f>Master!G4</f>
        <v>IPP</v>
      </c>
      <c r="F14" s="2187">
        <f>Master!G7</f>
        <v>108</v>
      </c>
      <c r="G14" s="2188">
        <f>Master!G8</f>
        <v>108</v>
      </c>
      <c r="H14" s="2183">
        <f>Forecast!M14</f>
        <v>0</v>
      </c>
      <c r="I14" s="2189">
        <f>YesterdayGen!G34</f>
        <v>0</v>
      </c>
      <c r="J14" s="2185">
        <f t="shared" si="0"/>
        <v>0</v>
      </c>
      <c r="K14" s="2185">
        <f t="shared" si="1"/>
        <v>0</v>
      </c>
      <c r="L14" s="4370" t="s">
        <v>174</v>
      </c>
      <c r="N14" s="615"/>
      <c r="P14" s="890"/>
      <c r="T14" s="1062"/>
      <c r="U14" s="81"/>
    </row>
    <row r="15" spans="1:147" ht="12" customHeight="1">
      <c r="A15" s="77"/>
      <c r="B15" s="2421">
        <v>5</v>
      </c>
      <c r="C15" s="1912" t="str">
        <f>Master!L3</f>
        <v>Haripur GTPP</v>
      </c>
      <c r="D15" s="2186" t="str">
        <f>Master!L5</f>
        <v>Gas</v>
      </c>
      <c r="E15" s="2186" t="str">
        <f>Master!L4</f>
        <v>SBU, PDB</v>
      </c>
      <c r="F15" s="2187">
        <f>Master!L7</f>
        <v>32</v>
      </c>
      <c r="G15" s="2188">
        <f>Master!L8</f>
        <v>20</v>
      </c>
      <c r="H15" s="2183">
        <f>Forecast!M15</f>
        <v>0</v>
      </c>
      <c r="I15" s="2189">
        <f>YesterdayGen!L34</f>
        <v>0</v>
      </c>
      <c r="J15" s="2185">
        <f>IF((I15-H15)&gt;0,(I15-H15),0)</f>
        <v>0</v>
      </c>
      <c r="K15" s="2185">
        <f t="shared" si="1"/>
        <v>0</v>
      </c>
      <c r="L15" s="4940" t="s">
        <v>117</v>
      </c>
      <c r="M15" s="4940"/>
      <c r="N15" s="615"/>
      <c r="P15" s="890"/>
      <c r="T15" s="1062"/>
      <c r="U15" s="81"/>
    </row>
    <row r="16" spans="1:147" ht="12" customHeight="1">
      <c r="A16" s="77"/>
      <c r="B16" s="2421">
        <v>6</v>
      </c>
      <c r="C16" s="1912" t="str">
        <f>Master!I3</f>
        <v>Haripur  412 MW CCPP</v>
      </c>
      <c r="D16" s="2186" t="str">
        <f>Master!I5</f>
        <v>Gas</v>
      </c>
      <c r="E16" s="2186" t="str">
        <f>Master!I4</f>
        <v>EGCB</v>
      </c>
      <c r="F16" s="2187">
        <f>Master!I7</f>
        <v>412</v>
      </c>
      <c r="G16" s="2188">
        <f>Master!I8</f>
        <v>412</v>
      </c>
      <c r="H16" s="2183">
        <f>Forecast!M16</f>
        <v>0</v>
      </c>
      <c r="I16" s="2189">
        <f>YesterdayGen!I34</f>
        <v>0</v>
      </c>
      <c r="J16" s="2185">
        <f>IF((I16-H16)&gt;0,(I16-H16),0)</f>
        <v>0</v>
      </c>
      <c r="K16" s="2185">
        <f t="shared" si="1"/>
        <v>0</v>
      </c>
      <c r="L16" s="4940" t="s">
        <v>117</v>
      </c>
      <c r="M16" s="4940"/>
      <c r="N16" s="615"/>
      <c r="P16" s="890"/>
      <c r="T16" s="1062"/>
      <c r="U16" s="81"/>
    </row>
    <row r="17" spans="1:58" ht="12" customHeight="1">
      <c r="A17" s="77"/>
      <c r="B17" s="2421">
        <v>7</v>
      </c>
      <c r="C17" s="1912" t="str">
        <f>Master!J3</f>
        <v>Haripur 360MW CCPP(HPL)</v>
      </c>
      <c r="D17" s="2186" t="str">
        <f>Master!J5</f>
        <v>Gas</v>
      </c>
      <c r="E17" s="2186" t="str">
        <f>Master!J4</f>
        <v>IPP</v>
      </c>
      <c r="F17" s="2187">
        <f>Master!J7</f>
        <v>360</v>
      </c>
      <c r="G17" s="2188">
        <f>Master!J8</f>
        <v>360</v>
      </c>
      <c r="H17" s="2183">
        <f>Forecast!M17</f>
        <v>250</v>
      </c>
      <c r="I17" s="2189">
        <f>YesterdayGen!J34</f>
        <v>222</v>
      </c>
      <c r="J17" s="2185">
        <f t="shared" si="0"/>
        <v>0</v>
      </c>
      <c r="K17" s="2185">
        <f t="shared" si="1"/>
        <v>28</v>
      </c>
      <c r="L17" s="1922" t="s">
        <v>174</v>
      </c>
      <c r="N17" s="615"/>
      <c r="T17" s="1062"/>
      <c r="U17" s="81"/>
    </row>
    <row r="18" spans="1:58" ht="12" customHeight="1">
      <c r="A18" s="77"/>
      <c r="B18" s="2421">
        <v>8</v>
      </c>
      <c r="C18" s="1913" t="str">
        <f>Master!M3</f>
        <v>Meghnaghat 450 MW CCPP(MPL)</v>
      </c>
      <c r="D18" s="2186" t="str">
        <f>Master!M5</f>
        <v>Gas</v>
      </c>
      <c r="E18" s="2186" t="str">
        <f>Master!M4</f>
        <v>IPP</v>
      </c>
      <c r="F18" s="2187">
        <f>Master!M7</f>
        <v>450</v>
      </c>
      <c r="G18" s="2192">
        <f>Master!M8</f>
        <v>450</v>
      </c>
      <c r="H18" s="2183">
        <f>Forecast!M18</f>
        <v>180</v>
      </c>
      <c r="I18" s="2193">
        <f>YesterdayGen!M34</f>
        <v>180</v>
      </c>
      <c r="J18" s="2185">
        <f t="shared" si="0"/>
        <v>0</v>
      </c>
      <c r="K18" s="2185">
        <f t="shared" si="1"/>
        <v>0</v>
      </c>
      <c r="L18" s="1922" t="s">
        <v>174</v>
      </c>
      <c r="N18" s="615"/>
      <c r="T18" s="1062"/>
      <c r="U18" s="81"/>
    </row>
    <row r="19" spans="1:58" s="4280" customFormat="1" ht="12" customHeight="1">
      <c r="A19" s="4274"/>
      <c r="B19" s="4258">
        <v>9</v>
      </c>
      <c r="C19" s="4275" t="str">
        <f>Master!O3</f>
        <v>Meghnaghat 100 MW(IEL)</v>
      </c>
      <c r="D19" s="2264" t="str">
        <f>Master!O5</f>
        <v>HFO</v>
      </c>
      <c r="E19" s="2264" t="str">
        <f>Master!O4</f>
        <v>QRPP</v>
      </c>
      <c r="F19" s="4276">
        <f>Master!O7</f>
        <v>100</v>
      </c>
      <c r="G19" s="4277">
        <f>Master!O8</f>
        <v>0</v>
      </c>
      <c r="H19" s="4278">
        <f>Forecast!M19</f>
        <v>0</v>
      </c>
      <c r="I19" s="4279">
        <f>YesterdayGen!O34</f>
        <v>0</v>
      </c>
      <c r="J19" s="2267">
        <f t="shared" si="0"/>
        <v>0</v>
      </c>
      <c r="K19" s="2267"/>
      <c r="L19" s="4409" t="s">
        <v>900</v>
      </c>
      <c r="N19" s="4406"/>
      <c r="T19" s="4407"/>
      <c r="U19" s="4408"/>
    </row>
    <row r="20" spans="1:58" ht="12" customHeight="1">
      <c r="A20" s="77"/>
      <c r="B20" s="2421">
        <v>10</v>
      </c>
      <c r="C20" s="1913" t="str">
        <f>Master!N3</f>
        <v>Meghnaghat CCPP(Summit)</v>
      </c>
      <c r="D20" s="2186" t="str">
        <f>Master!N5</f>
        <v>Gas</v>
      </c>
      <c r="E20" s="2186" t="str">
        <f>Master!N4</f>
        <v>IPP</v>
      </c>
      <c r="F20" s="2187">
        <f>Master!N7</f>
        <v>305</v>
      </c>
      <c r="G20" s="2192">
        <f>Master!N8</f>
        <v>305</v>
      </c>
      <c r="H20" s="2183">
        <f>Forecast!M20</f>
        <v>0</v>
      </c>
      <c r="I20" s="2193">
        <f>YesterdayGen!N34</f>
        <v>0</v>
      </c>
      <c r="J20" s="2185">
        <f t="shared" si="0"/>
        <v>0</v>
      </c>
      <c r="K20" s="2185">
        <f t="shared" si="1"/>
        <v>0</v>
      </c>
      <c r="L20" s="3986" t="s">
        <v>174</v>
      </c>
      <c r="M20" s="4362"/>
      <c r="N20" s="1068"/>
      <c r="O20" s="4363"/>
      <c r="P20" s="4364"/>
      <c r="Q20" s="4364"/>
      <c r="R20" s="4364"/>
      <c r="S20" s="4364"/>
      <c r="T20" s="1062"/>
      <c r="U20" s="81"/>
      <c r="V20" s="4364"/>
      <c r="W20" s="4364"/>
      <c r="X20" s="4364"/>
      <c r="Y20" s="4364"/>
      <c r="Z20" s="4364"/>
      <c r="AA20" s="4364"/>
      <c r="AB20" s="4364"/>
      <c r="AC20" s="4364"/>
      <c r="AD20" s="4364"/>
      <c r="AE20" s="4364"/>
      <c r="AF20" s="4364"/>
      <c r="AG20" s="4364"/>
      <c r="AH20" s="4364"/>
      <c r="AI20" s="4364"/>
      <c r="AJ20" s="4364"/>
      <c r="AK20" s="4364"/>
      <c r="AL20" s="4364"/>
      <c r="AM20" s="4364"/>
      <c r="AN20" s="4364"/>
      <c r="AO20" s="4364"/>
      <c r="AP20" s="4364"/>
      <c r="AQ20" s="4364"/>
      <c r="AR20" s="4364"/>
      <c r="AS20" s="4364"/>
      <c r="AT20" s="4364"/>
      <c r="AU20" s="4364"/>
      <c r="AV20" s="4364"/>
      <c r="AW20" s="4364"/>
      <c r="AX20" s="4364"/>
      <c r="AY20" s="4364"/>
      <c r="AZ20" s="4364"/>
      <c r="BA20" s="4364"/>
      <c r="BB20" s="4364"/>
      <c r="BC20" s="4364"/>
      <c r="BD20" s="4364"/>
      <c r="BE20" s="4364"/>
      <c r="BF20" s="4364"/>
    </row>
    <row r="21" spans="1:58" s="4280" customFormat="1" ht="12" customHeight="1">
      <c r="A21" s="4274"/>
      <c r="B21" s="4258">
        <v>11</v>
      </c>
      <c r="C21" s="4275" t="str">
        <f>Master!P3</f>
        <v>Madanganj 102 PP(Summit)</v>
      </c>
      <c r="D21" s="2264" t="str">
        <f>Master!P5</f>
        <v>HFO</v>
      </c>
      <c r="E21" s="2264" t="str">
        <f>Master!P4</f>
        <v xml:space="preserve">QRPP </v>
      </c>
      <c r="F21" s="4276">
        <f>Master!P7</f>
        <v>102</v>
      </c>
      <c r="G21" s="4277">
        <f>Master!P8</f>
        <v>0</v>
      </c>
      <c r="H21" s="4278">
        <f>Forecast!M21</f>
        <v>0</v>
      </c>
      <c r="I21" s="4279">
        <f>YesterdayGen!P34</f>
        <v>0</v>
      </c>
      <c r="J21" s="2267">
        <f t="shared" si="0"/>
        <v>0</v>
      </c>
      <c r="K21" s="2267">
        <f t="shared" si="1"/>
        <v>0</v>
      </c>
      <c r="L21" s="4366" t="s">
        <v>900</v>
      </c>
      <c r="M21" s="4362"/>
      <c r="N21" s="1068"/>
      <c r="O21" s="4364"/>
      <c r="P21" s="4364"/>
      <c r="Q21" s="4364"/>
      <c r="R21" s="4364"/>
      <c r="S21" s="4364"/>
      <c r="T21" s="1062"/>
      <c r="U21" s="81"/>
      <c r="V21" s="4364"/>
      <c r="W21" s="4364"/>
      <c r="X21" s="4364"/>
      <c r="Y21" s="4364"/>
      <c r="Z21" s="4364"/>
      <c r="AA21" s="4364"/>
      <c r="AB21" s="4364"/>
      <c r="AC21" s="4364"/>
      <c r="AD21" s="4364"/>
      <c r="AE21" s="4364"/>
      <c r="AF21" s="4364"/>
      <c r="AG21" s="4364"/>
      <c r="AH21" s="4364"/>
      <c r="AI21" s="4364"/>
      <c r="AJ21" s="4364"/>
      <c r="AK21" s="4364"/>
      <c r="AL21" s="4364"/>
      <c r="AM21" s="4364"/>
      <c r="AN21" s="4364"/>
      <c r="AO21" s="4364"/>
      <c r="AP21" s="4364"/>
      <c r="AQ21" s="4364"/>
      <c r="AR21" s="4364"/>
      <c r="AS21" s="4364"/>
      <c r="AT21" s="4364"/>
      <c r="AU21" s="4364"/>
      <c r="AV21" s="4364"/>
      <c r="AW21" s="4364"/>
      <c r="AX21" s="4364"/>
      <c r="AY21" s="4364"/>
      <c r="AZ21" s="4364"/>
      <c r="BA21" s="4364"/>
      <c r="BB21" s="4364"/>
      <c r="BC21" s="4364"/>
      <c r="BD21" s="4364"/>
      <c r="BE21" s="4364"/>
      <c r="BF21" s="4364"/>
    </row>
    <row r="22" spans="1:58" ht="12" customHeight="1">
      <c r="A22" s="77"/>
      <c r="B22" s="2421">
        <v>12</v>
      </c>
      <c r="C22" s="1914" t="str">
        <f>Master!Q3</f>
        <v>Madanganj-55 MW PP(Summit)</v>
      </c>
      <c r="D22" s="2195" t="str">
        <f>Master!Q5</f>
        <v>HFO</v>
      </c>
      <c r="E22" s="2196" t="str">
        <f>Master!Q4</f>
        <v>(IPP)</v>
      </c>
      <c r="F22" s="2187">
        <f>Master!Q7</f>
        <v>55</v>
      </c>
      <c r="G22" s="2197">
        <f>Master!Q8</f>
        <v>55</v>
      </c>
      <c r="H22" s="2183">
        <f>Forecast!M22</f>
        <v>55</v>
      </c>
      <c r="I22" s="2198">
        <f>YesterdayGen!Q34</f>
        <v>55</v>
      </c>
      <c r="J22" s="2185">
        <f t="shared" si="0"/>
        <v>0</v>
      </c>
      <c r="K22" s="2185">
        <f t="shared" si="1"/>
        <v>0</v>
      </c>
      <c r="L22" s="3914"/>
      <c r="N22" s="615"/>
      <c r="T22" s="1062"/>
      <c r="U22" s="81"/>
    </row>
    <row r="23" spans="1:58" ht="12" customHeight="1">
      <c r="A23" s="77"/>
      <c r="B23" s="2421">
        <v>13</v>
      </c>
      <c r="C23" s="1913" t="str">
        <f>Master!X3</f>
        <v>Keraniganj 100 MW PP (Powerpac)</v>
      </c>
      <c r="D23" s="2186" t="str">
        <f>Master!X5</f>
        <v>HFO</v>
      </c>
      <c r="E23" s="2186" t="str">
        <f>Master!X4</f>
        <v>QRPP</v>
      </c>
      <c r="F23" s="2187">
        <f>Master!X7</f>
        <v>100</v>
      </c>
      <c r="G23" s="2192">
        <f>Master!X8</f>
        <v>100</v>
      </c>
      <c r="H23" s="2183">
        <f>Forecast!M23</f>
        <v>35</v>
      </c>
      <c r="I23" s="2193">
        <f>YesterdayGen!X34</f>
        <v>24</v>
      </c>
      <c r="J23" s="2185">
        <f t="shared" si="0"/>
        <v>0</v>
      </c>
      <c r="K23" s="2185">
        <f t="shared" si="1"/>
        <v>11</v>
      </c>
      <c r="L23" s="4567" t="s">
        <v>126</v>
      </c>
      <c r="N23" s="615"/>
      <c r="T23" s="1062"/>
      <c r="U23" s="81"/>
    </row>
    <row r="24" spans="1:58" ht="12" customHeight="1">
      <c r="A24" s="77"/>
      <c r="B24" s="2421">
        <v>14</v>
      </c>
      <c r="C24" s="1912" t="str">
        <f>Master!AE3</f>
        <v>Narshingdi 22 MW PP  (Doreen)</v>
      </c>
      <c r="D24" s="2186" t="str">
        <f>Master!AE5</f>
        <v>Gas</v>
      </c>
      <c r="E24" s="2199" t="str">
        <f>Master!AE4</f>
        <v>SIPP, REB</v>
      </c>
      <c r="F24" s="2187">
        <f>Master!AE7</f>
        <v>22</v>
      </c>
      <c r="G24" s="2188">
        <f>Master!AE8</f>
        <v>22</v>
      </c>
      <c r="H24" s="2183">
        <f>Forecast!M24</f>
        <v>19</v>
      </c>
      <c r="I24" s="2189">
        <f>YesterdayGen!AE34</f>
        <v>16</v>
      </c>
      <c r="J24" s="2185">
        <f t="shared" si="0"/>
        <v>0</v>
      </c>
      <c r="K24" s="2185">
        <f t="shared" si="1"/>
        <v>3</v>
      </c>
      <c r="L24" s="4717" t="s">
        <v>126</v>
      </c>
      <c r="N24" s="615"/>
      <c r="T24" s="1062"/>
      <c r="U24" s="81"/>
    </row>
    <row r="25" spans="1:58" ht="12" customHeight="1">
      <c r="A25" s="77"/>
      <c r="B25" s="2421">
        <v>15</v>
      </c>
      <c r="C25" s="1912" t="str">
        <f>Master!S3</f>
        <v>210 MW Siddhirgonj TPP</v>
      </c>
      <c r="D25" s="2186" t="str">
        <f>Master!S5</f>
        <v>Gas</v>
      </c>
      <c r="E25" s="2186" t="str">
        <f>Master!S4</f>
        <v>PDB</v>
      </c>
      <c r="F25" s="2187">
        <f>Master!S7</f>
        <v>210</v>
      </c>
      <c r="G25" s="2188">
        <f>Master!S8</f>
        <v>115</v>
      </c>
      <c r="H25" s="2183">
        <f>Forecast!M25</f>
        <v>0</v>
      </c>
      <c r="I25" s="2189">
        <f>YesterdayGen!S34</f>
        <v>0</v>
      </c>
      <c r="J25" s="2185">
        <f t="shared" si="0"/>
        <v>0</v>
      </c>
      <c r="K25" s="2185">
        <f t="shared" si="1"/>
        <v>0</v>
      </c>
      <c r="L25" s="2200" t="s">
        <v>117</v>
      </c>
      <c r="N25" s="615"/>
      <c r="T25" s="1062"/>
      <c r="U25" s="81"/>
    </row>
    <row r="26" spans="1:58" ht="12" customHeight="1">
      <c r="A26" s="77"/>
      <c r="B26" s="2421">
        <v>16</v>
      </c>
      <c r="C26" s="1912" t="str">
        <f>Master!T3</f>
        <v xml:space="preserve">Siddhirgonj 2*120 MW GTPP </v>
      </c>
      <c r="D26" s="2186" t="str">
        <f>Master!T5</f>
        <v>Gas</v>
      </c>
      <c r="E26" s="2186" t="str">
        <f>Master!T4</f>
        <v>EGCB</v>
      </c>
      <c r="F26" s="2187">
        <f>Master!T7</f>
        <v>210</v>
      </c>
      <c r="G26" s="2188">
        <f>Master!T8</f>
        <v>210</v>
      </c>
      <c r="H26" s="2183">
        <f>Forecast!M26</f>
        <v>0</v>
      </c>
      <c r="I26" s="2189">
        <f>YesterdayGen!T34</f>
        <v>0</v>
      </c>
      <c r="J26" s="2185">
        <f t="shared" si="0"/>
        <v>0</v>
      </c>
      <c r="K26" s="2185">
        <f t="shared" si="1"/>
        <v>0</v>
      </c>
      <c r="L26" s="4354" t="s">
        <v>174</v>
      </c>
      <c r="N26" s="615"/>
      <c r="T26" s="1069"/>
      <c r="U26" s="81"/>
    </row>
    <row r="27" spans="1:58" ht="12" customHeight="1">
      <c r="A27" s="77"/>
      <c r="B27" s="4258">
        <v>17</v>
      </c>
      <c r="C27" s="4275" t="str">
        <f>Master!U3</f>
        <v>Siddhirganj 100 PP(Dutch Bangla)</v>
      </c>
      <c r="D27" s="2264" t="str">
        <f>Master!U5</f>
        <v>HFO</v>
      </c>
      <c r="E27" s="2264" t="str">
        <f>Master!U4</f>
        <v xml:space="preserve">QRPP </v>
      </c>
      <c r="F27" s="4276">
        <f>Master!U7</f>
        <v>100</v>
      </c>
      <c r="G27" s="4277">
        <f>Master!U8</f>
        <v>0</v>
      </c>
      <c r="H27" s="4278">
        <f>Forecast!M27</f>
        <v>0</v>
      </c>
      <c r="I27" s="4279">
        <f>YesterdayGen!U34</f>
        <v>0</v>
      </c>
      <c r="J27" s="2267">
        <f t="shared" si="0"/>
        <v>0</v>
      </c>
      <c r="K27" s="2267">
        <f t="shared" si="1"/>
        <v>0</v>
      </c>
      <c r="L27" s="4366" t="s">
        <v>900</v>
      </c>
      <c r="N27" s="615"/>
      <c r="T27" s="1062"/>
      <c r="U27" s="81"/>
    </row>
    <row r="28" spans="1:58" ht="12" customHeight="1">
      <c r="A28" s="77"/>
      <c r="B28" s="2421">
        <v>18</v>
      </c>
      <c r="C28" s="1915" t="str">
        <f>Master!R3</f>
        <v>Siddhirganj 335 MW CCPP</v>
      </c>
      <c r="D28" s="2186" t="str">
        <f>Master!R5</f>
        <v>Gas</v>
      </c>
      <c r="E28" s="2186" t="str">
        <f>Master!R4</f>
        <v>EGCB</v>
      </c>
      <c r="F28" s="2187">
        <f>Master!R7</f>
        <v>335</v>
      </c>
      <c r="G28" s="2201">
        <f>Master!R8</f>
        <v>335</v>
      </c>
      <c r="H28" s="2183">
        <f>Forecast!M28</f>
        <v>0</v>
      </c>
      <c r="I28" s="2202">
        <f>YesterdayGen!R34</f>
        <v>0</v>
      </c>
      <c r="J28" s="2185">
        <f t="shared" si="0"/>
        <v>0</v>
      </c>
      <c r="K28" s="2185">
        <f t="shared" si="1"/>
        <v>0</v>
      </c>
      <c r="L28" s="3677" t="s">
        <v>174</v>
      </c>
      <c r="N28" s="615"/>
      <c r="T28" s="1062"/>
      <c r="U28" s="81"/>
    </row>
    <row r="29" spans="1:58" ht="12" customHeight="1">
      <c r="A29" s="77"/>
      <c r="B29" s="2421">
        <v>19</v>
      </c>
      <c r="C29" s="1912" t="str">
        <f>Master!V3</f>
        <v>Gagnagar 102 MW PP (Digital Power)</v>
      </c>
      <c r="D29" s="2186" t="str">
        <f>Master!V5</f>
        <v>HFO</v>
      </c>
      <c r="E29" s="2186" t="str">
        <f>Master!V4</f>
        <v>IPP</v>
      </c>
      <c r="F29" s="2203">
        <f>Master!V7</f>
        <v>102</v>
      </c>
      <c r="G29" s="2188">
        <f>Master!V8</f>
        <v>102</v>
      </c>
      <c r="H29" s="2183">
        <f>Forecast!M29</f>
        <v>102</v>
      </c>
      <c r="I29" s="2202">
        <f>YesterdayGen!V34</f>
        <v>102</v>
      </c>
      <c r="J29" s="2185">
        <f t="shared" si="0"/>
        <v>0</v>
      </c>
      <c r="K29" s="2185">
        <f>IF((H29-I29)&gt;0,(H29-I29),0)</f>
        <v>0</v>
      </c>
      <c r="L29" s="2194"/>
      <c r="N29" s="615"/>
      <c r="T29" s="1062"/>
      <c r="U29" s="81"/>
    </row>
    <row r="30" spans="1:58" ht="13.5" customHeight="1">
      <c r="A30" s="77"/>
      <c r="B30" s="2421">
        <v>20</v>
      </c>
      <c r="C30" s="1912" t="str">
        <f>Master!AA3</f>
        <v>Katpotti 52 MW PP (Sinha)</v>
      </c>
      <c r="D30" s="2186" t="str">
        <f>Master!AA5</f>
        <v>HFO</v>
      </c>
      <c r="E30" s="2186" t="str">
        <f>Master!AA4</f>
        <v>IPP</v>
      </c>
      <c r="F30" s="2204">
        <f>Master!AA7</f>
        <v>51</v>
      </c>
      <c r="G30" s="2188">
        <f>Master!AA8</f>
        <v>0</v>
      </c>
      <c r="H30" s="2183">
        <f>Forecast!M30</f>
        <v>51</v>
      </c>
      <c r="I30" s="2202">
        <f>YesterdayGen!AA34</f>
        <v>0</v>
      </c>
      <c r="J30" s="2185">
        <f t="shared" si="0"/>
        <v>0</v>
      </c>
      <c r="K30" s="2185">
        <f>IF((H30-I30)&gt;0,(H30-I30),0)</f>
        <v>51</v>
      </c>
      <c r="L30" s="2194" t="s">
        <v>1516</v>
      </c>
      <c r="N30" s="615"/>
      <c r="T30" s="1062"/>
      <c r="U30" s="81"/>
    </row>
    <row r="31" spans="1:58" ht="13.5" customHeight="1">
      <c r="A31" s="77"/>
      <c r="B31" s="2421">
        <v>21</v>
      </c>
      <c r="C31" s="1912" t="str">
        <f>Master!AB3</f>
        <v>Kamalaghat 54 MW PP(Banco Energy)</v>
      </c>
      <c r="D31" s="2186" t="str">
        <f>Master!AB5</f>
        <v>HFO</v>
      </c>
      <c r="E31" s="2186" t="str">
        <f>Master!AB4</f>
        <v>IPP</v>
      </c>
      <c r="F31" s="2204">
        <f>Master!AB7</f>
        <v>54</v>
      </c>
      <c r="G31" s="2188">
        <f>Master!AB8</f>
        <v>54</v>
      </c>
      <c r="H31" s="2183">
        <f>Forecast!M31</f>
        <v>35</v>
      </c>
      <c r="I31" s="2202">
        <f>YesterdayGen!AB34</f>
        <v>35</v>
      </c>
      <c r="J31" s="2185">
        <f t="shared" si="0"/>
        <v>0</v>
      </c>
      <c r="K31" s="2185">
        <f t="shared" si="1"/>
        <v>0</v>
      </c>
      <c r="L31" s="2194" t="s">
        <v>126</v>
      </c>
      <c r="N31" s="615"/>
      <c r="T31" s="1062"/>
      <c r="U31" s="81"/>
    </row>
    <row r="32" spans="1:58" ht="16.5" customHeight="1">
      <c r="A32" s="77"/>
      <c r="B32" s="2421">
        <v>22</v>
      </c>
      <c r="C32" s="1912" t="str">
        <f>Master!W3</f>
        <v>Kodda 150MW PP</v>
      </c>
      <c r="D32" s="2186" t="str">
        <f>Master!W5</f>
        <v>HFO</v>
      </c>
      <c r="E32" s="2186" t="str">
        <f>Master!W4</f>
        <v>BPDB-RPCL</v>
      </c>
      <c r="F32" s="2204">
        <f>Master!W7</f>
        <v>149</v>
      </c>
      <c r="G32" s="2188">
        <f>Master!W8</f>
        <v>149</v>
      </c>
      <c r="H32" s="2183">
        <f>Forecast!M32</f>
        <v>149</v>
      </c>
      <c r="I32" s="2202">
        <f>YesterdayGen!W34</f>
        <v>0</v>
      </c>
      <c r="J32" s="2185">
        <f t="shared" si="0"/>
        <v>0</v>
      </c>
      <c r="K32" s="2185">
        <f t="shared" si="1"/>
        <v>149</v>
      </c>
      <c r="L32" s="2194" t="s">
        <v>1516</v>
      </c>
      <c r="N32" s="615"/>
      <c r="T32" s="1062"/>
      <c r="U32" s="81"/>
    </row>
    <row r="33" spans="1:21" ht="16.5" customHeight="1">
      <c r="A33" s="77"/>
      <c r="B33" s="2421">
        <v>23</v>
      </c>
      <c r="C33" s="1912" t="str">
        <f>Master!AC3</f>
        <v>Manikganj 55 MW PP (Northern)</v>
      </c>
      <c r="D33" s="2186" t="str">
        <f>Master!AC5</f>
        <v>HFO</v>
      </c>
      <c r="E33" s="2186" t="str">
        <f>Master!AC4</f>
        <v>IPP</v>
      </c>
      <c r="F33" s="2204">
        <f>Master!AC7</f>
        <v>55</v>
      </c>
      <c r="G33" s="2188">
        <f>Master!AC8</f>
        <v>55</v>
      </c>
      <c r="H33" s="2183">
        <f>Forecast!M33</f>
        <v>55</v>
      </c>
      <c r="I33" s="2202">
        <f>YesterdayGen!AC34</f>
        <v>55</v>
      </c>
      <c r="J33" s="2185">
        <f t="shared" si="0"/>
        <v>0</v>
      </c>
      <c r="K33" s="2185">
        <f t="shared" si="1"/>
        <v>0</v>
      </c>
      <c r="L33" s="2194"/>
      <c r="N33" s="615"/>
      <c r="T33" s="1062"/>
      <c r="U33" s="81"/>
    </row>
    <row r="34" spans="1:21" ht="12.75" customHeight="1">
      <c r="A34" s="77"/>
      <c r="B34" s="2421">
        <v>24</v>
      </c>
      <c r="C34" s="1912" t="str">
        <f>Master!AD3</f>
        <v>Nababganj 55 MW PP (Southern power )</v>
      </c>
      <c r="D34" s="2186" t="str">
        <f>Master!AD5</f>
        <v>HFO</v>
      </c>
      <c r="E34" s="2186" t="str">
        <f>Master!AD4</f>
        <v>IPP</v>
      </c>
      <c r="F34" s="2204">
        <f>Master!AD7</f>
        <v>55</v>
      </c>
      <c r="G34" s="2188">
        <f>Master!AD8</f>
        <v>55</v>
      </c>
      <c r="H34" s="2183">
        <f>Forecast!M34</f>
        <v>35</v>
      </c>
      <c r="I34" s="2202">
        <f>YesterdayGen!AD34</f>
        <v>35</v>
      </c>
      <c r="J34" s="2185">
        <f t="shared" si="0"/>
        <v>0</v>
      </c>
      <c r="K34" s="2185">
        <f t="shared" si="1"/>
        <v>0</v>
      </c>
      <c r="L34" s="2194" t="s">
        <v>1314</v>
      </c>
      <c r="N34" s="615"/>
      <c r="T34" s="1062"/>
      <c r="U34" s="81"/>
    </row>
    <row r="35" spans="1:21" ht="12.75" customHeight="1">
      <c r="A35" s="77"/>
      <c r="B35" s="2421">
        <v>25</v>
      </c>
      <c r="C35" s="3963" t="str">
        <f>Master!Y3</f>
        <v>Bosila 108MW PP(CLC)</v>
      </c>
      <c r="D35" s="3764" t="str">
        <f>Master!Y5</f>
        <v>HFO</v>
      </c>
      <c r="E35" s="3764" t="str">
        <f>Master!Y4</f>
        <v>IPP</v>
      </c>
      <c r="F35" s="3766">
        <f>Master!Y7</f>
        <v>108</v>
      </c>
      <c r="G35" s="3965">
        <f>Master!Y8</f>
        <v>0</v>
      </c>
      <c r="H35" s="3966">
        <f>Forecast!M35</f>
        <v>0</v>
      </c>
      <c r="I35" s="4708">
        <f>YesterdayGen!Y34</f>
        <v>0</v>
      </c>
      <c r="J35" s="3968">
        <f t="shared" si="0"/>
        <v>0</v>
      </c>
      <c r="K35" s="3968">
        <f t="shared" si="1"/>
        <v>0</v>
      </c>
      <c r="L35" s="4709"/>
      <c r="N35" s="615"/>
      <c r="T35" s="1062"/>
      <c r="U35" s="81"/>
    </row>
    <row r="36" spans="1:21" ht="12.75" customHeight="1">
      <c r="A36" s="77"/>
      <c r="B36" s="2421">
        <v>26</v>
      </c>
      <c r="C36" s="1912" t="s">
        <v>155</v>
      </c>
      <c r="D36" s="2186" t="str">
        <f>Master!G5</f>
        <v>Gas</v>
      </c>
      <c r="E36" s="2186" t="str">
        <f>Master!Y4</f>
        <v>IPP</v>
      </c>
      <c r="F36" s="2204">
        <f>Master!AF7+Master!AG7</f>
        <v>80</v>
      </c>
      <c r="G36" s="2188">
        <f>Master!AF8+Master!AG8</f>
        <v>80</v>
      </c>
      <c r="H36" s="2183">
        <f>Forecast!M36</f>
        <v>35</v>
      </c>
      <c r="I36" s="2202">
        <f>YesterdayGen!AF34+YesterdayGen!AG34</f>
        <v>34</v>
      </c>
      <c r="J36" s="2185">
        <f t="shared" si="0"/>
        <v>0</v>
      </c>
      <c r="K36" s="2185">
        <f t="shared" si="1"/>
        <v>1</v>
      </c>
      <c r="L36" s="2194" t="s">
        <v>126</v>
      </c>
      <c r="N36" s="615"/>
      <c r="T36" s="1062"/>
      <c r="U36" s="81"/>
    </row>
    <row r="37" spans="1:21" ht="12.75" customHeight="1">
      <c r="A37" s="77"/>
      <c r="B37" s="2421">
        <v>27</v>
      </c>
      <c r="C37" s="1912" t="str">
        <f>Master!AH3</f>
        <v>Maona 33 MW PP(Summit)</v>
      </c>
      <c r="D37" s="2186" t="str">
        <f>Master!AH5</f>
        <v>Gas</v>
      </c>
      <c r="E37" s="2186" t="str">
        <f>Master!AH4</f>
        <v>SIPP,REB</v>
      </c>
      <c r="F37" s="2204">
        <f>Master!AH7</f>
        <v>33</v>
      </c>
      <c r="G37" s="2188">
        <f>Master!AH8</f>
        <v>33</v>
      </c>
      <c r="H37" s="2183">
        <f>Forecast!M37</f>
        <v>20</v>
      </c>
      <c r="I37" s="2202">
        <f>YesterdayGen!AH34</f>
        <v>16</v>
      </c>
      <c r="J37" s="2185">
        <f t="shared" si="0"/>
        <v>0</v>
      </c>
      <c r="K37" s="2185">
        <f t="shared" si="1"/>
        <v>4</v>
      </c>
      <c r="L37" s="2194" t="s">
        <v>126</v>
      </c>
      <c r="N37" s="615"/>
      <c r="T37" s="1062"/>
      <c r="U37" s="81"/>
    </row>
    <row r="38" spans="1:21" ht="15" customHeight="1">
      <c r="A38" s="77"/>
      <c r="B38" s="2421">
        <v>28</v>
      </c>
      <c r="C38" s="1912" t="str">
        <f>Master!AI3</f>
        <v xml:space="preserve">Rupganj 33 MW PP(Summit) </v>
      </c>
      <c r="D38" s="2186" t="str">
        <f>Master!AI5</f>
        <v>Gas</v>
      </c>
      <c r="E38" s="2199" t="str">
        <f>Master!AI4</f>
        <v>SIPP,REB</v>
      </c>
      <c r="F38" s="2206">
        <f>Master!AI7</f>
        <v>33</v>
      </c>
      <c r="G38" s="2188">
        <f>Master!AI8</f>
        <v>33</v>
      </c>
      <c r="H38" s="2183">
        <f>Forecast!M38</f>
        <v>33</v>
      </c>
      <c r="I38" s="2189">
        <f>YesterdayGen!AI34</f>
        <v>33</v>
      </c>
      <c r="J38" s="2185">
        <f t="shared" si="0"/>
        <v>0</v>
      </c>
      <c r="K38" s="2185">
        <f t="shared" si="1"/>
        <v>0</v>
      </c>
      <c r="L38" s="2194"/>
      <c r="N38" s="615"/>
      <c r="T38" s="1063"/>
      <c r="U38" s="81"/>
    </row>
    <row r="39" spans="1:21" ht="12" customHeight="1">
      <c r="A39" s="77"/>
      <c r="B39" s="2421">
        <v>29</v>
      </c>
      <c r="C39" s="1916" t="str">
        <f>Master!AJ3</f>
        <v>Gazipur 52 MW PP</v>
      </c>
      <c r="D39" s="2186" t="str">
        <f>Master!AJ5</f>
        <v>HFO</v>
      </c>
      <c r="E39" s="2207" t="str">
        <f>Master!AJ4</f>
        <v>RPCL</v>
      </c>
      <c r="F39" s="2206">
        <f>Master!AJ7</f>
        <v>52</v>
      </c>
      <c r="G39" s="2208">
        <f>Master!AJ8</f>
        <v>52</v>
      </c>
      <c r="H39" s="2209">
        <f>Forecast!M39</f>
        <v>51</v>
      </c>
      <c r="I39" s="2189">
        <f>YesterdayGen!AJ34</f>
        <v>25</v>
      </c>
      <c r="J39" s="2185">
        <f t="shared" ref="J39:J44" si="2">IF((I39-H39)&gt;0,(I39-H39),0)</f>
        <v>0</v>
      </c>
      <c r="K39" s="2185">
        <f t="shared" ref="K39:K44" si="3">IF((H39-I39)&gt;0,(H39-I39),0)</f>
        <v>26</v>
      </c>
      <c r="L39" s="2205"/>
      <c r="N39" s="615"/>
      <c r="T39" s="1062"/>
      <c r="U39" s="81"/>
    </row>
    <row r="40" spans="1:21" ht="12" customHeight="1">
      <c r="A40" s="77"/>
      <c r="B40" s="2448">
        <v>30</v>
      </c>
      <c r="C40" s="1917" t="str">
        <f>Master!AK3</f>
        <v>Tongi 80 MW GTPP</v>
      </c>
      <c r="D40" s="2210" t="str">
        <f>Master!AK5</f>
        <v>Gas</v>
      </c>
      <c r="E40" s="2186" t="str">
        <f>Master!AK4</f>
        <v>PDB</v>
      </c>
      <c r="F40" s="2204">
        <f>Master!AK7</f>
        <v>105</v>
      </c>
      <c r="G40" s="2211">
        <f>Master!AK8</f>
        <v>105</v>
      </c>
      <c r="H40" s="2212">
        <f>Forecast!M40</f>
        <v>0</v>
      </c>
      <c r="I40" s="2213">
        <f>YesterdayGen!AK34</f>
        <v>0</v>
      </c>
      <c r="J40" s="2185">
        <f t="shared" si="2"/>
        <v>0</v>
      </c>
      <c r="K40" s="2185">
        <f t="shared" si="3"/>
        <v>0</v>
      </c>
      <c r="L40" s="2194" t="s">
        <v>1314</v>
      </c>
      <c r="N40" s="615"/>
      <c r="T40" s="1062"/>
      <c r="U40" s="81"/>
    </row>
    <row r="41" spans="1:21" ht="12" customHeight="1">
      <c r="A41" s="77"/>
      <c r="B41" s="2451">
        <v>31</v>
      </c>
      <c r="C41" s="1918" t="str">
        <f>Master!CS3</f>
        <v xml:space="preserve">Kodda 300 MW PP Unit-2 (Summit) </v>
      </c>
      <c r="D41" s="2210" t="str">
        <f>Master!CS5</f>
        <v>HFO</v>
      </c>
      <c r="E41" s="2199" t="str">
        <f>Master!CS4</f>
        <v>IPP</v>
      </c>
      <c r="F41" s="2206">
        <f>Master!CS7</f>
        <v>300</v>
      </c>
      <c r="G41" s="2211">
        <f>Master!CS8</f>
        <v>300</v>
      </c>
      <c r="H41" s="2214">
        <f>Forecast!M41</f>
        <v>300</v>
      </c>
      <c r="I41" s="2215">
        <f>YesterdayGen!CS34</f>
        <v>265</v>
      </c>
      <c r="J41" s="2185">
        <f t="shared" si="2"/>
        <v>0</v>
      </c>
      <c r="K41" s="2185">
        <f>IF((H41-I41)&gt;0,(H41-I41),0)</f>
        <v>35</v>
      </c>
      <c r="L41" s="2205" t="s">
        <v>126</v>
      </c>
      <c r="N41" s="615"/>
      <c r="T41" s="1062"/>
      <c r="U41" s="81"/>
    </row>
    <row r="42" spans="1:21" ht="12" customHeight="1">
      <c r="A42" s="77"/>
      <c r="B42" s="2460">
        <v>32</v>
      </c>
      <c r="C42" s="1917" t="str">
        <f>Master!CT3</f>
        <v xml:space="preserve"> Keranigonj 300 MW PP (APR)</v>
      </c>
      <c r="D42" s="2210" t="str">
        <f>Master!CT5</f>
        <v>HSD</v>
      </c>
      <c r="E42" s="2216" t="str">
        <f>Master!CT4</f>
        <v>IPP</v>
      </c>
      <c r="F42" s="2217">
        <v>300</v>
      </c>
      <c r="G42" s="2211">
        <v>300</v>
      </c>
      <c r="H42" s="2214">
        <f>Forecast!M42</f>
        <v>300</v>
      </c>
      <c r="I42" s="2215">
        <f>YesterdayGen!CT34</f>
        <v>0</v>
      </c>
      <c r="J42" s="2185">
        <f t="shared" si="2"/>
        <v>0</v>
      </c>
      <c r="K42" s="2185">
        <f t="shared" si="3"/>
        <v>300</v>
      </c>
      <c r="L42" s="2194"/>
      <c r="N42" s="615"/>
      <c r="T42" s="1062"/>
      <c r="U42" s="81"/>
    </row>
    <row r="43" spans="1:21" ht="12" customHeight="1">
      <c r="A43" s="77"/>
      <c r="B43" s="2467">
        <v>33</v>
      </c>
      <c r="C43" s="3918" t="str">
        <f>Master!CU3</f>
        <v xml:space="preserve"> Bramhangoan 100 MW PP (Aggreko)</v>
      </c>
      <c r="D43" s="2186" t="str">
        <f>Master!CU5</f>
        <v>HSD</v>
      </c>
      <c r="E43" s="2218" t="str">
        <f>Master!CU4</f>
        <v>IPP</v>
      </c>
      <c r="F43" s="2204">
        <f>Master!CU7</f>
        <v>100</v>
      </c>
      <c r="G43" s="2208">
        <f>Master!CU8</f>
        <v>100</v>
      </c>
      <c r="H43" s="2219">
        <f>Forecast!M43</f>
        <v>100</v>
      </c>
      <c r="I43" s="2220">
        <f>YesterdayGen!CU34</f>
        <v>0</v>
      </c>
      <c r="J43" s="2185">
        <f t="shared" si="2"/>
        <v>0</v>
      </c>
      <c r="K43" s="2185">
        <f t="shared" si="3"/>
        <v>100</v>
      </c>
      <c r="L43" s="2194"/>
      <c r="N43" s="615"/>
      <c r="T43" s="1062"/>
      <c r="U43" s="81"/>
    </row>
    <row r="44" spans="1:21" ht="12" customHeight="1">
      <c r="A44" s="77"/>
      <c r="B44" s="2451">
        <v>34</v>
      </c>
      <c r="C44" s="1919" t="str">
        <f>Master!CW3</f>
        <v>Aurahati 100MW PP (Aggreko)</v>
      </c>
      <c r="D44" s="2186" t="str">
        <f>Master!CW5</f>
        <v>HSD</v>
      </c>
      <c r="E44" s="2218" t="str">
        <f>Master!CW4</f>
        <v>IPP</v>
      </c>
      <c r="F44" s="2204">
        <f>Master!CW7</f>
        <v>100</v>
      </c>
      <c r="G44" s="2208">
        <f>Master!CW8</f>
        <v>100</v>
      </c>
      <c r="H44" s="2221">
        <f>Forecast!M44</f>
        <v>100</v>
      </c>
      <c r="I44" s="2220">
        <f>YesterdayGen!CW34</f>
        <v>0</v>
      </c>
      <c r="J44" s="2222">
        <f t="shared" si="2"/>
        <v>0</v>
      </c>
      <c r="K44" s="2222">
        <f t="shared" si="3"/>
        <v>100</v>
      </c>
      <c r="L44" s="2194"/>
      <c r="N44" s="615"/>
      <c r="T44" s="1062"/>
      <c r="U44" s="81"/>
    </row>
    <row r="45" spans="1:21" ht="12" customHeight="1">
      <c r="A45" s="77"/>
      <c r="B45" s="2451">
        <v>35</v>
      </c>
      <c r="C45" s="1920" t="str">
        <f>Master!CX3</f>
        <v xml:space="preserve">Kodda 149 MW PP Unit-1 (Summit) </v>
      </c>
      <c r="D45" s="2210" t="str">
        <f>Master!CX5</f>
        <v>HFO</v>
      </c>
      <c r="E45" s="2210" t="str">
        <f>Master!CX4</f>
        <v>IPP</v>
      </c>
      <c r="F45" s="2223">
        <f>Master!CX7</f>
        <v>149</v>
      </c>
      <c r="G45" s="2211">
        <f>Master!CX8</f>
        <v>149</v>
      </c>
      <c r="H45" s="2224">
        <f>Forecast!M45</f>
        <v>149</v>
      </c>
      <c r="I45" s="2215">
        <f>YesterdayGen!CX34</f>
        <v>70</v>
      </c>
      <c r="J45" s="2225">
        <f t="shared" ref="J45:J50" si="4">IF((I45-H45)&gt;0,(I45-H45),0)</f>
        <v>0</v>
      </c>
      <c r="K45" s="2225">
        <f t="shared" ref="K45:K50" si="5">IF((H45-I45)&gt;0,(H45-I45),0)</f>
        <v>79</v>
      </c>
      <c r="L45" s="2205" t="s">
        <v>1516</v>
      </c>
      <c r="N45" s="615"/>
      <c r="T45" s="1062"/>
      <c r="U45" s="81"/>
    </row>
    <row r="46" spans="1:21" ht="12" customHeight="1">
      <c r="A46" s="77"/>
      <c r="B46" s="3446">
        <v>36</v>
      </c>
      <c r="C46" s="3536" t="str">
        <f>Master!DE3</f>
        <v>Gazipur 100 MW PP</v>
      </c>
      <c r="D46" s="2210" t="str">
        <f>Master!DE5</f>
        <v>HFO</v>
      </c>
      <c r="E46" s="2210" t="str">
        <f>Master!DE4</f>
        <v>RPCL</v>
      </c>
      <c r="F46" s="2223">
        <f>Master!DE7</f>
        <v>105</v>
      </c>
      <c r="G46" s="2211">
        <f>Master!DE8</f>
        <v>105</v>
      </c>
      <c r="H46" s="2224">
        <f>Forecast!M46</f>
        <v>105</v>
      </c>
      <c r="I46" s="2215">
        <f>YesterdayGen!DE34</f>
        <v>105</v>
      </c>
      <c r="J46" s="2225">
        <f t="shared" si="4"/>
        <v>0</v>
      </c>
      <c r="K46" s="2225">
        <f t="shared" si="5"/>
        <v>0</v>
      </c>
      <c r="L46" s="2205"/>
      <c r="N46" s="615"/>
      <c r="T46" s="1062"/>
      <c r="U46" s="81"/>
    </row>
    <row r="47" spans="1:21" ht="12" customHeight="1">
      <c r="A47" s="77"/>
      <c r="B47" s="3878">
        <v>37</v>
      </c>
      <c r="C47" s="3536" t="str">
        <f>Master!DO3</f>
        <v>Meghnaghat 104 MW PP (OPCL)</v>
      </c>
      <c r="D47" s="2210" t="str">
        <f>Master!DO5</f>
        <v>HFO</v>
      </c>
      <c r="E47" s="2269" t="str">
        <f>Master!DO4</f>
        <v>IPP</v>
      </c>
      <c r="F47" s="2204">
        <f>Master!DO7</f>
        <v>104</v>
      </c>
      <c r="G47" s="2211">
        <f>Master!DO8</f>
        <v>104</v>
      </c>
      <c r="H47" s="2224">
        <f>Forecast!M47</f>
        <v>104</v>
      </c>
      <c r="I47" s="2215">
        <f>YesterdayGen!DO34</f>
        <v>104</v>
      </c>
      <c r="J47" s="2225">
        <f t="shared" si="4"/>
        <v>0</v>
      </c>
      <c r="K47" s="2225">
        <f t="shared" si="5"/>
        <v>0</v>
      </c>
      <c r="L47" s="2205"/>
      <c r="N47" s="615"/>
      <c r="T47" s="1062"/>
      <c r="U47" s="81"/>
    </row>
    <row r="48" spans="1:21" ht="12" customHeight="1">
      <c r="A48" s="77"/>
      <c r="B48" s="4026">
        <v>38</v>
      </c>
      <c r="C48" s="1917" t="str">
        <f>Master!DQ3</f>
        <v>Manikgonj 162MW PP(MPGL)</v>
      </c>
      <c r="D48" s="2210" t="str">
        <f>Master!DQ5</f>
        <v>HFO</v>
      </c>
      <c r="E48" s="2210" t="str">
        <f>Master!DQ4</f>
        <v>IPP</v>
      </c>
      <c r="F48" s="2256">
        <f>Master!DQ7</f>
        <v>162</v>
      </c>
      <c r="G48" s="2256">
        <f>Master!DQ8</f>
        <v>162</v>
      </c>
      <c r="H48" s="2224">
        <f>Forecast!M48</f>
        <v>162</v>
      </c>
      <c r="I48" s="2213">
        <f>YesterdayGen!DQ34</f>
        <v>54</v>
      </c>
      <c r="J48" s="2225">
        <f t="shared" si="4"/>
        <v>0</v>
      </c>
      <c r="K48" s="2225">
        <f t="shared" si="5"/>
        <v>108</v>
      </c>
      <c r="L48" s="2205" t="s">
        <v>1637</v>
      </c>
      <c r="N48" s="615"/>
      <c r="T48" s="1062"/>
      <c r="U48" s="81"/>
    </row>
    <row r="49" spans="1:21" ht="12" customHeight="1">
      <c r="A49" s="77"/>
      <c r="B49" s="5004">
        <v>39</v>
      </c>
      <c r="C49" s="1917" t="str">
        <f>Master!DU3</f>
        <v>Spectra Solar Plant Ltd.</v>
      </c>
      <c r="D49" s="2210" t="str">
        <f>Master!DU5</f>
        <v>Solar</v>
      </c>
      <c r="E49" s="2269" t="str">
        <f>Master!DU4</f>
        <v>IPP</v>
      </c>
      <c r="F49" s="2256">
        <f>Master!DU7</f>
        <v>35</v>
      </c>
      <c r="G49" s="2211">
        <f>Master!DU8</f>
        <v>35</v>
      </c>
      <c r="H49" s="2224">
        <f>Forecast!M49</f>
        <v>0</v>
      </c>
      <c r="I49" s="2215">
        <f>YesterdayGen!DU34</f>
        <v>0</v>
      </c>
      <c r="J49" s="2225">
        <f t="shared" si="4"/>
        <v>0</v>
      </c>
      <c r="K49" s="2225">
        <f t="shared" si="5"/>
        <v>0</v>
      </c>
      <c r="L49" s="3387"/>
      <c r="N49" s="615"/>
      <c r="T49" s="1062"/>
      <c r="U49" s="81"/>
    </row>
    <row r="50" spans="1:21" s="4901" customFormat="1" ht="12" customHeight="1" thickBot="1">
      <c r="A50" s="77"/>
      <c r="B50" s="5001"/>
      <c r="C50" s="3729" t="str">
        <f>Master!DW3</f>
        <v>Kanchan Purbachal Power Generation  Ltd.</v>
      </c>
      <c r="D50" s="2226" t="str">
        <f>Master!DW5</f>
        <v>HFO</v>
      </c>
      <c r="E50" s="2226" t="str">
        <f>Master!DW4</f>
        <v>IPP</v>
      </c>
      <c r="F50" s="3730">
        <f>Master!DW7</f>
        <v>0</v>
      </c>
      <c r="G50" s="3730">
        <f>Master!DW8</f>
        <v>0</v>
      </c>
      <c r="H50" s="2227">
        <f>Forecast!M50</f>
        <v>55</v>
      </c>
      <c r="I50" s="4799">
        <f>YesterdayGen!DW34</f>
        <v>55</v>
      </c>
      <c r="J50" s="2228">
        <f t="shared" si="4"/>
        <v>0</v>
      </c>
      <c r="K50" s="2228">
        <f t="shared" si="5"/>
        <v>0</v>
      </c>
      <c r="L50" s="3731"/>
      <c r="N50" s="4902"/>
      <c r="T50" s="1062"/>
      <c r="U50" s="4903"/>
    </row>
    <row r="51" spans="1:21" ht="13.5" customHeight="1" thickBot="1">
      <c r="A51" s="77"/>
      <c r="B51" s="2079"/>
      <c r="C51" s="2229" t="s">
        <v>39</v>
      </c>
      <c r="D51" s="2230"/>
      <c r="E51" s="2231"/>
      <c r="F51" s="2232">
        <f t="shared" ref="F51:K51" si="6">SUM(F9:F50)</f>
        <v>6178</v>
      </c>
      <c r="G51" s="2233">
        <f t="shared" si="6"/>
        <v>5560</v>
      </c>
      <c r="H51" s="2234">
        <f t="shared" si="6"/>
        <v>2660</v>
      </c>
      <c r="I51" s="2235">
        <f t="shared" si="6"/>
        <v>1725</v>
      </c>
      <c r="J51" s="2236">
        <f t="shared" si="6"/>
        <v>60</v>
      </c>
      <c r="K51" s="2236">
        <f t="shared" si="6"/>
        <v>995</v>
      </c>
      <c r="L51" s="2237"/>
      <c r="N51" s="1104"/>
      <c r="T51" s="1062"/>
      <c r="U51" s="81"/>
    </row>
    <row r="52" spans="1:21" ht="12" customHeight="1">
      <c r="A52" s="77"/>
      <c r="B52" s="2492">
        <v>40</v>
      </c>
      <c r="C52" s="2238" t="str">
        <f>Master!AN3</f>
        <v xml:space="preserve">Chattogram TPP-1 </v>
      </c>
      <c r="D52" s="2182" t="str">
        <f>Master!AN5</f>
        <v>Gas</v>
      </c>
      <c r="E52" s="2239" t="str">
        <f>Master!AN4</f>
        <v>PDB</v>
      </c>
      <c r="F52" s="2204">
        <f>Master!AN7</f>
        <v>210</v>
      </c>
      <c r="G52" s="2240">
        <f>Master!AN8</f>
        <v>180</v>
      </c>
      <c r="H52" s="2241">
        <f>Forecast!M52</f>
        <v>0</v>
      </c>
      <c r="I52" s="2242">
        <f>YesterdayGen!AN34</f>
        <v>0</v>
      </c>
      <c r="J52" s="2185">
        <f t="shared" si="0"/>
        <v>0</v>
      </c>
      <c r="K52" s="2185">
        <f t="shared" si="1"/>
        <v>0</v>
      </c>
      <c r="L52" s="2194" t="s">
        <v>174</v>
      </c>
      <c r="N52" s="615"/>
      <c r="T52" s="1062"/>
      <c r="U52" s="81"/>
    </row>
    <row r="53" spans="1:21" ht="12" customHeight="1">
      <c r="A53" s="77"/>
      <c r="B53" s="2421"/>
      <c r="C53" s="2238" t="str">
        <f>Master!AO3</f>
        <v>Chattogram TPP-2</v>
      </c>
      <c r="D53" s="2182" t="str">
        <f>Master!AO5</f>
        <v>Gas</v>
      </c>
      <c r="E53" s="2239" t="str">
        <f>Master!AO4</f>
        <v>PDB</v>
      </c>
      <c r="F53" s="2204">
        <f>Master!AO7</f>
        <v>210</v>
      </c>
      <c r="G53" s="2240">
        <f>Master!AO8</f>
        <v>180</v>
      </c>
      <c r="H53" s="2243">
        <f>Forecast!M53</f>
        <v>0</v>
      </c>
      <c r="I53" s="2242">
        <f>YesterdayGen!AO34</f>
        <v>0</v>
      </c>
      <c r="J53" s="2185">
        <f t="shared" si="0"/>
        <v>0</v>
      </c>
      <c r="K53" s="2185">
        <f t="shared" si="1"/>
        <v>0</v>
      </c>
      <c r="L53" s="2194" t="s">
        <v>174</v>
      </c>
      <c r="N53" s="615"/>
      <c r="T53" s="1062"/>
      <c r="U53" s="81"/>
    </row>
    <row r="54" spans="1:21" ht="12" customHeight="1">
      <c r="A54" s="77"/>
      <c r="B54" s="2421">
        <v>41</v>
      </c>
      <c r="C54" s="1916" t="str">
        <f>Master!AP3</f>
        <v>Raozan 25 MW PP</v>
      </c>
      <c r="D54" s="2186" t="str">
        <f>Master!AP5</f>
        <v>HFO</v>
      </c>
      <c r="E54" s="2218" t="str">
        <f>Master!AP4</f>
        <v>IPP</v>
      </c>
      <c r="F54" s="2204">
        <f>Master!AP7</f>
        <v>25</v>
      </c>
      <c r="G54" s="2208">
        <f>Master!AP8</f>
        <v>25</v>
      </c>
      <c r="H54" s="2243">
        <f>Forecast!M54</f>
        <v>25</v>
      </c>
      <c r="I54" s="2220">
        <f>YesterdayGen!AP34</f>
        <v>17</v>
      </c>
      <c r="J54" s="2185">
        <f t="shared" si="0"/>
        <v>0</v>
      </c>
      <c r="K54" s="2185">
        <f t="shared" si="1"/>
        <v>8</v>
      </c>
      <c r="L54" s="2194" t="s">
        <v>1516</v>
      </c>
      <c r="N54" s="615"/>
      <c r="T54" s="1062"/>
      <c r="U54" s="81"/>
    </row>
    <row r="55" spans="1:21" ht="12" customHeight="1">
      <c r="A55" s="77"/>
      <c r="B55" s="2421">
        <v>42</v>
      </c>
      <c r="C55" s="1916" t="str">
        <f>Master!CY3</f>
        <v>Teknaf  20MW PP (Solartech)</v>
      </c>
      <c r="D55" s="2186" t="str">
        <f>Master!CY5</f>
        <v>Solar</v>
      </c>
      <c r="E55" s="2218" t="str">
        <f>Master!CY4</f>
        <v>Teknaf Solartech Energy Ltd.</v>
      </c>
      <c r="F55" s="2204">
        <f>Master!CY7</f>
        <v>20</v>
      </c>
      <c r="G55" s="2208">
        <f>Master!CY8</f>
        <v>20</v>
      </c>
      <c r="H55" s="2243">
        <f>Forecast!M55</f>
        <v>0</v>
      </c>
      <c r="I55" s="2220">
        <f>YesterdayGen!CY34</f>
        <v>0</v>
      </c>
      <c r="J55" s="2185">
        <f t="shared" si="0"/>
        <v>0</v>
      </c>
      <c r="K55" s="2185">
        <f t="shared" si="1"/>
        <v>0</v>
      </c>
      <c r="L55" s="2205"/>
      <c r="N55" s="615"/>
      <c r="T55" s="1062"/>
      <c r="U55" s="81"/>
    </row>
    <row r="56" spans="1:21" ht="12" customHeight="1">
      <c r="A56" s="77"/>
      <c r="B56" s="2421">
        <v>43</v>
      </c>
      <c r="C56" s="1916" t="str">
        <f>Master!BA3</f>
        <v>Patenga 50MW PP (Baraka)</v>
      </c>
      <c r="D56" s="2186" t="str">
        <f>Master!BA5</f>
        <v>HFO</v>
      </c>
      <c r="E56" s="2218" t="str">
        <f>Master!BA4</f>
        <v>IPP</v>
      </c>
      <c r="F56" s="2204">
        <f>Master!BA7</f>
        <v>50</v>
      </c>
      <c r="G56" s="2208">
        <f>Master!BA8</f>
        <v>50</v>
      </c>
      <c r="H56" s="2243">
        <f>Forecast!M56</f>
        <v>50</v>
      </c>
      <c r="I56" s="2220">
        <f>YesterdayGen!BA34</f>
        <v>0</v>
      </c>
      <c r="J56" s="2185">
        <f t="shared" si="0"/>
        <v>0</v>
      </c>
      <c r="K56" s="2185">
        <f t="shared" si="1"/>
        <v>50</v>
      </c>
      <c r="L56" s="2194" t="s">
        <v>1255</v>
      </c>
      <c r="N56" s="615"/>
      <c r="T56" s="1062"/>
      <c r="U56" s="81"/>
    </row>
    <row r="57" spans="1:21" ht="12" customHeight="1">
      <c r="A57" s="77"/>
      <c r="B57" s="2421">
        <v>44</v>
      </c>
      <c r="C57" s="1916" t="s">
        <v>160</v>
      </c>
      <c r="D57" s="2186" t="str">
        <f>Master!AL5</f>
        <v>Hydro</v>
      </c>
      <c r="E57" s="2218" t="str">
        <f>Master!AL4</f>
        <v>PDB</v>
      </c>
      <c r="F57" s="2204">
        <f>Master!AL7+Master!AM7</f>
        <v>230</v>
      </c>
      <c r="G57" s="2208">
        <f>Master!AL8+Master!AM8</f>
        <v>230</v>
      </c>
      <c r="H57" s="2243">
        <f>Forecast!M57</f>
        <v>80</v>
      </c>
      <c r="I57" s="2220">
        <f>YesterdayGen!AL34+YesterdayGen!AM34</f>
        <v>78</v>
      </c>
      <c r="J57" s="2185">
        <f t="shared" si="0"/>
        <v>0</v>
      </c>
      <c r="K57" s="2185">
        <f t="shared" si="1"/>
        <v>2</v>
      </c>
      <c r="L57" s="2205" t="s">
        <v>1483</v>
      </c>
      <c r="N57" s="615"/>
      <c r="T57" s="1062"/>
      <c r="U57" s="81"/>
    </row>
    <row r="58" spans="1:21" ht="12" customHeight="1">
      <c r="A58" s="77"/>
      <c r="B58" s="2421">
        <v>45</v>
      </c>
      <c r="C58" s="2245" t="s">
        <v>170</v>
      </c>
      <c r="D58" s="2186" t="s">
        <v>728</v>
      </c>
      <c r="E58" s="2218" t="str">
        <f>Master!AQ4</f>
        <v>PDB</v>
      </c>
      <c r="F58" s="2204">
        <f>Master!AQ7</f>
        <v>225</v>
      </c>
      <c r="G58" s="2204">
        <f>Master!AQ8</f>
        <v>225</v>
      </c>
      <c r="H58" s="2243">
        <f>Forecast!M58</f>
        <v>0</v>
      </c>
      <c r="I58" s="2220">
        <f>YesterdayGen!AQ34+YesterdayGen!AR34</f>
        <v>0</v>
      </c>
      <c r="J58" s="2185">
        <f t="shared" si="0"/>
        <v>0</v>
      </c>
      <c r="K58" s="2185">
        <f t="shared" si="1"/>
        <v>0</v>
      </c>
      <c r="L58" s="2194" t="s">
        <v>117</v>
      </c>
      <c r="N58" s="615"/>
      <c r="T58" s="1062"/>
      <c r="U58" s="81"/>
    </row>
    <row r="59" spans="1:21" ht="12" customHeight="1">
      <c r="A59" s="77"/>
      <c r="B59" s="2421">
        <v>46</v>
      </c>
      <c r="C59" s="2245" t="s">
        <v>115</v>
      </c>
      <c r="D59" s="2186" t="s">
        <v>728</v>
      </c>
      <c r="E59" s="2218" t="str">
        <f>Master!AS4</f>
        <v>PDB</v>
      </c>
      <c r="F59" s="2204">
        <f>Master!AS7</f>
        <v>150</v>
      </c>
      <c r="G59" s="2208">
        <f>Master!AS8</f>
        <v>150</v>
      </c>
      <c r="H59" s="2243">
        <f>Forecast!M59</f>
        <v>0</v>
      </c>
      <c r="I59" s="2220">
        <f>YesterdayGen!AS34+YesterdayGen!AT34</f>
        <v>0</v>
      </c>
      <c r="J59" s="2185">
        <f t="shared" si="0"/>
        <v>0</v>
      </c>
      <c r="K59" s="2185">
        <f t="shared" si="1"/>
        <v>0</v>
      </c>
      <c r="L59" s="2194" t="s">
        <v>117</v>
      </c>
      <c r="N59" s="615"/>
      <c r="T59" s="1062"/>
      <c r="U59" s="81"/>
    </row>
    <row r="60" spans="1:21" ht="12" customHeight="1">
      <c r="A60" s="77"/>
      <c r="B60" s="2421">
        <v>47</v>
      </c>
      <c r="C60" s="2245" t="str">
        <f>Master!DF3</f>
        <v>Sikalbaha 105 MW PP (Baraka Sikalbaha)</v>
      </c>
      <c r="D60" s="2186" t="str">
        <f>Master!DF5</f>
        <v>HFO</v>
      </c>
      <c r="E60" s="2218" t="str">
        <f>Master!DF4</f>
        <v>IPP</v>
      </c>
      <c r="F60" s="2204">
        <f>Master!DF7</f>
        <v>105</v>
      </c>
      <c r="G60" s="2246">
        <f>Master!DF8</f>
        <v>105</v>
      </c>
      <c r="H60" s="2243">
        <f>Forecast!M60</f>
        <v>105</v>
      </c>
      <c r="I60" s="2247">
        <f>YesterdayGen!DF34</f>
        <v>105</v>
      </c>
      <c r="J60" s="2185">
        <f>IF((I60-H60)&gt;0,(I60-H60),0)</f>
        <v>0</v>
      </c>
      <c r="K60" s="2185">
        <f>IF((H60-I60)&gt;0,(H60-I60),0)</f>
        <v>0</v>
      </c>
      <c r="L60" s="2194"/>
      <c r="N60" s="615"/>
      <c r="T60" s="1062"/>
      <c r="U60" s="81"/>
    </row>
    <row r="61" spans="1:21" ht="12" customHeight="1">
      <c r="A61" s="77"/>
      <c r="B61" s="2421">
        <v>48</v>
      </c>
      <c r="C61" s="2245" t="str">
        <f>Master!AW3</f>
        <v>Hathazari 100 MW peaking PP</v>
      </c>
      <c r="D61" s="2186" t="str">
        <f>Master!AW5</f>
        <v>HFO</v>
      </c>
      <c r="E61" s="2218" t="str">
        <f>Master!AW4</f>
        <v>PDB</v>
      </c>
      <c r="F61" s="2204">
        <f>Master!AW7</f>
        <v>98</v>
      </c>
      <c r="G61" s="2208">
        <f>Master!AW8</f>
        <v>98</v>
      </c>
      <c r="H61" s="2243">
        <f>Forecast!M61</f>
        <v>0</v>
      </c>
      <c r="I61" s="2220">
        <f>YesterdayGen!AW34</f>
        <v>0</v>
      </c>
      <c r="J61" s="2185">
        <f t="shared" si="0"/>
        <v>0</v>
      </c>
      <c r="K61" s="2185">
        <f t="shared" si="1"/>
        <v>0</v>
      </c>
      <c r="L61" s="2194" t="s">
        <v>1356</v>
      </c>
      <c r="N61" s="615"/>
      <c r="T61" s="1062"/>
      <c r="U61" s="81"/>
    </row>
    <row r="62" spans="1:21" ht="12" customHeight="1">
      <c r="A62" s="77"/>
      <c r="B62" s="2421">
        <v>49</v>
      </c>
      <c r="C62" s="2245" t="str">
        <f>Master!AX3</f>
        <v>Dohazari -Kalaish 100 MW Peaking</v>
      </c>
      <c r="D62" s="2186" t="str">
        <f>Master!AX5</f>
        <v>HFO</v>
      </c>
      <c r="E62" s="2218" t="str">
        <f>Master!AX4</f>
        <v>PDB</v>
      </c>
      <c r="F62" s="2204">
        <f>Master!AX7</f>
        <v>102</v>
      </c>
      <c r="G62" s="2208">
        <f>Master!AX8</f>
        <v>102</v>
      </c>
      <c r="H62" s="2243">
        <f>Forecast!M62</f>
        <v>70</v>
      </c>
      <c r="I62" s="2220">
        <f>YesterdayGen!AX34</f>
        <v>40</v>
      </c>
      <c r="J62" s="2185">
        <f t="shared" si="0"/>
        <v>0</v>
      </c>
      <c r="K62" s="2185">
        <f t="shared" si="1"/>
        <v>30</v>
      </c>
      <c r="L62" s="2194" t="s">
        <v>126</v>
      </c>
      <c r="N62" s="615"/>
      <c r="T62" s="1062"/>
      <c r="U62" s="81"/>
    </row>
    <row r="63" spans="1:21" ht="12" customHeight="1">
      <c r="A63" s="77"/>
      <c r="B63" s="2421">
        <v>50</v>
      </c>
      <c r="C63" s="2245" t="str">
        <f>Master!AY3</f>
        <v>Juldah 100 MW Unit-1 (Acorn)</v>
      </c>
      <c r="D63" s="2186" t="str">
        <f>Master!AY5</f>
        <v>HFO</v>
      </c>
      <c r="E63" s="2218" t="str">
        <f>Master!AY4</f>
        <v>QRPP</v>
      </c>
      <c r="F63" s="2204">
        <f>Master!AY7</f>
        <v>100</v>
      </c>
      <c r="G63" s="2208">
        <f>Master!AY8</f>
        <v>100</v>
      </c>
      <c r="H63" s="2243">
        <f>Forecast!M63</f>
        <v>100</v>
      </c>
      <c r="I63" s="2220">
        <f>YesterdayGen!AY34</f>
        <v>10</v>
      </c>
      <c r="J63" s="2185">
        <f t="shared" si="0"/>
        <v>0</v>
      </c>
      <c r="K63" s="2185">
        <f t="shared" si="1"/>
        <v>90</v>
      </c>
      <c r="L63" s="2194" t="s">
        <v>1516</v>
      </c>
      <c r="N63" s="615"/>
      <c r="T63" s="1062"/>
      <c r="U63" s="81"/>
    </row>
    <row r="64" spans="1:21" ht="12" customHeight="1">
      <c r="A64" s="77"/>
      <c r="B64" s="2421">
        <v>51</v>
      </c>
      <c r="C64" s="2245" t="str">
        <f>Master!CZ3</f>
        <v>Juldah 100 MW PP Unit-3 (Acorn)</v>
      </c>
      <c r="D64" s="2186" t="str">
        <f>Master!CZ5</f>
        <v>HFO</v>
      </c>
      <c r="E64" s="2218" t="str">
        <f>Master!CZ4</f>
        <v>IPP</v>
      </c>
      <c r="F64" s="2204">
        <f>Master!CZ7</f>
        <v>100</v>
      </c>
      <c r="G64" s="2208">
        <f>Master!CZ8</f>
        <v>100</v>
      </c>
      <c r="H64" s="2243">
        <f>Forecast!M64</f>
        <v>90</v>
      </c>
      <c r="I64" s="2220">
        <f>YesterdayGen!CZ34</f>
        <v>90</v>
      </c>
      <c r="J64" s="2185">
        <f t="shared" si="0"/>
        <v>0</v>
      </c>
      <c r="K64" s="2185">
        <f t="shared" si="1"/>
        <v>0</v>
      </c>
      <c r="L64" s="2194" t="s">
        <v>126</v>
      </c>
      <c r="N64" s="615"/>
      <c r="T64" s="1062"/>
      <c r="U64" s="81"/>
    </row>
    <row r="65" spans="1:21" ht="12" customHeight="1">
      <c r="A65" s="77"/>
      <c r="B65" s="2421">
        <v>52</v>
      </c>
      <c r="C65" s="2245" t="str">
        <f>Master!BB3</f>
        <v>Barabkunda  22 MW PP (Regent)</v>
      </c>
      <c r="D65" s="2186" t="str">
        <f>Master!BB5</f>
        <v>Gas</v>
      </c>
      <c r="E65" s="2207" t="str">
        <f>Master!BB4</f>
        <v>SIPP, PDB</v>
      </c>
      <c r="F65" s="2206">
        <f>Master!BB7</f>
        <v>22</v>
      </c>
      <c r="G65" s="2208">
        <f>Master!BB8</f>
        <v>22</v>
      </c>
      <c r="H65" s="2243">
        <f>Forecast!M65</f>
        <v>21</v>
      </c>
      <c r="I65" s="2220">
        <f>YesterdayGen!BB34</f>
        <v>21</v>
      </c>
      <c r="J65" s="2185">
        <f t="shared" si="0"/>
        <v>0</v>
      </c>
      <c r="K65" s="2185">
        <f t="shared" si="1"/>
        <v>0</v>
      </c>
      <c r="L65" s="2194"/>
      <c r="N65" s="615"/>
      <c r="T65" s="1063"/>
      <c r="U65" s="81"/>
    </row>
    <row r="66" spans="1:21" ht="12" customHeight="1">
      <c r="A66" s="77"/>
      <c r="B66" s="2421" t="s">
        <v>144</v>
      </c>
      <c r="C66" s="2248" t="str">
        <f>Master!BC3</f>
        <v>Malancha, Ctg. EPZ (United)</v>
      </c>
      <c r="D66" s="2249" t="str">
        <f>Master!BC5</f>
        <v>Gas</v>
      </c>
      <c r="E66" s="2250"/>
      <c r="F66" s="2251"/>
      <c r="G66" s="2252"/>
      <c r="H66" s="2243">
        <f>Forecast!M66</f>
        <v>10</v>
      </c>
      <c r="I66" s="2253">
        <f>YesterdayGen!BC34</f>
        <v>10</v>
      </c>
      <c r="J66" s="2185">
        <f t="shared" si="0"/>
        <v>0</v>
      </c>
      <c r="K66" s="2185">
        <f t="shared" si="1"/>
        <v>0</v>
      </c>
      <c r="L66" s="2254"/>
      <c r="N66" s="615"/>
      <c r="T66" s="1064"/>
      <c r="U66" s="81"/>
    </row>
    <row r="67" spans="1:21" ht="12" customHeight="1">
      <c r="A67" s="77"/>
      <c r="B67" s="2509">
        <v>53</v>
      </c>
      <c r="C67" s="2245" t="str">
        <f>Master!AZ3</f>
        <v>Chattogram 108 MW PP (ECPV)</v>
      </c>
      <c r="D67" s="2186" t="str">
        <f>Master!AZ5</f>
        <v>HFO</v>
      </c>
      <c r="E67" s="2207" t="str">
        <f>Master!AZ4</f>
        <v>IPP</v>
      </c>
      <c r="F67" s="2217">
        <f>Master!AZ7</f>
        <v>108</v>
      </c>
      <c r="G67" s="2208">
        <f>Master!AZ8</f>
        <v>108</v>
      </c>
      <c r="H67" s="2243">
        <f>Forecast!M67</f>
        <v>6</v>
      </c>
      <c r="I67" s="2220">
        <f>YesterdayGen!AZ34</f>
        <v>12</v>
      </c>
      <c r="J67" s="2185">
        <f t="shared" si="0"/>
        <v>6</v>
      </c>
      <c r="K67" s="2185">
        <f t="shared" si="1"/>
        <v>0</v>
      </c>
      <c r="L67" s="2194" t="s">
        <v>126</v>
      </c>
      <c r="N67" s="615"/>
      <c r="T67" s="1062"/>
      <c r="U67" s="81"/>
    </row>
    <row r="68" spans="1:21" ht="12" customHeight="1">
      <c r="A68" s="77"/>
      <c r="B68" s="2511">
        <v>54</v>
      </c>
      <c r="C68" s="2245" t="str">
        <f>Master!DG3</f>
        <v>Kaptai 7 MW  Solar PP</v>
      </c>
      <c r="D68" s="2186" t="str">
        <f>Master!DG5</f>
        <v>Solar</v>
      </c>
      <c r="E68" s="2199" t="str">
        <f>Master!DG4</f>
        <v>PDB</v>
      </c>
      <c r="F68" s="2251">
        <f>Master!DG7</f>
        <v>7</v>
      </c>
      <c r="G68" s="2252">
        <f>Master!DG8</f>
        <v>7</v>
      </c>
      <c r="H68" s="2243">
        <f>Forecast!M68</f>
        <v>0</v>
      </c>
      <c r="I68" s="2253">
        <f>YesterdayGen!DG34</f>
        <v>0</v>
      </c>
      <c r="J68" s="2185">
        <f t="shared" ref="J68:J73" si="7">IF((I68-H68)&gt;0,(I68-H68),0)</f>
        <v>0</v>
      </c>
      <c r="K68" s="2222">
        <f t="shared" si="1"/>
        <v>0</v>
      </c>
      <c r="L68" s="2205"/>
      <c r="N68" s="615"/>
      <c r="T68" s="1062"/>
      <c r="U68" s="81"/>
    </row>
    <row r="69" spans="1:21" ht="12" customHeight="1">
      <c r="A69" s="77"/>
      <c r="B69" s="2522">
        <v>55</v>
      </c>
      <c r="C69" s="1918" t="str">
        <f>Master!DH3</f>
        <v>Anwara 300 MW PP (United)</v>
      </c>
      <c r="D69" s="2210" t="str">
        <f>Master!DH5</f>
        <v>HFO</v>
      </c>
      <c r="E69" s="2255" t="str">
        <f>Master!DH4</f>
        <v>IPP</v>
      </c>
      <c r="F69" s="2217">
        <f>Master!DH7</f>
        <v>300</v>
      </c>
      <c r="G69" s="2208">
        <f>Master!DH8</f>
        <v>300</v>
      </c>
      <c r="H69" s="2243">
        <f>Forecast!M69</f>
        <v>300</v>
      </c>
      <c r="I69" s="2220">
        <f>YesterdayGen!DH34</f>
        <v>65</v>
      </c>
      <c r="J69" s="2185">
        <f t="shared" si="7"/>
        <v>0</v>
      </c>
      <c r="K69" s="2222">
        <f>IF((H69-I69)&gt;0,(H69-I69),0)</f>
        <v>235</v>
      </c>
      <c r="L69" s="2194" t="s">
        <v>1516</v>
      </c>
      <c r="N69" s="615"/>
      <c r="T69" s="1062"/>
      <c r="U69" s="81"/>
    </row>
    <row r="70" spans="1:21" ht="12" customHeight="1">
      <c r="A70" s="77"/>
      <c r="B70" s="2533">
        <v>56</v>
      </c>
      <c r="C70" s="2245" t="str">
        <f>Master!DI3</f>
        <v>Jodiac Power</v>
      </c>
      <c r="D70" s="2186" t="str">
        <f>Master!DI5</f>
        <v>HFO</v>
      </c>
      <c r="E70" s="2199" t="str">
        <f>Master!DI4</f>
        <v>IPP</v>
      </c>
      <c r="F70" s="2206">
        <f>Master!DI7</f>
        <v>54</v>
      </c>
      <c r="G70" s="2204">
        <f>Master!DI8</f>
        <v>54</v>
      </c>
      <c r="H70" s="2243">
        <f>Forecast!M70</f>
        <v>54</v>
      </c>
      <c r="I70" s="2189">
        <f>YesterdayGen!DI34</f>
        <v>54</v>
      </c>
      <c r="J70" s="2222">
        <f t="shared" si="7"/>
        <v>0</v>
      </c>
      <c r="K70" s="2222">
        <f>IF((H70-I70)&gt;0,(H70-I70),0)</f>
        <v>0</v>
      </c>
      <c r="L70" s="2194"/>
      <c r="N70" s="615"/>
      <c r="T70" s="1062"/>
      <c r="U70" s="81"/>
    </row>
    <row r="71" spans="1:21" ht="12" customHeight="1">
      <c r="A71" s="77"/>
      <c r="B71" s="2540">
        <v>57</v>
      </c>
      <c r="C71" s="1918" t="str">
        <f>Master!DJ3</f>
        <v>Karnaphuli Power Ltd.</v>
      </c>
      <c r="D71" s="2210" t="str">
        <f>Master!DJ5</f>
        <v>HFO</v>
      </c>
      <c r="E71" s="2255" t="str">
        <f>Master!DJ4</f>
        <v>IPP</v>
      </c>
      <c r="F71" s="2217">
        <f>Master!DJ7</f>
        <v>110</v>
      </c>
      <c r="G71" s="2256">
        <f>Master!DJ8</f>
        <v>110</v>
      </c>
      <c r="H71" s="2257">
        <f>Forecast!M71</f>
        <v>110</v>
      </c>
      <c r="I71" s="2213">
        <f>YesterdayGen!DJ34</f>
        <v>110</v>
      </c>
      <c r="J71" s="2222">
        <f t="shared" si="7"/>
        <v>0</v>
      </c>
      <c r="K71" s="2222">
        <f>IF((H71-I71)&gt;0,(H71-I71),0)</f>
        <v>0</v>
      </c>
      <c r="L71" s="2194"/>
      <c r="N71" s="615"/>
      <c r="T71" s="1062"/>
      <c r="U71" s="81"/>
    </row>
    <row r="72" spans="1:21" ht="12" customHeight="1">
      <c r="A72" s="77"/>
      <c r="B72" s="3878">
        <v>58</v>
      </c>
      <c r="C72" s="1918" t="str">
        <f>Master!DM3</f>
        <v>Juldah unit-2 (Acorn)</v>
      </c>
      <c r="D72" s="2210" t="str">
        <f>Master!DM5</f>
        <v>HFO</v>
      </c>
      <c r="E72" s="2216" t="str">
        <f>Master!DM4</f>
        <v>IPP</v>
      </c>
      <c r="F72" s="2206">
        <f>Master!DM7</f>
        <v>100</v>
      </c>
      <c r="G72" s="2204">
        <f>Master!DM8</f>
        <v>100</v>
      </c>
      <c r="H72" s="2243">
        <f>Forecast!M72</f>
        <v>100</v>
      </c>
      <c r="I72" s="2189">
        <f>YesterdayGen!DM34</f>
        <v>90</v>
      </c>
      <c r="J72" s="2222">
        <f t="shared" si="7"/>
        <v>0</v>
      </c>
      <c r="K72" s="2222">
        <f>IF((H72-I72)&gt;0,(H72-I72),0)</f>
        <v>10</v>
      </c>
      <c r="L72" s="2194" t="s">
        <v>126</v>
      </c>
      <c r="N72" s="615"/>
      <c r="T72" s="1062"/>
      <c r="U72" s="81"/>
    </row>
    <row r="73" spans="1:21" ht="12" customHeight="1" thickBot="1">
      <c r="A73" s="77"/>
      <c r="B73" s="3887">
        <v>59</v>
      </c>
      <c r="C73" s="1918" t="str">
        <f>Master!DR3</f>
        <v>Anlima Energy Ltd.</v>
      </c>
      <c r="D73" s="2210" t="str">
        <f>Master!DR5</f>
        <v>HFO</v>
      </c>
      <c r="E73" s="2216" t="str">
        <f>Master!DR4</f>
        <v>IPP</v>
      </c>
      <c r="F73" s="3816">
        <f>Master!DR7</f>
        <v>116</v>
      </c>
      <c r="G73" s="2211">
        <f>Master!DR8</f>
        <v>116</v>
      </c>
      <c r="H73" s="2257">
        <f>Forecast!M73</f>
        <v>116</v>
      </c>
      <c r="I73" s="2215">
        <f>YesterdayGen!DR34</f>
        <v>116</v>
      </c>
      <c r="J73" s="2222">
        <f t="shared" si="7"/>
        <v>0</v>
      </c>
      <c r="K73" s="2222">
        <f>IF((H73-I73)&gt;0,(H73-I73),0)</f>
        <v>0</v>
      </c>
      <c r="L73" s="2194"/>
      <c r="N73" s="615"/>
      <c r="T73" s="1062"/>
      <c r="U73" s="81"/>
    </row>
    <row r="74" spans="1:21" ht="12" customHeight="1" thickBot="1">
      <c r="A74" s="77"/>
      <c r="B74" s="2079"/>
      <c r="C74" s="2229" t="s">
        <v>917</v>
      </c>
      <c r="D74" s="2230"/>
      <c r="E74" s="2258"/>
      <c r="F74" s="2259">
        <f t="shared" ref="F74:K74" si="8">SUM(F52:F73)</f>
        <v>2442</v>
      </c>
      <c r="G74" s="2233">
        <f t="shared" si="8"/>
        <v>2382</v>
      </c>
      <c r="H74" s="2259">
        <f t="shared" si="8"/>
        <v>1237</v>
      </c>
      <c r="I74" s="2232">
        <f t="shared" si="8"/>
        <v>818</v>
      </c>
      <c r="J74" s="2260">
        <f t="shared" si="8"/>
        <v>6</v>
      </c>
      <c r="K74" s="2260">
        <f t="shared" si="8"/>
        <v>425</v>
      </c>
      <c r="L74" s="2261"/>
      <c r="N74" s="1104"/>
      <c r="T74" s="1062"/>
      <c r="U74" s="81"/>
    </row>
    <row r="75" spans="1:21" ht="12" customHeight="1">
      <c r="A75" s="77"/>
      <c r="B75" s="4995">
        <v>60</v>
      </c>
      <c r="C75" s="4496" t="str">
        <f>Master!BD3</f>
        <v>Ashuganj TPP Unit- 3</v>
      </c>
      <c r="D75" s="4497" t="str">
        <f>Master!BD5</f>
        <v>Gas</v>
      </c>
      <c r="E75" s="4498" t="str">
        <f>Master!BD4</f>
        <v>APSCL</v>
      </c>
      <c r="F75" s="4499">
        <f>Master!BD7</f>
        <v>150</v>
      </c>
      <c r="G75" s="4507">
        <f>Master!BD8</f>
        <v>135</v>
      </c>
      <c r="H75" s="4996">
        <f>Forecast!M75</f>
        <v>0</v>
      </c>
      <c r="I75" s="4502">
        <f>YesterdayGen!BD34</f>
        <v>0</v>
      </c>
      <c r="J75" s="4503">
        <f t="shared" si="0"/>
        <v>0</v>
      </c>
      <c r="K75" s="4503">
        <f t="shared" si="1"/>
        <v>0</v>
      </c>
      <c r="L75" s="4997" t="s">
        <v>900</v>
      </c>
      <c r="N75" s="615"/>
      <c r="T75" s="1062"/>
      <c r="U75" s="81"/>
    </row>
    <row r="76" spans="1:21" ht="12" customHeight="1">
      <c r="A76" s="77"/>
      <c r="B76" s="2547"/>
      <c r="C76" s="1916" t="str">
        <f>Master!BE3</f>
        <v>Ashuganj TPP Unit- 4</v>
      </c>
      <c r="D76" s="2186" t="str">
        <f>Master!BE5</f>
        <v>Gas</v>
      </c>
      <c r="E76" s="2218" t="str">
        <f>Master!BE4</f>
        <v>APSCL</v>
      </c>
      <c r="F76" s="2204">
        <f>Master!BE7</f>
        <v>150</v>
      </c>
      <c r="G76" s="2208">
        <f>Master!BE8</f>
        <v>129</v>
      </c>
      <c r="H76" s="2214">
        <f>Forecast!M76</f>
        <v>0</v>
      </c>
      <c r="I76" s="2220">
        <f>YesterdayGen!BE34</f>
        <v>0</v>
      </c>
      <c r="J76" s="2185">
        <f t="shared" si="0"/>
        <v>0</v>
      </c>
      <c r="K76" s="2185">
        <f t="shared" si="1"/>
        <v>0</v>
      </c>
      <c r="L76" s="2200" t="s">
        <v>174</v>
      </c>
      <c r="N76" s="615"/>
      <c r="T76" s="1062"/>
      <c r="U76" s="81"/>
    </row>
    <row r="77" spans="1:21" ht="15.75" customHeight="1">
      <c r="A77" s="77"/>
      <c r="B77" s="2547"/>
      <c r="C77" s="1916" t="str">
        <f>Master!BF3</f>
        <v>Ashuganj TPP Unit- 5</v>
      </c>
      <c r="D77" s="2186" t="str">
        <f>Master!BF5</f>
        <v>Gas</v>
      </c>
      <c r="E77" s="2218" t="str">
        <f>Master!BF4</f>
        <v>APSCL</v>
      </c>
      <c r="F77" s="2204">
        <f>Master!BF7</f>
        <v>150</v>
      </c>
      <c r="G77" s="2208">
        <f>Master!BF8</f>
        <v>134</v>
      </c>
      <c r="H77" s="2214">
        <f>Forecast!M77</f>
        <v>80</v>
      </c>
      <c r="I77" s="2220">
        <f>YesterdayGen!BF34</f>
        <v>80</v>
      </c>
      <c r="J77" s="2185">
        <f t="shared" si="0"/>
        <v>0</v>
      </c>
      <c r="K77" s="2185">
        <f t="shared" si="1"/>
        <v>0</v>
      </c>
      <c r="L77" s="2200" t="s">
        <v>174</v>
      </c>
      <c r="N77" s="615"/>
      <c r="T77" s="1062"/>
      <c r="U77" s="81"/>
    </row>
    <row r="78" spans="1:21" ht="15" customHeight="1">
      <c r="A78" s="77"/>
      <c r="B78" s="2549">
        <v>61</v>
      </c>
      <c r="C78" s="1916" t="str">
        <f>Master!BI3</f>
        <v xml:space="preserve">Ashuganj 225 MW  CCPP </v>
      </c>
      <c r="D78" s="2186" t="str">
        <f>Master!BI5</f>
        <v>Gas</v>
      </c>
      <c r="E78" s="2218" t="str">
        <f>Master!BI4</f>
        <v>APSCL</v>
      </c>
      <c r="F78" s="2204">
        <f>Master!BI7</f>
        <v>221</v>
      </c>
      <c r="G78" s="2208">
        <f>Master!BI8</f>
        <v>221</v>
      </c>
      <c r="H78" s="2214">
        <f>Forecast!M78</f>
        <v>180</v>
      </c>
      <c r="I78" s="2220">
        <f>YesterdayGen!BI34</f>
        <v>168</v>
      </c>
      <c r="J78" s="2185">
        <f t="shared" si="0"/>
        <v>0</v>
      </c>
      <c r="K78" s="2185">
        <f t="shared" si="1"/>
        <v>12</v>
      </c>
      <c r="L78" s="2194" t="s">
        <v>174</v>
      </c>
      <c r="N78" s="615"/>
      <c r="T78" s="1062"/>
      <c r="U78" s="81"/>
    </row>
    <row r="79" spans="1:21" ht="15" customHeight="1">
      <c r="A79" s="77"/>
      <c r="B79" s="2421">
        <v>62</v>
      </c>
      <c r="C79" s="1916" t="str">
        <f>Master!BG3</f>
        <v>Ashuganj 450 MW CCPP(North)</v>
      </c>
      <c r="D79" s="2186" t="str">
        <f>Master!BG5</f>
        <v>Gas</v>
      </c>
      <c r="E79" s="2218" t="str">
        <f>Master!BG4</f>
        <v>APSCL</v>
      </c>
      <c r="F79" s="2204">
        <f>Master!BG7</f>
        <v>360</v>
      </c>
      <c r="G79" s="2208">
        <f>Master!BG8</f>
        <v>360</v>
      </c>
      <c r="H79" s="2214">
        <f>Forecast!M79</f>
        <v>220</v>
      </c>
      <c r="I79" s="2220">
        <f>YesterdayGen!BG34</f>
        <v>150</v>
      </c>
      <c r="J79" s="2185">
        <f t="shared" si="0"/>
        <v>0</v>
      </c>
      <c r="K79" s="2185">
        <f t="shared" si="1"/>
        <v>70</v>
      </c>
      <c r="L79" s="4900" t="s">
        <v>1638</v>
      </c>
      <c r="N79" s="615"/>
      <c r="T79" s="1062"/>
      <c r="U79" s="81"/>
    </row>
    <row r="80" spans="1:21" ht="16.5" customHeight="1">
      <c r="A80" s="77"/>
      <c r="B80" s="2549">
        <v>63</v>
      </c>
      <c r="C80" s="1916" t="str">
        <f>Master!BH3</f>
        <v>Ashuganj 450 MW CCPP(South)</v>
      </c>
      <c r="D80" s="2186" t="str">
        <f>Master!BH5</f>
        <v>Gas</v>
      </c>
      <c r="E80" s="2218" t="str">
        <f>Master!BH4</f>
        <v>APSCL</v>
      </c>
      <c r="F80" s="2204">
        <f>Master!BH7</f>
        <v>360</v>
      </c>
      <c r="G80" s="2208">
        <f>Master!BH8</f>
        <v>360</v>
      </c>
      <c r="H80" s="2214">
        <f>Forecast!M80</f>
        <v>300</v>
      </c>
      <c r="I80" s="2220">
        <f>YesterdayGen!BH34</f>
        <v>310</v>
      </c>
      <c r="J80" s="2185">
        <f t="shared" si="0"/>
        <v>10</v>
      </c>
      <c r="K80" s="2185">
        <f t="shared" si="1"/>
        <v>0</v>
      </c>
      <c r="L80" s="2194" t="s">
        <v>172</v>
      </c>
      <c r="N80" s="615"/>
      <c r="T80" s="1062"/>
      <c r="U80" s="81"/>
    </row>
    <row r="81" spans="1:21" ht="15.75" customHeight="1">
      <c r="A81" s="77"/>
      <c r="B81" s="2421">
        <v>64</v>
      </c>
      <c r="C81" s="1916" t="str">
        <f>Master!BL3</f>
        <v xml:space="preserve">Ashuganj 50 MW PP </v>
      </c>
      <c r="D81" s="2186" t="str">
        <f>Master!BL5</f>
        <v>Gas</v>
      </c>
      <c r="E81" s="2218" t="str">
        <f>Master!BL4</f>
        <v>APSCL</v>
      </c>
      <c r="F81" s="2204">
        <f>Master!BL7</f>
        <v>53</v>
      </c>
      <c r="G81" s="2208">
        <f>Master!BL8</f>
        <v>45</v>
      </c>
      <c r="H81" s="2214">
        <f>Forecast!M81</f>
        <v>3</v>
      </c>
      <c r="I81" s="2220">
        <f>YesterdayGen!BL34</f>
        <v>3</v>
      </c>
      <c r="J81" s="2185">
        <f t="shared" si="0"/>
        <v>0</v>
      </c>
      <c r="K81" s="2185">
        <f t="shared" si="1"/>
        <v>0</v>
      </c>
      <c r="L81" s="2194" t="s">
        <v>174</v>
      </c>
      <c r="N81" s="615"/>
      <c r="T81" s="1065"/>
      <c r="U81" s="81"/>
    </row>
    <row r="82" spans="1:21" ht="12" customHeight="1">
      <c r="A82" s="77"/>
      <c r="B82" s="2549">
        <v>65</v>
      </c>
      <c r="C82" s="1916" t="str">
        <f>Master!BM3</f>
        <v xml:space="preserve">Ashuganj 55 MW PP  (Precision) </v>
      </c>
      <c r="D82" s="2186" t="str">
        <f>Master!BM5</f>
        <v>Gas</v>
      </c>
      <c r="E82" s="2218" t="str">
        <f>Master!BM4</f>
        <v xml:space="preserve">RPP </v>
      </c>
      <c r="F82" s="2204">
        <f>Master!BM7</f>
        <v>55</v>
      </c>
      <c r="G82" s="2262">
        <f>Master!BM8</f>
        <v>55</v>
      </c>
      <c r="H82" s="2214">
        <f>Forecast!M82</f>
        <v>5</v>
      </c>
      <c r="I82" s="2220">
        <f>YesterdayGen!BM34</f>
        <v>5</v>
      </c>
      <c r="J82" s="2185">
        <f t="shared" si="0"/>
        <v>0</v>
      </c>
      <c r="K82" s="2185">
        <f t="shared" si="1"/>
        <v>0</v>
      </c>
      <c r="L82" s="2194" t="s">
        <v>174</v>
      </c>
      <c r="N82" s="615"/>
      <c r="T82" s="1062"/>
      <c r="U82" s="81"/>
    </row>
    <row r="83" spans="1:21" ht="15.75" customHeight="1">
      <c r="A83" s="77"/>
      <c r="B83" s="2549">
        <v>66</v>
      </c>
      <c r="C83" s="1916" t="str">
        <f>Master!BJ3</f>
        <v xml:space="preserve">Ashuganj 195MW PP (APSCL-United) </v>
      </c>
      <c r="D83" s="2186" t="str">
        <f>Master!BJ5</f>
        <v>Gas</v>
      </c>
      <c r="E83" s="2218" t="str">
        <f>Master!BJ4</f>
        <v>IPP</v>
      </c>
      <c r="F83" s="2204">
        <f>Master!BJ7</f>
        <v>195</v>
      </c>
      <c r="G83" s="2262">
        <f>Master!BJ8</f>
        <v>195</v>
      </c>
      <c r="H83" s="2214">
        <f>Forecast!M83</f>
        <v>8</v>
      </c>
      <c r="I83" s="2220">
        <f>YesterdayGen!BJ34</f>
        <v>8</v>
      </c>
      <c r="J83" s="2185">
        <f t="shared" ref="J83:J162" si="9">IF((I83-H83)&gt;0,(I83-H83),0)</f>
        <v>0</v>
      </c>
      <c r="K83" s="2185">
        <f t="shared" ref="K83:K162" si="10">IF((H83-I83)&gt;0,(H83-I83),0)</f>
        <v>0</v>
      </c>
      <c r="L83" s="2194" t="s">
        <v>174</v>
      </c>
      <c r="N83" s="615"/>
      <c r="T83" s="1062"/>
      <c r="U83" s="81"/>
    </row>
    <row r="84" spans="1:21" ht="12" customHeight="1">
      <c r="A84" s="77"/>
      <c r="B84" s="2421">
        <v>67</v>
      </c>
      <c r="C84" s="1916" t="str">
        <f>Master!BO3</f>
        <v>Ashuganj  51 MW PP (Midland)</v>
      </c>
      <c r="D84" s="2186" t="str">
        <f>Master!BO5</f>
        <v>Gas</v>
      </c>
      <c r="E84" s="2218" t="str">
        <f>Master!BO4</f>
        <v>IPP</v>
      </c>
      <c r="F84" s="2204">
        <f>Master!BO7</f>
        <v>51</v>
      </c>
      <c r="G84" s="2262">
        <f>Master!BO8</f>
        <v>51</v>
      </c>
      <c r="H84" s="2214">
        <f>Forecast!M84</f>
        <v>51</v>
      </c>
      <c r="I84" s="2220">
        <f>YesterdayGen!BO34</f>
        <v>51</v>
      </c>
      <c r="J84" s="2185">
        <f t="shared" si="9"/>
        <v>0</v>
      </c>
      <c r="K84" s="2185">
        <f t="shared" si="10"/>
        <v>0</v>
      </c>
      <c r="L84" s="2194"/>
      <c r="N84" s="615"/>
      <c r="T84" s="1062"/>
      <c r="U84" s="81"/>
    </row>
    <row r="85" spans="1:21" ht="12" customHeight="1">
      <c r="A85" s="77"/>
      <c r="B85" s="2549">
        <v>68</v>
      </c>
      <c r="C85" s="1916" t="str">
        <f>Master!DB3</f>
        <v>Ashuganj 150MW PP (Midland)</v>
      </c>
      <c r="D85" s="2186" t="str">
        <f>Master!DB5</f>
        <v>HFO</v>
      </c>
      <c r="E85" s="2218" t="str">
        <f>Master!DB4</f>
        <v>IPP</v>
      </c>
      <c r="F85" s="2204">
        <f>Master!DB7</f>
        <v>150</v>
      </c>
      <c r="G85" s="2262">
        <f>Master!DB8</f>
        <v>150</v>
      </c>
      <c r="H85" s="2214">
        <f>Forecast!M85</f>
        <v>150</v>
      </c>
      <c r="I85" s="2220">
        <f>YesterdayGen!DB34</f>
        <v>142</v>
      </c>
      <c r="J85" s="2185">
        <f>IF((I85-H85)&gt;0,(I85-H85),0)</f>
        <v>0</v>
      </c>
      <c r="K85" s="2185">
        <f>IF((H85-I85)&gt;0,(H85-I85),0)</f>
        <v>8</v>
      </c>
      <c r="L85" s="2194" t="s">
        <v>126</v>
      </c>
      <c r="N85" s="615"/>
      <c r="T85" s="1062"/>
      <c r="U85" s="81"/>
    </row>
    <row r="86" spans="1:21" ht="12" customHeight="1">
      <c r="A86" s="77"/>
      <c r="B86" s="2549">
        <v>69</v>
      </c>
      <c r="C86" s="1916" t="str">
        <f>Master!BQ3</f>
        <v>Titas 50 MW Peaking PP</v>
      </c>
      <c r="D86" s="2186" t="str">
        <f>Master!BQ5</f>
        <v>HFO</v>
      </c>
      <c r="E86" s="2218" t="str">
        <f>Master!BQ4</f>
        <v>PDB</v>
      </c>
      <c r="F86" s="2204">
        <f>Master!BQ7</f>
        <v>52</v>
      </c>
      <c r="G86" s="2208">
        <f>Master!BQ8</f>
        <v>52</v>
      </c>
      <c r="H86" s="2214">
        <f>Forecast!M86</f>
        <v>50</v>
      </c>
      <c r="I86" s="2220">
        <f>YesterdayGen!BQ34</f>
        <v>0</v>
      </c>
      <c r="J86" s="2185">
        <f t="shared" si="9"/>
        <v>0</v>
      </c>
      <c r="K86" s="2185">
        <f t="shared" si="10"/>
        <v>50</v>
      </c>
      <c r="L86" s="2205" t="s">
        <v>1255</v>
      </c>
      <c r="N86" s="615"/>
      <c r="T86" s="1062"/>
      <c r="U86" s="81"/>
    </row>
    <row r="87" spans="1:21" ht="12" customHeight="1">
      <c r="A87" s="77"/>
      <c r="B87" s="2560">
        <v>70</v>
      </c>
      <c r="C87" s="1916" t="str">
        <f>Master!BK3</f>
        <v>Chandpur 150 MW CCPP</v>
      </c>
      <c r="D87" s="2186" t="str">
        <f>Master!BK5</f>
        <v>Gas</v>
      </c>
      <c r="E87" s="2218" t="str">
        <f>Master!BK4</f>
        <v>PDB</v>
      </c>
      <c r="F87" s="2204">
        <f>Master!BK7</f>
        <v>163</v>
      </c>
      <c r="G87" s="2208">
        <f>Master!BK8</f>
        <v>163</v>
      </c>
      <c r="H87" s="2214">
        <f>Forecast!M87</f>
        <v>137</v>
      </c>
      <c r="I87" s="2220">
        <f>YesterdayGen!BK34</f>
        <v>132</v>
      </c>
      <c r="J87" s="2185">
        <f t="shared" si="9"/>
        <v>0</v>
      </c>
      <c r="K87" s="2185">
        <f t="shared" si="10"/>
        <v>5</v>
      </c>
      <c r="L87" s="2194" t="s">
        <v>126</v>
      </c>
      <c r="N87" s="615"/>
      <c r="T87" s="1062"/>
      <c r="U87" s="81"/>
    </row>
    <row r="88" spans="1:21" ht="12" customHeight="1">
      <c r="A88" s="77"/>
      <c r="B88" s="2549">
        <v>71</v>
      </c>
      <c r="C88" s="1916" t="str">
        <f>Master!DA3</f>
        <v>Chandpur 200MW (Desh energy)</v>
      </c>
      <c r="D88" s="2186" t="str">
        <f>Master!DA5</f>
        <v>HFO</v>
      </c>
      <c r="E88" s="2218" t="str">
        <f>Master!DA4</f>
        <v>IPP</v>
      </c>
      <c r="F88" s="2204">
        <f>Master!DA7</f>
        <v>200</v>
      </c>
      <c r="G88" s="2208">
        <f>Master!DA8</f>
        <v>200</v>
      </c>
      <c r="H88" s="2214">
        <f>Forecast!M88</f>
        <v>200</v>
      </c>
      <c r="I88" s="2220">
        <f>YesterdayGen!DA34</f>
        <v>100</v>
      </c>
      <c r="J88" s="2185">
        <f t="shared" si="9"/>
        <v>0</v>
      </c>
      <c r="K88" s="2185">
        <f t="shared" si="10"/>
        <v>100</v>
      </c>
      <c r="L88" s="2194" t="s">
        <v>1516</v>
      </c>
      <c r="N88" s="615"/>
      <c r="T88" s="1062"/>
      <c r="U88" s="81"/>
    </row>
    <row r="89" spans="1:21" ht="12" customHeight="1">
      <c r="A89" s="77"/>
      <c r="B89" s="2560">
        <v>72</v>
      </c>
      <c r="C89" s="1916" t="str">
        <f>Master!BS3</f>
        <v>Feni  22MW PP (Doreen)</v>
      </c>
      <c r="D89" s="2186" t="str">
        <f>Master!BS5</f>
        <v>Gas</v>
      </c>
      <c r="E89" s="2207" t="str">
        <f>Master!BS4</f>
        <v>SIPP, PDB</v>
      </c>
      <c r="F89" s="2206">
        <f>Master!BS7</f>
        <v>22</v>
      </c>
      <c r="G89" s="2208">
        <f>Master!BS8</f>
        <v>22</v>
      </c>
      <c r="H89" s="2214">
        <f>Forecast!M89</f>
        <v>22</v>
      </c>
      <c r="I89" s="2220">
        <f>YesterdayGen!BS34</f>
        <v>20</v>
      </c>
      <c r="J89" s="2185">
        <f t="shared" si="9"/>
        <v>0</v>
      </c>
      <c r="K89" s="2185">
        <f>IF((H89-I89)&gt;0,(H89-I89),0)</f>
        <v>2</v>
      </c>
      <c r="L89" s="2205"/>
      <c r="N89" s="615"/>
      <c r="T89" s="1062"/>
      <c r="U89" s="81"/>
    </row>
    <row r="90" spans="1:21" ht="12" customHeight="1">
      <c r="A90" s="77"/>
      <c r="B90" s="2549">
        <v>73</v>
      </c>
      <c r="C90" s="1916" t="str">
        <f>Master!BT3</f>
        <v>Feni 11 MW PP  (Doreen)</v>
      </c>
      <c r="D90" s="2186" t="str">
        <f>Master!BT5</f>
        <v>Gas</v>
      </c>
      <c r="E90" s="2207" t="str">
        <f>Master!BT4</f>
        <v>SIPP, REB</v>
      </c>
      <c r="F90" s="2206">
        <f>Master!BT7</f>
        <v>11</v>
      </c>
      <c r="G90" s="2208">
        <f>Master!BT8</f>
        <v>11</v>
      </c>
      <c r="H90" s="2214">
        <f>Forecast!M90</f>
        <v>11</v>
      </c>
      <c r="I90" s="2220">
        <f>YesterdayGen!BT34</f>
        <v>11</v>
      </c>
      <c r="J90" s="2185">
        <f t="shared" si="9"/>
        <v>0</v>
      </c>
      <c r="K90" s="2185">
        <f t="shared" si="10"/>
        <v>0</v>
      </c>
      <c r="L90" s="2205"/>
      <c r="N90" s="615"/>
      <c r="T90" s="1062"/>
      <c r="U90" s="81"/>
    </row>
    <row r="91" spans="1:21" ht="12" customHeight="1">
      <c r="A91" s="77"/>
      <c r="B91" s="2561" t="s">
        <v>143</v>
      </c>
      <c r="C91" s="2268" t="str">
        <f>Master!BW3</f>
        <v>Impoprt (Tripura)</v>
      </c>
      <c r="D91" s="2190">
        <f>Master!BW5</f>
        <v>0</v>
      </c>
      <c r="E91" s="2207" t="str">
        <f>Master!BW4</f>
        <v>Imported power</v>
      </c>
      <c r="F91" s="2206">
        <f>Master!BW7</f>
        <v>160</v>
      </c>
      <c r="G91" s="2208">
        <f>Master!BW8</f>
        <v>160</v>
      </c>
      <c r="H91" s="2214">
        <f>Forecast!M91</f>
        <v>163</v>
      </c>
      <c r="I91" s="2220">
        <f>YesterdayGen!BW34</f>
        <v>88</v>
      </c>
      <c r="J91" s="2185">
        <f t="shared" si="9"/>
        <v>0</v>
      </c>
      <c r="K91" s="2185">
        <f t="shared" si="10"/>
        <v>75</v>
      </c>
      <c r="L91" s="2205"/>
      <c r="N91" s="615"/>
      <c r="T91" s="1062"/>
      <c r="U91" s="81"/>
    </row>
    <row r="92" spans="1:21" ht="12" customHeight="1">
      <c r="A92" s="77"/>
      <c r="B92" s="2421">
        <v>74</v>
      </c>
      <c r="C92" s="2245" t="str">
        <f>Master!BU3</f>
        <v xml:space="preserve">Jangalia 33MW PP (Summit) </v>
      </c>
      <c r="D92" s="2186" t="str">
        <f>Master!BU5</f>
        <v>Gas</v>
      </c>
      <c r="E92" s="2207" t="str">
        <f>Master!BU4</f>
        <v>SIPP, PDB</v>
      </c>
      <c r="F92" s="2206">
        <f>Master!BU7</f>
        <v>33</v>
      </c>
      <c r="G92" s="2208">
        <f>Master!BU8</f>
        <v>33</v>
      </c>
      <c r="H92" s="2214">
        <f>Forecast!M92</f>
        <v>33</v>
      </c>
      <c r="I92" s="2220">
        <f>YesterdayGen!BU34</f>
        <v>33</v>
      </c>
      <c r="J92" s="2185">
        <f t="shared" si="9"/>
        <v>0</v>
      </c>
      <c r="K92" s="2185">
        <f t="shared" si="10"/>
        <v>0</v>
      </c>
      <c r="L92" s="2205"/>
      <c r="N92" s="615"/>
      <c r="T92" s="1062"/>
      <c r="U92" s="81"/>
    </row>
    <row r="93" spans="1:21" ht="12" customHeight="1">
      <c r="A93" s="77"/>
      <c r="B93" s="2421">
        <v>75</v>
      </c>
      <c r="C93" s="1918" t="str">
        <f>Master!BR3</f>
        <v>Jangalia 52 MW PP (Lakdanavi)</v>
      </c>
      <c r="D93" s="2210" t="str">
        <f>Master!BR5</f>
        <v>HFO</v>
      </c>
      <c r="E93" s="2216" t="str">
        <f>Master!BR4</f>
        <v>IPP</v>
      </c>
      <c r="F93" s="2217">
        <f>Master!BR7</f>
        <v>52</v>
      </c>
      <c r="G93" s="2211">
        <f>Master!BR8</f>
        <v>52</v>
      </c>
      <c r="H93" s="2214">
        <f>Forecast!M93</f>
        <v>52</v>
      </c>
      <c r="I93" s="2215">
        <f>YesterdayGen!BR34</f>
        <v>8</v>
      </c>
      <c r="J93" s="2185">
        <f t="shared" si="9"/>
        <v>0</v>
      </c>
      <c r="K93" s="2185">
        <f t="shared" si="10"/>
        <v>44</v>
      </c>
      <c r="L93" s="2205" t="s">
        <v>1516</v>
      </c>
      <c r="N93" s="615"/>
      <c r="T93" s="1063"/>
      <c r="U93" s="81"/>
    </row>
    <row r="94" spans="1:21" ht="12" customHeight="1">
      <c r="A94" s="77"/>
      <c r="B94" s="2421">
        <v>76</v>
      </c>
      <c r="C94" s="1917" t="str">
        <f>Master!BV3</f>
        <v>Cumilla 25 MW PP (Summit)</v>
      </c>
      <c r="D94" s="2210" t="str">
        <f>Master!BV5</f>
        <v>Gas</v>
      </c>
      <c r="E94" s="2216" t="str">
        <f>Master!BV4</f>
        <v>SIPP, PDB</v>
      </c>
      <c r="F94" s="2217">
        <f>Master!BV7</f>
        <v>25</v>
      </c>
      <c r="G94" s="2211">
        <f>Master!BV8</f>
        <v>25</v>
      </c>
      <c r="H94" s="2214">
        <f>Forecast!M94</f>
        <v>9</v>
      </c>
      <c r="I94" s="2215">
        <f>YesterdayGen!BV34</f>
        <v>9</v>
      </c>
      <c r="J94" s="2185">
        <f t="shared" si="9"/>
        <v>0</v>
      </c>
      <c r="K94" s="2185">
        <f t="shared" si="10"/>
        <v>0</v>
      </c>
      <c r="L94" s="2205" t="s">
        <v>126</v>
      </c>
      <c r="N94" s="615"/>
      <c r="T94" s="1062"/>
      <c r="U94" s="81"/>
    </row>
    <row r="95" spans="1:21" ht="12" customHeight="1">
      <c r="A95" s="77"/>
      <c r="B95" s="3006">
        <v>77</v>
      </c>
      <c r="C95" s="1917" t="str">
        <f>Master!CR3</f>
        <v>Daudkandi 200 MW PP (B.Trac)</v>
      </c>
      <c r="D95" s="2210" t="str">
        <f>Master!CR5</f>
        <v>HSD</v>
      </c>
      <c r="E95" s="2216" t="str">
        <f>Master!CR4</f>
        <v>IPP</v>
      </c>
      <c r="F95" s="2217">
        <f>Master!CR7</f>
        <v>200</v>
      </c>
      <c r="G95" s="2211">
        <f>Master!CR8</f>
        <v>200</v>
      </c>
      <c r="H95" s="2219">
        <f>Forecast!M95</f>
        <v>200</v>
      </c>
      <c r="I95" s="2215">
        <f>YesterdayGen!CR34</f>
        <v>0</v>
      </c>
      <c r="J95" s="2185">
        <f t="shared" si="9"/>
        <v>0</v>
      </c>
      <c r="K95" s="2185">
        <f t="shared" si="10"/>
        <v>200</v>
      </c>
      <c r="L95" s="2194" t="s">
        <v>1255</v>
      </c>
      <c r="N95" s="615"/>
      <c r="T95" s="1062"/>
      <c r="U95" s="81"/>
    </row>
    <row r="96" spans="1:21" ht="12" customHeight="1">
      <c r="A96" s="77"/>
      <c r="B96" s="2419">
        <v>78</v>
      </c>
      <c r="C96" s="1917" t="str">
        <f>Master!DK3</f>
        <v>Feni Lanka Power</v>
      </c>
      <c r="D96" s="2210" t="str">
        <f>Master!DK5</f>
        <v>HFO</v>
      </c>
      <c r="E96" s="2269" t="str">
        <f>Master!DK4</f>
        <v>IPP</v>
      </c>
      <c r="F96" s="2256">
        <f>Master!DK7</f>
        <v>114</v>
      </c>
      <c r="G96" s="2211">
        <f>Master!DK8</f>
        <v>114</v>
      </c>
      <c r="H96" s="2273">
        <f>Forecast!M96</f>
        <v>114</v>
      </c>
      <c r="I96" s="2215">
        <f>YesterdayGen!DK34</f>
        <v>17</v>
      </c>
      <c r="J96" s="2185">
        <f>IF((I96-H96)&gt;0,(I96-H96),0)</f>
        <v>0</v>
      </c>
      <c r="K96" s="2185">
        <f>IF((H96-I96)&gt;0,(H96-I96),0)</f>
        <v>97</v>
      </c>
      <c r="L96" s="2194" t="s">
        <v>1516</v>
      </c>
      <c r="N96" s="615"/>
      <c r="T96" s="1062"/>
      <c r="U96" s="81"/>
    </row>
    <row r="97" spans="1:21" ht="12" customHeight="1">
      <c r="A97" s="77"/>
      <c r="B97" s="4032">
        <v>79</v>
      </c>
      <c r="C97" s="2280" t="str">
        <f>Master!DL3</f>
        <v>Chowmuhani 113 MW</v>
      </c>
      <c r="D97" s="2210" t="str">
        <f>Master!DL5</f>
        <v>HFO</v>
      </c>
      <c r="E97" s="2269" t="str">
        <f>Master!DL4</f>
        <v>IPP</v>
      </c>
      <c r="F97" s="2256">
        <f>Master!DL7</f>
        <v>113</v>
      </c>
      <c r="G97" s="2211">
        <f>Master!DL8</f>
        <v>113</v>
      </c>
      <c r="H97" s="2219">
        <f>Forecast!M97</f>
        <v>113</v>
      </c>
      <c r="I97" s="2215">
        <f>YesterdayGen!DL34</f>
        <v>0</v>
      </c>
      <c r="J97" s="2185">
        <f>IF((I97-H97)&gt;0,(I97-H97),0)</f>
        <v>0</v>
      </c>
      <c r="K97" s="2185">
        <f>IF((H97-I97)&gt;0,(H97-I97),0)</f>
        <v>113</v>
      </c>
      <c r="L97" s="2194" t="s">
        <v>1255</v>
      </c>
      <c r="N97" s="615"/>
      <c r="T97" s="1062"/>
      <c r="U97" s="81"/>
    </row>
    <row r="98" spans="1:21" ht="12" customHeight="1">
      <c r="A98" s="77"/>
      <c r="B98" s="4796">
        <v>80</v>
      </c>
      <c r="C98" s="2280" t="str">
        <f>Master!DT3</f>
        <v>Bhairob 54.5 MW</v>
      </c>
      <c r="D98" s="2210" t="str">
        <f>Master!DT5</f>
        <v>HFO</v>
      </c>
      <c r="E98" s="2269" t="str">
        <f>Master!DT4</f>
        <v>IPP</v>
      </c>
      <c r="F98" s="2256">
        <f>Master!DT7</f>
        <v>54</v>
      </c>
      <c r="G98" s="2211">
        <f>Master!DT8</f>
        <v>54</v>
      </c>
      <c r="H98" s="2224">
        <f>Forecast!M98</f>
        <v>17</v>
      </c>
      <c r="I98" s="2215">
        <f>YesterdayGen!DT34</f>
        <v>17</v>
      </c>
      <c r="J98" s="2225">
        <f>IF((I98-H98)&gt;0,(I98-H98),0)</f>
        <v>0</v>
      </c>
      <c r="K98" s="2225">
        <f>IF((H98-I98)&gt;0,(H98-I98),0)</f>
        <v>0</v>
      </c>
      <c r="L98" s="3451" t="s">
        <v>1460</v>
      </c>
      <c r="N98" s="615"/>
      <c r="T98" s="1062"/>
      <c r="U98" s="81"/>
    </row>
    <row r="99" spans="1:21" ht="12" customHeight="1" thickBot="1">
      <c r="A99" s="77"/>
      <c r="B99" s="4904"/>
      <c r="C99" s="4798" t="str">
        <f>Master!DV3</f>
        <v xml:space="preserve">Chandpur 115(Doreen) </v>
      </c>
      <c r="D99" s="2226" t="str">
        <f>Master!DV5</f>
        <v>HFO</v>
      </c>
      <c r="E99" s="2226" t="str">
        <f>Master!DV4</f>
        <v>IPP</v>
      </c>
      <c r="F99" s="3730">
        <f>Master!DV7</f>
        <v>0</v>
      </c>
      <c r="G99" s="3730">
        <f>Master!DV8</f>
        <v>0</v>
      </c>
      <c r="H99" s="2227">
        <f>Forecast!M99</f>
        <v>0</v>
      </c>
      <c r="I99" s="4799">
        <f>YesterdayGen!DV34</f>
        <v>0</v>
      </c>
      <c r="J99" s="2228">
        <f>IF((I99-H99)&gt;0,(I99-H99),0)</f>
        <v>0</v>
      </c>
      <c r="K99" s="2228">
        <f>IF((H99-I99)&gt;0,(H99-I99),0)</f>
        <v>0</v>
      </c>
      <c r="L99" s="4800" t="s">
        <v>1454</v>
      </c>
      <c r="N99" s="615"/>
      <c r="T99" s="1062"/>
      <c r="U99" s="81"/>
    </row>
    <row r="100" spans="1:21" ht="12" customHeight="1" thickBot="1">
      <c r="A100" s="77"/>
      <c r="B100" s="2079"/>
      <c r="C100" s="2229" t="s">
        <v>915</v>
      </c>
      <c r="D100" s="2230"/>
      <c r="E100" s="2231"/>
      <c r="F100" s="2232">
        <f t="shared" ref="F100:K100" si="11">SUM(F75:F99)</f>
        <v>3094</v>
      </c>
      <c r="G100" s="2233">
        <f t="shared" si="11"/>
        <v>3034</v>
      </c>
      <c r="H100" s="2234">
        <f t="shared" si="11"/>
        <v>2118</v>
      </c>
      <c r="I100" s="2235">
        <f t="shared" si="11"/>
        <v>1352</v>
      </c>
      <c r="J100" s="2236">
        <f t="shared" si="11"/>
        <v>10</v>
      </c>
      <c r="K100" s="2236">
        <f t="shared" si="11"/>
        <v>776</v>
      </c>
      <c r="L100" s="2237"/>
      <c r="N100" s="1104"/>
      <c r="T100" s="1062"/>
      <c r="U100" s="81"/>
    </row>
    <row r="101" spans="1:21" ht="12" customHeight="1">
      <c r="A101" s="77"/>
      <c r="B101" s="2419">
        <v>81</v>
      </c>
      <c r="C101" s="2238" t="str">
        <f>Master!BX3</f>
        <v>RPCL 210MW CCPP</v>
      </c>
      <c r="D101" s="2182" t="str">
        <f>Master!BX5</f>
        <v>Gas</v>
      </c>
      <c r="E101" s="2239" t="str">
        <f>Master!BX4</f>
        <v>IPP</v>
      </c>
      <c r="F101" s="2272">
        <f>Master!BX7</f>
        <v>210</v>
      </c>
      <c r="G101" s="2240">
        <f>Master!BX8</f>
        <v>202</v>
      </c>
      <c r="H101" s="2219">
        <f>Forecast!M101</f>
        <v>50</v>
      </c>
      <c r="I101" s="2242">
        <f>YesterdayGen!BX34</f>
        <v>50</v>
      </c>
      <c r="J101" s="2185">
        <f t="shared" si="9"/>
        <v>0</v>
      </c>
      <c r="K101" s="2185">
        <f t="shared" si="10"/>
        <v>0</v>
      </c>
      <c r="L101" s="2191" t="s">
        <v>174</v>
      </c>
      <c r="N101" s="615"/>
      <c r="T101" s="1062"/>
      <c r="U101" s="81"/>
    </row>
    <row r="102" spans="1:21" ht="12" customHeight="1">
      <c r="A102" s="77"/>
      <c r="B102" s="3006">
        <v>82</v>
      </c>
      <c r="C102" s="1918" t="str">
        <f>Master!BZ3</f>
        <v>Tangail  22 MW PP (Doreen)</v>
      </c>
      <c r="D102" s="2210" t="str">
        <f>Master!BZ5</f>
        <v>Gas</v>
      </c>
      <c r="E102" s="2216" t="str">
        <f>Master!BZ4</f>
        <v>SIPP, PDB</v>
      </c>
      <c r="F102" s="2217">
        <f>Master!BZ7</f>
        <v>22</v>
      </c>
      <c r="G102" s="2211">
        <f>Master!BZ8</f>
        <v>22</v>
      </c>
      <c r="H102" s="2219">
        <f>Forecast!M102</f>
        <v>22</v>
      </c>
      <c r="I102" s="2215">
        <f>YesterdayGen!BZ34</f>
        <v>22</v>
      </c>
      <c r="J102" s="2185">
        <f t="shared" si="9"/>
        <v>0</v>
      </c>
      <c r="K102" s="2185">
        <f t="shared" si="10"/>
        <v>0</v>
      </c>
      <c r="L102" s="2194"/>
      <c r="N102" s="615"/>
      <c r="T102" s="1062"/>
      <c r="U102" s="81"/>
    </row>
    <row r="103" spans="1:21" ht="12" customHeight="1">
      <c r="A103" s="77"/>
      <c r="B103" s="2419">
        <v>83</v>
      </c>
      <c r="C103" s="1917" t="str">
        <f>Master!BY3</f>
        <v>Jamalpur 95 MW PP(Powerpac)</v>
      </c>
      <c r="D103" s="2186" t="str">
        <f>Master!BY5</f>
        <v>HFO</v>
      </c>
      <c r="E103" s="2216" t="str">
        <f>Master!BY4</f>
        <v>IPP</v>
      </c>
      <c r="F103" s="2217">
        <f>Master!BY7</f>
        <v>95</v>
      </c>
      <c r="G103" s="2211">
        <f>Master!BY8</f>
        <v>8</v>
      </c>
      <c r="H103" s="2219">
        <f>Forecast!M103</f>
        <v>0</v>
      </c>
      <c r="I103" s="2215">
        <f>YesterdayGen!BY34</f>
        <v>0</v>
      </c>
      <c r="J103" s="2185">
        <f t="shared" ref="J103:J108" si="12">IF((I103-H103)&gt;0,(I103-H103),0)</f>
        <v>0</v>
      </c>
      <c r="K103" s="2185">
        <f t="shared" ref="K103:K108" si="13">IF((H103-I103)&gt;0,(H103-I103),0)</f>
        <v>0</v>
      </c>
      <c r="L103" s="2194" t="s">
        <v>117</v>
      </c>
      <c r="N103" s="615"/>
      <c r="T103" s="1063"/>
      <c r="U103" s="81"/>
    </row>
    <row r="104" spans="1:21" ht="12" customHeight="1">
      <c r="A104" s="77"/>
      <c r="B104" s="3006">
        <v>84</v>
      </c>
      <c r="C104" s="1917" t="str">
        <f>Master!CA3</f>
        <v>Sarishabari 3 MW Solar Plant</v>
      </c>
      <c r="D104" s="2210" t="str">
        <f>Master!CA5</f>
        <v>Solar</v>
      </c>
      <c r="E104" s="2216" t="str">
        <f>Master!CA4</f>
        <v>IPP</v>
      </c>
      <c r="F104" s="2217">
        <f>Master!CA7</f>
        <v>3</v>
      </c>
      <c r="G104" s="2211">
        <f>Master!CA8</f>
        <v>3</v>
      </c>
      <c r="H104" s="2219">
        <f>Forecast!M104</f>
        <v>0</v>
      </c>
      <c r="I104" s="2215">
        <f>YesterdayGen!CA34</f>
        <v>0</v>
      </c>
      <c r="J104" s="2185">
        <f t="shared" si="12"/>
        <v>0</v>
      </c>
      <c r="K104" s="2185">
        <f t="shared" si="13"/>
        <v>0</v>
      </c>
      <c r="L104" s="2194"/>
      <c r="N104" s="615"/>
      <c r="T104" s="1062"/>
      <c r="U104" s="81"/>
    </row>
    <row r="105" spans="1:21" ht="12" customHeight="1">
      <c r="A105" s="77"/>
      <c r="B105" s="2419">
        <v>85</v>
      </c>
      <c r="C105" s="1917" t="str">
        <f>Master!CV3</f>
        <v xml:space="preserve"> Mymensingh 200 MW PP (United)</v>
      </c>
      <c r="D105" s="2210" t="str">
        <f>Master!CV5</f>
        <v>HFO</v>
      </c>
      <c r="E105" s="2269" t="str">
        <f>Master!CV4</f>
        <v>IPP</v>
      </c>
      <c r="F105" s="2256">
        <f>Master!CV7</f>
        <v>200</v>
      </c>
      <c r="G105" s="2211">
        <f>Master!CV8</f>
        <v>200</v>
      </c>
      <c r="H105" s="2273">
        <f>Forecast!M105</f>
        <v>200</v>
      </c>
      <c r="I105" s="2215">
        <f>YesterdayGen!CV34</f>
        <v>183</v>
      </c>
      <c r="J105" s="2185">
        <f t="shared" si="12"/>
        <v>0</v>
      </c>
      <c r="K105" s="2185">
        <f t="shared" si="13"/>
        <v>17</v>
      </c>
      <c r="L105" s="2194" t="s">
        <v>126</v>
      </c>
      <c r="N105" s="615"/>
      <c r="T105" s="1062"/>
      <c r="U105" s="81"/>
    </row>
    <row r="106" spans="1:21" ht="12" customHeight="1">
      <c r="A106" s="77"/>
      <c r="B106" s="2473">
        <v>86</v>
      </c>
      <c r="C106" s="1917" t="str">
        <f>Master!DD3</f>
        <v>Jamalpur 115 MW PP (United)</v>
      </c>
      <c r="D106" s="2210" t="str">
        <f>Master!DD5</f>
        <v>HFO</v>
      </c>
      <c r="E106" s="2269" t="str">
        <f>Master!DD4</f>
        <v>IPP</v>
      </c>
      <c r="F106" s="2256">
        <f>Master!DD7</f>
        <v>115</v>
      </c>
      <c r="G106" s="2211">
        <f>Master!DD8</f>
        <v>115</v>
      </c>
      <c r="H106" s="2287">
        <f>Forecast!M106</f>
        <v>115</v>
      </c>
      <c r="I106" s="2215">
        <f>YesterdayGen!DD34</f>
        <v>112</v>
      </c>
      <c r="J106" s="2289">
        <f t="shared" si="12"/>
        <v>0</v>
      </c>
      <c r="K106" s="2289">
        <f t="shared" si="13"/>
        <v>3</v>
      </c>
      <c r="L106" s="2194" t="s">
        <v>126</v>
      </c>
      <c r="N106" s="615"/>
      <c r="T106" s="1062"/>
      <c r="U106" s="81"/>
    </row>
    <row r="107" spans="1:21" ht="12" customHeight="1">
      <c r="A107" s="77"/>
      <c r="B107" s="3875">
        <v>87</v>
      </c>
      <c r="C107" s="1916" t="str">
        <f>Master!DP3</f>
        <v>Sutiakhali 50 MW Solar PP</v>
      </c>
      <c r="D107" s="2186" t="str">
        <f>Master!DP5</f>
        <v>Solar</v>
      </c>
      <c r="E107" s="2186" t="str">
        <f>Master!DP4</f>
        <v>IPP</v>
      </c>
      <c r="F107" s="2204">
        <f>Master!DP7</f>
        <v>50</v>
      </c>
      <c r="G107" s="2204">
        <f>Master!DP8</f>
        <v>50</v>
      </c>
      <c r="H107" s="2221">
        <f>Forecast!M107</f>
        <v>0</v>
      </c>
      <c r="I107" s="2189">
        <f>YesterdayGen!DP34</f>
        <v>0</v>
      </c>
      <c r="J107" s="2222">
        <f t="shared" si="12"/>
        <v>0</v>
      </c>
      <c r="K107" s="2222">
        <f t="shared" si="13"/>
        <v>0</v>
      </c>
      <c r="L107" s="2194"/>
      <c r="N107" s="615"/>
      <c r="T107" s="1062"/>
      <c r="U107" s="81"/>
    </row>
    <row r="108" spans="1:21" ht="12" customHeight="1" thickBot="1">
      <c r="A108" s="77"/>
      <c r="B108" s="3884">
        <v>88</v>
      </c>
      <c r="C108" s="1917" t="str">
        <f>Master!AV3</f>
        <v>Tangail Palli Power Gen 22 MW</v>
      </c>
      <c r="D108" s="2210" t="str">
        <f>Master!AV5</f>
        <v>HFO</v>
      </c>
      <c r="E108" s="2210" t="str">
        <f>Master!AV4</f>
        <v>IPP</v>
      </c>
      <c r="F108" s="2256">
        <f>Master!AV7</f>
        <v>22</v>
      </c>
      <c r="G108" s="2256">
        <f>Master!AV8</f>
        <v>22</v>
      </c>
      <c r="H108" s="2224">
        <f>Forecast!M108</f>
        <v>22</v>
      </c>
      <c r="I108" s="2213">
        <f>YesterdayGen!AV34</f>
        <v>22</v>
      </c>
      <c r="J108" s="2222">
        <f t="shared" si="12"/>
        <v>0</v>
      </c>
      <c r="K108" s="2222">
        <f t="shared" si="13"/>
        <v>0</v>
      </c>
      <c r="L108" s="3387"/>
      <c r="N108" s="615"/>
      <c r="T108" s="1062"/>
      <c r="U108" s="81"/>
    </row>
    <row r="109" spans="1:21" ht="12" customHeight="1" thickTop="1" thickBot="1">
      <c r="A109" s="77"/>
      <c r="B109" s="2079"/>
      <c r="C109" s="2229" t="s">
        <v>122</v>
      </c>
      <c r="D109" s="2230"/>
      <c r="E109" s="2231"/>
      <c r="F109" s="2274">
        <f t="shared" ref="F109:K109" si="14">SUM(F101:F108)</f>
        <v>717</v>
      </c>
      <c r="G109" s="2275">
        <f t="shared" si="14"/>
        <v>622</v>
      </c>
      <c r="H109" s="2234">
        <f t="shared" si="14"/>
        <v>409</v>
      </c>
      <c r="I109" s="2276">
        <f t="shared" si="14"/>
        <v>389</v>
      </c>
      <c r="J109" s="2277">
        <f t="shared" si="14"/>
        <v>0</v>
      </c>
      <c r="K109" s="2277">
        <f t="shared" si="14"/>
        <v>20</v>
      </c>
      <c r="L109" s="2237"/>
      <c r="N109" s="1104"/>
      <c r="T109" s="1062"/>
      <c r="U109" s="81"/>
    </row>
    <row r="110" spans="1:21" ht="12" customHeight="1">
      <c r="A110" s="77"/>
      <c r="B110" s="2421">
        <v>89</v>
      </c>
      <c r="C110" s="1916" t="str">
        <f>Master!CB3</f>
        <v>Fenchugonj CCPP Phase-1</v>
      </c>
      <c r="D110" s="2186" t="str">
        <f>Master!CB5</f>
        <v>Gas</v>
      </c>
      <c r="E110" s="2218" t="str">
        <f>Master!CB4</f>
        <v>PDB</v>
      </c>
      <c r="F110" s="2204">
        <f>Master!CB7</f>
        <v>97</v>
      </c>
      <c r="G110" s="2208">
        <f>Master!CB8</f>
        <v>70</v>
      </c>
      <c r="H110" s="2221">
        <f>Forecast!M110</f>
        <v>42</v>
      </c>
      <c r="I110" s="2220">
        <f>YesterdayGen!CB34</f>
        <v>43</v>
      </c>
      <c r="J110" s="2222">
        <f t="shared" si="9"/>
        <v>1</v>
      </c>
      <c r="K110" s="2222">
        <f t="shared" si="10"/>
        <v>0</v>
      </c>
      <c r="L110" s="2205" t="s">
        <v>1314</v>
      </c>
      <c r="N110" s="615"/>
      <c r="T110" s="1062"/>
      <c r="U110" s="81"/>
    </row>
    <row r="111" spans="1:21" ht="12" customHeight="1">
      <c r="A111" s="77"/>
      <c r="B111" s="2421">
        <v>90</v>
      </c>
      <c r="C111" s="1916" t="str">
        <f>Master!CC3</f>
        <v>Fenchugonj CCPP Phase-2</v>
      </c>
      <c r="D111" s="2186" t="str">
        <f>Master!CC5</f>
        <v>Gas</v>
      </c>
      <c r="E111" s="2218" t="str">
        <f>Master!CC4</f>
        <v>PDB</v>
      </c>
      <c r="F111" s="2204">
        <f>Master!CC7</f>
        <v>104</v>
      </c>
      <c r="G111" s="2208">
        <f>Master!CC8</f>
        <v>90</v>
      </c>
      <c r="H111" s="2219">
        <f>Forecast!M111</f>
        <v>0</v>
      </c>
      <c r="I111" s="2220">
        <f>YesterdayGen!CC34</f>
        <v>0</v>
      </c>
      <c r="J111" s="2185">
        <f t="shared" si="9"/>
        <v>0</v>
      </c>
      <c r="K111" s="2185">
        <f t="shared" si="10"/>
        <v>0</v>
      </c>
      <c r="L111" s="2205" t="s">
        <v>1314</v>
      </c>
      <c r="N111" s="615"/>
      <c r="T111" s="1062"/>
      <c r="U111" s="81"/>
    </row>
    <row r="112" spans="1:21" ht="12" customHeight="1">
      <c r="A112" s="77"/>
      <c r="B112" s="2421">
        <v>91</v>
      </c>
      <c r="C112" s="1916" t="str">
        <f>Master!CF3</f>
        <v>Kushiara 163 MW CCPP (KP)</v>
      </c>
      <c r="D112" s="2186" t="str">
        <f>Master!CF5</f>
        <v>Gas</v>
      </c>
      <c r="E112" s="2218" t="str">
        <f>Master!CF4</f>
        <v>IPP</v>
      </c>
      <c r="F112" s="2204">
        <f>Master!CF7</f>
        <v>163</v>
      </c>
      <c r="G112" s="2208">
        <f>Master!CF8</f>
        <v>163</v>
      </c>
      <c r="H112" s="2219">
        <f>Forecast!M112</f>
        <v>163</v>
      </c>
      <c r="I112" s="2220">
        <f>YesterdayGen!CF34</f>
        <v>163</v>
      </c>
      <c r="J112" s="2185">
        <f t="shared" si="9"/>
        <v>0</v>
      </c>
      <c r="K112" s="2185">
        <f t="shared" si="10"/>
        <v>0</v>
      </c>
      <c r="L112" s="4525"/>
      <c r="N112" s="615"/>
      <c r="T112" s="1062"/>
      <c r="U112" s="81"/>
    </row>
    <row r="113" spans="1:21" ht="12" customHeight="1">
      <c r="A113" s="77"/>
      <c r="B113" s="2421">
        <v>92</v>
      </c>
      <c r="C113" s="1916" t="str">
        <f>Master!CG3</f>
        <v>Shajibazar 330 MW CCPP</v>
      </c>
      <c r="D113" s="2186" t="str">
        <f>Master!CG5</f>
        <v>Gas</v>
      </c>
      <c r="E113" s="2218" t="str">
        <f>Master!CG4</f>
        <v>PDB</v>
      </c>
      <c r="F113" s="2204">
        <f>Master!CG7</f>
        <v>330</v>
      </c>
      <c r="G113" s="2208">
        <f>Master!CG8</f>
        <v>330</v>
      </c>
      <c r="H113" s="2219">
        <f>Forecast!M113</f>
        <v>0</v>
      </c>
      <c r="I113" s="2220">
        <f>YesterdayGen!CG34</f>
        <v>0</v>
      </c>
      <c r="J113" s="2185">
        <f t="shared" si="9"/>
        <v>0</v>
      </c>
      <c r="K113" s="2185">
        <f t="shared" si="10"/>
        <v>0</v>
      </c>
      <c r="L113" s="2191" t="s">
        <v>117</v>
      </c>
      <c r="M113" s="1215"/>
      <c r="N113" s="615"/>
      <c r="T113" s="1062"/>
      <c r="U113" s="81"/>
    </row>
    <row r="114" spans="1:21" ht="12" customHeight="1">
      <c r="A114" s="77"/>
      <c r="B114" s="2421">
        <v>93</v>
      </c>
      <c r="C114" s="2245" t="str">
        <f>Master!CD3</f>
        <v xml:space="preserve">Fenchugonj 51 MW PP  (Barakatullah) </v>
      </c>
      <c r="D114" s="2186" t="str">
        <f>Master!CD5</f>
        <v>Gas</v>
      </c>
      <c r="E114" s="2218" t="str">
        <f>Master!CD4</f>
        <v xml:space="preserve">RPP </v>
      </c>
      <c r="F114" s="2204">
        <f>Master!CD7</f>
        <v>51</v>
      </c>
      <c r="G114" s="2208">
        <f>Master!CD8</f>
        <v>51</v>
      </c>
      <c r="H114" s="2219">
        <f>Forecast!M114</f>
        <v>51</v>
      </c>
      <c r="I114" s="2220">
        <f>YesterdayGen!CD34</f>
        <v>51</v>
      </c>
      <c r="J114" s="2185">
        <f t="shared" si="9"/>
        <v>0</v>
      </c>
      <c r="K114" s="2185">
        <f t="shared" si="10"/>
        <v>0</v>
      </c>
      <c r="L114" s="2191"/>
      <c r="N114" s="615"/>
      <c r="T114" s="1062"/>
      <c r="U114" s="81"/>
    </row>
    <row r="115" spans="1:21" s="4210" customFormat="1" ht="12" customHeight="1">
      <c r="A115" s="4505"/>
      <c r="B115" s="3120"/>
      <c r="C115" s="4506" t="str">
        <f>Master!CE3</f>
        <v>Fenchuganj  44MW (Energyprima)</v>
      </c>
      <c r="D115" s="4497" t="str">
        <f>Master!CE5</f>
        <v>Gas</v>
      </c>
      <c r="E115" s="4498" t="str">
        <f>Master!CE4</f>
        <v>RPP</v>
      </c>
      <c r="F115" s="4499">
        <f>Master!CE7</f>
        <v>0</v>
      </c>
      <c r="G115" s="4507">
        <f>Master!CE8</f>
        <v>0</v>
      </c>
      <c r="H115" s="4501">
        <f>Forecast!M115</f>
        <v>0</v>
      </c>
      <c r="I115" s="4502">
        <f>YesterdayGen!CE34</f>
        <v>0</v>
      </c>
      <c r="J115" s="4503">
        <f t="shared" si="9"/>
        <v>0</v>
      </c>
      <c r="K115" s="4503">
        <f t="shared" si="10"/>
        <v>0</v>
      </c>
      <c r="L115" s="4508" t="s">
        <v>900</v>
      </c>
      <c r="N115" s="4211"/>
      <c r="T115" s="4212"/>
      <c r="U115" s="4213"/>
    </row>
    <row r="116" spans="1:21" ht="12" customHeight="1">
      <c r="A116" s="77"/>
      <c r="B116" s="2421">
        <v>94</v>
      </c>
      <c r="C116" s="2245" t="str">
        <f>Master!CQ3</f>
        <v>Hobiganj  11MW PP Cofidence-E</v>
      </c>
      <c r="D116" s="2186" t="str">
        <f>Master!CQ5</f>
        <v>Gas</v>
      </c>
      <c r="E116" s="2207" t="str">
        <f>Master!CQ4</f>
        <v>SIPP, REB</v>
      </c>
      <c r="F116" s="2206">
        <f>Master!CQ7</f>
        <v>11</v>
      </c>
      <c r="G116" s="2208">
        <f>Master!CQ8</f>
        <v>11</v>
      </c>
      <c r="H116" s="2219">
        <f>Forecast!M116</f>
        <v>11</v>
      </c>
      <c r="I116" s="2220">
        <f>YesterdayGen!CQ34</f>
        <v>11</v>
      </c>
      <c r="J116" s="2185">
        <f t="shared" si="9"/>
        <v>0</v>
      </c>
      <c r="K116" s="2185">
        <f t="shared" si="10"/>
        <v>0</v>
      </c>
      <c r="L116" s="2200"/>
      <c r="N116" s="615"/>
      <c r="T116" s="1062"/>
      <c r="U116" s="81"/>
    </row>
    <row r="117" spans="1:21" ht="12" customHeight="1">
      <c r="A117" s="77"/>
      <c r="B117" s="2421">
        <v>95</v>
      </c>
      <c r="C117" s="1916" t="str">
        <f>Master!CH3</f>
        <v xml:space="preserve">Shahjibazar GTPP Unit- 8 &amp; 9 </v>
      </c>
      <c r="D117" s="2186" t="str">
        <f>Master!CH5</f>
        <v>Gas</v>
      </c>
      <c r="E117" s="2218" t="str">
        <f>Master!CH4</f>
        <v>PDB</v>
      </c>
      <c r="F117" s="2204">
        <f>Master!CH7</f>
        <v>70</v>
      </c>
      <c r="G117" s="2262">
        <f>Master!CH8</f>
        <v>66</v>
      </c>
      <c r="H117" s="2219">
        <f>Forecast!M117</f>
        <v>72</v>
      </c>
      <c r="I117" s="2220">
        <f>YesterdayGen!CH34</f>
        <v>70</v>
      </c>
      <c r="J117" s="2185">
        <f t="shared" si="9"/>
        <v>0</v>
      </c>
      <c r="K117" s="2185">
        <f t="shared" si="10"/>
        <v>2</v>
      </c>
      <c r="L117" s="4525"/>
      <c r="N117" s="615"/>
      <c r="T117" s="1062"/>
      <c r="U117" s="81"/>
    </row>
    <row r="118" spans="1:21" ht="12" customHeight="1">
      <c r="A118" s="77"/>
      <c r="B118" s="2421">
        <v>96</v>
      </c>
      <c r="C118" s="1916" t="str">
        <f>Master!CI3</f>
        <v>Shahjibazar 86MW PP (Shahjibazar)</v>
      </c>
      <c r="D118" s="2186" t="str">
        <f>Master!CI5</f>
        <v>Gas</v>
      </c>
      <c r="E118" s="2218" t="str">
        <f>Master!CI4</f>
        <v xml:space="preserve">RPP </v>
      </c>
      <c r="F118" s="2204">
        <f>Master!CI7</f>
        <v>86</v>
      </c>
      <c r="G118" s="2262">
        <f>Master!CI8</f>
        <v>86</v>
      </c>
      <c r="H118" s="2219">
        <f>Forecast!M118</f>
        <v>81</v>
      </c>
      <c r="I118" s="2220">
        <f>YesterdayGen!CI34</f>
        <v>79</v>
      </c>
      <c r="J118" s="2185">
        <f>IF((I118-H118)&gt;0,(I118-H118),0)</f>
        <v>0</v>
      </c>
      <c r="K118" s="2185">
        <f t="shared" si="10"/>
        <v>2</v>
      </c>
      <c r="L118" s="2200"/>
      <c r="N118" s="615"/>
      <c r="T118" s="1062"/>
      <c r="U118" s="81"/>
    </row>
    <row r="119" spans="1:21" ht="12" customHeight="1">
      <c r="A119" s="77"/>
      <c r="B119" s="3852">
        <v>97</v>
      </c>
      <c r="C119" s="1916" t="str">
        <f>Master!DS3</f>
        <v>Shahjibazar 100 MW GTPP</v>
      </c>
      <c r="D119" s="2186" t="str">
        <f>Master!DS5</f>
        <v>Gas</v>
      </c>
      <c r="E119" s="2218" t="str">
        <f>Master!DS4</f>
        <v>PDB</v>
      </c>
      <c r="F119" s="2204">
        <f>Master!DS7</f>
        <v>100</v>
      </c>
      <c r="G119" s="2262">
        <f>Master!DS8</f>
        <v>100</v>
      </c>
      <c r="H119" s="2219">
        <f>Forecast!M119</f>
        <v>0</v>
      </c>
      <c r="I119" s="2220">
        <f>YesterdayGen!DS34</f>
        <v>0</v>
      </c>
      <c r="J119" s="2185">
        <f>IF((I119-H119)&gt;0,(I119-H119),0)</f>
        <v>0</v>
      </c>
      <c r="K119" s="2185">
        <f t="shared" si="10"/>
        <v>0</v>
      </c>
      <c r="L119" s="2200"/>
      <c r="N119" s="615"/>
      <c r="T119" s="1062"/>
      <c r="U119" s="81"/>
    </row>
    <row r="120" spans="1:21" ht="12" customHeight="1">
      <c r="A120" s="77"/>
      <c r="B120" s="2421">
        <v>98</v>
      </c>
      <c r="C120" s="2245" t="str">
        <f>Master!CK3</f>
        <v>Sylhet 225 MW CCPP</v>
      </c>
      <c r="D120" s="2186" t="str">
        <f>Master!CK5</f>
        <v>Gas</v>
      </c>
      <c r="E120" s="2218" t="str">
        <f>Master!CK4</f>
        <v>PDB</v>
      </c>
      <c r="F120" s="2204">
        <f>Master!CK7</f>
        <v>231</v>
      </c>
      <c r="G120" s="2208">
        <f>Master!CK8</f>
        <v>231</v>
      </c>
      <c r="H120" s="2219">
        <f>Forecast!M120</f>
        <v>190</v>
      </c>
      <c r="I120" s="2220">
        <f>YesterdayGen!CK34</f>
        <v>190</v>
      </c>
      <c r="J120" s="2185">
        <f>IF((I120-H120)&gt;0,(I120-H120),0)</f>
        <v>0</v>
      </c>
      <c r="K120" s="2185">
        <f>IF((H120-I120)&gt;0,(H120-I120),0)</f>
        <v>0</v>
      </c>
      <c r="L120" s="2191" t="s">
        <v>1314</v>
      </c>
      <c r="N120" s="615"/>
      <c r="T120" s="1065"/>
      <c r="U120" s="81"/>
    </row>
    <row r="121" spans="1:21" ht="12" customHeight="1">
      <c r="A121" s="77"/>
      <c r="B121" s="2421">
        <v>99</v>
      </c>
      <c r="C121" s="1916" t="str">
        <f>Master!CL3</f>
        <v>Sylhet  20 MW GTPP</v>
      </c>
      <c r="D121" s="2186" t="str">
        <f>Master!CL5</f>
        <v>Gas</v>
      </c>
      <c r="E121" s="2218" t="str">
        <f>Master!CL4</f>
        <v>PDB</v>
      </c>
      <c r="F121" s="2204">
        <f>Master!CL7</f>
        <v>20</v>
      </c>
      <c r="G121" s="2208">
        <f>Master!CL8</f>
        <v>20</v>
      </c>
      <c r="H121" s="2219">
        <f>Forecast!M121</f>
        <v>18</v>
      </c>
      <c r="I121" s="2279">
        <f>YesterdayGen!CL34</f>
        <v>18</v>
      </c>
      <c r="J121" s="2185">
        <f t="shared" si="9"/>
        <v>0</v>
      </c>
      <c r="K121" s="2185">
        <f t="shared" si="10"/>
        <v>0</v>
      </c>
      <c r="L121" s="2191"/>
      <c r="N121" s="615"/>
      <c r="T121" s="1062"/>
      <c r="U121" s="81"/>
    </row>
    <row r="122" spans="1:21" ht="12" customHeight="1">
      <c r="A122" s="77"/>
      <c r="B122" s="3120"/>
      <c r="C122" s="2263" t="str">
        <f>Master!CM3</f>
        <v>Sylhet  50MW PP (EPL)</v>
      </c>
      <c r="D122" s="2264" t="str">
        <f>Master!CM5</f>
        <v>Gas</v>
      </c>
      <c r="E122" s="2265" t="str">
        <f>Master!CM4</f>
        <v xml:space="preserve">RPP </v>
      </c>
      <c r="F122" s="3134">
        <f>Master!CM7</f>
        <v>0</v>
      </c>
      <c r="G122" s="3134">
        <f>Master!CM8</f>
        <v>0</v>
      </c>
      <c r="H122" s="3135">
        <f>Forecast!M122</f>
        <v>0</v>
      </c>
      <c r="I122" s="2266">
        <f>YesterdayGen!CM34</f>
        <v>0</v>
      </c>
      <c r="J122" s="2267">
        <f t="shared" si="9"/>
        <v>0</v>
      </c>
      <c r="K122" s="2267">
        <f>IF((H122-I122)&gt;0,(H122-I122),0)</f>
        <v>0</v>
      </c>
      <c r="L122" s="4365" t="s">
        <v>900</v>
      </c>
      <c r="N122" s="615"/>
      <c r="T122" s="1062"/>
      <c r="U122" s="81"/>
    </row>
    <row r="123" spans="1:21" ht="12" customHeight="1">
      <c r="A123" s="77"/>
      <c r="B123" s="2421">
        <v>100</v>
      </c>
      <c r="C123" s="1917" t="str">
        <f>Master!CP3</f>
        <v>Shahjahanulla 25 MW PP</v>
      </c>
      <c r="D123" s="2186" t="str">
        <f>Master!CP5</f>
        <v>Gas</v>
      </c>
      <c r="E123" s="2269" t="str">
        <f>Master!CP4</f>
        <v>SIPP, REB</v>
      </c>
      <c r="F123" s="2256">
        <f>Master!CP7</f>
        <v>25</v>
      </c>
      <c r="G123" s="2211">
        <f>Master!CP8</f>
        <v>25</v>
      </c>
      <c r="H123" s="2219">
        <f>Forecast!M123</f>
        <v>24</v>
      </c>
      <c r="I123" s="2215">
        <f>YesterdayGen!CP34</f>
        <v>24</v>
      </c>
      <c r="J123" s="2185">
        <f t="shared" si="9"/>
        <v>0</v>
      </c>
      <c r="K123" s="2185">
        <f>IF((H123-I123)&gt;0,(H123-I123),0)</f>
        <v>0</v>
      </c>
      <c r="L123" s="2205"/>
      <c r="N123" s="615"/>
      <c r="T123" s="1062"/>
      <c r="U123" s="81"/>
    </row>
    <row r="124" spans="1:21" ht="12" customHeight="1">
      <c r="A124" s="77"/>
      <c r="B124" s="2421">
        <v>101</v>
      </c>
      <c r="C124" s="1917" t="str">
        <f>Master!CO3</f>
        <v>Bibiana-II 341 MW CCPP (Summit)</v>
      </c>
      <c r="D124" s="2210" t="str">
        <f>Master!CO5</f>
        <v>Gas</v>
      </c>
      <c r="E124" s="2269" t="str">
        <f>Master!CO4</f>
        <v>IPP</v>
      </c>
      <c r="F124" s="2256">
        <f>Master!CO7</f>
        <v>341</v>
      </c>
      <c r="G124" s="2211">
        <f>Master!CO8</f>
        <v>341</v>
      </c>
      <c r="H124" s="2219">
        <f>Forecast!M124</f>
        <v>330</v>
      </c>
      <c r="I124" s="2215">
        <f>YesterdayGen!CO34</f>
        <v>300</v>
      </c>
      <c r="J124" s="2185">
        <f t="shared" si="9"/>
        <v>0</v>
      </c>
      <c r="K124" s="2185">
        <f t="shared" si="10"/>
        <v>30</v>
      </c>
      <c r="L124" s="2278" t="s">
        <v>172</v>
      </c>
      <c r="N124" s="615"/>
      <c r="T124" s="1063"/>
      <c r="U124" s="81"/>
    </row>
    <row r="125" spans="1:21" ht="12" customHeight="1">
      <c r="A125" s="77"/>
      <c r="B125" s="2448">
        <v>102</v>
      </c>
      <c r="C125" s="1917" t="str">
        <f>Master!DC3</f>
        <v>Bibiyana-III     400 MW CCPP</v>
      </c>
      <c r="D125" s="2210" t="str">
        <f>Master!DC5</f>
        <v>Gas</v>
      </c>
      <c r="E125" s="2269" t="str">
        <f>Master!DC4</f>
        <v>PDB</v>
      </c>
      <c r="F125" s="2256">
        <f>Master!DC7</f>
        <v>400</v>
      </c>
      <c r="G125" s="2211">
        <f>Master!DC8</f>
        <v>400</v>
      </c>
      <c r="H125" s="2219">
        <f>Forecast!M125</f>
        <v>0</v>
      </c>
      <c r="I125" s="2215">
        <f>YesterdayGen!DC34</f>
        <v>0</v>
      </c>
      <c r="J125" s="2185">
        <f t="shared" si="9"/>
        <v>0</v>
      </c>
      <c r="K125" s="2185">
        <f t="shared" si="10"/>
        <v>0</v>
      </c>
      <c r="L125" s="2278" t="s">
        <v>117</v>
      </c>
      <c r="N125" s="615"/>
      <c r="T125" s="1063"/>
      <c r="U125" s="81"/>
    </row>
    <row r="126" spans="1:21" ht="12" customHeight="1">
      <c r="A126" s="77"/>
      <c r="B126" s="2421">
        <v>103</v>
      </c>
      <c r="C126" s="2280" t="str">
        <f>Master!CN3</f>
        <v xml:space="preserve">Sylhet 10MW PP (Desh)  </v>
      </c>
      <c r="D126" s="2210" t="str">
        <f>Master!CN5</f>
        <v>Gas</v>
      </c>
      <c r="E126" s="2269" t="str">
        <f>Master!CN4</f>
        <v xml:space="preserve">RPP </v>
      </c>
      <c r="F126" s="2256">
        <f>Master!CN7</f>
        <v>10</v>
      </c>
      <c r="G126" s="2211">
        <f>Master!CN8</f>
        <v>10</v>
      </c>
      <c r="H126" s="2219">
        <f>Forecast!M126</f>
        <v>10</v>
      </c>
      <c r="I126" s="2215">
        <f>YesterdayGen!CN34</f>
        <v>10</v>
      </c>
      <c r="J126" s="2185">
        <f t="shared" si="9"/>
        <v>0</v>
      </c>
      <c r="K126" s="2185">
        <f t="shared" si="10"/>
        <v>0</v>
      </c>
      <c r="L126" s="2205"/>
      <c r="N126" s="615"/>
      <c r="T126" s="1062"/>
      <c r="U126" s="81"/>
    </row>
    <row r="127" spans="1:21" ht="12" customHeight="1" thickBot="1">
      <c r="A127" s="77"/>
      <c r="B127" s="3446">
        <v>104</v>
      </c>
      <c r="C127" s="2280" t="str">
        <f>Master!DN3</f>
        <v>Bibiyana South 400 MW</v>
      </c>
      <c r="D127" s="2210" t="str">
        <f>Master!DN5</f>
        <v>Gas</v>
      </c>
      <c r="E127" s="2269" t="str">
        <f>Master!DN4</f>
        <v>PDB</v>
      </c>
      <c r="F127" s="3730">
        <f>Master!DN7</f>
        <v>383</v>
      </c>
      <c r="G127" s="2211">
        <f>Master!DN8</f>
        <v>383</v>
      </c>
      <c r="H127" s="2224">
        <f>Forecast!M127</f>
        <v>400</v>
      </c>
      <c r="I127" s="2215">
        <f>YesterdayGen!DN34</f>
        <v>200</v>
      </c>
      <c r="J127" s="2222">
        <f>IF((I127-H127)&gt;0,(I127-H127),0)</f>
        <v>0</v>
      </c>
      <c r="K127" s="2222">
        <f>IF((H127-I127)&gt;0,(H127-I127),0)</f>
        <v>200</v>
      </c>
      <c r="L127" s="2191"/>
      <c r="N127" s="615"/>
      <c r="T127" s="1062"/>
      <c r="U127" s="81"/>
    </row>
    <row r="128" spans="1:21" ht="14.25" customHeight="1" thickBot="1">
      <c r="A128" s="77"/>
      <c r="B128" s="2079"/>
      <c r="C128" s="2229" t="s">
        <v>41</v>
      </c>
      <c r="D128" s="2230"/>
      <c r="E128" s="2231"/>
      <c r="F128" s="2232">
        <f t="shared" ref="F128:K128" si="15">SUM(F110:F127)</f>
        <v>2422</v>
      </c>
      <c r="G128" s="2233">
        <f t="shared" si="15"/>
        <v>2377</v>
      </c>
      <c r="H128" s="3445">
        <f t="shared" si="15"/>
        <v>1392</v>
      </c>
      <c r="I128" s="2270">
        <f t="shared" si="15"/>
        <v>1159</v>
      </c>
      <c r="J128" s="2271">
        <f t="shared" si="15"/>
        <v>1</v>
      </c>
      <c r="K128" s="2271">
        <f t="shared" si="15"/>
        <v>234</v>
      </c>
      <c r="L128" s="2237"/>
      <c r="N128" s="1104"/>
      <c r="T128" s="1062"/>
      <c r="U128" s="81"/>
    </row>
    <row r="129" spans="1:21" ht="12" customHeight="1">
      <c r="A129" s="77"/>
      <c r="B129" s="2416">
        <v>105</v>
      </c>
      <c r="C129" s="2238" t="str">
        <f>Master!DZ3</f>
        <v>Bheramara GTPP Unit-3</v>
      </c>
      <c r="D129" s="2182" t="str">
        <f>Master!DZ5</f>
        <v>HSD</v>
      </c>
      <c r="E129" s="2239" t="str">
        <f>Master!DZ4</f>
        <v>PDB</v>
      </c>
      <c r="F129" s="2272">
        <f>Master!DZ7</f>
        <v>20</v>
      </c>
      <c r="G129" s="2240">
        <f>Master!DZ8</f>
        <v>16</v>
      </c>
      <c r="H129" s="2219">
        <f>Forecast!M129</f>
        <v>0</v>
      </c>
      <c r="I129" s="2242">
        <f>YesterdayGen!DZ34</f>
        <v>0</v>
      </c>
      <c r="J129" s="2185">
        <f t="shared" si="9"/>
        <v>0</v>
      </c>
      <c r="K129" s="2185">
        <f t="shared" si="10"/>
        <v>0</v>
      </c>
      <c r="L129" s="2244" t="s">
        <v>1255</v>
      </c>
      <c r="N129" s="615"/>
      <c r="T129" s="1062"/>
      <c r="U129" s="81"/>
    </row>
    <row r="130" spans="1:21" ht="12" customHeight="1" thickBot="1">
      <c r="A130" s="77"/>
      <c r="B130" s="2421" t="s">
        <v>143</v>
      </c>
      <c r="C130" s="2268" t="str">
        <f>Master!DY3</f>
        <v>Bheramara (HVDC )</v>
      </c>
      <c r="D130" s="2190">
        <f>Master!DY5</f>
        <v>0</v>
      </c>
      <c r="E130" s="2218" t="str">
        <f>Master!DY4</f>
        <v>Imported power</v>
      </c>
      <c r="F130" s="2204">
        <f>Master!DY7</f>
        <v>1000</v>
      </c>
      <c r="G130" s="2208">
        <f>Master!DY8</f>
        <v>1000</v>
      </c>
      <c r="H130" s="2219">
        <f>Forecast!M130</f>
        <v>715</v>
      </c>
      <c r="I130" s="2220">
        <f>YesterdayGen!DY34</f>
        <v>658</v>
      </c>
      <c r="J130" s="2185">
        <f t="shared" si="9"/>
        <v>0</v>
      </c>
      <c r="K130" s="2185">
        <f t="shared" si="10"/>
        <v>57</v>
      </c>
      <c r="L130" s="2205"/>
      <c r="N130" s="615"/>
      <c r="T130" s="1062"/>
      <c r="U130" s="81"/>
    </row>
    <row r="131" spans="1:21" ht="12" customHeight="1" thickBot="1">
      <c r="A131" s="77"/>
      <c r="B131" s="3970">
        <v>106</v>
      </c>
      <c r="C131" s="4496" t="str">
        <f>Master!EC3</f>
        <v>Khulna 115 PP MW (KPCL-2)</v>
      </c>
      <c r="D131" s="4497" t="str">
        <f>Master!EC5</f>
        <v>HFO</v>
      </c>
      <c r="E131" s="4498" t="str">
        <f>Master!EC4</f>
        <v>QRPP</v>
      </c>
      <c r="F131" s="4499">
        <f>Master!EC7</f>
        <v>115</v>
      </c>
      <c r="G131" s="4500">
        <f>Master!EC8</f>
        <v>0</v>
      </c>
      <c r="H131" s="4501">
        <f>Forecast!M131</f>
        <v>0</v>
      </c>
      <c r="I131" s="4502">
        <f>YesterdayGen!EC34</f>
        <v>0</v>
      </c>
      <c r="J131" s="4503">
        <f t="shared" si="9"/>
        <v>0</v>
      </c>
      <c r="K131" s="4503">
        <f t="shared" si="10"/>
        <v>0</v>
      </c>
      <c r="L131" s="4504" t="s">
        <v>900</v>
      </c>
      <c r="N131" s="3722"/>
      <c r="T131" s="1062"/>
      <c r="U131" s="81"/>
    </row>
    <row r="132" spans="1:21" ht="12" customHeight="1" thickBot="1">
      <c r="A132" s="77"/>
      <c r="B132" s="2421">
        <v>107</v>
      </c>
      <c r="C132" s="1916" t="str">
        <f>Master!EG3</f>
        <v>Faridpur 50 MW Peaking PP</v>
      </c>
      <c r="D132" s="2186" t="str">
        <f>Master!EG5</f>
        <v>HFO</v>
      </c>
      <c r="E132" s="2218" t="str">
        <f>Master!EG4</f>
        <v>PDB</v>
      </c>
      <c r="F132" s="2204">
        <f>Master!EG7</f>
        <v>54</v>
      </c>
      <c r="G132" s="2262">
        <f>Master!EG8</f>
        <v>54</v>
      </c>
      <c r="H132" s="2219">
        <f>Forecast!M132</f>
        <v>35</v>
      </c>
      <c r="I132" s="2220">
        <f>YesterdayGen!EG34</f>
        <v>34</v>
      </c>
      <c r="J132" s="2185">
        <f t="shared" si="9"/>
        <v>0</v>
      </c>
      <c r="K132" s="2185">
        <f t="shared" si="10"/>
        <v>1</v>
      </c>
      <c r="L132" s="2194"/>
      <c r="N132" s="3660"/>
      <c r="T132" s="1062"/>
      <c r="U132" s="81"/>
    </row>
    <row r="133" spans="1:21" ht="12" customHeight="1" thickBot="1">
      <c r="A133" s="77"/>
      <c r="B133" s="2421">
        <v>108</v>
      </c>
      <c r="C133" s="1916" t="str">
        <f>Master!ED3</f>
        <v>Khulna  225 MW CCPP</v>
      </c>
      <c r="D133" s="2186" t="str">
        <f>Master!ED5</f>
        <v>HSD</v>
      </c>
      <c r="E133" s="2218" t="str">
        <f>Master!ED4</f>
        <v>NWPGCL</v>
      </c>
      <c r="F133" s="2204">
        <f>Master!ED7</f>
        <v>230</v>
      </c>
      <c r="G133" s="2262">
        <f>Master!ED8</f>
        <v>230</v>
      </c>
      <c r="H133" s="2219">
        <f>Forecast!M133</f>
        <v>220</v>
      </c>
      <c r="I133" s="2220">
        <f>YesterdayGen!ED34</f>
        <v>0</v>
      </c>
      <c r="J133" s="2185">
        <f t="shared" si="9"/>
        <v>0</v>
      </c>
      <c r="K133" s="2185">
        <f t="shared" si="10"/>
        <v>220</v>
      </c>
      <c r="L133" s="2205" t="s">
        <v>1255</v>
      </c>
      <c r="N133" s="3660"/>
      <c r="T133" s="1062"/>
      <c r="U133" s="81"/>
    </row>
    <row r="134" spans="1:21" ht="12" customHeight="1" thickBot="1">
      <c r="A134" s="77"/>
      <c r="B134" s="2421">
        <v>109</v>
      </c>
      <c r="C134" s="1916" t="str">
        <f>Master!EH3</f>
        <v>Gopalganj 100 MW Peaking PP</v>
      </c>
      <c r="D134" s="2186" t="str">
        <f>Master!EH5</f>
        <v>HFO</v>
      </c>
      <c r="E134" s="2218" t="str">
        <f>Master!EH4</f>
        <v>PDB</v>
      </c>
      <c r="F134" s="2204">
        <f>Master!EH7</f>
        <v>109</v>
      </c>
      <c r="G134" s="2262">
        <f>Master!EH8</f>
        <v>109</v>
      </c>
      <c r="H134" s="2219">
        <f>Forecast!M134</f>
        <v>40</v>
      </c>
      <c r="I134" s="2220">
        <f>YesterdayGen!EH34</f>
        <v>0</v>
      </c>
      <c r="J134" s="2185">
        <f t="shared" si="9"/>
        <v>0</v>
      </c>
      <c r="K134" s="2185">
        <f t="shared" si="10"/>
        <v>40</v>
      </c>
      <c r="L134" s="2205" t="s">
        <v>1255</v>
      </c>
      <c r="N134" s="3661"/>
      <c r="T134" s="1062"/>
      <c r="U134" s="81"/>
    </row>
    <row r="135" spans="1:21" ht="12" customHeight="1" thickBot="1">
      <c r="A135" s="77"/>
      <c r="B135" s="2421">
        <v>110</v>
      </c>
      <c r="C135" s="2281" t="str">
        <f>Master!EA3</f>
        <v>Bheramara 410 MW CCPP</v>
      </c>
      <c r="D135" s="2186" t="str">
        <f>Master!EA5</f>
        <v>Gas</v>
      </c>
      <c r="E135" s="2218" t="str">
        <f>Master!EA4</f>
        <v>NWPGCL</v>
      </c>
      <c r="F135" s="2204">
        <f>Master!EA7</f>
        <v>410</v>
      </c>
      <c r="G135" s="2262">
        <f>Master!EA8</f>
        <v>410</v>
      </c>
      <c r="H135" s="2219">
        <f>Forecast!M135</f>
        <v>0</v>
      </c>
      <c r="I135" s="2220">
        <f>YesterdayGen!EA34</f>
        <v>0</v>
      </c>
      <c r="J135" s="2185">
        <f t="shared" si="9"/>
        <v>0</v>
      </c>
      <c r="K135" s="2185">
        <f t="shared" si="10"/>
        <v>0</v>
      </c>
      <c r="L135" s="2191" t="s">
        <v>174</v>
      </c>
      <c r="N135" s="3661"/>
      <c r="T135" s="1062"/>
      <c r="U135" s="81"/>
    </row>
    <row r="136" spans="1:21" s="4481" customFormat="1" ht="12" customHeight="1" thickBot="1">
      <c r="A136" s="4478"/>
      <c r="B136" s="3120"/>
      <c r="C136" s="3763" t="str">
        <f>Master!EI3</f>
        <v>Noapara 40 MW PP (Khanjahan Ali)</v>
      </c>
      <c r="D136" s="3764" t="str">
        <f>Master!EI5</f>
        <v>HFO</v>
      </c>
      <c r="E136" s="3765" t="str">
        <f>Master!EI4</f>
        <v>QRPP</v>
      </c>
      <c r="F136" s="3766">
        <f>Master!EI7</f>
        <v>0</v>
      </c>
      <c r="G136" s="4479">
        <f>Master!EI8</f>
        <v>0</v>
      </c>
      <c r="H136" s="3768">
        <f>Forecast!M136</f>
        <v>0</v>
      </c>
      <c r="I136" s="3771">
        <f>YesterdayGen!EI34</f>
        <v>0</v>
      </c>
      <c r="J136" s="3968">
        <f t="shared" si="9"/>
        <v>0</v>
      </c>
      <c r="K136" s="3968">
        <f t="shared" si="10"/>
        <v>0</v>
      </c>
      <c r="L136" s="4480" t="s">
        <v>900</v>
      </c>
      <c r="N136" s="4482"/>
      <c r="T136" s="4483"/>
      <c r="U136" s="4484"/>
    </row>
    <row r="137" spans="1:21" ht="12" customHeight="1" thickBot="1">
      <c r="A137" s="77"/>
      <c r="B137" s="2421">
        <v>111</v>
      </c>
      <c r="C137" s="2282" t="str">
        <f>Master!FK3</f>
        <v xml:space="preserve"> Noapara 100 MW PP (Bangla Trac)</v>
      </c>
      <c r="D137" s="2283" t="str">
        <f>Master!FK5</f>
        <v>HSD</v>
      </c>
      <c r="E137" s="2284" t="str">
        <f>Master!FK4</f>
        <v>IPP</v>
      </c>
      <c r="F137" s="2285">
        <f>Master!FK7</f>
        <v>100</v>
      </c>
      <c r="G137" s="2286">
        <f>Master!FK8</f>
        <v>100</v>
      </c>
      <c r="H137" s="2287">
        <f>Forecast!M137</f>
        <v>100</v>
      </c>
      <c r="I137" s="2288">
        <f>YesterdayGen!FK34</f>
        <v>0</v>
      </c>
      <c r="J137" s="2289">
        <f>IF((I137-H137)&gt;0,(I137-H137),0)</f>
        <v>0</v>
      </c>
      <c r="K137" s="2289">
        <f>IF((H137-I137)&gt;0,(H137-I137),0)</f>
        <v>100</v>
      </c>
      <c r="L137" s="2205" t="s">
        <v>1255</v>
      </c>
      <c r="N137" s="3660"/>
      <c r="T137" s="1062"/>
      <c r="U137" s="81"/>
    </row>
    <row r="138" spans="1:21" ht="12" customHeight="1" thickBot="1">
      <c r="A138" s="77"/>
      <c r="B138" s="2421">
        <v>112</v>
      </c>
      <c r="C138" s="1917" t="str">
        <f>Master!FO3</f>
        <v>Rupsha 105 MW PP (Orion rupsha)</v>
      </c>
      <c r="D138" s="2210" t="str">
        <f>Master!FO5</f>
        <v>HFO</v>
      </c>
      <c r="E138" s="2210" t="str">
        <f>Master!FO4</f>
        <v>IPP</v>
      </c>
      <c r="F138" s="2256">
        <f>Master!FO7</f>
        <v>105</v>
      </c>
      <c r="G138" s="2256">
        <f>Master!FO8</f>
        <v>105</v>
      </c>
      <c r="H138" s="2224">
        <f>Forecast!M138</f>
        <v>105</v>
      </c>
      <c r="I138" s="2213">
        <f>YesterdayGen!FO34</f>
        <v>105</v>
      </c>
      <c r="J138" s="2225">
        <f>IF((I138-H138)&gt;0,(I138-H138),0)</f>
        <v>0</v>
      </c>
      <c r="K138" s="2225">
        <f>IF((H138-I138)&gt;0,(H138-I138),0)</f>
        <v>0</v>
      </c>
      <c r="L138" s="2205"/>
      <c r="N138" s="3660"/>
      <c r="T138" s="1062"/>
      <c r="U138" s="81"/>
    </row>
    <row r="139" spans="1:21" ht="12" customHeight="1" thickBot="1">
      <c r="A139" s="77"/>
      <c r="B139" s="3698">
        <v>113</v>
      </c>
      <c r="C139" s="1917" t="str">
        <f>Master!FR3</f>
        <v>Madhumati 100 MW PP</v>
      </c>
      <c r="D139" s="2210" t="str">
        <f>Master!FR5</f>
        <v>HFO</v>
      </c>
      <c r="E139" s="2269" t="str">
        <f>Master!FR4</f>
        <v>NWPGCL</v>
      </c>
      <c r="F139" s="2256">
        <f>Master!FR7</f>
        <v>105</v>
      </c>
      <c r="G139" s="2211">
        <f>Master!FR8</f>
        <v>105</v>
      </c>
      <c r="H139" s="2224">
        <f>Forecast!M139</f>
        <v>100</v>
      </c>
      <c r="I139" s="2215">
        <f>YesterdayGen!FR34</f>
        <v>0</v>
      </c>
      <c r="J139" s="2225">
        <f>IF((I139-H139)&gt;0,(I139-H139),0)</f>
        <v>0</v>
      </c>
      <c r="K139" s="2225">
        <f>IF((H139-I139)&gt;0,(H139-I139),0)</f>
        <v>100</v>
      </c>
      <c r="L139" s="2205" t="s">
        <v>1255</v>
      </c>
      <c r="N139" s="3723"/>
      <c r="T139" s="1062"/>
      <c r="U139" s="81"/>
    </row>
    <row r="140" spans="1:21" ht="12" customHeight="1" thickBot="1">
      <c r="A140" s="77"/>
      <c r="B140" s="4825"/>
      <c r="C140" s="1917" t="str">
        <f>Master!GB3</f>
        <v>Mongla Orion 100 MW Solar PP</v>
      </c>
      <c r="D140" s="2210" t="str">
        <f>Master!GB5</f>
        <v>Solar</v>
      </c>
      <c r="E140" s="2226" t="str">
        <f>Master!GB4</f>
        <v>IPP</v>
      </c>
      <c r="F140" s="2223">
        <f>Master!GB7</f>
        <v>0</v>
      </c>
      <c r="G140" s="2211">
        <f>Master!GB8</f>
        <v>0</v>
      </c>
      <c r="H140" s="4905">
        <f>Forecast!M140</f>
        <v>0</v>
      </c>
      <c r="I140" s="2215">
        <f>YesterdayGen!GB34</f>
        <v>0</v>
      </c>
      <c r="J140" s="2225">
        <f>IF((I140-H140)&gt;0,(I140-H140),0)</f>
        <v>0</v>
      </c>
      <c r="K140" s="2225">
        <f>IF((H140-I140)&gt;0,(H140-I140),0)</f>
        <v>0</v>
      </c>
      <c r="L140" s="3451" t="s">
        <v>1454</v>
      </c>
      <c r="N140" s="3723"/>
      <c r="T140" s="1062"/>
      <c r="U140" s="81"/>
    </row>
    <row r="141" spans="1:21" ht="13.5" customHeight="1" thickBot="1">
      <c r="A141" s="77"/>
      <c r="B141" s="2079"/>
      <c r="C141" s="2229" t="s">
        <v>42</v>
      </c>
      <c r="D141" s="2230"/>
      <c r="E141" s="2231"/>
      <c r="F141" s="2232">
        <f t="shared" ref="F141:K141" si="16">SUM(F129:F140)</f>
        <v>2248</v>
      </c>
      <c r="G141" s="2232">
        <f t="shared" si="16"/>
        <v>2129</v>
      </c>
      <c r="H141" s="2232">
        <f t="shared" si="16"/>
        <v>1315</v>
      </c>
      <c r="I141" s="2232">
        <f t="shared" si="16"/>
        <v>797</v>
      </c>
      <c r="J141" s="2260">
        <f t="shared" si="16"/>
        <v>0</v>
      </c>
      <c r="K141" s="2260">
        <f t="shared" si="16"/>
        <v>518</v>
      </c>
      <c r="L141" s="2237"/>
      <c r="N141" s="3662"/>
      <c r="T141" s="1062"/>
      <c r="U141" s="81"/>
    </row>
    <row r="142" spans="1:21" ht="12" customHeight="1">
      <c r="A142" s="77"/>
      <c r="B142" s="2451">
        <v>114</v>
      </c>
      <c r="C142" s="2238" t="str">
        <f>Master!EL3</f>
        <v>Barisal 110 MW PP (Summit )</v>
      </c>
      <c r="D142" s="2182" t="str">
        <f>Master!EL5</f>
        <v>HFO</v>
      </c>
      <c r="E142" s="2239" t="str">
        <f>Master!EL4</f>
        <v>IPP</v>
      </c>
      <c r="F142" s="2272">
        <f>Master!EL7</f>
        <v>110</v>
      </c>
      <c r="G142" s="2240">
        <f>Master!EL8</f>
        <v>110</v>
      </c>
      <c r="H142" s="2219">
        <f>Forecast!M142</f>
        <v>110</v>
      </c>
      <c r="I142" s="2242">
        <f>YesterdayGen!EL34</f>
        <v>0</v>
      </c>
      <c r="J142" s="2185">
        <f t="shared" si="9"/>
        <v>0</v>
      </c>
      <c r="K142" s="2185">
        <f t="shared" si="10"/>
        <v>110</v>
      </c>
      <c r="L142" s="2205" t="s">
        <v>1516</v>
      </c>
      <c r="N142" s="615"/>
      <c r="T142" s="1062"/>
      <c r="U142" s="81"/>
    </row>
    <row r="143" spans="1:21" ht="12" customHeight="1">
      <c r="A143" s="77"/>
      <c r="B143" s="2451">
        <v>115</v>
      </c>
      <c r="C143" s="1916" t="str">
        <f>Master!EK3</f>
        <v>Bhola  33 MW PP (Venture)</v>
      </c>
      <c r="D143" s="2186" t="str">
        <f>Master!EK5</f>
        <v>Gas</v>
      </c>
      <c r="E143" s="2218" t="str">
        <f>Master!EK4</f>
        <v>RPP</v>
      </c>
      <c r="F143" s="2204">
        <f>Master!EK7</f>
        <v>33</v>
      </c>
      <c r="G143" s="2208">
        <f>Master!EK8</f>
        <v>33</v>
      </c>
      <c r="H143" s="2219">
        <f>Forecast!M143</f>
        <v>24</v>
      </c>
      <c r="I143" s="2220">
        <f>YesterdayGen!EK34</f>
        <v>20</v>
      </c>
      <c r="J143" s="2185">
        <f t="shared" si="9"/>
        <v>0</v>
      </c>
      <c r="K143" s="2185">
        <f t="shared" si="10"/>
        <v>4</v>
      </c>
      <c r="L143" s="2205" t="s">
        <v>126</v>
      </c>
      <c r="N143" s="615"/>
      <c r="T143" s="1066"/>
      <c r="U143" s="81"/>
    </row>
    <row r="144" spans="1:21" ht="12" customHeight="1">
      <c r="A144" s="77"/>
      <c r="B144" s="3171">
        <v>116</v>
      </c>
      <c r="C144" s="2282" t="str">
        <f>Master!EJ3</f>
        <v>Bhola 225 MW  CCPP</v>
      </c>
      <c r="D144" s="2283" t="str">
        <f>Master!EJ5</f>
        <v>Gas</v>
      </c>
      <c r="E144" s="2284" t="str">
        <f>Master!EJ4</f>
        <v>PDB</v>
      </c>
      <c r="F144" s="2285">
        <f>Master!EJ7</f>
        <v>194</v>
      </c>
      <c r="G144" s="2286">
        <f>Master!EJ8</f>
        <v>194</v>
      </c>
      <c r="H144" s="2287">
        <f>Forecast!M144</f>
        <v>91</v>
      </c>
      <c r="I144" s="2288">
        <f>YesterdayGen!EJ34</f>
        <v>91</v>
      </c>
      <c r="J144" s="2289">
        <f t="shared" ref="J144:J148" si="17">IF((I144-H144)&gt;0,(I144-H144),0)</f>
        <v>0</v>
      </c>
      <c r="K144" s="2289">
        <f t="shared" ref="K144:K148" si="18">IF((H144-I144)&gt;0,(H144-I144),0)</f>
        <v>0</v>
      </c>
      <c r="L144" s="2205" t="s">
        <v>1314</v>
      </c>
      <c r="N144" s="615"/>
      <c r="T144" s="1067"/>
      <c r="U144" s="81"/>
    </row>
    <row r="145" spans="1:21" ht="12" customHeight="1">
      <c r="A145" s="77"/>
      <c r="B145" s="3171">
        <v>117</v>
      </c>
      <c r="C145" s="1917" t="str">
        <f>Master!FJ3</f>
        <v>Bhola 95 MW PP (Aggreko)</v>
      </c>
      <c r="D145" s="2210" t="str">
        <f>Master!FJ5</f>
        <v>Gas</v>
      </c>
      <c r="E145" s="2210" t="str">
        <f>Master!FJ4</f>
        <v>QRPP</v>
      </c>
      <c r="F145" s="2256">
        <f>Master!FJ7</f>
        <v>95</v>
      </c>
      <c r="G145" s="2256">
        <f>Master!FJ8</f>
        <v>95</v>
      </c>
      <c r="H145" s="2224">
        <f>Forecast!M145</f>
        <v>11</v>
      </c>
      <c r="I145" s="2213">
        <f>YesterdayGen!FJ34</f>
        <v>11</v>
      </c>
      <c r="J145" s="2225">
        <f t="shared" si="17"/>
        <v>0</v>
      </c>
      <c r="K145" s="2225">
        <f t="shared" si="18"/>
        <v>0</v>
      </c>
      <c r="L145" s="2200" t="s">
        <v>174</v>
      </c>
      <c r="N145" s="615"/>
      <c r="T145" s="1067"/>
      <c r="U145" s="81"/>
    </row>
    <row r="146" spans="1:21" ht="12" customHeight="1">
      <c r="A146" s="77"/>
      <c r="B146" s="3173">
        <v>118</v>
      </c>
      <c r="C146" s="1916" t="str">
        <f>Master!FW3</f>
        <v>Payra 1320 MW</v>
      </c>
      <c r="D146" s="2186" t="str">
        <f>Master!FW5</f>
        <v>Coal</v>
      </c>
      <c r="E146" s="2218" t="str">
        <f>Master!FW4</f>
        <v>BCPCL</v>
      </c>
      <c r="F146" s="2204">
        <f>Master!FW7</f>
        <v>1244</v>
      </c>
      <c r="G146" s="2208">
        <f>Master!FW8</f>
        <v>1244</v>
      </c>
      <c r="H146" s="2221">
        <f>Forecast!M146</f>
        <v>620</v>
      </c>
      <c r="I146" s="2220">
        <f>YesterdayGen!FW34</f>
        <v>190</v>
      </c>
      <c r="J146" s="2222">
        <f t="shared" si="17"/>
        <v>0</v>
      </c>
      <c r="K146" s="2222">
        <f t="shared" si="18"/>
        <v>430</v>
      </c>
      <c r="L146" s="2205" t="s">
        <v>1629</v>
      </c>
      <c r="N146" s="615"/>
      <c r="T146" s="1067"/>
      <c r="U146" s="81"/>
    </row>
    <row r="147" spans="1:21" ht="12" customHeight="1" thickBot="1">
      <c r="A147" s="77"/>
      <c r="B147" s="3779">
        <v>119</v>
      </c>
      <c r="C147" s="3818" t="s">
        <v>1284</v>
      </c>
      <c r="D147" s="2182" t="str">
        <f>Master!FX5</f>
        <v>Gas</v>
      </c>
      <c r="E147" s="2182" t="str">
        <f>Master!FX4</f>
        <v>IPP</v>
      </c>
      <c r="F147" s="2272">
        <f>Master!FX7</f>
        <v>220</v>
      </c>
      <c r="G147" s="2272">
        <f>Master!FX8</f>
        <v>220</v>
      </c>
      <c r="H147" s="2219">
        <f>Forecast!M147</f>
        <v>220</v>
      </c>
      <c r="I147" s="2184">
        <f>YesterdayGen!FX34</f>
        <v>221</v>
      </c>
      <c r="J147" s="2222">
        <f t="shared" si="17"/>
        <v>1</v>
      </c>
      <c r="K147" s="2222">
        <f t="shared" si="18"/>
        <v>0</v>
      </c>
      <c r="L147" s="3817"/>
      <c r="N147" s="615"/>
      <c r="T147" s="1067"/>
      <c r="U147" s="81"/>
    </row>
    <row r="148" spans="1:21" ht="12" customHeight="1" thickBot="1">
      <c r="A148" s="77"/>
      <c r="B148" s="4803">
        <v>120</v>
      </c>
      <c r="C148" s="3536" t="str">
        <f>Master!FZ3</f>
        <v>United Payra Power Ltd.</v>
      </c>
      <c r="D148" s="2210" t="str">
        <f>Master!FZ5</f>
        <v>HFO</v>
      </c>
      <c r="E148" s="2210" t="str">
        <f>Master!FZ4</f>
        <v>IPP</v>
      </c>
      <c r="F148" s="2256">
        <f>Master!FZ7</f>
        <v>150</v>
      </c>
      <c r="G148" s="2256">
        <f>Master!FZ8</f>
        <v>150</v>
      </c>
      <c r="H148" s="2224">
        <f>Forecast!M148</f>
        <v>150</v>
      </c>
      <c r="I148" s="2213">
        <f>YesterdayGen!FZ34</f>
        <v>0</v>
      </c>
      <c r="J148" s="2222">
        <f t="shared" si="17"/>
        <v>0</v>
      </c>
      <c r="K148" s="2222">
        <f t="shared" si="18"/>
        <v>150</v>
      </c>
      <c r="L148" s="2205" t="s">
        <v>1255</v>
      </c>
      <c r="N148" s="3946">
        <v>957</v>
      </c>
      <c r="T148" s="1067"/>
      <c r="U148" s="81"/>
    </row>
    <row r="149" spans="1:21" ht="12" customHeight="1" thickBot="1">
      <c r="A149" s="77"/>
      <c r="B149" s="2079"/>
      <c r="C149" s="2229" t="s">
        <v>43</v>
      </c>
      <c r="D149" s="2230"/>
      <c r="E149" s="2231"/>
      <c r="F149" s="2232">
        <f t="shared" ref="F149:K149" si="19">SUM(F142:F148)</f>
        <v>2046</v>
      </c>
      <c r="G149" s="2232">
        <f t="shared" si="19"/>
        <v>2046</v>
      </c>
      <c r="H149" s="2232">
        <f t="shared" si="19"/>
        <v>1226</v>
      </c>
      <c r="I149" s="2232">
        <f t="shared" si="19"/>
        <v>533</v>
      </c>
      <c r="J149" s="2260">
        <f t="shared" si="19"/>
        <v>1</v>
      </c>
      <c r="K149" s="2260">
        <f t="shared" si="19"/>
        <v>694</v>
      </c>
      <c r="L149" s="2237"/>
      <c r="N149" s="3723">
        <v>636</v>
      </c>
      <c r="T149" s="1067"/>
      <c r="U149" s="81"/>
    </row>
    <row r="150" spans="1:21" ht="12" customHeight="1" thickBot="1">
      <c r="A150" s="77"/>
      <c r="B150" s="2492">
        <v>121</v>
      </c>
      <c r="C150" s="2238" t="str">
        <f>Master!EO3</f>
        <v>Baghabari 71 MW GTPP</v>
      </c>
      <c r="D150" s="2182" t="str">
        <f>Master!EO5</f>
        <v>Gas</v>
      </c>
      <c r="E150" s="2239" t="str">
        <f>Master!EO4</f>
        <v>PDB</v>
      </c>
      <c r="F150" s="2272">
        <f>Master!EO7</f>
        <v>71</v>
      </c>
      <c r="G150" s="2240">
        <f>Master!EO8</f>
        <v>71</v>
      </c>
      <c r="H150" s="2219">
        <f>Forecast!M150</f>
        <v>0</v>
      </c>
      <c r="I150" s="2242">
        <f>YesterdayGen!EO34</f>
        <v>0</v>
      </c>
      <c r="J150" s="2185">
        <f t="shared" si="9"/>
        <v>0</v>
      </c>
      <c r="K150" s="2185">
        <f t="shared" si="10"/>
        <v>0</v>
      </c>
      <c r="L150" s="2194" t="s">
        <v>174</v>
      </c>
      <c r="N150" s="3947">
        <v>867</v>
      </c>
      <c r="T150" s="1062"/>
      <c r="U150" s="81"/>
    </row>
    <row r="151" spans="1:21" ht="11.25" customHeight="1" thickBot="1">
      <c r="A151" s="77"/>
      <c r="B151" s="4538"/>
      <c r="C151" s="1916" t="str">
        <f>Master!EN3</f>
        <v>Baghabari  100 MW GTPP</v>
      </c>
      <c r="D151" s="2186" t="str">
        <f>Master!EN5</f>
        <v>Gas</v>
      </c>
      <c r="E151" s="2218" t="str">
        <f>Master!EN4</f>
        <v>PDB</v>
      </c>
      <c r="F151" s="2204">
        <f>Master!EN7</f>
        <v>100</v>
      </c>
      <c r="G151" s="2208">
        <f>Master!EN8</f>
        <v>100</v>
      </c>
      <c r="H151" s="2219">
        <f>Forecast!M151</f>
        <v>0</v>
      </c>
      <c r="I151" s="2220">
        <f>YesterdayGen!EN34</f>
        <v>0</v>
      </c>
      <c r="J151" s="2185">
        <f t="shared" si="9"/>
        <v>0</v>
      </c>
      <c r="K151" s="2185">
        <f t="shared" si="10"/>
        <v>0</v>
      </c>
      <c r="L151" s="2194" t="s">
        <v>174</v>
      </c>
      <c r="N151" s="3660">
        <v>667</v>
      </c>
      <c r="T151" s="1063"/>
      <c r="U151" s="81"/>
    </row>
    <row r="152" spans="1:21" ht="12" customHeight="1">
      <c r="A152" s="77"/>
      <c r="B152" s="5002">
        <v>122</v>
      </c>
      <c r="C152" s="1916" t="str">
        <f>Master!EP3</f>
        <v>Baghabari  50 MW Peaking PP</v>
      </c>
      <c r="D152" s="2186" t="str">
        <f>Master!EP5</f>
        <v>HFO</v>
      </c>
      <c r="E152" s="2218" t="str">
        <f>Master!EP4</f>
        <v>PDB</v>
      </c>
      <c r="F152" s="2204">
        <f>Master!EP7</f>
        <v>52</v>
      </c>
      <c r="G152" s="2208">
        <f>Master!EP8</f>
        <v>52</v>
      </c>
      <c r="H152" s="2219">
        <f>Forecast!M152</f>
        <v>50</v>
      </c>
      <c r="I152" s="2220">
        <f>YesterdayGen!EP34</f>
        <v>50</v>
      </c>
      <c r="J152" s="2185">
        <f t="shared" si="9"/>
        <v>0</v>
      </c>
      <c r="K152" s="2185">
        <f t="shared" si="10"/>
        <v>0</v>
      </c>
      <c r="L152" s="2205"/>
      <c r="N152" s="615">
        <f>SUM(N148:N151)</f>
        <v>3127</v>
      </c>
      <c r="T152" s="1064"/>
      <c r="U152" s="81"/>
    </row>
    <row r="153" spans="1:21" ht="12" customHeight="1">
      <c r="A153" s="77"/>
      <c r="B153" s="4999">
        <v>123</v>
      </c>
      <c r="C153" s="1916" t="str">
        <f>Master!EQ3</f>
        <v>Bera 70 MW Peaking PP</v>
      </c>
      <c r="D153" s="2186" t="str">
        <f>Master!EQ5</f>
        <v>HFO</v>
      </c>
      <c r="E153" s="2218" t="str">
        <f>Master!EQ4</f>
        <v>PDB</v>
      </c>
      <c r="F153" s="2204">
        <f>Master!EQ7</f>
        <v>71</v>
      </c>
      <c r="G153" s="2262">
        <f>Master!EQ8</f>
        <v>71</v>
      </c>
      <c r="H153" s="2219">
        <f>Forecast!M153</f>
        <v>30</v>
      </c>
      <c r="I153" s="2220">
        <f>YesterdayGen!EQ34</f>
        <v>25</v>
      </c>
      <c r="J153" s="2185">
        <f t="shared" si="9"/>
        <v>0</v>
      </c>
      <c r="K153" s="2185">
        <f t="shared" si="10"/>
        <v>5</v>
      </c>
      <c r="L153" s="2205" t="s">
        <v>126</v>
      </c>
      <c r="N153" s="615"/>
      <c r="T153" s="1062"/>
      <c r="U153" s="81"/>
    </row>
    <row r="154" spans="1:21" ht="12" customHeight="1">
      <c r="A154" s="77"/>
      <c r="B154" s="4999">
        <v>124</v>
      </c>
      <c r="C154" s="1916" t="str">
        <f>Master!ES3</f>
        <v>Amnura 50 MW PP(Sinha)</v>
      </c>
      <c r="D154" s="2186" t="str">
        <f>Master!ES5</f>
        <v>HFO</v>
      </c>
      <c r="E154" s="2218" t="str">
        <f>Master!ES4</f>
        <v>QRPP</v>
      </c>
      <c r="F154" s="2204">
        <f>Master!ES7</f>
        <v>50</v>
      </c>
      <c r="G154" s="2262">
        <f>Master!ES8</f>
        <v>50</v>
      </c>
      <c r="H154" s="2219">
        <f>Forecast!M154</f>
        <v>25</v>
      </c>
      <c r="I154" s="2220">
        <f>YesterdayGen!ES34</f>
        <v>0</v>
      </c>
      <c r="J154" s="2185">
        <f t="shared" si="9"/>
        <v>0</v>
      </c>
      <c r="K154" s="2185">
        <f t="shared" si="10"/>
        <v>25</v>
      </c>
      <c r="L154" s="2205" t="s">
        <v>1490</v>
      </c>
      <c r="N154" s="615"/>
      <c r="T154" s="1062"/>
      <c r="U154" s="81"/>
    </row>
    <row r="155" spans="1:21" ht="12" customHeight="1">
      <c r="A155" s="77"/>
      <c r="B155" s="4999">
        <v>125</v>
      </c>
      <c r="C155" s="1916" t="str">
        <f>Master!ET3</f>
        <v>Katakhali 50 MW PP (Northern)</v>
      </c>
      <c r="D155" s="2186" t="str">
        <f>Master!ET5</f>
        <v>HFO</v>
      </c>
      <c r="E155" s="2218" t="str">
        <f>Master!ET4</f>
        <v>QRPP</v>
      </c>
      <c r="F155" s="2204">
        <f>Master!ET7</f>
        <v>50</v>
      </c>
      <c r="G155" s="2262">
        <f>Master!ET8</f>
        <v>50</v>
      </c>
      <c r="H155" s="2219">
        <f>Forecast!M155</f>
        <v>43</v>
      </c>
      <c r="I155" s="2220">
        <f>YesterdayGen!ET34</f>
        <v>34</v>
      </c>
      <c r="J155" s="2185">
        <f t="shared" si="9"/>
        <v>0</v>
      </c>
      <c r="K155" s="2185">
        <f t="shared" si="10"/>
        <v>9</v>
      </c>
      <c r="L155" s="2205" t="s">
        <v>126</v>
      </c>
      <c r="N155" s="615"/>
      <c r="T155" s="1062"/>
      <c r="U155" s="81"/>
    </row>
    <row r="156" spans="1:21" ht="12" customHeight="1">
      <c r="A156" s="77"/>
      <c r="B156" s="4999">
        <v>126</v>
      </c>
      <c r="C156" s="1916" t="str">
        <f>Master!EU3</f>
        <v>Katakhali 50 MW Peaking PP</v>
      </c>
      <c r="D156" s="2186" t="str">
        <f>Master!EU5</f>
        <v>HFO</v>
      </c>
      <c r="E156" s="2218" t="str">
        <f>Master!EU4</f>
        <v>PDB</v>
      </c>
      <c r="F156" s="2204">
        <f>Master!EU7</f>
        <v>50</v>
      </c>
      <c r="G156" s="2262">
        <f>Master!EU8</f>
        <v>50</v>
      </c>
      <c r="H156" s="2219">
        <f>Forecast!M156</f>
        <v>32</v>
      </c>
      <c r="I156" s="2220">
        <f>YesterdayGen!EU34</f>
        <v>32</v>
      </c>
      <c r="J156" s="2185">
        <f t="shared" si="9"/>
        <v>0</v>
      </c>
      <c r="K156" s="2185">
        <f t="shared" si="10"/>
        <v>0</v>
      </c>
      <c r="L156" s="2205" t="s">
        <v>126</v>
      </c>
      <c r="N156" s="3403" t="s">
        <v>1236</v>
      </c>
      <c r="O156" s="3404">
        <v>21404</v>
      </c>
      <c r="T156" s="1062"/>
      <c r="U156" s="81"/>
    </row>
    <row r="157" spans="1:21" ht="12" customHeight="1">
      <c r="A157" s="77"/>
      <c r="B157" s="4999">
        <v>127</v>
      </c>
      <c r="C157" s="2290" t="s">
        <v>861</v>
      </c>
      <c r="D157" s="2186" t="s">
        <v>728</v>
      </c>
      <c r="E157" s="2218" t="str">
        <f>Master!FF4</f>
        <v>NWPGCL</v>
      </c>
      <c r="F157" s="2204">
        <f>Master!FF7</f>
        <v>210</v>
      </c>
      <c r="G157" s="2262">
        <f>Master!FF8</f>
        <v>210</v>
      </c>
      <c r="H157" s="2219">
        <f>Forecast!M157</f>
        <v>0</v>
      </c>
      <c r="I157" s="2220">
        <f>YesterdayGen!FF34+YesterdayGen!FG34</f>
        <v>0</v>
      </c>
      <c r="J157" s="2185">
        <f t="shared" si="9"/>
        <v>0</v>
      </c>
      <c r="K157" s="2185">
        <f t="shared" si="10"/>
        <v>0</v>
      </c>
      <c r="L157" s="3140" t="s">
        <v>174</v>
      </c>
      <c r="N157" s="1068"/>
      <c r="O157" s="81"/>
      <c r="T157" s="1062"/>
      <c r="U157" s="81"/>
    </row>
    <row r="158" spans="1:21" ht="12" customHeight="1">
      <c r="A158" s="77"/>
      <c r="B158" s="4999">
        <v>128</v>
      </c>
      <c r="C158" s="2290" t="s">
        <v>862</v>
      </c>
      <c r="D158" s="2186" t="s">
        <v>728</v>
      </c>
      <c r="E158" s="2218" t="str">
        <f>Master!FH4</f>
        <v>NWPGCL</v>
      </c>
      <c r="F158" s="2204">
        <f>Master!FH7</f>
        <v>220</v>
      </c>
      <c r="G158" s="2262">
        <f>Master!FH8</f>
        <v>220</v>
      </c>
      <c r="H158" s="2219">
        <f>Forecast!M158</f>
        <v>0</v>
      </c>
      <c r="I158" s="2220">
        <f>YesterdayGen!FH34+YesterdayGen!FI34</f>
        <v>0</v>
      </c>
      <c r="J158" s="2185">
        <f t="shared" si="9"/>
        <v>0</v>
      </c>
      <c r="K158" s="2185">
        <f t="shared" si="10"/>
        <v>0</v>
      </c>
      <c r="L158" s="3140" t="s">
        <v>174</v>
      </c>
      <c r="N158" s="1068"/>
      <c r="O158" s="81"/>
      <c r="T158" s="1062"/>
      <c r="U158" s="81"/>
    </row>
    <row r="159" spans="1:21" ht="12" customHeight="1">
      <c r="A159" s="77"/>
      <c r="B159" s="4999">
        <v>129</v>
      </c>
      <c r="C159" s="2290" t="s">
        <v>884</v>
      </c>
      <c r="D159" s="2186" t="s">
        <v>728</v>
      </c>
      <c r="E159" s="2218" t="str">
        <f>Master!FL4</f>
        <v>NWPGCL</v>
      </c>
      <c r="F159" s="2204">
        <f>Master!FL7</f>
        <v>220</v>
      </c>
      <c r="G159" s="2262">
        <f>Master!FL8</f>
        <v>220</v>
      </c>
      <c r="H159" s="2219">
        <f>Forecast!M159</f>
        <v>200</v>
      </c>
      <c r="I159" s="2220">
        <f>YesterdayGen!FL34+YesterdayGen!FM34</f>
        <v>185</v>
      </c>
      <c r="J159" s="2185">
        <f t="shared" si="9"/>
        <v>0</v>
      </c>
      <c r="K159" s="2185">
        <f t="shared" si="10"/>
        <v>15</v>
      </c>
      <c r="L159" s="3140" t="s">
        <v>174</v>
      </c>
      <c r="N159" s="3009"/>
      <c r="O159" s="3084"/>
      <c r="T159" s="1062"/>
      <c r="U159" s="81"/>
    </row>
    <row r="160" spans="1:21" ht="12" customHeight="1">
      <c r="A160" s="77"/>
      <c r="B160" s="4999">
        <v>130</v>
      </c>
      <c r="C160" s="2291" t="str">
        <f>Master!FN3</f>
        <v>Sirajgonj 400 MW CCPP Unit-4</v>
      </c>
      <c r="D160" s="2186" t="s">
        <v>728</v>
      </c>
      <c r="E160" s="2218" t="str">
        <f>Master!FN4</f>
        <v>SNWPGCL</v>
      </c>
      <c r="F160" s="2204">
        <f>Master!FN7</f>
        <v>414</v>
      </c>
      <c r="G160" s="2262">
        <f>Master!FN8</f>
        <v>414</v>
      </c>
      <c r="H160" s="2219">
        <f>Forecast!M160</f>
        <v>400</v>
      </c>
      <c r="I160" s="2220">
        <f>YesterdayGen!FN34+YesterdayGen!FT34</f>
        <v>409</v>
      </c>
      <c r="J160" s="2185">
        <f t="shared" si="9"/>
        <v>9</v>
      </c>
      <c r="K160" s="2185">
        <f t="shared" si="10"/>
        <v>0</v>
      </c>
      <c r="L160" s="3140" t="s">
        <v>172</v>
      </c>
      <c r="N160" s="3008"/>
      <c r="O160" s="3084"/>
      <c r="T160" s="1062"/>
      <c r="U160" s="81"/>
    </row>
    <row r="161" spans="1:21" ht="12" customHeight="1">
      <c r="A161" s="77"/>
      <c r="B161" s="4999">
        <v>131</v>
      </c>
      <c r="C161" s="1916" t="str">
        <f>Master!EW3</f>
        <v>Santahar  50 MW Peaking PP</v>
      </c>
      <c r="D161" s="2186" t="str">
        <f>Master!EW5</f>
        <v>HFO</v>
      </c>
      <c r="E161" s="2218" t="str">
        <f>Master!EW4</f>
        <v>PDB</v>
      </c>
      <c r="F161" s="2204">
        <f>Master!EW7</f>
        <v>50</v>
      </c>
      <c r="G161" s="2262">
        <f>Master!EW8</f>
        <v>50</v>
      </c>
      <c r="H161" s="2219">
        <f>Forecast!M161</f>
        <v>0</v>
      </c>
      <c r="I161" s="2220">
        <f>YesterdayGen!EW34</f>
        <v>0</v>
      </c>
      <c r="J161" s="2185">
        <f t="shared" si="9"/>
        <v>0</v>
      </c>
      <c r="K161" s="2185">
        <f t="shared" si="10"/>
        <v>0</v>
      </c>
      <c r="L161" s="2205" t="s">
        <v>126</v>
      </c>
      <c r="N161" s="3008"/>
      <c r="O161" s="3084"/>
      <c r="T161" s="1062"/>
      <c r="U161" s="81"/>
    </row>
    <row r="162" spans="1:21" ht="12" customHeight="1">
      <c r="A162" s="77"/>
      <c r="B162" s="4999">
        <v>132</v>
      </c>
      <c r="C162" s="1916" t="str">
        <f>Master!EX3</f>
        <v>Bogra 22 MW PP (GBB)</v>
      </c>
      <c r="D162" s="2186" t="str">
        <f>Master!EX5</f>
        <v>Gas</v>
      </c>
      <c r="E162" s="2218" t="str">
        <f>Master!EX4</f>
        <v xml:space="preserve">RPP </v>
      </c>
      <c r="F162" s="2204">
        <f>Master!EX7</f>
        <v>22</v>
      </c>
      <c r="G162" s="2208">
        <f>Master!EX8</f>
        <v>22</v>
      </c>
      <c r="H162" s="2219">
        <f>Forecast!M162</f>
        <v>22</v>
      </c>
      <c r="I162" s="2220">
        <f>YesterdayGen!EX34</f>
        <v>22</v>
      </c>
      <c r="J162" s="2185">
        <f t="shared" si="9"/>
        <v>0</v>
      </c>
      <c r="K162" s="2185">
        <f t="shared" si="10"/>
        <v>0</v>
      </c>
      <c r="L162" s="2194"/>
      <c r="N162" s="3008"/>
      <c r="O162" s="3084"/>
      <c r="T162" s="1062"/>
      <c r="U162" s="81"/>
    </row>
    <row r="163" spans="1:21" ht="12" customHeight="1">
      <c r="A163" s="77"/>
      <c r="B163" s="5003">
        <v>133</v>
      </c>
      <c r="C163" s="3763" t="str">
        <f>Master!EY3</f>
        <v>Bogura 20 MW PP (Energyprima)</v>
      </c>
      <c r="D163" s="3764" t="str">
        <f>Master!EY5</f>
        <v>Gas</v>
      </c>
      <c r="E163" s="3765" t="str">
        <f>Master!EY4</f>
        <v xml:space="preserve">RPP </v>
      </c>
      <c r="F163" s="3766">
        <f>Master!EY7</f>
        <v>20</v>
      </c>
      <c r="G163" s="3767">
        <f>Master!EY8</f>
        <v>0</v>
      </c>
      <c r="H163" s="3768">
        <f>Forecast!M163</f>
        <v>0</v>
      </c>
      <c r="I163" s="3771">
        <f>YesterdayGen!EY34</f>
        <v>0</v>
      </c>
      <c r="J163" s="3769">
        <f t="shared" ref="J163:J168" si="20">IF((I163-H163)&gt;0,(I163-H163),0)</f>
        <v>0</v>
      </c>
      <c r="K163" s="3769">
        <f t="shared" ref="K163:K181" si="21">IF((H163-I163)&gt;0,(H163-I163),0)</f>
        <v>0</v>
      </c>
      <c r="L163" s="3770" t="s">
        <v>900</v>
      </c>
      <c r="N163" s="3008"/>
      <c r="O163" s="3084"/>
      <c r="T163" s="1062"/>
      <c r="U163" s="81"/>
    </row>
    <row r="164" spans="1:21" ht="12" customHeight="1">
      <c r="A164" s="77"/>
      <c r="B164" s="4999">
        <v>134</v>
      </c>
      <c r="C164" s="1916" t="str">
        <f>Master!EZ3</f>
        <v>Ullapara 11 MW PP  (Summit)</v>
      </c>
      <c r="D164" s="2186" t="str">
        <f>Master!EZ5</f>
        <v>Gas</v>
      </c>
      <c r="E164" s="2218" t="str">
        <f>Master!EZ4</f>
        <v>SIPP, REB</v>
      </c>
      <c r="F164" s="2204">
        <f>Master!EZ7</f>
        <v>11</v>
      </c>
      <c r="G164" s="2208">
        <f>Master!EZ8</f>
        <v>11</v>
      </c>
      <c r="H164" s="2219">
        <f>Forecast!M164</f>
        <v>11</v>
      </c>
      <c r="I164" s="2220">
        <f>YesterdayGen!EZ34</f>
        <v>8</v>
      </c>
      <c r="J164" s="2185">
        <f t="shared" si="20"/>
        <v>0</v>
      </c>
      <c r="K164" s="2185">
        <f t="shared" si="21"/>
        <v>3</v>
      </c>
      <c r="L164" s="2194"/>
      <c r="N164" s="3008"/>
      <c r="O164" s="3084"/>
      <c r="T164" s="1062"/>
      <c r="U164" s="81"/>
    </row>
    <row r="165" spans="1:21" ht="12" customHeight="1" thickBot="1">
      <c r="A165" s="77"/>
      <c r="B165" s="4999">
        <v>135</v>
      </c>
      <c r="C165" s="1916" t="str">
        <f>Master!EV3</f>
        <v xml:space="preserve">Natore 52 MW PP (Rajlanka) </v>
      </c>
      <c r="D165" s="2186" t="str">
        <f>Master!EV5</f>
        <v>HFO</v>
      </c>
      <c r="E165" s="2218" t="str">
        <f>Master!EV4</f>
        <v>IPP</v>
      </c>
      <c r="F165" s="2204">
        <f>Master!EV7</f>
        <v>52</v>
      </c>
      <c r="G165" s="2208">
        <f>Master!EV8</f>
        <v>52</v>
      </c>
      <c r="H165" s="2219">
        <f>Forecast!M165</f>
        <v>52</v>
      </c>
      <c r="I165" s="2220">
        <f>YesterdayGen!EV34</f>
        <v>43</v>
      </c>
      <c r="J165" s="2185">
        <f t="shared" si="20"/>
        <v>0</v>
      </c>
      <c r="K165" s="2185">
        <f t="shared" si="21"/>
        <v>9</v>
      </c>
      <c r="L165" s="2205" t="s">
        <v>126</v>
      </c>
      <c r="N165" s="3008"/>
      <c r="O165" s="3084"/>
      <c r="T165" s="1062"/>
      <c r="U165" s="81"/>
    </row>
    <row r="166" spans="1:21" ht="12" customHeight="1" thickBot="1">
      <c r="A166" s="77"/>
      <c r="B166" s="4999">
        <v>136</v>
      </c>
      <c r="C166" s="1916" t="str">
        <f>Master!ER3</f>
        <v>Chapainawabganj 100 MW Peaking PP</v>
      </c>
      <c r="D166" s="2186" t="str">
        <f>Master!ER5</f>
        <v>HFO</v>
      </c>
      <c r="E166" s="2218" t="str">
        <f>Master!ER4</f>
        <v>PDB</v>
      </c>
      <c r="F166" s="2204">
        <f>Master!ER7</f>
        <v>104</v>
      </c>
      <c r="G166" s="2208">
        <f>Master!ER8</f>
        <v>104</v>
      </c>
      <c r="H166" s="2219">
        <f>Forecast!M166</f>
        <v>100</v>
      </c>
      <c r="I166" s="2292">
        <f>YesterdayGen!ER34</f>
        <v>100</v>
      </c>
      <c r="J166" s="2185">
        <f t="shared" si="20"/>
        <v>0</v>
      </c>
      <c r="K166" s="2185">
        <f t="shared" si="21"/>
        <v>0</v>
      </c>
      <c r="L166" s="2205"/>
      <c r="N166" s="5022">
        <v>2722</v>
      </c>
      <c r="O166" s="3084"/>
      <c r="P166" s="4398">
        <v>3310</v>
      </c>
      <c r="T166" s="1062"/>
      <c r="U166" s="81"/>
    </row>
    <row r="167" spans="1:21" ht="12" customHeight="1" thickBot="1">
      <c r="A167" s="77"/>
      <c r="B167" s="4999">
        <v>137</v>
      </c>
      <c r="C167" s="2293" t="str">
        <f>Master!FP3</f>
        <v>Baghabari 200 MW PP (Paramount)</v>
      </c>
      <c r="D167" s="2186" t="str">
        <f>Master!FP5</f>
        <v>HSD</v>
      </c>
      <c r="E167" s="2218" t="str">
        <f>Master!FP4</f>
        <v>IPP</v>
      </c>
      <c r="F167" s="2204">
        <f>Master!FP7</f>
        <v>200</v>
      </c>
      <c r="G167" s="2211">
        <f>Master!FP8</f>
        <v>200</v>
      </c>
      <c r="H167" s="2219">
        <f>Forecast!M167</f>
        <v>200</v>
      </c>
      <c r="I167" s="2215">
        <f>YesterdayGen!FP34</f>
        <v>0</v>
      </c>
      <c r="J167" s="2185">
        <f t="shared" si="20"/>
        <v>0</v>
      </c>
      <c r="K167" s="2185">
        <f>IF((H167-I167)&gt;0,(H167-I167),0)</f>
        <v>200</v>
      </c>
      <c r="L167" s="2205" t="s">
        <v>1255</v>
      </c>
      <c r="N167" s="3661">
        <v>842</v>
      </c>
      <c r="O167" s="3084"/>
      <c r="P167" s="3661">
        <v>1256</v>
      </c>
      <c r="T167" s="1062"/>
      <c r="U167" s="81"/>
    </row>
    <row r="168" spans="1:21" ht="12" customHeight="1" thickBot="1">
      <c r="A168" s="77"/>
      <c r="B168" s="4999">
        <v>138</v>
      </c>
      <c r="C168" s="1916" t="str">
        <f>Master!FQ3</f>
        <v>Bagura 113 MW PP (Confidence)-2</v>
      </c>
      <c r="D168" s="2186" t="str">
        <f>Master!FQ5</f>
        <v>HFO</v>
      </c>
      <c r="E168" s="2218" t="str">
        <f>Master!FQ4</f>
        <v>IPP</v>
      </c>
      <c r="F168" s="2204">
        <v>113</v>
      </c>
      <c r="G168" s="2208">
        <v>113</v>
      </c>
      <c r="H168" s="2219">
        <f>Forecast!M168</f>
        <v>113</v>
      </c>
      <c r="I168" s="2220">
        <f>YesterdayGen!FQ34</f>
        <v>113</v>
      </c>
      <c r="J168" s="2185">
        <f t="shared" si="20"/>
        <v>0</v>
      </c>
      <c r="K168" s="2185">
        <f t="shared" si="21"/>
        <v>0</v>
      </c>
      <c r="L168" s="2205"/>
      <c r="N168" s="3661">
        <v>1015</v>
      </c>
      <c r="O168" s="3084"/>
      <c r="P168" s="3661">
        <v>1799</v>
      </c>
      <c r="T168" s="1062"/>
      <c r="U168" s="81"/>
    </row>
    <row r="169" spans="1:21" ht="12" customHeight="1" thickBot="1">
      <c r="A169" s="77"/>
      <c r="B169" s="4999">
        <v>139</v>
      </c>
      <c r="C169" s="1916" t="str">
        <f>Master!FV3</f>
        <v>Confidence Power Bogura Unit-1 113 MW</v>
      </c>
      <c r="D169" s="2186" t="str">
        <f>Master!FV5</f>
        <v>HFO</v>
      </c>
      <c r="E169" s="2218" t="str">
        <f>Master!FV4</f>
        <v>IPP</v>
      </c>
      <c r="F169" s="2204">
        <f>Master!FV7</f>
        <v>113</v>
      </c>
      <c r="G169" s="2208">
        <f>Master!FV8</f>
        <v>113</v>
      </c>
      <c r="H169" s="2219">
        <f>Forecast!M169</f>
        <v>113</v>
      </c>
      <c r="I169" s="2220">
        <f>YesterdayGen!FV34</f>
        <v>113</v>
      </c>
      <c r="J169" s="2185">
        <f>IF((I169-H169)&gt;0,(I169-H169),0)</f>
        <v>0</v>
      </c>
      <c r="K169" s="2185">
        <f>IF((H169-I169)&gt;0,(H169-I169),0)</f>
        <v>0</v>
      </c>
      <c r="L169" s="2205"/>
      <c r="N169" s="3661">
        <v>858</v>
      </c>
      <c r="O169" s="3084"/>
      <c r="P169" s="3661">
        <v>1145</v>
      </c>
      <c r="T169" s="1062"/>
      <c r="U169" s="81"/>
    </row>
    <row r="170" spans="1:21" ht="12" customHeight="1" thickBot="1">
      <c r="A170" s="77"/>
      <c r="B170" s="5001">
        <v>140</v>
      </c>
      <c r="C170" s="1916" t="str">
        <f>Master!GA3</f>
        <v xml:space="preserve"> Sirajgonj 6.55 MW Solar</v>
      </c>
      <c r="D170" s="2186" t="str">
        <f>Master!GA5</f>
        <v>Solar</v>
      </c>
      <c r="E170" s="2218" t="str">
        <f>Master!GA4</f>
        <v>NWPGCL</v>
      </c>
      <c r="F170" s="2204">
        <f>Master!GA7</f>
        <v>6</v>
      </c>
      <c r="G170" s="2208">
        <f>Master!GA8</f>
        <v>6</v>
      </c>
      <c r="H170" s="2219">
        <f>Forecast!M170</f>
        <v>0</v>
      </c>
      <c r="I170" s="2220">
        <f>YesterdayGen!GA34</f>
        <v>0</v>
      </c>
      <c r="J170" s="2185">
        <f>IF((I170-H170)&gt;0,(I170-H170),0)</f>
        <v>0</v>
      </c>
      <c r="K170" s="2185">
        <f>IF((H170-I170)&gt;0,(H170-I170),0)</f>
        <v>0</v>
      </c>
      <c r="L170" s="2205"/>
      <c r="N170" s="5080">
        <v>700</v>
      </c>
      <c r="O170" s="3084"/>
      <c r="P170" s="3947">
        <v>1279</v>
      </c>
      <c r="T170" s="1062"/>
      <c r="U170" s="81"/>
    </row>
    <row r="171" spans="1:21" ht="12" customHeight="1" thickBot="1">
      <c r="A171" s="77"/>
      <c r="B171" s="2079"/>
      <c r="C171" s="2229" t="s">
        <v>44</v>
      </c>
      <c r="D171" s="2229"/>
      <c r="E171" s="2294"/>
      <c r="F171" s="2259">
        <f>SUM(F150:F170)</f>
        <v>2199</v>
      </c>
      <c r="G171" s="2232">
        <f>SUM(G150:G170)</f>
        <v>2179</v>
      </c>
      <c r="H171" s="2295">
        <f>SUM(H150:H170)</f>
        <v>1391</v>
      </c>
      <c r="I171" s="2295">
        <f>SUM(I150:I170)</f>
        <v>1134</v>
      </c>
      <c r="J171" s="2296">
        <f>SUM(J150:J170)</f>
        <v>9</v>
      </c>
      <c r="K171" s="2297">
        <f>IF((H171-I171)&gt;0,(H171-I171),0)</f>
        <v>257</v>
      </c>
      <c r="L171" s="2298"/>
      <c r="N171" s="3661">
        <v>742</v>
      </c>
      <c r="O171" s="3083"/>
      <c r="P171" s="3661">
        <v>753</v>
      </c>
      <c r="T171" s="1062"/>
      <c r="U171" s="81"/>
    </row>
    <row r="172" spans="1:21" ht="16.899999999999999" customHeight="1" thickBot="1">
      <c r="A172" s="77"/>
      <c r="B172" s="4998">
        <v>141</v>
      </c>
      <c r="C172" s="2238" t="str">
        <f>Master!FA3</f>
        <v xml:space="preserve">Barapukuria TPP Unit-1 </v>
      </c>
      <c r="D172" s="2182" t="str">
        <f>Master!FA5</f>
        <v>Coal</v>
      </c>
      <c r="E172" s="2239" t="str">
        <f>Master!FA4</f>
        <v>PDB</v>
      </c>
      <c r="F172" s="2272">
        <f>Master!FA7</f>
        <v>125</v>
      </c>
      <c r="G172" s="2240">
        <f>Master!FA8</f>
        <v>85</v>
      </c>
      <c r="H172" s="2219">
        <f>Forecast!M172</f>
        <v>0</v>
      </c>
      <c r="I172" s="2299">
        <f>YesterdayGen!FA34</f>
        <v>0</v>
      </c>
      <c r="J172" s="2185">
        <f t="shared" ref="J172:J179" si="22">IF((I172-H172)&gt;0,(I172-H172),0)</f>
        <v>0</v>
      </c>
      <c r="K172" s="2185">
        <f t="shared" si="21"/>
        <v>0</v>
      </c>
      <c r="L172" s="2205" t="s">
        <v>117</v>
      </c>
      <c r="N172" s="3661">
        <v>313</v>
      </c>
      <c r="O172" s="3008"/>
      <c r="P172" s="3661">
        <v>427</v>
      </c>
      <c r="T172" s="1062"/>
      <c r="U172" s="81"/>
    </row>
    <row r="173" spans="1:21" ht="12" customHeight="1" thickBot="1">
      <c r="A173" s="77"/>
      <c r="B173" s="4999"/>
      <c r="C173" s="2238" t="str">
        <f>Master!FB3</f>
        <v>Barapukuria TPP  Unit-2</v>
      </c>
      <c r="D173" s="2182" t="str">
        <f>Master!FB5</f>
        <v>Coal</v>
      </c>
      <c r="E173" s="2239" t="str">
        <f>Master!FB4</f>
        <v>PDB</v>
      </c>
      <c r="F173" s="2272">
        <f>Master!FB7</f>
        <v>125</v>
      </c>
      <c r="G173" s="2240">
        <f>Master!FB8</f>
        <v>85</v>
      </c>
      <c r="H173" s="2219">
        <f>Forecast!M173</f>
        <v>0</v>
      </c>
      <c r="I173" s="2299">
        <f>YesterdayGen!FB34</f>
        <v>0</v>
      </c>
      <c r="J173" s="2185">
        <f t="shared" si="22"/>
        <v>0</v>
      </c>
      <c r="K173" s="2185">
        <f t="shared" si="21"/>
        <v>0</v>
      </c>
      <c r="L173" s="2205" t="s">
        <v>117</v>
      </c>
      <c r="N173" s="3661">
        <v>234</v>
      </c>
      <c r="O173" s="3008"/>
      <c r="P173" s="3661">
        <v>401</v>
      </c>
      <c r="T173" s="1062"/>
      <c r="U173" s="81"/>
    </row>
    <row r="174" spans="1:21" ht="12" customHeight="1" thickBot="1">
      <c r="A174" s="77"/>
      <c r="B174" s="5000">
        <v>142</v>
      </c>
      <c r="C174" s="2238" t="str">
        <f>Master!FC3</f>
        <v>Barapukuria 275 MW TPP Unit-3</v>
      </c>
      <c r="D174" s="2182" t="str">
        <f>Master!FC5</f>
        <v>Coal</v>
      </c>
      <c r="E174" s="2239" t="str">
        <f>Master!FC4</f>
        <v>PDB</v>
      </c>
      <c r="F174" s="2272">
        <f>Master!FC7</f>
        <v>274</v>
      </c>
      <c r="G174" s="2240">
        <f>Master!FC8</f>
        <v>274</v>
      </c>
      <c r="H174" s="2219">
        <f>Forecast!M174</f>
        <v>200</v>
      </c>
      <c r="I174" s="2299">
        <f>YesterdayGen!FC34</f>
        <v>199</v>
      </c>
      <c r="J174" s="2185">
        <f t="shared" si="22"/>
        <v>0</v>
      </c>
      <c r="K174" s="2185">
        <f t="shared" si="21"/>
        <v>1</v>
      </c>
      <c r="L174" s="2205"/>
      <c r="N174" s="3661">
        <v>575</v>
      </c>
      <c r="O174" s="3008"/>
      <c r="P174" s="4399">
        <v>752</v>
      </c>
      <c r="T174" s="1062"/>
      <c r="U174" s="81"/>
    </row>
    <row r="175" spans="1:21" ht="12" customHeight="1" thickBot="1">
      <c r="A175" s="77"/>
      <c r="B175" s="4999">
        <v>143</v>
      </c>
      <c r="C175" s="1916" t="str">
        <f>Master!FD3</f>
        <v>Rangpur 20 MW  GTPP</v>
      </c>
      <c r="D175" s="2186" t="str">
        <f>Master!FD5</f>
        <v>HSD</v>
      </c>
      <c r="E175" s="2218" t="str">
        <f>Master!FD4</f>
        <v>PDB</v>
      </c>
      <c r="F175" s="2204">
        <f>Master!FD7</f>
        <v>20</v>
      </c>
      <c r="G175" s="2208">
        <f>Master!FD8</f>
        <v>20</v>
      </c>
      <c r="H175" s="2219">
        <f>Forecast!M175</f>
        <v>0</v>
      </c>
      <c r="I175" s="2220">
        <f>YesterdayGen!FD34</f>
        <v>0</v>
      </c>
      <c r="J175" s="2185">
        <f t="shared" si="22"/>
        <v>0</v>
      </c>
      <c r="K175" s="2185">
        <f t="shared" si="21"/>
        <v>0</v>
      </c>
      <c r="L175" s="2205"/>
      <c r="N175" s="3662">
        <v>8001</v>
      </c>
      <c r="O175" s="3008"/>
      <c r="P175" s="3705"/>
      <c r="Q175" s="4413">
        <v>964</v>
      </c>
      <c r="T175" s="1063"/>
      <c r="U175" s="81"/>
    </row>
    <row r="176" spans="1:21" ht="12" customHeight="1" thickBot="1">
      <c r="A176" s="77"/>
      <c r="B176" s="4999">
        <v>144</v>
      </c>
      <c r="C176" s="1916" t="str">
        <f>Master!FE3</f>
        <v>Saidpur 20 MW GTPP</v>
      </c>
      <c r="D176" s="2186" t="str">
        <f>Master!FE5</f>
        <v>HSD</v>
      </c>
      <c r="E176" s="2218" t="str">
        <f>Master!FE4</f>
        <v>PDB</v>
      </c>
      <c r="F176" s="2204">
        <f>Master!FE7</f>
        <v>20</v>
      </c>
      <c r="G176" s="2208">
        <f>Master!FE8</f>
        <v>20</v>
      </c>
      <c r="H176" s="2219">
        <f>Forecast!M176</f>
        <v>0</v>
      </c>
      <c r="I176" s="2220">
        <f>YesterdayGen!FE34</f>
        <v>0</v>
      </c>
      <c r="J176" s="2185">
        <f t="shared" si="22"/>
        <v>0</v>
      </c>
      <c r="K176" s="2185">
        <f t="shared" si="21"/>
        <v>0</v>
      </c>
      <c r="L176" s="2205"/>
      <c r="N176" s="3662"/>
      <c r="O176" s="3308"/>
      <c r="P176" s="3706">
        <f>SUM(P166:P175)</f>
        <v>11122</v>
      </c>
      <c r="Q176" s="4414">
        <v>809</v>
      </c>
      <c r="T176" s="1064"/>
      <c r="U176" s="81"/>
    </row>
    <row r="177" spans="1:21" ht="12" customHeight="1" thickBot="1">
      <c r="A177" s="77"/>
      <c r="B177" s="4999">
        <v>145</v>
      </c>
      <c r="C177" s="1916" t="str">
        <f>Master!FS3</f>
        <v xml:space="preserve">Rangpur 113 MW PP (Confidence)  </v>
      </c>
      <c r="D177" s="2186" t="str">
        <f>Master!FS5</f>
        <v>HFO</v>
      </c>
      <c r="E177" s="2218" t="str">
        <f>Master!FS4</f>
        <v>IPP</v>
      </c>
      <c r="F177" s="2204">
        <f>Master!FS7</f>
        <v>113</v>
      </c>
      <c r="G177" s="2208">
        <f>Master!FS8</f>
        <v>113</v>
      </c>
      <c r="H177" s="2219">
        <f>Forecast!M177</f>
        <v>113</v>
      </c>
      <c r="I177" s="2220">
        <f>YesterdayGen!FS34</f>
        <v>112</v>
      </c>
      <c r="J177" s="2185">
        <f t="shared" si="22"/>
        <v>0</v>
      </c>
      <c r="K177" s="2185">
        <f>IF((H177-I177)&gt;0,(H177-I177),0)</f>
        <v>1</v>
      </c>
      <c r="L177" s="2205"/>
      <c r="N177" s="3083"/>
      <c r="O177" s="3009"/>
      <c r="Q177" s="4415">
        <v>925</v>
      </c>
      <c r="T177" s="1064"/>
      <c r="U177" s="81"/>
    </row>
    <row r="178" spans="1:21" ht="12" customHeight="1" thickBot="1">
      <c r="A178" s="77"/>
      <c r="B178" s="4999">
        <v>146</v>
      </c>
      <c r="C178" s="1916" t="str">
        <f>Master!FU3</f>
        <v>Sympa Solar Power 8MW</v>
      </c>
      <c r="D178" s="2186" t="str">
        <f>Master!FU5</f>
        <v>Solar</v>
      </c>
      <c r="E178" s="2218" t="str">
        <f>Master!FU4</f>
        <v>IPP</v>
      </c>
      <c r="F178" s="2204">
        <f>Master!FU7</f>
        <v>8</v>
      </c>
      <c r="G178" s="2208">
        <f>Master!FU8</f>
        <v>8</v>
      </c>
      <c r="H178" s="2219">
        <f>Forecast!M178</f>
        <v>0</v>
      </c>
      <c r="I178" s="2220">
        <f>YesterdayGen!FU34</f>
        <v>0</v>
      </c>
      <c r="J178" s="2185">
        <f t="shared" si="22"/>
        <v>0</v>
      </c>
      <c r="K178" s="2185">
        <f>IF((H178-I178)&gt;0,(H178-I178),0)</f>
        <v>0</v>
      </c>
      <c r="L178" s="2205"/>
      <c r="N178" s="1068"/>
      <c r="O178" s="81"/>
      <c r="Q178" s="3660">
        <v>878</v>
      </c>
      <c r="T178" s="1064"/>
      <c r="U178" s="81"/>
    </row>
    <row r="179" spans="1:21" ht="12" customHeight="1" thickBot="1">
      <c r="A179" s="77"/>
      <c r="B179" s="5001"/>
      <c r="C179" s="2282" t="str">
        <f>Master!GC3</f>
        <v>Energypac Power Venture Thakurgaon Ltd.</v>
      </c>
      <c r="D179" s="2283" t="str">
        <f>Master!GC5</f>
        <v>HFO</v>
      </c>
      <c r="E179" s="2284" t="str">
        <f>Master!GC4</f>
        <v>IPP</v>
      </c>
      <c r="F179" s="2285">
        <f>Master!GC7</f>
        <v>0</v>
      </c>
      <c r="G179" s="2286">
        <f>Master!GC8</f>
        <v>0</v>
      </c>
      <c r="H179" s="2287">
        <f>Forecast!M179</f>
        <v>0</v>
      </c>
      <c r="I179" s="2288">
        <f>YesterdayGen!GC34</f>
        <v>0</v>
      </c>
      <c r="J179" s="2185">
        <f t="shared" si="22"/>
        <v>0</v>
      </c>
      <c r="K179" s="2185">
        <f>IF((H179-I179)&gt;0,(H179-I179),0)</f>
        <v>0</v>
      </c>
      <c r="L179" s="4991" t="s">
        <v>1454</v>
      </c>
      <c r="N179" s="1068"/>
      <c r="O179" s="81"/>
      <c r="Q179" s="3701"/>
      <c r="T179" s="1064"/>
      <c r="U179" s="81"/>
    </row>
    <row r="180" spans="1:21" ht="12.75" customHeight="1" thickBot="1">
      <c r="A180" s="77"/>
      <c r="B180" s="2300"/>
      <c r="C180" s="2229" t="s">
        <v>46</v>
      </c>
      <c r="D180" s="2229"/>
      <c r="E180" s="2294"/>
      <c r="F180" s="2259">
        <f>SUM(F172:F179)</f>
        <v>685</v>
      </c>
      <c r="G180" s="2232">
        <f>SUM(G172:G179)</f>
        <v>605</v>
      </c>
      <c r="H180" s="2259">
        <f>SUM(H172:H179)</f>
        <v>313</v>
      </c>
      <c r="I180" s="2259">
        <f>SUM(I172:I179)</f>
        <v>311</v>
      </c>
      <c r="J180" s="2301">
        <f>SUM(J172:J179)</f>
        <v>0</v>
      </c>
      <c r="K180" s="2297">
        <f>IF((H180-I180)&gt;0,(H180-I180),0)</f>
        <v>2</v>
      </c>
      <c r="L180" s="2298"/>
      <c r="N180" s="3195"/>
      <c r="T180" s="1062"/>
      <c r="U180" s="81"/>
    </row>
    <row r="181" spans="1:21" ht="12" customHeight="1" thickBot="1">
      <c r="A181" s="77"/>
      <c r="B181" s="2302"/>
      <c r="C181" s="2303" t="s">
        <v>47</v>
      </c>
      <c r="D181" s="2303"/>
      <c r="E181" s="2304"/>
      <c r="F181" s="2305">
        <f>F51+F74+F100+F109+F128+F141+F149+F171+F180</f>
        <v>22031</v>
      </c>
      <c r="G181" s="2305">
        <f>G51+G74+G100+G109+G128+G141+G149+G171+G180</f>
        <v>20934</v>
      </c>
      <c r="H181" s="2305">
        <f>H51+H74+H100+H109+H128+H141+H149+H171+H180</f>
        <v>12061</v>
      </c>
      <c r="I181" s="2305">
        <f>I51+I74+I100+I109+I128+I141+I149+I171+I180</f>
        <v>8218</v>
      </c>
      <c r="J181" s="2305">
        <f>J51+J74+J100+J109+J128+J141+J149+J171+J180</f>
        <v>87</v>
      </c>
      <c r="K181" s="4249">
        <f t="shared" si="21"/>
        <v>3843</v>
      </c>
      <c r="L181" s="2306"/>
      <c r="N181" s="1103"/>
      <c r="T181" s="1062"/>
      <c r="U181" s="81"/>
    </row>
    <row r="182" spans="1:21" ht="18">
      <c r="A182" s="77"/>
      <c r="B182" s="2307"/>
      <c r="C182" s="2308" t="s">
        <v>48</v>
      </c>
      <c r="D182" s="3462">
        <f>I181</f>
        <v>8218</v>
      </c>
      <c r="E182" s="2309"/>
      <c r="F182" s="2309"/>
      <c r="G182" s="2310"/>
      <c r="H182" s="2311"/>
      <c r="I182" s="2312"/>
      <c r="J182" s="2313" t="s">
        <v>49</v>
      </c>
      <c r="K182" s="2185">
        <f>IF((D182-H181)&gt;0,(D182-H181),0)</f>
        <v>0</v>
      </c>
      <c r="L182" s="2314"/>
      <c r="T182" s="1062"/>
      <c r="U182" s="81"/>
    </row>
    <row r="183" spans="1:21" ht="15.75" customHeight="1" thickBot="1">
      <c r="A183" s="77"/>
      <c r="B183" s="2315"/>
      <c r="C183" s="2316" t="s">
        <v>14</v>
      </c>
      <c r="D183" s="2317">
        <f>I181</f>
        <v>8218</v>
      </c>
      <c r="E183" s="2318"/>
      <c r="F183" s="2318"/>
      <c r="G183" s="2319"/>
      <c r="H183" s="2320"/>
      <c r="I183" s="2319"/>
      <c r="J183" s="2321" t="s">
        <v>50</v>
      </c>
      <c r="K183" s="2185">
        <f>IF((D182-D183)&gt;0,(D182-D183)*0.9,0)</f>
        <v>0</v>
      </c>
      <c r="L183" s="2322" t="s">
        <v>36</v>
      </c>
      <c r="M183" s="76"/>
      <c r="N183" s="5250" t="s">
        <v>757</v>
      </c>
      <c r="O183" s="5250"/>
      <c r="P183" s="5251">
        <f>(1-E200/D183)</f>
        <v>2.6405451448040851E-2</v>
      </c>
      <c r="T183" s="1062"/>
      <c r="U183" s="81"/>
    </row>
    <row r="184" spans="1:21" ht="12.75" customHeight="1">
      <c r="A184" s="77"/>
      <c r="B184" s="2323" t="s">
        <v>51</v>
      </c>
      <c r="C184" s="2324"/>
      <c r="D184" s="2310"/>
      <c r="E184" s="2325"/>
      <c r="F184" s="2324"/>
      <c r="G184" s="2310"/>
      <c r="H184" s="2326"/>
      <c r="I184" s="2327">
        <f>I181</f>
        <v>8218</v>
      </c>
      <c r="J184" s="2328" t="s">
        <v>36</v>
      </c>
      <c r="K184" s="2329"/>
      <c r="L184" s="2330"/>
      <c r="M184" s="78"/>
      <c r="N184" s="5250"/>
      <c r="O184" s="5250"/>
      <c r="P184" s="5252"/>
      <c r="T184" s="1062"/>
      <c r="U184" s="81"/>
    </row>
    <row r="185" spans="1:21" ht="12" customHeight="1">
      <c r="A185" s="77"/>
      <c r="B185" s="2331" t="s">
        <v>141</v>
      </c>
      <c r="C185" s="2332"/>
      <c r="D185" s="2332"/>
      <c r="E185" s="2332"/>
      <c r="F185" s="2333"/>
      <c r="G185" s="2332"/>
      <c r="H185" s="2334"/>
      <c r="I185" s="2335">
        <f>I181-I187</f>
        <v>217</v>
      </c>
      <c r="J185" s="2336" t="s">
        <v>36</v>
      </c>
      <c r="K185" s="2337"/>
      <c r="L185" s="2338"/>
      <c r="M185" s="78"/>
      <c r="N185" s="5250"/>
      <c r="O185" s="5250"/>
      <c r="P185" s="5253"/>
      <c r="R185" s="706"/>
      <c r="T185" s="1063"/>
      <c r="U185" s="81"/>
    </row>
    <row r="186" spans="1:21" ht="6.75" customHeight="1">
      <c r="A186" s="77"/>
      <c r="B186" s="2339"/>
      <c r="C186" s="2340"/>
      <c r="D186" s="2340"/>
      <c r="E186" s="2340"/>
      <c r="F186" s="2341"/>
      <c r="G186" s="2340"/>
      <c r="H186" s="2342" t="s">
        <v>18</v>
      </c>
      <c r="I186" s="2343"/>
      <c r="J186" s="2344"/>
      <c r="K186" s="2337"/>
      <c r="L186" s="2338"/>
      <c r="M186" s="78"/>
      <c r="T186" s="1063"/>
      <c r="U186" s="81"/>
    </row>
    <row r="187" spans="1:21" ht="15.75" thickBot="1">
      <c r="A187" s="80"/>
      <c r="B187" s="2345" t="s">
        <v>140</v>
      </c>
      <c r="C187" s="2346"/>
      <c r="D187" s="2346"/>
      <c r="E187" s="2346"/>
      <c r="F187" s="2347"/>
      <c r="G187" s="2346"/>
      <c r="H187" s="2346"/>
      <c r="I187" s="2348">
        <f>E200</f>
        <v>8001</v>
      </c>
      <c r="J187" s="2349" t="s">
        <v>36</v>
      </c>
      <c r="K187" s="2350"/>
      <c r="L187" s="2351"/>
      <c r="M187" s="79"/>
      <c r="T187" s="81"/>
      <c r="U187" s="81"/>
    </row>
    <row r="188" spans="1:21" ht="12" customHeight="1" thickBot="1">
      <c r="A188" s="80"/>
      <c r="B188" s="2352"/>
      <c r="C188" s="2353"/>
      <c r="D188" s="2354"/>
      <c r="E188" s="2354"/>
      <c r="F188" s="2354"/>
      <c r="G188" s="2354"/>
      <c r="H188" s="2355"/>
      <c r="I188" s="2354"/>
      <c r="J188" s="2354"/>
      <c r="K188" s="2356"/>
      <c r="L188" s="2357"/>
      <c r="M188" s="79"/>
      <c r="N188" s="5248" t="s">
        <v>52</v>
      </c>
      <c r="O188" s="714" t="s">
        <v>753</v>
      </c>
      <c r="P188" s="5246" t="s">
        <v>773</v>
      </c>
      <c r="Q188" s="5248" t="s">
        <v>754</v>
      </c>
      <c r="T188" s="81"/>
      <c r="U188" s="81"/>
    </row>
    <row r="189" spans="1:21" ht="12" customHeight="1">
      <c r="A189" s="80"/>
      <c r="B189" s="3467"/>
      <c r="C189" s="3468" t="s">
        <v>52</v>
      </c>
      <c r="D189" s="3469"/>
      <c r="E189" s="3470" t="s">
        <v>752</v>
      </c>
      <c r="F189" s="3471"/>
      <c r="G189" s="3472"/>
      <c r="H189" s="3473" t="s">
        <v>53</v>
      </c>
      <c r="I189" s="3474"/>
      <c r="J189" s="3475" t="s">
        <v>54</v>
      </c>
      <c r="K189" s="3476"/>
      <c r="L189" s="3477" t="s">
        <v>296</v>
      </c>
      <c r="M189" s="703"/>
      <c r="N189" s="5249"/>
      <c r="O189" s="715" t="s">
        <v>755</v>
      </c>
      <c r="P189" s="5247"/>
      <c r="Q189" s="5249"/>
      <c r="T189" s="81"/>
      <c r="U189" s="81"/>
    </row>
    <row r="190" spans="1:21" ht="12" customHeight="1" thickBot="1">
      <c r="A190" s="77"/>
      <c r="B190" s="3502"/>
      <c r="C190" s="3503"/>
      <c r="D190" s="3504"/>
      <c r="E190" s="3505" t="s">
        <v>36</v>
      </c>
      <c r="F190" s="3506"/>
      <c r="G190" s="3504"/>
      <c r="H190" s="3505" t="s">
        <v>36</v>
      </c>
      <c r="I190" s="3507"/>
      <c r="J190" s="3505" t="s">
        <v>36</v>
      </c>
      <c r="K190" s="3508"/>
      <c r="L190" s="3509"/>
      <c r="M190" s="82"/>
      <c r="N190" s="707" t="s">
        <v>10</v>
      </c>
      <c r="O190" s="708">
        <f>Forecast!U190</f>
        <v>36.74</v>
      </c>
      <c r="P190" s="709">
        <f>D182*(1-P183)*O190/100</f>
        <v>2939.5673999999999</v>
      </c>
      <c r="Q190" s="710">
        <f t="shared" ref="Q190:Q198" si="23">J191/P190</f>
        <v>0</v>
      </c>
      <c r="T190" s="81"/>
      <c r="U190" s="81"/>
    </row>
    <row r="191" spans="1:21" ht="12" customHeight="1">
      <c r="A191" s="77"/>
      <c r="B191" s="3495"/>
      <c r="C191" s="3496" t="s">
        <v>10</v>
      </c>
      <c r="D191" s="3497"/>
      <c r="E191" s="3589">
        <f t="shared" ref="E191:E199" si="24">N166</f>
        <v>2722</v>
      </c>
      <c r="F191" s="3498"/>
      <c r="G191" s="3498"/>
      <c r="H191" s="4374">
        <f>E191</f>
        <v>2722</v>
      </c>
      <c r="I191" s="3499"/>
      <c r="J191" s="3500">
        <f>H191-E191</f>
        <v>0</v>
      </c>
      <c r="K191" s="3501"/>
      <c r="L191" s="3594"/>
      <c r="M191" s="701"/>
      <c r="N191" s="707" t="s">
        <v>16</v>
      </c>
      <c r="O191" s="708">
        <f>Forecast!U191</f>
        <v>12.76</v>
      </c>
      <c r="P191" s="709">
        <f>D182*(1-P183)*O191/100</f>
        <v>1020.9276</v>
      </c>
      <c r="Q191" s="710">
        <f t="shared" si="23"/>
        <v>0</v>
      </c>
    </row>
    <row r="192" spans="1:21" ht="14.25" customHeight="1">
      <c r="A192" s="77"/>
      <c r="B192" s="3484"/>
      <c r="C192" s="3479" t="s">
        <v>16</v>
      </c>
      <c r="D192" s="3481"/>
      <c r="E192" s="3589">
        <f t="shared" si="24"/>
        <v>842</v>
      </c>
      <c r="F192" s="3482"/>
      <c r="G192" s="3482"/>
      <c r="H192" s="4374">
        <f t="shared" ref="H192:H199" si="25">E192</f>
        <v>842</v>
      </c>
      <c r="I192" s="3483"/>
      <c r="J192" s="3500">
        <f t="shared" ref="J192:J199" si="26">H192-E192</f>
        <v>0</v>
      </c>
      <c r="K192" s="3480"/>
      <c r="L192" s="3595"/>
      <c r="M192" s="702"/>
      <c r="N192" s="707" t="s">
        <v>5</v>
      </c>
      <c r="O192" s="708">
        <f>Forecast!U192</f>
        <v>11.48</v>
      </c>
      <c r="P192" s="709">
        <f>D182*(1-P183)*O192/100</f>
        <v>918.51480000000015</v>
      </c>
      <c r="Q192" s="710">
        <f t="shared" si="23"/>
        <v>0</v>
      </c>
    </row>
    <row r="193" spans="1:17" ht="12" customHeight="1">
      <c r="A193" s="77"/>
      <c r="B193" s="3484"/>
      <c r="C193" s="3479" t="s">
        <v>5</v>
      </c>
      <c r="D193" s="3481"/>
      <c r="E193" s="3589">
        <f t="shared" si="24"/>
        <v>1015</v>
      </c>
      <c r="F193" s="3482"/>
      <c r="G193" s="3482"/>
      <c r="H193" s="4374">
        <f t="shared" si="25"/>
        <v>1015</v>
      </c>
      <c r="I193" s="3483"/>
      <c r="J193" s="3500">
        <f t="shared" si="26"/>
        <v>0</v>
      </c>
      <c r="K193" s="3480"/>
      <c r="L193" s="3596"/>
      <c r="M193" s="702"/>
      <c r="N193" s="707" t="s">
        <v>55</v>
      </c>
      <c r="O193" s="708">
        <f>Forecast!U193</f>
        <v>10.39</v>
      </c>
      <c r="P193" s="709">
        <f>D182*(1-P183)*O193/100</f>
        <v>831.3039</v>
      </c>
      <c r="Q193" s="710">
        <f t="shared" si="23"/>
        <v>0</v>
      </c>
    </row>
    <row r="194" spans="1:17" ht="13.5" customHeight="1">
      <c r="A194" s="77"/>
      <c r="B194" s="3484"/>
      <c r="C194" s="3479" t="s">
        <v>55</v>
      </c>
      <c r="D194" s="3481"/>
      <c r="E194" s="3589">
        <f t="shared" si="24"/>
        <v>858</v>
      </c>
      <c r="F194" s="3482"/>
      <c r="G194" s="3482"/>
      <c r="H194" s="4374">
        <f t="shared" si="25"/>
        <v>858</v>
      </c>
      <c r="I194" s="3483"/>
      <c r="J194" s="3500">
        <f t="shared" si="26"/>
        <v>0</v>
      </c>
      <c r="K194" s="3480"/>
      <c r="L194" s="3593"/>
      <c r="M194" s="82"/>
      <c r="N194" s="707" t="s">
        <v>9</v>
      </c>
      <c r="O194" s="708">
        <f>Forecast!U194</f>
        <v>9.3800000000000008</v>
      </c>
      <c r="P194" s="709">
        <f>D182*(1-P183)*O194/100</f>
        <v>750.49380000000008</v>
      </c>
      <c r="Q194" s="710">
        <f t="shared" si="23"/>
        <v>0</v>
      </c>
    </row>
    <row r="195" spans="1:17" ht="15.75" customHeight="1">
      <c r="A195" s="77"/>
      <c r="B195" s="3484"/>
      <c r="C195" s="3479" t="s">
        <v>9</v>
      </c>
      <c r="D195" s="3481"/>
      <c r="E195" s="3589">
        <f t="shared" si="24"/>
        <v>700</v>
      </c>
      <c r="F195" s="3482"/>
      <c r="G195" s="3482"/>
      <c r="H195" s="4374">
        <f t="shared" si="25"/>
        <v>700</v>
      </c>
      <c r="I195" s="3483"/>
      <c r="J195" s="3500">
        <f t="shared" si="26"/>
        <v>0</v>
      </c>
      <c r="K195" s="3480"/>
      <c r="L195" s="3593"/>
      <c r="M195" s="82"/>
      <c r="N195" s="707" t="s">
        <v>106</v>
      </c>
      <c r="O195" s="708">
        <f>Forecast!U195</f>
        <v>7.57</v>
      </c>
      <c r="P195" s="709">
        <f>D182*(1-P183)*O195/100</f>
        <v>605.67570000000001</v>
      </c>
      <c r="Q195" s="710">
        <f t="shared" si="23"/>
        <v>0</v>
      </c>
    </row>
    <row r="196" spans="1:17" ht="15">
      <c r="A196" s="77"/>
      <c r="B196" s="3484"/>
      <c r="C196" s="3479" t="s">
        <v>106</v>
      </c>
      <c r="D196" s="3481"/>
      <c r="E196" s="3589">
        <f t="shared" si="24"/>
        <v>742</v>
      </c>
      <c r="F196" s="3482"/>
      <c r="G196" s="3482"/>
      <c r="H196" s="4374">
        <f t="shared" si="25"/>
        <v>742</v>
      </c>
      <c r="I196" s="3483"/>
      <c r="J196" s="3500">
        <f t="shared" si="26"/>
        <v>0</v>
      </c>
      <c r="K196" s="3480"/>
      <c r="L196" s="3593"/>
      <c r="M196" s="704"/>
      <c r="N196" s="707" t="s">
        <v>4</v>
      </c>
      <c r="O196" s="708">
        <f>Forecast!U196</f>
        <v>3.89</v>
      </c>
      <c r="P196" s="709">
        <f>D182*(1-P183)*O196/100</f>
        <v>311.2389</v>
      </c>
      <c r="Q196" s="710">
        <f t="shared" si="23"/>
        <v>0</v>
      </c>
    </row>
    <row r="197" spans="1:17" ht="12.75" customHeight="1">
      <c r="A197" s="77"/>
      <c r="B197" s="3484"/>
      <c r="C197" s="3479" t="s">
        <v>4</v>
      </c>
      <c r="D197" s="3481"/>
      <c r="E197" s="3589">
        <f t="shared" si="24"/>
        <v>313</v>
      </c>
      <c r="F197" s="3482"/>
      <c r="G197" s="3482"/>
      <c r="H197" s="4374">
        <f t="shared" si="25"/>
        <v>313</v>
      </c>
      <c r="I197" s="3483"/>
      <c r="J197" s="3500">
        <f t="shared" si="26"/>
        <v>0</v>
      </c>
      <c r="K197" s="3480"/>
      <c r="L197" s="3596"/>
      <c r="M197" s="82"/>
      <c r="N197" s="707" t="s">
        <v>56</v>
      </c>
      <c r="O197" s="708">
        <f>Forecast!U197</f>
        <v>1.94</v>
      </c>
      <c r="P197" s="709">
        <f>D182*(1-P183)*O197/100</f>
        <v>155.21939999999998</v>
      </c>
      <c r="Q197" s="710">
        <f t="shared" si="23"/>
        <v>0</v>
      </c>
    </row>
    <row r="198" spans="1:17" ht="13.5" customHeight="1">
      <c r="A198" s="77"/>
      <c r="B198" s="3484"/>
      <c r="C198" s="3479" t="s">
        <v>56</v>
      </c>
      <c r="D198" s="3481"/>
      <c r="E198" s="3589">
        <f t="shared" si="24"/>
        <v>234</v>
      </c>
      <c r="F198" s="3482"/>
      <c r="G198" s="3482"/>
      <c r="H198" s="4374">
        <f t="shared" si="25"/>
        <v>234</v>
      </c>
      <c r="I198" s="3483"/>
      <c r="J198" s="3500">
        <f t="shared" si="26"/>
        <v>0</v>
      </c>
      <c r="K198" s="3480"/>
      <c r="L198" s="3597"/>
      <c r="M198" s="705"/>
      <c r="N198" s="707" t="s">
        <v>6</v>
      </c>
      <c r="O198" s="708">
        <f>Forecast!U198</f>
        <v>5.84</v>
      </c>
      <c r="P198" s="709">
        <f>D182*(1-P183)*O198/100</f>
        <v>467.25839999999994</v>
      </c>
      <c r="Q198" s="710">
        <f t="shared" si="23"/>
        <v>0</v>
      </c>
    </row>
    <row r="199" spans="1:17" ht="16.5" customHeight="1" thickBot="1">
      <c r="A199" s="77"/>
      <c r="B199" s="3485"/>
      <c r="C199" s="3486" t="s">
        <v>6</v>
      </c>
      <c r="D199" s="3487"/>
      <c r="E199" s="3589">
        <f t="shared" si="24"/>
        <v>575</v>
      </c>
      <c r="F199" s="3488"/>
      <c r="G199" s="3488"/>
      <c r="H199" s="4374">
        <f t="shared" si="25"/>
        <v>575</v>
      </c>
      <c r="I199" s="3489"/>
      <c r="J199" s="3500">
        <f t="shared" si="26"/>
        <v>0</v>
      </c>
      <c r="K199" s="3490"/>
      <c r="L199" s="3595"/>
      <c r="M199" s="82"/>
      <c r="N199" s="711"/>
      <c r="O199" s="712">
        <f>SUM(O190:O198)</f>
        <v>99.99</v>
      </c>
      <c r="P199" s="713">
        <f>SUM(P190:P198)</f>
        <v>8000.1998999999996</v>
      </c>
      <c r="Q199" s="711"/>
    </row>
    <row r="200" spans="1:17" ht="15" customHeight="1" thickBot="1">
      <c r="A200" s="77"/>
      <c r="B200" s="3530"/>
      <c r="C200" s="3491" t="s">
        <v>12</v>
      </c>
      <c r="D200" s="3492"/>
      <c r="E200" s="3663">
        <f>SUM(E191:E199)</f>
        <v>8001</v>
      </c>
      <c r="F200" s="3493"/>
      <c r="G200" s="3492"/>
      <c r="H200" s="3664">
        <f>SUM(H191:H199)</f>
        <v>8001</v>
      </c>
      <c r="I200" s="3493"/>
      <c r="J200" s="3531">
        <f>SUM(J191:J199)</f>
        <v>0</v>
      </c>
      <c r="K200" s="3494"/>
      <c r="L200" s="3532"/>
      <c r="M200" s="82"/>
    </row>
    <row r="201" spans="1:17" ht="13.5" customHeight="1">
      <c r="A201" s="76"/>
      <c r="B201" s="109"/>
      <c r="C201" s="110"/>
      <c r="D201" s="111"/>
      <c r="E201" s="2119"/>
      <c r="F201" s="111"/>
      <c r="G201" s="112"/>
      <c r="H201" s="3478"/>
      <c r="I201" s="112"/>
      <c r="J201" s="112"/>
      <c r="K201" s="107" t="s">
        <v>18</v>
      </c>
      <c r="L201" s="113"/>
      <c r="M201" s="81"/>
    </row>
    <row r="202" spans="1:17" ht="15">
      <c r="A202" s="76"/>
      <c r="B202" s="109"/>
      <c r="C202" s="110"/>
      <c r="D202" s="111"/>
      <c r="E202" s="111"/>
      <c r="F202" s="111"/>
      <c r="G202" s="112"/>
      <c r="H202" s="112"/>
      <c r="I202" s="114"/>
      <c r="J202" s="115"/>
      <c r="K202" s="107"/>
      <c r="L202" s="113" t="s">
        <v>139</v>
      </c>
      <c r="N202" s="706">
        <f>343+200</f>
        <v>543</v>
      </c>
    </row>
    <row r="203" spans="1:17" ht="22.5" customHeight="1">
      <c r="A203" s="76"/>
      <c r="B203" s="109"/>
      <c r="C203" s="110"/>
      <c r="D203" s="111"/>
      <c r="E203" s="111"/>
      <c r="F203" s="111"/>
      <c r="H203" s="112"/>
      <c r="I203" s="114"/>
      <c r="J203" s="115"/>
      <c r="K203" s="107"/>
      <c r="L203" s="116"/>
      <c r="N203" s="706">
        <f>582+350</f>
        <v>932</v>
      </c>
    </row>
    <row r="204" spans="1:17" ht="15">
      <c r="A204" s="76"/>
      <c r="B204" s="117"/>
      <c r="C204" s="118"/>
      <c r="D204" s="119"/>
      <c r="E204" s="120"/>
      <c r="F204" s="120"/>
      <c r="G204" s="132"/>
      <c r="H204" s="118"/>
      <c r="I204" s="118"/>
      <c r="J204" s="118"/>
      <c r="K204" s="108"/>
      <c r="L204" s="121"/>
      <c r="N204" s="3412">
        <f>H193+80</f>
        <v>1095</v>
      </c>
    </row>
    <row r="205" spans="1:17" ht="15">
      <c r="A205" s="76"/>
      <c r="B205" s="122"/>
      <c r="C205" s="123"/>
      <c r="D205" s="119"/>
      <c r="E205" s="123"/>
      <c r="F205" s="123"/>
      <c r="G205" s="133" t="s">
        <v>18</v>
      </c>
      <c r="H205" s="133"/>
      <c r="I205" s="123"/>
      <c r="J205" s="123"/>
      <c r="K205" s="124" t="s">
        <v>57</v>
      </c>
    </row>
    <row r="206" spans="1:17" ht="15">
      <c r="A206" s="76"/>
      <c r="B206" s="122"/>
      <c r="C206" s="123"/>
      <c r="D206" s="123"/>
      <c r="E206" s="123"/>
      <c r="F206" s="123"/>
      <c r="G206" s="119"/>
      <c r="H206" s="119"/>
      <c r="I206" s="123"/>
      <c r="J206" s="122"/>
      <c r="K206" s="121" t="s">
        <v>58</v>
      </c>
    </row>
    <row r="207" spans="1:17" ht="16.5">
      <c r="A207" s="76"/>
      <c r="B207" s="73"/>
      <c r="C207" s="74"/>
      <c r="D207" s="74"/>
      <c r="E207" s="74"/>
      <c r="F207" s="74"/>
      <c r="G207" s="75"/>
      <c r="H207" s="75"/>
      <c r="I207" s="74"/>
      <c r="J207" s="73"/>
      <c r="K207" s="71"/>
    </row>
    <row r="211" spans="4:142">
      <c r="EL211" s="72" t="e">
        <f>#REF!+#REF!</f>
        <v>#REF!</v>
      </c>
    </row>
    <row r="213" spans="4:142" ht="24" customHeight="1">
      <c r="E213" s="3412"/>
    </row>
    <row r="214" spans="4:142">
      <c r="E214" s="3412"/>
      <c r="J214" s="3010"/>
    </row>
    <row r="215" spans="4:142">
      <c r="E215" s="3412"/>
      <c r="J215" s="3011"/>
    </row>
    <row r="216" spans="4:142">
      <c r="J216" s="3011"/>
      <c r="K216" s="3083"/>
    </row>
    <row r="217" spans="4:142">
      <c r="E217" s="72"/>
      <c r="G217" s="3010"/>
      <c r="I217" s="3009"/>
      <c r="J217" s="3008"/>
      <c r="K217" s="3084"/>
    </row>
    <row r="218" spans="4:142">
      <c r="E218" s="72"/>
      <c r="G218" s="3011"/>
      <c r="I218" s="3008"/>
      <c r="J218" s="3008"/>
      <c r="K218" s="3084"/>
    </row>
    <row r="219" spans="4:142">
      <c r="E219" s="72"/>
      <c r="G219" s="3008"/>
      <c r="I219" s="3008"/>
      <c r="J219" s="3009"/>
      <c r="K219" s="3389"/>
    </row>
    <row r="220" spans="4:142">
      <c r="D220" s="3465"/>
      <c r="E220" s="72"/>
      <c r="G220" s="3008"/>
      <c r="I220" s="3008"/>
      <c r="J220" s="3008"/>
      <c r="K220" s="3389"/>
    </row>
    <row r="221" spans="4:142" ht="15.75">
      <c r="D221" s="3466"/>
      <c r="E221" s="72"/>
      <c r="G221" s="3008"/>
      <c r="I221" s="3465"/>
      <c r="J221" s="3008"/>
      <c r="K221" s="3389"/>
    </row>
    <row r="222" spans="4:142" ht="15.75">
      <c r="D222" s="3084"/>
      <c r="E222" s="72"/>
      <c r="G222" s="3008"/>
      <c r="I222" s="3466"/>
      <c r="J222" s="3008"/>
      <c r="K222" s="3389"/>
    </row>
    <row r="223" spans="4:142">
      <c r="D223" s="3084"/>
      <c r="E223" s="72"/>
      <c r="G223" s="3008"/>
      <c r="I223" s="3084"/>
      <c r="J223" s="3008"/>
      <c r="K223" s="3389"/>
    </row>
    <row r="224" spans="4:142">
      <c r="E224" s="72"/>
      <c r="G224" s="3008"/>
      <c r="I224" s="3084"/>
      <c r="J224" s="3008"/>
      <c r="K224" s="3389"/>
    </row>
    <row r="225" spans="5:11">
      <c r="E225" s="72"/>
      <c r="G225" s="3008"/>
      <c r="H225" s="3412"/>
      <c r="I225" s="3008"/>
      <c r="J225" s="3008"/>
      <c r="K225" s="3389"/>
    </row>
    <row r="226" spans="5:11">
      <c r="E226" s="72"/>
      <c r="G226" s="3010"/>
      <c r="H226" s="3465"/>
      <c r="I226" s="3009"/>
      <c r="J226" s="3008"/>
      <c r="K226" s="3389"/>
    </row>
    <row r="227" spans="5:11">
      <c r="J227" s="3011"/>
      <c r="K227" s="3389"/>
    </row>
    <row r="228" spans="5:11">
      <c r="H228" s="3084"/>
      <c r="J228" s="3010"/>
      <c r="K228" s="3390"/>
    </row>
    <row r="229" spans="5:11">
      <c r="H229" s="3084"/>
    </row>
    <row r="310" spans="2:2">
      <c r="B310" s="70">
        <v>3788</v>
      </c>
    </row>
    <row r="313" spans="2:2">
      <c r="B313" s="70">
        <v>90</v>
      </c>
    </row>
    <row r="314" spans="2:2">
      <c r="B314" s="70">
        <v>99</v>
      </c>
    </row>
    <row r="316" spans="2:2">
      <c r="B316" s="70">
        <v>23</v>
      </c>
    </row>
    <row r="318" spans="2:2">
      <c r="B318" s="70">
        <v>120</v>
      </c>
    </row>
    <row r="328" spans="2:2">
      <c r="B328" s="70">
        <v>21</v>
      </c>
    </row>
    <row r="330" spans="2:2">
      <c r="B330" s="70">
        <v>32</v>
      </c>
    </row>
    <row r="334" spans="2:2">
      <c r="B334" s="70">
        <v>457</v>
      </c>
    </row>
    <row r="341" spans="2:12">
      <c r="B341" s="70">
        <v>70</v>
      </c>
      <c r="L341" s="70" t="s">
        <v>138</v>
      </c>
    </row>
    <row r="346" spans="2:12">
      <c r="B346" s="70">
        <v>225</v>
      </c>
    </row>
    <row r="350" spans="2:12">
      <c r="B350" s="70">
        <v>22</v>
      </c>
    </row>
    <row r="351" spans="2:12">
      <c r="B351" s="70">
        <v>16</v>
      </c>
    </row>
    <row r="352" spans="2:12">
      <c r="B352" s="70">
        <v>11</v>
      </c>
    </row>
    <row r="353" spans="2:2">
      <c r="B353" s="70">
        <v>42</v>
      </c>
    </row>
    <row r="354" spans="2:2">
      <c r="B354" s="70">
        <v>5</v>
      </c>
    </row>
    <row r="362" spans="2:2">
      <c r="B362" s="70">
        <v>18</v>
      </c>
    </row>
    <row r="367" spans="2:2">
      <c r="B367" s="70">
        <v>1251</v>
      </c>
    </row>
    <row r="368" spans="2:2">
      <c r="B368" s="70">
        <v>5039</v>
      </c>
    </row>
  </sheetData>
  <customSheetViews>
    <customSheetView guid="{7C71EF2A-5ADA-494C-8F58-DDA71753DD90}" scale="130" showPageBreaks="1" printArea="1" showAutoFilter="1" topLeftCell="A21">
      <selection activeCell="B32" sqref="B32"/>
      <rowBreaks count="1" manualBreakCount="1">
        <brk id="100" min="1" max="11" man="1"/>
      </rowBreaks>
      <pageMargins left="0.55000000000000004" right="0.2" top="1" bottom="0.25" header="0.3" footer="0.3"/>
      <pageSetup paperSize="9" scale="56" fitToWidth="0" fitToHeight="0" orientation="portrait" horizontalDpi="4294967295" verticalDpi="4294967295" r:id="rId1"/>
      <headerFooter alignWithMargins="0">
        <oddFooter>&amp;C&amp;P of &amp;N</oddFooter>
      </headerFooter>
      <autoFilter ref="A4:Q186"/>
    </customSheetView>
    <customSheetView guid="{B91C2E87-5EDA-40AE-AC27-0E2C17E803CE}" showPageBreaks="1" printArea="1">
      <selection activeCell="N14" sqref="N14"/>
      <rowBreaks count="1" manualBreakCount="1">
        <brk id="100" min="1" max="11" man="1"/>
      </rowBreaks>
      <pageMargins left="0.55000000000000004" right="0.2" top="1" bottom="0.25" header="0.3" footer="0.3"/>
      <pageSetup paperSize="9" scale="56" fitToWidth="0" fitToHeight="0" orientation="portrait" r:id="rId2"/>
      <headerFooter alignWithMargins="0">
        <oddFooter>&amp;C&amp;P of &amp;N</oddFooter>
      </headerFooter>
    </customSheetView>
    <customSheetView guid="{23F4DC00-BC97-4745-AA5C-F05D469CB1EF}" showPageBreaks="1" printArea="1">
      <selection activeCell="A137" sqref="A137:XFD137"/>
      <rowBreaks count="1" manualBreakCount="1">
        <brk id="91" min="1" max="11" man="1"/>
      </rowBreaks>
      <pageMargins left="0.55000000000000004" right="0.2" top="1" bottom="0.25" header="0.3" footer="0.3"/>
      <pageSetup paperSize="9" scale="61" fitToWidth="0" fitToHeight="0" orientation="portrait" r:id="rId3"/>
      <headerFooter alignWithMargins="0">
        <oddFooter>&amp;C&amp;P of &amp;N</oddFooter>
      </headerFooter>
    </customSheetView>
    <customSheetView guid="{4593F3EE-0998-4E0E-994A-E02D6BAF3A4B}" showPageBreaks="1" printArea="1" topLeftCell="A121">
      <selection activeCell="I151" sqref="I151"/>
      <rowBreaks count="1" manualBreakCount="1">
        <brk id="93" min="1" max="11" man="1"/>
      </rowBreaks>
      <pageMargins left="0.55000000000000004" right="0.2" top="1" bottom="0.25" header="0.3" footer="0.3"/>
      <pageSetup paperSize="9" scale="61" fitToWidth="0" fitToHeight="0" orientation="portrait" r:id="rId4"/>
      <headerFooter alignWithMargins="0">
        <oddFooter>&amp;C&amp;P of &amp;N</oddFooter>
      </headerFooter>
    </customSheetView>
    <customSheetView guid="{917057C8-5E5F-4164-B84C-85103677A2E5}">
      <pane ySplit="5" topLeftCell="A158" activePane="bottomLeft" state="frozen"/>
      <selection pane="bottomLeft" activeCell="H180" sqref="H180"/>
      <rowBreaks count="1" manualBreakCount="1">
        <brk id="100" min="1" max="11" man="1"/>
      </rowBreaks>
      <pageMargins left="0.55000000000000004" right="0.2" top="1" bottom="0.25" header="0.3" footer="0.3"/>
      <pageSetup paperSize="9" scale="56" fitToWidth="0" fitToHeight="0" orientation="portrait" r:id="rId5"/>
      <headerFooter alignWithMargins="0">
        <oddFooter>&amp;C&amp;P of &amp;N</oddFooter>
      </headerFooter>
    </customSheetView>
    <customSheetView guid="{5A803268-F6C5-4035-B3E1-A94CB9AA8994}" showPageBreaks="1" printArea="1" topLeftCell="F1">
      <selection activeCell="O16" sqref="O16"/>
      <rowBreaks count="1" manualBreakCount="1">
        <brk id="92" min="1" max="11" man="1"/>
      </rowBreaks>
      <pageMargins left="0.55000000000000004" right="0.2" top="1" bottom="0.25" header="0.3" footer="0.3"/>
      <pageSetup paperSize="9" scale="61" fitToWidth="0" fitToHeight="0" orientation="portrait" r:id="rId6"/>
      <headerFooter alignWithMargins="0">
        <oddFooter>&amp;C&amp;P of &amp;N</oddFooter>
      </headerFooter>
    </customSheetView>
    <customSheetView guid="{751D391F-C74F-4B53-B5B5-25E01AC12EA4}" scale="130">
      <selection activeCell="B1" sqref="B1"/>
      <rowBreaks count="1" manualBreakCount="1">
        <brk id="108" min="1" max="11" man="1"/>
      </rowBreaks>
      <pageMargins left="0.55000000000000004" right="0.2" top="1" bottom="0.25" header="0.3" footer="0.3"/>
      <pageSetup paperSize="9" scale="53" fitToWidth="0" fitToHeight="0" orientation="portrait" horizontalDpi="4294967295" verticalDpi="4294967295" r:id="rId7"/>
      <headerFooter alignWithMargins="0">
        <oddFooter>&amp;C&amp;P of &amp;N</oddFooter>
      </headerFooter>
    </customSheetView>
    <customSheetView guid="{D1D1E152-95AB-45D3-AC07-4EC0834D3E0C}" scale="130" showPageBreaks="1" printArea="1">
      <selection activeCell="I17" sqref="I17"/>
      <rowBreaks count="1" manualBreakCount="1">
        <brk id="108" min="1" max="11" man="1"/>
      </rowBreaks>
      <pageMargins left="0.55000000000000004" right="0.2" top="1" bottom="0.25" header="0.3" footer="0.3"/>
      <pageSetup paperSize="9" scale="53" fitToWidth="0" fitToHeight="0" orientation="portrait" horizontalDpi="4294967295" verticalDpi="4294967295" r:id="rId8"/>
      <headerFooter alignWithMargins="0">
        <oddFooter>&amp;C&amp;P of &amp;N</oddFooter>
      </headerFooter>
    </customSheetView>
    <customSheetView guid="{4DB6C640-CE65-4513-9E5A-F6CDD1F4B8AF}" scale="130" showPageBreaks="1">
      <selection activeCell="A140" sqref="A140:XFD140"/>
      <rowBreaks count="1" manualBreakCount="1">
        <brk id="109" min="1" max="11" man="1"/>
      </rowBreaks>
      <pageMargins left="0.55000000000000004" right="0.2" top="1" bottom="0.25" header="0.3" footer="0.3"/>
      <pageSetup paperSize="9" scale="53" fitToWidth="0" fitToHeight="0" orientation="portrait" horizontalDpi="4294967295" verticalDpi="4294967295" r:id="rId9"/>
      <headerFooter alignWithMargins="0">
        <oddFooter>&amp;C&amp;P of &amp;N</oddFooter>
      </headerFooter>
    </customSheetView>
    <customSheetView guid="{C3348F62-02F2-4500-9BF2-19F2DEA57A8D}" scale="130" showPageBreaks="1" printArea="1">
      <rowBreaks count="1" manualBreakCount="1">
        <brk id="109" min="1" max="11" man="1"/>
      </rowBreaks>
      <pageMargins left="0.55000000000000004" right="0.2" top="1" bottom="0.25" header="0.3" footer="0.3"/>
      <pageSetup paperSize="9" scale="52" fitToWidth="0" fitToHeight="0" orientation="portrait" r:id="rId10"/>
      <headerFooter alignWithMargins="0">
        <oddFooter>&amp;C&amp;P of &amp;N</oddFooter>
      </headerFooter>
    </customSheetView>
  </customSheetViews>
  <mergeCells count="9">
    <mergeCell ref="B7:B8"/>
    <mergeCell ref="P188:P189"/>
    <mergeCell ref="Q188:Q189"/>
    <mergeCell ref="N188:N189"/>
    <mergeCell ref="N183:O185"/>
    <mergeCell ref="P183:P185"/>
    <mergeCell ref="C7:C8"/>
    <mergeCell ref="D7:D8"/>
    <mergeCell ref="E7:E8"/>
  </mergeCells>
  <conditionalFormatting sqref="K207 K184:K188 K204 J182:J183 J172:K179 J150:K170 J142:K148 J129:K140 J110:K127 J101:K108 J75:K99 J52:K73 J8:K50">
    <cfRule type="cellIs" dxfId="4" priority="1" stopIfTrue="1" operator="lessThanOrEqual">
      <formula>-9</formula>
    </cfRule>
    <cfRule type="cellIs" dxfId="3" priority="2" stopIfTrue="1" operator="greaterThanOrEqual">
      <formula>-10</formula>
    </cfRule>
  </conditionalFormatting>
  <pageMargins left="0.55000000000000004" right="0.2" top="1" bottom="0.25" header="0.3" footer="0.3"/>
  <pageSetup paperSize="9" scale="52" fitToWidth="0" fitToHeight="0" orientation="portrait" r:id="rId11"/>
  <headerFooter alignWithMargins="0">
    <oddFooter>&amp;C&amp;P of &amp;N</oddFooter>
  </headerFooter>
  <rowBreaks count="1" manualBreakCount="1">
    <brk id="109" min="1" max="11" man="1"/>
  </rowBreaks>
  <legacyDrawing r:id="rId12"/>
  <controls>
    <control shapeId="6148" r:id="rId13" name="CmdBtn_Create_EvReport"/>
    <control shapeId="6147" r:id="rId14" name="CBnUpdatePeak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>
    <tabColor rgb="FF00B0F0"/>
  </sheetPr>
  <dimension ref="A1:V64"/>
  <sheetViews>
    <sheetView workbookViewId="0">
      <selection activeCell="R10" sqref="R10:R19"/>
    </sheetView>
  </sheetViews>
  <sheetFormatPr defaultColWidth="9.140625" defaultRowHeight="15"/>
  <cols>
    <col min="1" max="1" width="15.28515625" style="31" customWidth="1"/>
    <col min="2" max="2" width="13.28515625" style="31" customWidth="1"/>
    <col min="3" max="3" width="15.5703125" style="31" customWidth="1"/>
    <col min="4" max="4" width="14.85546875" style="31" customWidth="1"/>
    <col min="5" max="5" width="9.140625" style="31"/>
    <col min="6" max="6" width="12.5703125" style="31" customWidth="1"/>
    <col min="7" max="7" width="15.42578125" style="31" customWidth="1"/>
    <col min="8" max="8" width="15.140625" customWidth="1"/>
    <col min="9" max="9" width="15.7109375" style="31" customWidth="1"/>
    <col min="10" max="10" width="13.42578125" style="31" customWidth="1"/>
    <col min="11" max="11" width="9.140625" style="31"/>
    <col min="12" max="12" width="15.7109375" style="31" customWidth="1"/>
    <col min="13" max="15" width="9.140625" style="31"/>
    <col min="16" max="16" width="9.7109375" style="31" bestFit="1" customWidth="1"/>
    <col min="17" max="17" width="9.140625" style="31"/>
    <col min="18" max="18" width="12.140625" style="31" bestFit="1" customWidth="1"/>
    <col min="19" max="19" width="15.85546875" style="31" bestFit="1" customWidth="1"/>
    <col min="20" max="20" width="12.140625" style="31" bestFit="1" customWidth="1"/>
    <col min="21" max="21" width="9.140625" style="31"/>
    <col min="22" max="22" width="10.140625" style="31" bestFit="1" customWidth="1"/>
    <col min="23" max="16384" width="9.140625" style="31"/>
  </cols>
  <sheetData>
    <row r="1" spans="1:22" ht="27.75">
      <c r="A1" s="32"/>
      <c r="B1" s="32"/>
      <c r="C1" s="32"/>
      <c r="D1" s="141" t="s">
        <v>756</v>
      </c>
      <c r="E1" s="141"/>
      <c r="F1" s="141"/>
      <c r="G1" s="141"/>
      <c r="H1" s="68"/>
      <c r="I1" s="35"/>
      <c r="J1" s="69"/>
      <c r="K1" s="32"/>
      <c r="L1" s="32"/>
    </row>
    <row r="2" spans="1:22" ht="27.75">
      <c r="A2" s="32"/>
      <c r="B2" s="32"/>
      <c r="C2" s="32"/>
      <c r="D2" s="141" t="s">
        <v>59</v>
      </c>
      <c r="E2" s="141"/>
      <c r="F2" s="141"/>
      <c r="G2" s="141"/>
      <c r="H2" s="37"/>
      <c r="I2" s="32"/>
      <c r="J2" s="32"/>
      <c r="K2" s="32"/>
      <c r="L2" s="32"/>
      <c r="R2" s="3949">
        <v>766</v>
      </c>
      <c r="S2" s="3948"/>
    </row>
    <row r="3" spans="1:22" ht="17.2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R3" s="3949">
        <v>635</v>
      </c>
      <c r="S3" s="3948"/>
    </row>
    <row r="4" spans="1:22" ht="17.25">
      <c r="A4" s="64" t="s">
        <v>60</v>
      </c>
      <c r="B4" s="62"/>
      <c r="C4" s="67">
        <f>EvReport!L6</f>
        <v>0.8125</v>
      </c>
      <c r="D4" s="62" t="s">
        <v>61</v>
      </c>
      <c r="E4" s="66"/>
      <c r="F4" s="65"/>
      <c r="G4" s="64" t="s">
        <v>62</v>
      </c>
      <c r="H4" s="63"/>
      <c r="I4" s="1162">
        <f>YesterdayGen!E41</f>
        <v>0.5</v>
      </c>
      <c r="J4" s="62" t="s">
        <v>61</v>
      </c>
      <c r="K4" s="61" t="s">
        <v>63</v>
      </c>
      <c r="L4" s="60">
        <f>GEntry!A2</f>
        <v>43107</v>
      </c>
      <c r="R4" s="3949">
        <v>861</v>
      </c>
      <c r="S4" s="3948"/>
    </row>
    <row r="5" spans="1:22" ht="17.25">
      <c r="A5" s="56" t="s">
        <v>64</v>
      </c>
      <c r="B5" s="34"/>
      <c r="C5" s="59">
        <f>EvReport!D182</f>
        <v>8218</v>
      </c>
      <c r="D5" s="34" t="s">
        <v>65</v>
      </c>
      <c r="E5" s="34"/>
      <c r="F5" s="39"/>
      <c r="G5" s="56" t="s">
        <v>66</v>
      </c>
      <c r="H5" s="35"/>
      <c r="I5" s="1173">
        <f>FWise!N17</f>
        <v>6987</v>
      </c>
      <c r="J5" s="34" t="s">
        <v>65</v>
      </c>
      <c r="K5" s="35"/>
      <c r="L5" s="55"/>
      <c r="R5" s="3949">
        <v>635</v>
      </c>
      <c r="S5" s="3948"/>
    </row>
    <row r="6" spans="1:22" ht="17.25">
      <c r="A6" s="56" t="s">
        <v>67</v>
      </c>
      <c r="B6" s="34"/>
      <c r="C6" s="59">
        <f>EvReport!D183</f>
        <v>8218</v>
      </c>
      <c r="D6" s="34" t="s">
        <v>68</v>
      </c>
      <c r="E6" s="34"/>
      <c r="F6" s="39"/>
      <c r="G6" s="56" t="s">
        <v>69</v>
      </c>
      <c r="H6" s="35"/>
      <c r="I6" s="1173">
        <f>FWise!N17</f>
        <v>6987</v>
      </c>
      <c r="J6" s="35" t="s">
        <v>68</v>
      </c>
      <c r="K6" s="35"/>
      <c r="L6" s="55"/>
      <c r="R6" s="3949">
        <f>SUM(R2:R5)</f>
        <v>2897</v>
      </c>
    </row>
    <row r="7" spans="1:22" ht="17.25">
      <c r="A7" s="56" t="s">
        <v>70</v>
      </c>
      <c r="B7" s="34"/>
      <c r="C7" s="59">
        <f>C5-C6</f>
        <v>0</v>
      </c>
      <c r="D7" s="34" t="s">
        <v>68</v>
      </c>
      <c r="E7" s="34"/>
      <c r="F7" s="39"/>
      <c r="G7" s="56" t="s">
        <v>71</v>
      </c>
      <c r="H7" s="35"/>
      <c r="I7" s="57">
        <f>I5-I6</f>
        <v>0</v>
      </c>
      <c r="J7" s="35" t="s">
        <v>68</v>
      </c>
      <c r="K7" s="35"/>
      <c r="L7" s="55"/>
      <c r="R7" s="3194"/>
      <c r="S7" s="3194"/>
      <c r="T7" s="3194"/>
      <c r="U7" s="3194"/>
    </row>
    <row r="8" spans="1:22" ht="17.25">
      <c r="A8" s="56" t="s">
        <v>72</v>
      </c>
      <c r="B8" s="34"/>
      <c r="C8" s="58">
        <f>EvReport!J200</f>
        <v>0</v>
      </c>
      <c r="D8" s="34" t="s">
        <v>73</v>
      </c>
      <c r="E8" s="34"/>
      <c r="F8" s="39"/>
      <c r="G8" s="56" t="s">
        <v>134</v>
      </c>
      <c r="H8" s="35"/>
      <c r="I8" s="57">
        <f>I23</f>
        <v>0</v>
      </c>
      <c r="J8" s="35" t="s">
        <v>73</v>
      </c>
      <c r="K8" s="35"/>
      <c r="L8" s="55"/>
      <c r="N8" s="4466"/>
      <c r="P8" s="3138"/>
      <c r="Q8" s="3138"/>
      <c r="R8" s="3008"/>
      <c r="S8" s="3138"/>
      <c r="T8" s="3008"/>
      <c r="U8" s="3194"/>
      <c r="V8" s="3138"/>
    </row>
    <row r="9" spans="1:22" ht="18" thickBot="1">
      <c r="A9" s="56" t="s">
        <v>74</v>
      </c>
      <c r="B9" s="34"/>
      <c r="C9" s="58">
        <f>B23</f>
        <v>8001</v>
      </c>
      <c r="D9" s="34" t="s">
        <v>68</v>
      </c>
      <c r="E9" s="34"/>
      <c r="F9" s="39"/>
      <c r="G9" s="56" t="s">
        <v>133</v>
      </c>
      <c r="H9" s="35"/>
      <c r="I9" s="1174">
        <f>H23</f>
        <v>7129</v>
      </c>
      <c r="J9" s="35"/>
      <c r="K9" s="35"/>
      <c r="L9" s="55"/>
      <c r="P9" s="3138"/>
      <c r="Q9" s="3138"/>
      <c r="R9" s="3008"/>
      <c r="S9" s="3138"/>
      <c r="T9" s="3008"/>
      <c r="U9" s="3194"/>
      <c r="V9" s="3138"/>
    </row>
    <row r="10" spans="1:22" ht="28.5" thickBot="1">
      <c r="A10" s="56" t="s">
        <v>75</v>
      </c>
      <c r="B10" s="34"/>
      <c r="C10" s="34"/>
      <c r="D10" s="34"/>
      <c r="E10" s="34"/>
      <c r="F10" s="39"/>
      <c r="G10" s="56" t="s">
        <v>75</v>
      </c>
      <c r="H10" s="35"/>
      <c r="I10" s="35"/>
      <c r="J10" s="35"/>
      <c r="K10" s="35"/>
      <c r="L10" s="55"/>
      <c r="M10" s="2123"/>
      <c r="N10" s="2122"/>
      <c r="P10" s="3138"/>
      <c r="Q10" s="3389"/>
      <c r="R10" s="5022">
        <v>2770</v>
      </c>
      <c r="S10" s="876"/>
      <c r="T10" s="3389"/>
      <c r="U10" s="3194"/>
      <c r="V10" s="3538"/>
    </row>
    <row r="11" spans="1:22" ht="28.5" thickBot="1">
      <c r="A11" s="3350" t="s">
        <v>76</v>
      </c>
      <c r="B11" s="3351" t="s">
        <v>77</v>
      </c>
      <c r="C11" s="3352" t="s">
        <v>77</v>
      </c>
      <c r="D11" s="3353" t="s">
        <v>77</v>
      </c>
      <c r="E11" s="5254" t="s">
        <v>167</v>
      </c>
      <c r="F11" s="5255"/>
      <c r="G11" s="3352" t="s">
        <v>76</v>
      </c>
      <c r="H11" s="3354" t="s">
        <v>77</v>
      </c>
      <c r="I11" s="3355" t="s">
        <v>77</v>
      </c>
      <c r="J11" s="3352" t="s">
        <v>77</v>
      </c>
      <c r="K11" s="5256" t="s">
        <v>167</v>
      </c>
      <c r="L11" s="5257"/>
      <c r="M11" s="2124"/>
      <c r="N11" s="2122"/>
      <c r="P11" s="3587"/>
      <c r="Q11" s="3389"/>
      <c r="R11" s="3661">
        <v>854</v>
      </c>
      <c r="S11" s="876"/>
      <c r="T11" s="3389"/>
      <c r="U11" s="3194"/>
      <c r="V11" s="3539"/>
    </row>
    <row r="12" spans="1:22" ht="18" thickBot="1">
      <c r="A12" s="3356"/>
      <c r="B12" s="54" t="s">
        <v>78</v>
      </c>
      <c r="C12" s="53" t="s">
        <v>79</v>
      </c>
      <c r="D12" s="50" t="s">
        <v>80</v>
      </c>
      <c r="E12" s="51"/>
      <c r="F12" s="50"/>
      <c r="G12" s="53"/>
      <c r="H12" s="49" t="s">
        <v>78</v>
      </c>
      <c r="I12" s="49" t="s">
        <v>79</v>
      </c>
      <c r="J12" s="53" t="s">
        <v>80</v>
      </c>
      <c r="K12" s="52"/>
      <c r="L12" s="3357"/>
      <c r="M12" s="2124"/>
      <c r="N12" s="2122"/>
      <c r="P12" s="3138"/>
      <c r="Q12" s="3389"/>
      <c r="R12" s="3661">
        <v>733</v>
      </c>
      <c r="S12" s="3138"/>
      <c r="T12" s="3389"/>
      <c r="U12" s="3194"/>
      <c r="V12" s="3540"/>
    </row>
    <row r="13" spans="1:22" ht="18" thickBot="1">
      <c r="A13" s="3652"/>
      <c r="B13" s="3653" t="s">
        <v>81</v>
      </c>
      <c r="C13" s="3654" t="s">
        <v>82</v>
      </c>
      <c r="D13" s="3655" t="s">
        <v>82</v>
      </c>
      <c r="E13" s="3653"/>
      <c r="F13" s="3656"/>
      <c r="G13" s="3654"/>
      <c r="H13" s="3657" t="s">
        <v>81</v>
      </c>
      <c r="I13" s="3658" t="s">
        <v>81</v>
      </c>
      <c r="J13" s="3654" t="s">
        <v>82</v>
      </c>
      <c r="K13" s="3367"/>
      <c r="L13" s="3659"/>
      <c r="M13" s="2124"/>
      <c r="N13" s="2122"/>
      <c r="P13" s="3138"/>
      <c r="Q13" s="3389"/>
      <c r="R13" s="3661">
        <v>660</v>
      </c>
      <c r="S13" s="3085"/>
      <c r="T13" s="3389"/>
      <c r="U13" s="3083"/>
      <c r="V13" s="3541"/>
    </row>
    <row r="14" spans="1:22" ht="18" thickBot="1">
      <c r="A14" s="3358" t="s">
        <v>83</v>
      </c>
      <c r="B14" s="38">
        <f>EvReport!E191</f>
        <v>2722</v>
      </c>
      <c r="C14" s="42">
        <f>EvReport!J191</f>
        <v>0</v>
      </c>
      <c r="D14" s="38">
        <f>EvReport!H191</f>
        <v>2722</v>
      </c>
      <c r="E14" s="48"/>
      <c r="F14" s="47"/>
      <c r="G14" s="66" t="s">
        <v>83</v>
      </c>
      <c r="H14" s="3600">
        <f t="shared" ref="H14:H22" si="0">R10</f>
        <v>2770</v>
      </c>
      <c r="I14" s="3333">
        <v>0.41666666666666669</v>
      </c>
      <c r="J14" s="3588">
        <f>H14</f>
        <v>2770</v>
      </c>
      <c r="K14" s="46"/>
      <c r="L14" s="3359"/>
      <c r="M14" s="2124"/>
      <c r="N14" s="2122"/>
      <c r="P14" s="3138"/>
      <c r="Q14" s="3389"/>
      <c r="R14" s="3947">
        <v>554</v>
      </c>
      <c r="S14" s="3084"/>
      <c r="T14" s="3389"/>
      <c r="U14" s="3084"/>
      <c r="V14" s="3537"/>
    </row>
    <row r="15" spans="1:22" ht="18" thickBot="1">
      <c r="A15" s="3358" t="s">
        <v>84</v>
      </c>
      <c r="B15" s="38">
        <f>EvReport!E192</f>
        <v>842</v>
      </c>
      <c r="C15" s="42">
        <f>EvReport!J192</f>
        <v>0</v>
      </c>
      <c r="D15" s="38">
        <f>EvReport!H192</f>
        <v>842</v>
      </c>
      <c r="E15" s="44"/>
      <c r="F15" s="3360"/>
      <c r="G15" s="66" t="s">
        <v>84</v>
      </c>
      <c r="H15" s="3600">
        <f t="shared" si="0"/>
        <v>854</v>
      </c>
      <c r="I15" s="3333">
        <v>0</v>
      </c>
      <c r="J15" s="3588">
        <f t="shared" ref="J15:J22" si="1">H15</f>
        <v>854</v>
      </c>
      <c r="K15" s="45"/>
      <c r="L15" s="3361"/>
      <c r="M15" s="2124"/>
      <c r="N15" s="2122"/>
      <c r="P15" s="3309"/>
      <c r="Q15" s="3389"/>
      <c r="R15" s="3661">
        <v>674</v>
      </c>
      <c r="S15" s="3084"/>
      <c r="T15" s="3389"/>
      <c r="U15" s="3084"/>
      <c r="V15" s="3540"/>
    </row>
    <row r="16" spans="1:22" ht="18" thickBot="1">
      <c r="A16" s="3358" t="s">
        <v>85</v>
      </c>
      <c r="B16" s="38">
        <f>EvReport!E193</f>
        <v>1015</v>
      </c>
      <c r="C16" s="42">
        <f>EvReport!J193</f>
        <v>0</v>
      </c>
      <c r="D16" s="38">
        <f>EvReport!H193</f>
        <v>1015</v>
      </c>
      <c r="E16" s="3591"/>
      <c r="F16" s="3360"/>
      <c r="G16" s="66" t="s">
        <v>85</v>
      </c>
      <c r="H16" s="3600">
        <f t="shared" si="0"/>
        <v>733</v>
      </c>
      <c r="I16" s="3333">
        <v>0</v>
      </c>
      <c r="J16" s="3588">
        <f t="shared" si="1"/>
        <v>733</v>
      </c>
      <c r="K16" s="43"/>
      <c r="L16" s="3361"/>
      <c r="M16" s="2124"/>
      <c r="N16" s="2125"/>
      <c r="P16" s="3138"/>
      <c r="Q16" s="3389"/>
      <c r="R16" s="5023">
        <v>249</v>
      </c>
      <c r="S16" s="3084"/>
      <c r="T16" s="3389"/>
      <c r="U16" s="3084"/>
      <c r="V16" s="3541"/>
    </row>
    <row r="17" spans="1:22" ht="18" thickBot="1">
      <c r="A17" s="3358" t="s">
        <v>86</v>
      </c>
      <c r="B17" s="38">
        <f>EvReport!E194</f>
        <v>858</v>
      </c>
      <c r="C17" s="42">
        <f>EvReport!J194</f>
        <v>0</v>
      </c>
      <c r="D17" s="38">
        <f>EvReport!H194</f>
        <v>858</v>
      </c>
      <c r="E17" s="3592"/>
      <c r="F17" s="3362"/>
      <c r="G17" s="66" t="s">
        <v>86</v>
      </c>
      <c r="H17" s="3600">
        <f t="shared" si="0"/>
        <v>660</v>
      </c>
      <c r="I17" s="3333">
        <v>0</v>
      </c>
      <c r="J17" s="3588">
        <f t="shared" si="1"/>
        <v>660</v>
      </c>
      <c r="K17" s="40"/>
      <c r="L17" s="3361"/>
      <c r="M17" s="2124"/>
      <c r="N17" s="2122"/>
      <c r="P17" s="3138"/>
      <c r="Q17" s="3389"/>
      <c r="R17" s="3661">
        <v>177</v>
      </c>
      <c r="S17" s="3086"/>
      <c r="T17" s="3389"/>
      <c r="U17" s="3084"/>
      <c r="V17" s="3540"/>
    </row>
    <row r="18" spans="1:22" ht="18" thickBot="1">
      <c r="A18" s="3363" t="s">
        <v>854</v>
      </c>
      <c r="B18" s="38">
        <f>EvReport!E195</f>
        <v>700</v>
      </c>
      <c r="C18" s="42">
        <f>EvReport!J195</f>
        <v>0</v>
      </c>
      <c r="D18" s="38">
        <f>EvReport!H195</f>
        <v>700</v>
      </c>
      <c r="E18" s="1681"/>
      <c r="F18" s="3364"/>
      <c r="G18" s="66" t="s">
        <v>854</v>
      </c>
      <c r="H18" s="3600">
        <f t="shared" si="0"/>
        <v>554</v>
      </c>
      <c r="I18" s="3333">
        <v>0</v>
      </c>
      <c r="J18" s="3588">
        <f t="shared" si="1"/>
        <v>554</v>
      </c>
      <c r="K18" s="40"/>
      <c r="L18" s="3361"/>
      <c r="M18" s="2124"/>
      <c r="N18" s="2122"/>
      <c r="P18" s="3138"/>
      <c r="Q18" s="3389"/>
      <c r="R18" s="3661">
        <v>458</v>
      </c>
      <c r="S18" s="3084"/>
      <c r="T18" s="3389"/>
      <c r="U18" s="3084"/>
      <c r="V18" s="3541"/>
    </row>
    <row r="19" spans="1:22" ht="18" thickBot="1">
      <c r="A19" s="3358" t="s">
        <v>87</v>
      </c>
      <c r="B19" s="38">
        <f>EvReport!E196</f>
        <v>742</v>
      </c>
      <c r="C19" s="42">
        <f>EvReport!J196</f>
        <v>0</v>
      </c>
      <c r="D19" s="38">
        <f>EvReport!H196</f>
        <v>742</v>
      </c>
      <c r="E19" s="1682"/>
      <c r="F19" s="3365"/>
      <c r="G19" s="66" t="s">
        <v>87</v>
      </c>
      <c r="H19" s="3600">
        <f t="shared" si="0"/>
        <v>674</v>
      </c>
      <c r="I19" s="3333">
        <v>0</v>
      </c>
      <c r="J19" s="3588">
        <f t="shared" si="1"/>
        <v>674</v>
      </c>
      <c r="K19" s="40"/>
      <c r="L19" s="3361"/>
      <c r="M19" s="2157"/>
      <c r="N19" s="2122"/>
      <c r="P19" s="3310"/>
      <c r="Q19" s="3390"/>
      <c r="R19" s="3662">
        <v>7129</v>
      </c>
      <c r="S19" s="3084"/>
      <c r="T19" s="3390"/>
      <c r="U19" s="3084"/>
      <c r="V19" s="3542"/>
    </row>
    <row r="20" spans="1:22" ht="18" thickBot="1">
      <c r="A20" s="3358" t="s">
        <v>88</v>
      </c>
      <c r="B20" s="38">
        <f>EvReport!E197</f>
        <v>313</v>
      </c>
      <c r="C20" s="42">
        <f>EvReport!J197</f>
        <v>0</v>
      </c>
      <c r="D20" s="38">
        <f>EvReport!H197</f>
        <v>313</v>
      </c>
      <c r="E20" s="41"/>
      <c r="F20" s="1787"/>
      <c r="G20" s="66" t="s">
        <v>88</v>
      </c>
      <c r="H20" s="3600">
        <f t="shared" si="0"/>
        <v>249</v>
      </c>
      <c r="I20" s="3333">
        <v>0</v>
      </c>
      <c r="J20" s="3588">
        <f t="shared" si="1"/>
        <v>249</v>
      </c>
      <c r="K20" s="40"/>
      <c r="L20" s="3361"/>
      <c r="M20" s="2122"/>
      <c r="N20" s="2122"/>
      <c r="P20" s="3138"/>
      <c r="Q20" s="3138"/>
      <c r="R20" s="3662"/>
      <c r="S20" s="3084"/>
      <c r="T20" s="3138"/>
      <c r="U20" s="3084"/>
      <c r="V20" s="3008"/>
    </row>
    <row r="21" spans="1:22" ht="18" thickBot="1">
      <c r="A21" s="3358" t="s">
        <v>89</v>
      </c>
      <c r="B21" s="38">
        <f>EvReport!E198</f>
        <v>234</v>
      </c>
      <c r="C21" s="42">
        <f>EvReport!J198</f>
        <v>0</v>
      </c>
      <c r="D21" s="38">
        <f>EvReport!H198</f>
        <v>234</v>
      </c>
      <c r="E21" s="1678"/>
      <c r="F21" s="1679"/>
      <c r="G21" s="66" t="s">
        <v>89</v>
      </c>
      <c r="H21" s="3600">
        <f t="shared" si="0"/>
        <v>177</v>
      </c>
      <c r="I21" s="3333">
        <v>0</v>
      </c>
      <c r="J21" s="3588">
        <f t="shared" si="1"/>
        <v>177</v>
      </c>
      <c r="K21" s="40"/>
      <c r="L21" s="3366"/>
      <c r="M21" s="2122"/>
      <c r="N21" s="2122"/>
      <c r="P21" s="3138"/>
      <c r="Q21" s="3138"/>
      <c r="R21" s="3672"/>
      <c r="S21" s="3084"/>
      <c r="T21" s="3138"/>
      <c r="U21" s="3415"/>
      <c r="V21" s="3009"/>
    </row>
    <row r="22" spans="1:22" ht="18" thickBot="1">
      <c r="A22" s="3358" t="s">
        <v>90</v>
      </c>
      <c r="B22" s="38">
        <f>EvReport!E199</f>
        <v>575</v>
      </c>
      <c r="C22" s="42">
        <f>EvReport!J199</f>
        <v>0</v>
      </c>
      <c r="D22" s="38">
        <f>EvReport!H199</f>
        <v>575</v>
      </c>
      <c r="E22" s="1678"/>
      <c r="F22" s="1680"/>
      <c r="G22" s="66" t="s">
        <v>90</v>
      </c>
      <c r="H22" s="3600">
        <f t="shared" si="0"/>
        <v>458</v>
      </c>
      <c r="I22" s="3333">
        <v>0</v>
      </c>
      <c r="J22" s="3588">
        <f t="shared" si="1"/>
        <v>458</v>
      </c>
      <c r="K22" s="1778"/>
      <c r="L22" s="3366"/>
      <c r="M22" s="2122"/>
      <c r="N22" s="2122"/>
      <c r="R22" s="3008"/>
      <c r="S22" s="3083"/>
      <c r="U22" s="3416"/>
      <c r="V22" s="3194"/>
    </row>
    <row r="23" spans="1:22" ht="18" thickBot="1">
      <c r="A23" s="3645" t="s">
        <v>91</v>
      </c>
      <c r="B23" s="3646">
        <f>EvReport!E200</f>
        <v>8001</v>
      </c>
      <c r="C23" s="3647">
        <f>EvReport!J200</f>
        <v>0</v>
      </c>
      <c r="D23" s="3648">
        <f>EvReport!H200</f>
        <v>8001</v>
      </c>
      <c r="E23" s="3641"/>
      <c r="F23" s="3642"/>
      <c r="G23" s="3649" t="s">
        <v>91</v>
      </c>
      <c r="H23" s="3650">
        <f>SUM(H14:H22)</f>
        <v>7129</v>
      </c>
      <c r="I23" s="3646">
        <v>0</v>
      </c>
      <c r="J23" s="3651">
        <f>SUM(J14:J22)</f>
        <v>7129</v>
      </c>
      <c r="K23" s="3643"/>
      <c r="L23" s="3644"/>
      <c r="M23" s="1648"/>
      <c r="R23" s="3009"/>
      <c r="U23" s="3417"/>
      <c r="V23" s="3194"/>
    </row>
    <row r="24" spans="1:22" ht="18" thickBot="1">
      <c r="A24" s="34"/>
      <c r="B24" s="34"/>
      <c r="C24" s="34"/>
      <c r="D24" s="34"/>
      <c r="E24" s="34"/>
      <c r="F24" s="34"/>
      <c r="G24" s="34"/>
      <c r="H24" s="36"/>
      <c r="I24" s="36"/>
      <c r="J24" s="36"/>
      <c r="K24" s="35"/>
      <c r="L24" s="35"/>
      <c r="P24" s="4654"/>
      <c r="Q24" s="3197"/>
      <c r="R24" s="3138"/>
      <c r="U24" s="4410">
        <v>1129</v>
      </c>
    </row>
    <row r="25" spans="1:22" ht="18" thickBot="1">
      <c r="A25" s="34"/>
      <c r="B25" s="34"/>
      <c r="C25" s="2101"/>
      <c r="D25" s="34"/>
      <c r="E25" s="34"/>
      <c r="F25" s="34"/>
      <c r="G25" s="34"/>
      <c r="H25" s="36"/>
      <c r="I25" s="36"/>
      <c r="J25" s="35"/>
      <c r="K25" s="35"/>
      <c r="L25" s="35"/>
      <c r="R25" s="3138"/>
      <c r="U25" s="4411">
        <v>804</v>
      </c>
    </row>
    <row r="26" spans="1:22" ht="18" thickBot="1">
      <c r="A26" s="34" t="s">
        <v>92</v>
      </c>
      <c r="B26" s="34"/>
      <c r="C26" s="34"/>
      <c r="D26" s="34"/>
      <c r="E26" s="34"/>
      <c r="F26" s="37"/>
      <c r="G26" s="34"/>
      <c r="H26" s="35"/>
      <c r="I26" s="36"/>
      <c r="J26" s="35" t="s">
        <v>93</v>
      </c>
      <c r="K26" s="35"/>
      <c r="L26" s="35"/>
      <c r="R26" s="3138"/>
      <c r="U26" s="4412">
        <v>1189</v>
      </c>
    </row>
    <row r="27" spans="1:22" ht="18" thickBot="1">
      <c r="A27" s="33" t="s">
        <v>1189</v>
      </c>
      <c r="B27" s="33"/>
      <c r="C27" s="33"/>
      <c r="D27" s="33"/>
      <c r="E27" s="33"/>
      <c r="F27" s="34"/>
      <c r="G27" s="33"/>
      <c r="H27" s="32" t="s">
        <v>94</v>
      </c>
      <c r="I27" s="32"/>
      <c r="L27" s="32"/>
      <c r="R27" s="3138"/>
      <c r="U27" s="3660">
        <v>851</v>
      </c>
    </row>
    <row r="28" spans="1:22" ht="17.25">
      <c r="A28" s="33" t="s">
        <v>95</v>
      </c>
      <c r="B28" s="33"/>
      <c r="C28" s="33"/>
      <c r="D28" s="33"/>
      <c r="E28" s="33"/>
      <c r="F28" s="33"/>
      <c r="G28" s="33"/>
      <c r="H28" s="4749"/>
      <c r="I28" s="32"/>
      <c r="L28" s="32"/>
      <c r="U28" s="3417"/>
    </row>
    <row r="29" spans="1:22" ht="17.25">
      <c r="A29" s="33" t="s">
        <v>96</v>
      </c>
      <c r="B29" s="33"/>
      <c r="C29" s="33"/>
      <c r="D29" s="33"/>
      <c r="E29" s="33"/>
      <c r="F29" s="33"/>
      <c r="G29" s="33"/>
      <c r="H29" s="32"/>
      <c r="I29" s="32"/>
      <c r="L29" s="32"/>
      <c r="U29" s="3417"/>
    </row>
    <row r="30" spans="1:22" ht="18">
      <c r="A30" s="33" t="s">
        <v>98</v>
      </c>
      <c r="B30" s="33"/>
      <c r="C30" s="33"/>
      <c r="D30" s="33"/>
      <c r="E30" s="33"/>
      <c r="F30" s="33"/>
      <c r="G30" s="33"/>
      <c r="H30" s="32"/>
      <c r="I30" s="32"/>
      <c r="J30" s="878" t="s">
        <v>162</v>
      </c>
      <c r="K30" s="878"/>
      <c r="L30" s="32"/>
      <c r="U30" s="3417"/>
    </row>
    <row r="31" spans="1:22" ht="18">
      <c r="H31" s="31"/>
      <c r="I31" s="879"/>
      <c r="J31" s="878" t="s">
        <v>163</v>
      </c>
      <c r="K31" s="878"/>
      <c r="U31" s="3417"/>
    </row>
    <row r="32" spans="1:22" ht="18">
      <c r="H32" s="31"/>
      <c r="I32" s="879"/>
      <c r="J32" s="878" t="s">
        <v>97</v>
      </c>
      <c r="K32" s="878"/>
      <c r="U32" s="3417"/>
    </row>
    <row r="33" spans="5:21" ht="15.75">
      <c r="H33" s="31"/>
      <c r="I33" s="879"/>
      <c r="J33" s="879"/>
      <c r="K33" s="879"/>
      <c r="U33" s="3418"/>
    </row>
    <row r="34" spans="5:21">
      <c r="U34" s="3085"/>
    </row>
    <row r="38" spans="5:21">
      <c r="P38" s="3007"/>
    </row>
    <row r="39" spans="5:21">
      <c r="P39" s="3137"/>
    </row>
    <row r="40" spans="5:21">
      <c r="P40" s="3137"/>
    </row>
    <row r="41" spans="5:21">
      <c r="P41" s="3137"/>
    </row>
    <row r="42" spans="5:21">
      <c r="P42" s="3137"/>
    </row>
    <row r="43" spans="5:21">
      <c r="E43" s="2122"/>
      <c r="F43" s="2122"/>
      <c r="G43" s="2122"/>
      <c r="H43" s="3337"/>
      <c r="I43" s="2122"/>
      <c r="J43" s="2122"/>
      <c r="K43" s="2122"/>
      <c r="L43" s="2122"/>
      <c r="M43" s="2122"/>
      <c r="P43" s="3137"/>
    </row>
    <row r="44" spans="5:21">
      <c r="E44" s="2122"/>
      <c r="F44" s="2122"/>
      <c r="G44" s="2122"/>
      <c r="H44" s="3337"/>
      <c r="I44" s="2122"/>
      <c r="J44" s="2122"/>
      <c r="K44" s="2122"/>
      <c r="L44" s="2122"/>
      <c r="M44" s="2122"/>
      <c r="P44" s="3137"/>
    </row>
    <row r="45" spans="5:21">
      <c r="E45" s="2122"/>
      <c r="F45" s="2122"/>
      <c r="G45" s="2122"/>
      <c r="H45" s="3337"/>
      <c r="I45" s="2122"/>
      <c r="J45" s="2122"/>
      <c r="K45" s="2122"/>
      <c r="L45" s="2122"/>
      <c r="M45" s="2122"/>
      <c r="P45" s="3137"/>
    </row>
    <row r="46" spans="5:21">
      <c r="E46" s="2122"/>
      <c r="F46" s="2122"/>
      <c r="G46" s="2122"/>
      <c r="H46" s="3337"/>
      <c r="I46" s="2122"/>
      <c r="J46" s="2122"/>
      <c r="K46" s="2122"/>
      <c r="L46" s="2122"/>
      <c r="M46" s="2122"/>
      <c r="P46" s="3137"/>
    </row>
    <row r="47" spans="5:21">
      <c r="E47" s="2122"/>
      <c r="F47" s="2122"/>
      <c r="G47" s="2122"/>
      <c r="H47" s="3007"/>
      <c r="I47" s="2122"/>
      <c r="J47" s="2122"/>
      <c r="K47" s="2122"/>
      <c r="L47" s="2122"/>
      <c r="M47" s="2122"/>
      <c r="P47" s="3009"/>
    </row>
    <row r="48" spans="5:21" ht="27.75">
      <c r="E48" s="2122"/>
      <c r="F48" s="2122"/>
      <c r="G48" s="3533"/>
      <c r="H48" s="3008"/>
      <c r="I48" s="2122"/>
      <c r="J48" s="2122"/>
      <c r="K48" s="2122"/>
      <c r="L48" s="2122"/>
      <c r="M48" s="2122"/>
    </row>
    <row r="49" spans="5:13">
      <c r="E49" s="2122"/>
      <c r="F49" s="2122"/>
      <c r="G49" s="2122"/>
      <c r="H49" s="3008"/>
      <c r="I49" s="2122"/>
      <c r="J49" s="2122"/>
      <c r="K49" s="2122"/>
      <c r="L49" s="2122"/>
      <c r="M49" s="2122"/>
    </row>
    <row r="50" spans="5:13">
      <c r="E50" s="2122"/>
      <c r="F50" s="2122"/>
      <c r="G50" s="2122"/>
      <c r="H50" s="3008"/>
      <c r="I50" s="2122"/>
      <c r="J50" s="2122"/>
      <c r="K50" s="2122"/>
      <c r="L50" s="2122"/>
      <c r="M50" s="2122"/>
    </row>
    <row r="51" spans="5:13">
      <c r="E51" s="2122"/>
      <c r="F51" s="2122"/>
      <c r="G51" s="2122"/>
      <c r="H51" s="3008"/>
      <c r="I51" s="2122"/>
      <c r="J51" s="2122"/>
      <c r="K51" s="2122"/>
      <c r="L51" s="2122"/>
      <c r="M51" s="2122"/>
    </row>
    <row r="52" spans="5:13">
      <c r="E52" s="2122"/>
      <c r="F52" s="2122"/>
      <c r="G52" s="2122"/>
      <c r="H52" s="3008"/>
      <c r="I52" s="2122"/>
      <c r="J52" s="2122"/>
      <c r="K52" s="2122"/>
      <c r="L52" s="2122"/>
      <c r="M52" s="2122"/>
    </row>
    <row r="53" spans="5:13">
      <c r="E53" s="2122"/>
      <c r="F53" s="2122"/>
      <c r="G53" s="2122"/>
      <c r="H53" s="3008"/>
      <c r="I53" s="2122"/>
      <c r="J53" s="2122"/>
      <c r="K53" s="2122"/>
      <c r="L53" s="2122"/>
      <c r="M53" s="2122"/>
    </row>
    <row r="54" spans="5:13" ht="27.75">
      <c r="E54" s="2122"/>
      <c r="F54" s="2122"/>
      <c r="G54" s="2122"/>
      <c r="H54" s="3008"/>
      <c r="I54" s="2122"/>
      <c r="J54" s="3534"/>
      <c r="K54" s="2122"/>
      <c r="L54" s="2122"/>
      <c r="M54" s="2122"/>
    </row>
    <row r="55" spans="5:13">
      <c r="E55" s="2122"/>
      <c r="F55" s="2122"/>
      <c r="G55" s="2122"/>
      <c r="H55" s="3008"/>
      <c r="I55" s="2122"/>
      <c r="J55" s="3008"/>
      <c r="K55" s="2122"/>
      <c r="L55" s="2122"/>
      <c r="M55" s="2122"/>
    </row>
    <row r="56" spans="5:13">
      <c r="E56" s="2122"/>
      <c r="F56" s="2122"/>
      <c r="G56" s="2122"/>
      <c r="H56" s="3009"/>
      <c r="I56" s="2122"/>
      <c r="J56" s="3008"/>
      <c r="K56" s="2122"/>
      <c r="L56" s="2122"/>
      <c r="M56" s="2122"/>
    </row>
    <row r="57" spans="5:13">
      <c r="E57" s="2122"/>
      <c r="F57" s="2122"/>
      <c r="G57" s="2122"/>
      <c r="H57" s="3337"/>
      <c r="I57" s="2122"/>
      <c r="J57" s="3008"/>
      <c r="K57" s="2122"/>
      <c r="L57" s="2122"/>
      <c r="M57" s="2122"/>
    </row>
    <row r="58" spans="5:13">
      <c r="J58" s="3008"/>
    </row>
    <row r="59" spans="5:13">
      <c r="J59" s="3008"/>
    </row>
    <row r="60" spans="5:13">
      <c r="J60" s="3008"/>
    </row>
    <row r="61" spans="5:13">
      <c r="J61" s="3008"/>
    </row>
    <row r="62" spans="5:13">
      <c r="J62" s="3008"/>
    </row>
    <row r="63" spans="5:13">
      <c r="J63" s="3009"/>
    </row>
    <row r="64" spans="5:13">
      <c r="J64" s="2122"/>
    </row>
  </sheetData>
  <customSheetViews>
    <customSheetView guid="{7C71EF2A-5ADA-494C-8F58-DDA71753DD90}" showPageBreaks="1" printArea="1">
      <selection activeCell="B32" sqref="B32"/>
      <pageMargins left="0.7" right="0.7" top="0.75" bottom="0.75" header="0.3" footer="0.3"/>
      <pageSetup paperSize="9" scale="74" orientation="landscape" r:id="rId1"/>
    </customSheetView>
    <customSheetView guid="{B91C2E87-5EDA-40AE-AC27-0E2C17E803CE}" showPageBreaks="1" printArea="1">
      <selection activeCell="N17" sqref="N17"/>
      <pageMargins left="0.7" right="0.7" top="0.75" bottom="0.75" header="0.3" footer="0.3"/>
      <pageSetup paperSize="9" scale="74" orientation="landscape" r:id="rId2"/>
    </customSheetView>
    <customSheetView guid="{23F4DC00-BC97-4745-AA5C-F05D469CB1EF}" showPageBreaks="1" printArea="1">
      <selection activeCell="J14" sqref="J14:J22"/>
      <pageMargins left="0.7" right="0.7" top="0.75" bottom="0.75" header="0.3" footer="0.3"/>
      <pageSetup paperSize="9" scale="74" orientation="landscape" r:id="rId3"/>
    </customSheetView>
    <customSheetView guid="{4593F3EE-0998-4E0E-994A-E02D6BAF3A4B}" showPageBreaks="1" printArea="1">
      <selection activeCell="J14" sqref="J14:J23"/>
      <pageMargins left="0.7" right="0.7" top="0.75" bottom="0.75" header="0.3" footer="0.3"/>
      <pageSetup paperSize="9" scale="74" orientation="landscape" r:id="rId4"/>
    </customSheetView>
    <customSheetView guid="{917057C8-5E5F-4164-B84C-85103677A2E5}">
      <selection activeCell="I29" sqref="I29"/>
      <pageMargins left="0.7" right="0.7" top="0.75" bottom="0.75" header="0.3" footer="0.3"/>
      <pageSetup paperSize="9" scale="74" orientation="landscape" r:id="rId5"/>
    </customSheetView>
    <customSheetView guid="{5A803268-F6C5-4035-B3E1-A94CB9AA8994}" showPageBreaks="1" printArea="1">
      <selection activeCell="C8" sqref="C8"/>
      <pageMargins left="0.7" right="0.7" top="0.75" bottom="0.75" header="0.3" footer="0.3"/>
      <pageSetup paperSize="9" scale="74" orientation="landscape" r:id="rId6"/>
    </customSheetView>
    <customSheetView guid="{751D391F-C74F-4B53-B5B5-25E01AC12EA4}">
      <selection activeCell="R10" sqref="R10:R18"/>
      <pageMargins left="0.7" right="0.7" top="0.75" bottom="0.75" header="0.3" footer="0.3"/>
      <pageSetup paperSize="9" scale="74" orientation="landscape" horizontalDpi="4294967295" verticalDpi="4294967295" r:id="rId7"/>
    </customSheetView>
    <customSheetView guid="{D1D1E152-95AB-45D3-AC07-4EC0834D3E0C}" showPageBreaks="1" printArea="1">
      <selection activeCell="R10" sqref="R10:R18"/>
      <pageMargins left="0.7" right="0.7" top="0.75" bottom="0.75" header="0.3" footer="0.3"/>
      <pageSetup paperSize="9" scale="74" orientation="landscape" horizontalDpi="4294967295" verticalDpi="4294967295" r:id="rId8"/>
    </customSheetView>
    <customSheetView guid="{4DB6C640-CE65-4513-9E5A-F6CDD1F4B8AF}" showPageBreaks="1">
      <selection activeCell="E26" sqref="E26"/>
      <pageMargins left="0.7" right="0.7" top="0.75" bottom="0.75" header="0.3" footer="0.3"/>
      <pageSetup paperSize="9" scale="74" orientation="landscape" horizontalDpi="4294967295" verticalDpi="4294967295" r:id="rId9"/>
    </customSheetView>
    <customSheetView guid="{C3348F62-02F2-4500-9BF2-19F2DEA57A8D}" showPageBreaks="1" printArea="1">
      <selection activeCell="R10" sqref="R10:R19"/>
      <pageMargins left="0.7" right="0.7" top="0.75" bottom="0.75" header="0.3" footer="0.3"/>
      <pageSetup paperSize="9" scale="74" orientation="landscape" r:id="rId10"/>
    </customSheetView>
  </customSheetViews>
  <mergeCells count="2">
    <mergeCell ref="E11:F11"/>
    <mergeCell ref="K11:L11"/>
  </mergeCells>
  <pageMargins left="0.7" right="0.7" top="0.75" bottom="0.75" header="0.3" footer="0.3"/>
  <pageSetup paperSize="9" scale="74" orientation="landscape" r:id="rId1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>
    <tabColor theme="9" tint="-0.249977111117893"/>
  </sheetPr>
  <dimension ref="A1:P117"/>
  <sheetViews>
    <sheetView zoomScale="115" zoomScaleNormal="115" workbookViewId="0">
      <selection activeCell="H7" sqref="H7"/>
    </sheetView>
  </sheetViews>
  <sheetFormatPr defaultColWidth="9.140625" defaultRowHeight="15"/>
  <cols>
    <col min="1" max="1" width="7.42578125" style="6" customWidth="1"/>
    <col min="2" max="2" width="33.42578125" style="6" customWidth="1"/>
    <col min="3" max="3" width="18.28515625" style="6" customWidth="1"/>
    <col min="4" max="4" width="16.42578125" style="6" customWidth="1"/>
    <col min="5" max="5" width="17" style="6" customWidth="1"/>
    <col min="6" max="6" width="36" style="6" customWidth="1"/>
    <col min="7" max="16384" width="9.140625" style="6"/>
  </cols>
  <sheetData>
    <row r="1" spans="1:7">
      <c r="A1" s="1714"/>
      <c r="B1" s="1715"/>
      <c r="C1" s="1716"/>
      <c r="D1" s="1716"/>
      <c r="E1" s="1716" t="s">
        <v>18</v>
      </c>
      <c r="F1" s="1717"/>
    </row>
    <row r="2" spans="1:7" ht="20.25">
      <c r="A2" s="1718"/>
      <c r="B2" s="1719"/>
      <c r="C2" s="1720" t="s">
        <v>937</v>
      </c>
      <c r="D2" s="391"/>
      <c r="E2" s="391"/>
      <c r="F2" s="1613"/>
    </row>
    <row r="3" spans="1:7" ht="16.5" thickBot="1">
      <c r="A3" s="1718"/>
      <c r="B3" s="1721" t="s">
        <v>19</v>
      </c>
      <c r="C3" s="1722">
        <f>YesterdayGen!A2</f>
        <v>43106</v>
      </c>
      <c r="D3" s="391"/>
      <c r="E3" s="391"/>
      <c r="F3" s="1613"/>
    </row>
    <row r="4" spans="1:7" ht="15.75">
      <c r="A4" s="1734" t="s">
        <v>423</v>
      </c>
      <c r="B4" s="1735" t="s">
        <v>424</v>
      </c>
      <c r="C4" s="1736" t="s">
        <v>179</v>
      </c>
      <c r="D4" s="1737" t="s">
        <v>425</v>
      </c>
      <c r="E4" s="1738" t="s">
        <v>426</v>
      </c>
      <c r="F4" s="5258" t="s">
        <v>296</v>
      </c>
    </row>
    <row r="5" spans="1:7" ht="13.5" customHeight="1" thickBot="1">
      <c r="A5" s="1739"/>
      <c r="B5" s="1740"/>
      <c r="C5" s="1741" t="s">
        <v>36</v>
      </c>
      <c r="D5" s="1741" t="s">
        <v>36</v>
      </c>
      <c r="E5" s="1742" t="s">
        <v>36</v>
      </c>
      <c r="F5" s="5259"/>
    </row>
    <row r="6" spans="1:7" ht="13.9" customHeight="1">
      <c r="A6" s="1723">
        <v>1</v>
      </c>
      <c r="B6" s="375" t="s">
        <v>732</v>
      </c>
      <c r="C6" s="374"/>
      <c r="D6" s="1711"/>
      <c r="E6" s="1713"/>
      <c r="F6" s="1746"/>
      <c r="G6" s="1712"/>
    </row>
    <row r="7" spans="1:7" ht="15.6" customHeight="1">
      <c r="A7" s="1723">
        <v>2</v>
      </c>
      <c r="B7" s="375" t="s">
        <v>921</v>
      </c>
      <c r="C7" s="374">
        <v>170</v>
      </c>
      <c r="D7" s="1711">
        <f>Forecast!J9</f>
        <v>0</v>
      </c>
      <c r="E7" s="1713">
        <f>Forecast!K9</f>
        <v>0</v>
      </c>
      <c r="F7" s="1747" t="str">
        <f>'P2'!J9</f>
        <v>Under maint.</v>
      </c>
      <c r="G7" s="1712"/>
    </row>
    <row r="8" spans="1:7" ht="18.75" customHeight="1">
      <c r="A8" s="1723">
        <v>3</v>
      </c>
      <c r="B8" s="375" t="s">
        <v>922</v>
      </c>
      <c r="C8" s="374">
        <v>180</v>
      </c>
      <c r="D8" s="1711">
        <f>Forecast!J10</f>
        <v>231</v>
      </c>
      <c r="E8" s="1713">
        <f>Forecast!K10</f>
        <v>240</v>
      </c>
      <c r="F8" s="1730" t="str">
        <f>'P2'!J10</f>
        <v xml:space="preserve"> </v>
      </c>
      <c r="G8" s="1712"/>
    </row>
    <row r="9" spans="1:7" ht="16.5" customHeight="1">
      <c r="A9" s="1723">
        <v>4</v>
      </c>
      <c r="B9" s="375" t="s">
        <v>180</v>
      </c>
      <c r="C9" s="374">
        <v>190</v>
      </c>
      <c r="D9" s="1711">
        <f>Forecast!J11</f>
        <v>0</v>
      </c>
      <c r="E9" s="1713">
        <f>Forecast!K11</f>
        <v>0</v>
      </c>
      <c r="F9" s="1730" t="str">
        <f>'P2'!J11</f>
        <v>Gas shortage</v>
      </c>
      <c r="G9" s="1712"/>
    </row>
    <row r="10" spans="1:7" ht="18.75" customHeight="1">
      <c r="A10" s="1723">
        <v>5</v>
      </c>
      <c r="B10" s="375" t="s">
        <v>181</v>
      </c>
      <c r="C10" s="374">
        <v>365</v>
      </c>
      <c r="D10" s="1711">
        <f>Forecast!J12</f>
        <v>0</v>
      </c>
      <c r="E10" s="1713">
        <f>Forecast!K12</f>
        <v>0</v>
      </c>
      <c r="F10" s="1730" t="str">
        <f>EvReport!L12</f>
        <v>DP High</v>
      </c>
      <c r="G10" s="1712"/>
    </row>
    <row r="11" spans="1:7">
      <c r="A11" s="5260">
        <v>6</v>
      </c>
      <c r="B11" s="375" t="s">
        <v>722</v>
      </c>
      <c r="C11" s="374">
        <v>78</v>
      </c>
      <c r="D11" s="1711">
        <f>Forecast!J13</f>
        <v>0</v>
      </c>
      <c r="E11" s="1713">
        <f>Forecast!K13</f>
        <v>0</v>
      </c>
      <c r="F11" s="1731" t="str">
        <f>EvReport!L13</f>
        <v>Contract Expired</v>
      </c>
      <c r="G11" s="1712"/>
    </row>
    <row r="12" spans="1:7" ht="12.75" customHeight="1">
      <c r="A12" s="5261"/>
      <c r="B12" s="375" t="s">
        <v>112</v>
      </c>
      <c r="C12" s="1710">
        <v>108</v>
      </c>
      <c r="D12" s="1711">
        <f>Forecast!J14</f>
        <v>0</v>
      </c>
      <c r="E12" s="1713">
        <f>Forecast!K14</f>
        <v>0</v>
      </c>
      <c r="F12" s="1731" t="str">
        <f>EvReport!L14</f>
        <v>Gas shortage</v>
      </c>
      <c r="G12" s="1712"/>
    </row>
    <row r="13" spans="1:7" ht="18.75" customHeight="1">
      <c r="A13" s="1729">
        <v>7</v>
      </c>
      <c r="B13" s="375" t="s">
        <v>171</v>
      </c>
      <c r="C13" s="1696">
        <v>40</v>
      </c>
      <c r="D13" s="1711">
        <f>Forecast!J15</f>
        <v>0</v>
      </c>
      <c r="E13" s="1713">
        <f>Forecast!K15</f>
        <v>0</v>
      </c>
      <c r="F13" s="1752" t="str">
        <f>EvReport!L15</f>
        <v>Under maint.</v>
      </c>
      <c r="G13" s="1712"/>
    </row>
    <row r="14" spans="1:7" ht="15.75" customHeight="1">
      <c r="A14" s="1729">
        <v>8</v>
      </c>
      <c r="B14" s="375" t="s">
        <v>157</v>
      </c>
      <c r="C14" s="1696">
        <v>412</v>
      </c>
      <c r="D14" s="1711">
        <f>Forecast!J16</f>
        <v>0</v>
      </c>
      <c r="E14" s="1713">
        <f>Forecast!K16</f>
        <v>0</v>
      </c>
      <c r="F14" s="1748" t="str">
        <f>EvReport!L16</f>
        <v>Under maint.</v>
      </c>
      <c r="G14" s="1712"/>
    </row>
    <row r="15" spans="1:7" ht="15.75" customHeight="1">
      <c r="A15" s="1724">
        <v>9</v>
      </c>
      <c r="B15" s="375" t="s">
        <v>258</v>
      </c>
      <c r="C15" s="378">
        <v>360</v>
      </c>
      <c r="D15" s="1711">
        <f>Forecast!J17</f>
        <v>202</v>
      </c>
      <c r="E15" s="1713">
        <f>Forecast!K17</f>
        <v>222</v>
      </c>
      <c r="F15" s="1730" t="str">
        <f>EvReport!L17</f>
        <v>Gas shortage</v>
      </c>
      <c r="G15" s="1712"/>
    </row>
    <row r="16" spans="1:7" ht="16.149999999999999" customHeight="1">
      <c r="A16" s="1729">
        <v>10</v>
      </c>
      <c r="B16" s="375" t="s">
        <v>257</v>
      </c>
      <c r="C16" s="374">
        <v>450</v>
      </c>
      <c r="D16" s="1711">
        <f>Forecast!J18</f>
        <v>180</v>
      </c>
      <c r="E16" s="1713">
        <f>Forecast!K18</f>
        <v>180</v>
      </c>
      <c r="F16" s="1750" t="str">
        <f>EvReport!L18</f>
        <v>Gas shortage</v>
      </c>
      <c r="G16" s="1712"/>
    </row>
    <row r="17" spans="1:16" ht="18.75" customHeight="1">
      <c r="A17" s="1729">
        <v>11</v>
      </c>
      <c r="B17" s="375" t="s">
        <v>113</v>
      </c>
      <c r="C17" s="374">
        <v>100</v>
      </c>
      <c r="D17" s="1711">
        <f>Forecast!J19</f>
        <v>0</v>
      </c>
      <c r="E17" s="1713">
        <f>Forecast!K19</f>
        <v>0</v>
      </c>
      <c r="F17" s="3452" t="str">
        <f>EvReport!L19</f>
        <v>Contract Expired</v>
      </c>
      <c r="G17" s="1712"/>
    </row>
    <row r="18" spans="1:16" ht="18.75" customHeight="1">
      <c r="A18" s="1729">
        <v>12</v>
      </c>
      <c r="B18" s="375" t="s">
        <v>116</v>
      </c>
      <c r="C18" s="374">
        <v>305</v>
      </c>
      <c r="D18" s="1711">
        <f>Forecast!J20</f>
        <v>0</v>
      </c>
      <c r="E18" s="1713">
        <f>Forecast!K20</f>
        <v>0</v>
      </c>
      <c r="F18" s="1732" t="str">
        <f>EvReport!L20</f>
        <v>Gas shortage</v>
      </c>
      <c r="G18" s="1712"/>
      <c r="N18" s="375"/>
      <c r="O18" s="376"/>
      <c r="P18" s="377"/>
    </row>
    <row r="19" spans="1:16" ht="18" customHeight="1">
      <c r="A19" s="1729">
        <v>13</v>
      </c>
      <c r="B19" s="375" t="s">
        <v>263</v>
      </c>
      <c r="C19" s="374">
        <v>100</v>
      </c>
      <c r="D19" s="1711">
        <f>Forecast!J21</f>
        <v>0</v>
      </c>
      <c r="E19" s="1713">
        <f>Forecast!K21</f>
        <v>0</v>
      </c>
      <c r="F19" s="1730" t="str">
        <f>EvReport!L21</f>
        <v>Contract Expired</v>
      </c>
      <c r="G19" s="1712"/>
      <c r="N19" s="375"/>
      <c r="O19" s="376"/>
      <c r="P19" s="377"/>
    </row>
    <row r="20" spans="1:16" ht="15.6" customHeight="1">
      <c r="A20" s="1729">
        <v>14</v>
      </c>
      <c r="B20" s="375" t="s">
        <v>136</v>
      </c>
      <c r="C20" s="374">
        <v>55</v>
      </c>
      <c r="D20" s="1711">
        <f>Forecast!J22</f>
        <v>16</v>
      </c>
      <c r="E20" s="1713">
        <f>Forecast!K22</f>
        <v>55</v>
      </c>
      <c r="F20" s="1749">
        <f>EvReport!L22</f>
        <v>0</v>
      </c>
      <c r="G20" s="1712"/>
      <c r="N20" s="375"/>
      <c r="O20" s="376"/>
      <c r="P20" s="377"/>
    </row>
    <row r="21" spans="1:16" ht="18.75" customHeight="1">
      <c r="A21" s="1729">
        <v>15</v>
      </c>
      <c r="B21" s="375" t="s">
        <v>182</v>
      </c>
      <c r="C21" s="374">
        <v>100</v>
      </c>
      <c r="D21" s="1711">
        <f>Forecast!J23</f>
        <v>0</v>
      </c>
      <c r="E21" s="1713">
        <f>Forecast!K23</f>
        <v>24</v>
      </c>
      <c r="F21" s="1731" t="str">
        <f>EvReport!L23</f>
        <v>Engine problem</v>
      </c>
      <c r="G21" s="1712"/>
      <c r="N21" s="375"/>
      <c r="O21" s="376"/>
      <c r="P21" s="377"/>
    </row>
    <row r="22" spans="1:16" ht="18.75" customHeight="1">
      <c r="A22" s="1729">
        <v>16</v>
      </c>
      <c r="B22" s="375" t="s">
        <v>158</v>
      </c>
      <c r="C22" s="374">
        <v>22</v>
      </c>
      <c r="D22" s="1711">
        <f>Forecast!J24</f>
        <v>16</v>
      </c>
      <c r="E22" s="1713">
        <f>Forecast!K24</f>
        <v>16</v>
      </c>
      <c r="F22" s="1730" t="str">
        <f>EvReport!L24</f>
        <v>Engine problem</v>
      </c>
      <c r="G22" s="1712"/>
      <c r="N22" s="375"/>
      <c r="O22" s="376"/>
      <c r="P22" s="377"/>
    </row>
    <row r="23" spans="1:16" ht="18.75" customHeight="1">
      <c r="A23" s="1729">
        <v>17</v>
      </c>
      <c r="B23" s="375" t="s">
        <v>255</v>
      </c>
      <c r="C23" s="374">
        <v>115</v>
      </c>
      <c r="D23" s="1711">
        <f>Forecast!J25</f>
        <v>0</v>
      </c>
      <c r="E23" s="1713">
        <f>Forecast!K25</f>
        <v>0</v>
      </c>
      <c r="F23" s="3453" t="str">
        <f>EvReport!L25</f>
        <v>Under maint.</v>
      </c>
      <c r="G23" s="1712"/>
      <c r="N23" s="5270"/>
      <c r="O23" s="5271"/>
      <c r="P23" s="5272"/>
    </row>
    <row r="24" spans="1:16" ht="13.15" customHeight="1">
      <c r="A24" s="1724">
        <v>18</v>
      </c>
      <c r="B24" s="375" t="s">
        <v>256</v>
      </c>
      <c r="C24" s="386">
        <v>210</v>
      </c>
      <c r="D24" s="1711">
        <f>Forecast!J26</f>
        <v>0</v>
      </c>
      <c r="E24" s="1713">
        <f>Forecast!K26</f>
        <v>0</v>
      </c>
      <c r="F24" s="1755" t="str">
        <f>EvReport!L26</f>
        <v>Gas shortage</v>
      </c>
      <c r="G24" s="1712"/>
      <c r="N24" s="5273"/>
      <c r="O24" s="5274"/>
      <c r="P24" s="5275"/>
    </row>
    <row r="25" spans="1:16" ht="16.5" customHeight="1">
      <c r="A25" s="1729"/>
      <c r="B25" s="375"/>
      <c r="C25" s="374"/>
      <c r="D25" s="1711"/>
      <c r="E25" s="1713"/>
      <c r="F25" s="1730"/>
      <c r="G25" s="1712"/>
      <c r="N25" s="1697"/>
      <c r="O25" s="1698"/>
      <c r="P25" s="1699"/>
    </row>
    <row r="26" spans="1:16" ht="16.5" customHeight="1">
      <c r="A26" s="1729">
        <v>19</v>
      </c>
      <c r="B26" s="375" t="s">
        <v>121</v>
      </c>
      <c r="C26" s="374">
        <v>100</v>
      </c>
      <c r="D26" s="1711">
        <f>Forecast!J27</f>
        <v>0</v>
      </c>
      <c r="E26" s="1713">
        <f>Forecast!K27</f>
        <v>0</v>
      </c>
      <c r="F26" s="1730" t="str">
        <f>EvReport!L27</f>
        <v>Contract Expired</v>
      </c>
      <c r="G26" s="1712"/>
      <c r="N26" s="1697"/>
      <c r="O26" s="1698"/>
      <c r="P26" s="1699"/>
    </row>
    <row r="27" spans="1:16" ht="17.25" customHeight="1">
      <c r="A27" s="1729">
        <v>20</v>
      </c>
      <c r="B27" s="375" t="s">
        <v>168</v>
      </c>
      <c r="C27" s="388">
        <v>217</v>
      </c>
      <c r="D27" s="1711">
        <f>Forecast!J28</f>
        <v>0</v>
      </c>
      <c r="E27" s="1713">
        <f>Forecast!K28</f>
        <v>0</v>
      </c>
      <c r="F27" s="1754" t="str">
        <f>EvReport!L28</f>
        <v>Gas shortage</v>
      </c>
      <c r="G27" s="1712"/>
      <c r="N27" s="379"/>
      <c r="O27" s="380"/>
      <c r="P27" s="381"/>
    </row>
    <row r="28" spans="1:16" ht="18" customHeight="1">
      <c r="A28" s="1729"/>
      <c r="B28" s="375"/>
      <c r="C28" s="388"/>
      <c r="D28" s="1711"/>
      <c r="E28" s="1713"/>
      <c r="F28" s="1731"/>
      <c r="G28" s="1712"/>
      <c r="N28" s="379"/>
      <c r="O28" s="380"/>
      <c r="P28" s="381"/>
    </row>
    <row r="29" spans="1:16" ht="17.25" customHeight="1">
      <c r="A29" s="1729">
        <v>21</v>
      </c>
      <c r="B29" s="375" t="s">
        <v>120</v>
      </c>
      <c r="C29" s="388">
        <v>102</v>
      </c>
      <c r="D29" s="1711">
        <f>Forecast!J29</f>
        <v>84</v>
      </c>
      <c r="E29" s="1713">
        <f>Forecast!K29</f>
        <v>102</v>
      </c>
      <c r="F29" s="1731">
        <f>EvReport!L29</f>
        <v>0</v>
      </c>
      <c r="G29" s="1712"/>
      <c r="N29" s="375"/>
      <c r="O29" s="376"/>
      <c r="P29" s="377"/>
    </row>
    <row r="30" spans="1:16" ht="17.25" customHeight="1">
      <c r="A30" s="1723">
        <v>22</v>
      </c>
      <c r="B30" s="375" t="s">
        <v>128</v>
      </c>
      <c r="C30" s="388">
        <v>51</v>
      </c>
      <c r="D30" s="1711">
        <f>Forecast!J30</f>
        <v>0</v>
      </c>
      <c r="E30" s="1713">
        <f>Forecast!K30</f>
        <v>0</v>
      </c>
      <c r="F30" s="1730" t="str">
        <f>EvReport!L30</f>
        <v>High Voltage</v>
      </c>
      <c r="G30" s="1712"/>
      <c r="N30" s="382"/>
      <c r="O30" s="376"/>
      <c r="P30" s="377"/>
    </row>
    <row r="31" spans="1:16" ht="15.75" customHeight="1">
      <c r="A31" s="2126">
        <v>23</v>
      </c>
      <c r="B31" s="375" t="s">
        <v>176</v>
      </c>
      <c r="C31" s="388">
        <v>54</v>
      </c>
      <c r="D31" s="1711">
        <f>Forecast!J31</f>
        <v>35</v>
      </c>
      <c r="E31" s="1713">
        <f>Forecast!K31</f>
        <v>35</v>
      </c>
      <c r="F31" s="1730" t="str">
        <f>EvReport!L31</f>
        <v>Engine problem</v>
      </c>
      <c r="G31" s="1712"/>
      <c r="N31" s="382"/>
      <c r="O31" s="376"/>
      <c r="P31" s="377"/>
    </row>
    <row r="32" spans="1:16" ht="15.6" customHeight="1">
      <c r="A32" s="2127">
        <v>24</v>
      </c>
      <c r="B32" s="375" t="s">
        <v>923</v>
      </c>
      <c r="C32" s="388">
        <v>149</v>
      </c>
      <c r="D32" s="1711">
        <f>Forecast!J32</f>
        <v>6</v>
      </c>
      <c r="E32" s="1713">
        <f>Forecast!K32</f>
        <v>0</v>
      </c>
      <c r="F32" s="1731" t="str">
        <f>EvReport!L32</f>
        <v>High Voltage</v>
      </c>
      <c r="G32" s="1712"/>
      <c r="N32" s="375"/>
      <c r="O32" s="376"/>
      <c r="P32" s="377"/>
    </row>
    <row r="33" spans="1:16" ht="15" customHeight="1">
      <c r="A33" s="2126">
        <v>25</v>
      </c>
      <c r="B33" s="375" t="s">
        <v>165</v>
      </c>
      <c r="C33" s="388">
        <v>55</v>
      </c>
      <c r="D33" s="1711">
        <f>Forecast!J33</f>
        <v>35</v>
      </c>
      <c r="E33" s="1713">
        <f>Forecast!K33</f>
        <v>55</v>
      </c>
      <c r="F33" s="1731">
        <f>EvReport!L33</f>
        <v>0</v>
      </c>
      <c r="G33" s="1712"/>
      <c r="N33" s="375"/>
      <c r="O33" s="376"/>
      <c r="P33" s="377"/>
    </row>
    <row r="34" spans="1:16" ht="16.5">
      <c r="A34" s="2126">
        <v>26</v>
      </c>
      <c r="B34" s="375" t="s">
        <v>259</v>
      </c>
      <c r="C34" s="390">
        <v>55</v>
      </c>
      <c r="D34" s="1711">
        <f>Forecast!J34</f>
        <v>17</v>
      </c>
      <c r="E34" s="1713">
        <f>Forecast!K34</f>
        <v>35</v>
      </c>
      <c r="F34" s="1731" t="str">
        <f>EvReport!L34</f>
        <v>Machine problem</v>
      </c>
      <c r="G34" s="1712"/>
      <c r="N34" s="375"/>
      <c r="O34" s="376"/>
      <c r="P34" s="377"/>
    </row>
    <row r="35" spans="1:16" ht="15.75">
      <c r="A35" s="2126">
        <v>27</v>
      </c>
      <c r="B35" s="375" t="s">
        <v>264</v>
      </c>
      <c r="C35" s="2130">
        <v>108</v>
      </c>
      <c r="D35" s="1711">
        <f>Forecast!J35</f>
        <v>0</v>
      </c>
      <c r="E35" s="1713">
        <f>Forecast!K35</f>
        <v>0</v>
      </c>
      <c r="F35" s="1731">
        <f>EvReport!L35</f>
        <v>0</v>
      </c>
      <c r="G35" s="1712"/>
      <c r="N35" s="375"/>
      <c r="O35" s="376"/>
      <c r="P35" s="377"/>
    </row>
    <row r="36" spans="1:16">
      <c r="A36" s="2128">
        <v>28</v>
      </c>
      <c r="B36" s="375" t="s">
        <v>155</v>
      </c>
      <c r="C36" s="1705">
        <v>80</v>
      </c>
      <c r="D36" s="1711">
        <f>Forecast!J36</f>
        <v>34</v>
      </c>
      <c r="E36" s="1713">
        <f>Forecast!K36</f>
        <v>34</v>
      </c>
      <c r="F36" s="1731" t="str">
        <f>EvReport!L36</f>
        <v>Engine problem</v>
      </c>
      <c r="G36" s="1712"/>
      <c r="H36" s="6" t="s">
        <v>18</v>
      </c>
      <c r="N36" s="382"/>
      <c r="O36" s="376"/>
      <c r="P36" s="377"/>
    </row>
    <row r="37" spans="1:16">
      <c r="A37" s="2128">
        <v>29</v>
      </c>
      <c r="B37" s="375" t="s">
        <v>262</v>
      </c>
      <c r="C37" s="1705">
        <v>33</v>
      </c>
      <c r="D37" s="1711">
        <f>Forecast!J37</f>
        <v>16</v>
      </c>
      <c r="E37" s="1713">
        <f>Forecast!K37</f>
        <v>16</v>
      </c>
      <c r="F37" s="3454" t="str">
        <f>EvReport!L37</f>
        <v>Engine problem</v>
      </c>
      <c r="G37" s="1712"/>
      <c r="N37" s="383"/>
      <c r="O37" s="384"/>
      <c r="P37" s="385"/>
    </row>
    <row r="38" spans="1:16">
      <c r="A38" s="2129">
        <v>30</v>
      </c>
      <c r="B38" s="375" t="s">
        <v>879</v>
      </c>
      <c r="C38" s="1706">
        <v>33</v>
      </c>
      <c r="D38" s="1711">
        <f>Forecast!J38</f>
        <v>33</v>
      </c>
      <c r="E38" s="1713">
        <f>Forecast!K38</f>
        <v>33</v>
      </c>
      <c r="F38" s="3454">
        <f>EvReport!L38</f>
        <v>0</v>
      </c>
      <c r="G38" s="1712"/>
      <c r="N38" s="387"/>
      <c r="O38" s="376"/>
      <c r="P38" s="377"/>
    </row>
    <row r="39" spans="1:16">
      <c r="A39" s="2129">
        <v>31</v>
      </c>
      <c r="B39" s="375" t="s">
        <v>114</v>
      </c>
      <c r="C39" s="1706">
        <v>52</v>
      </c>
      <c r="D39" s="1711">
        <f>Forecast!J39</f>
        <v>2</v>
      </c>
      <c r="E39" s="1713">
        <f>Forecast!K39</f>
        <v>25</v>
      </c>
      <c r="F39" s="1731">
        <f>EvReport!L39</f>
        <v>0</v>
      </c>
      <c r="G39" s="1712"/>
      <c r="N39" s="387"/>
      <c r="O39" s="376"/>
      <c r="P39" s="377"/>
    </row>
    <row r="40" spans="1:16">
      <c r="A40" s="2129">
        <v>32</v>
      </c>
      <c r="B40" s="375" t="s">
        <v>38</v>
      </c>
      <c r="C40" s="1706">
        <v>105</v>
      </c>
      <c r="D40" s="1711">
        <f>Forecast!J40</f>
        <v>0</v>
      </c>
      <c r="E40" s="1713">
        <f>Forecast!K40</f>
        <v>0</v>
      </c>
      <c r="F40" s="1731" t="str">
        <f>EvReport!L40</f>
        <v>Machine problem</v>
      </c>
      <c r="G40" s="1712"/>
      <c r="N40" s="375"/>
      <c r="O40" s="376"/>
      <c r="P40" s="377"/>
    </row>
    <row r="41" spans="1:16">
      <c r="A41" s="2129">
        <v>33</v>
      </c>
      <c r="B41" s="375" t="s">
        <v>925</v>
      </c>
      <c r="C41" s="1706">
        <v>300</v>
      </c>
      <c r="D41" s="1711">
        <f>Forecast!J41</f>
        <v>163</v>
      </c>
      <c r="E41" s="1713">
        <f>Forecast!K41</f>
        <v>265</v>
      </c>
      <c r="F41" s="1731" t="str">
        <f>EvReport!L41</f>
        <v>Engine problem</v>
      </c>
      <c r="G41" s="1712"/>
      <c r="N41" s="389"/>
      <c r="O41" s="376"/>
      <c r="P41" s="377"/>
    </row>
    <row r="42" spans="1:16">
      <c r="A42" s="2129">
        <v>34</v>
      </c>
      <c r="B42" s="375" t="s">
        <v>868</v>
      </c>
      <c r="C42" s="1706">
        <v>300</v>
      </c>
      <c r="D42" s="1711">
        <f>Forecast!J42</f>
        <v>0</v>
      </c>
      <c r="E42" s="1713">
        <f>Forecast!K42</f>
        <v>0</v>
      </c>
      <c r="F42" s="1731">
        <f>EvReport!L42</f>
        <v>0</v>
      </c>
      <c r="G42" s="1712"/>
      <c r="N42" s="389"/>
      <c r="O42" s="376"/>
      <c r="P42" s="377"/>
    </row>
    <row r="43" spans="1:16">
      <c r="A43" s="2129">
        <v>35</v>
      </c>
      <c r="B43" s="375" t="s">
        <v>883</v>
      </c>
      <c r="C43" s="1706">
        <v>100</v>
      </c>
      <c r="D43" s="1711">
        <f>Forecast!J43</f>
        <v>0</v>
      </c>
      <c r="E43" s="1713">
        <f>Forecast!K43</f>
        <v>0</v>
      </c>
      <c r="F43" s="1731">
        <f>EvReport!L43</f>
        <v>0</v>
      </c>
      <c r="G43" s="1712"/>
      <c r="N43" s="5262"/>
      <c r="O43" s="5263"/>
      <c r="P43" s="377"/>
    </row>
    <row r="44" spans="1:16">
      <c r="A44" s="2129">
        <v>36</v>
      </c>
      <c r="B44" s="375" t="s">
        <v>889</v>
      </c>
      <c r="C44" s="1706">
        <v>100</v>
      </c>
      <c r="D44" s="1711">
        <f>Forecast!J44</f>
        <v>0</v>
      </c>
      <c r="E44" s="1713">
        <f>Forecast!K44</f>
        <v>0</v>
      </c>
      <c r="F44" s="1731">
        <f>EvReport!L44</f>
        <v>0</v>
      </c>
      <c r="G44" s="1712"/>
      <c r="N44" s="5264"/>
      <c r="O44" s="5265"/>
      <c r="P44" s="5266"/>
    </row>
    <row r="45" spans="1:16" ht="16.5">
      <c r="A45" s="2129">
        <v>37</v>
      </c>
      <c r="B45" s="375" t="s">
        <v>897</v>
      </c>
      <c r="C45" s="1706">
        <v>149</v>
      </c>
      <c r="D45" s="1711">
        <f>Forecast!J45</f>
        <v>33</v>
      </c>
      <c r="E45" s="1713">
        <f>Forecast!K45</f>
        <v>70</v>
      </c>
      <c r="F45" s="1731" t="str">
        <f>EvReport!L45</f>
        <v>High Voltage</v>
      </c>
      <c r="G45" s="1712"/>
      <c r="N45" s="5267"/>
      <c r="O45" s="5268"/>
      <c r="P45" s="5269"/>
    </row>
    <row r="46" spans="1:16" ht="19.5" thickBot="1">
      <c r="A46" s="1725"/>
      <c r="B46" s="1726" t="s">
        <v>12</v>
      </c>
      <c r="C46" s="1727">
        <f>SUM(C6:C45)</f>
        <v>5503</v>
      </c>
      <c r="D46" s="1727">
        <f>SUM(D6:D45)</f>
        <v>1103</v>
      </c>
      <c r="E46" s="1745">
        <f>SUM(E6:E45)</f>
        <v>1407</v>
      </c>
      <c r="F46" s="1733"/>
      <c r="N46" s="1702"/>
      <c r="O46" s="1703"/>
      <c r="P46" s="1704"/>
    </row>
    <row r="47" spans="1:16">
      <c r="N47" s="1707"/>
      <c r="O47" s="1708"/>
      <c r="P47" s="1709"/>
    </row>
    <row r="48" spans="1:16">
      <c r="N48" s="1707"/>
      <c r="O48" s="1708"/>
      <c r="P48" s="1709"/>
    </row>
    <row r="49" spans="6:16">
      <c r="N49" s="1707"/>
      <c r="O49" s="1708"/>
      <c r="P49" s="1709"/>
    </row>
    <row r="50" spans="6:16" ht="16.5">
      <c r="F50" s="1700" t="s">
        <v>427</v>
      </c>
      <c r="N50" s="1707"/>
      <c r="O50" s="1708"/>
      <c r="P50" s="1709"/>
    </row>
    <row r="51" spans="6:16" ht="16.5">
      <c r="F51" s="1700" t="s">
        <v>428</v>
      </c>
      <c r="N51" s="1707"/>
      <c r="O51" s="1708"/>
      <c r="P51" s="1709"/>
    </row>
    <row r="52" spans="6:16" ht="15.75">
      <c r="F52" s="1701" t="s">
        <v>429</v>
      </c>
      <c r="N52" s="1707"/>
      <c r="O52" s="1708"/>
      <c r="P52" s="1709"/>
    </row>
    <row r="117" spans="8:8">
      <c r="H117" s="373"/>
    </row>
  </sheetData>
  <customSheetViews>
    <customSheetView guid="{7C71EF2A-5ADA-494C-8F58-DDA71753DD90}" scale="120" showPageBreaks="1" printArea="1">
      <selection activeCell="B32" sqref="B32"/>
      <pageMargins left="0.16" right="0.28000000000000003" top="0.21" bottom="0.17" header="0.21" footer="0.17"/>
      <pageSetup paperSize="9" scale="89" orientation="landscape" r:id="rId1"/>
    </customSheetView>
    <customSheetView guid="{B91C2E87-5EDA-40AE-AC27-0E2C17E803CE}" showPageBreaks="1" fitToPage="1" printArea="1" hiddenRows="1" topLeftCell="A32">
      <selection activeCell="B6" sqref="B6:F46"/>
      <pageMargins left="0.16" right="0.28000000000000003" top="0.21" bottom="0.17" header="0.21" footer="0.17"/>
      <pageSetup paperSize="9" scale="76" orientation="portrait" r:id="rId2"/>
    </customSheetView>
    <customSheetView guid="{23F4DC00-BC97-4745-AA5C-F05D469CB1EF}" showPageBreaks="1" printArea="1">
      <selection activeCell="I15" sqref="I15"/>
      <pageMargins left="0.16" right="0.28000000000000003" top="0.21" bottom="0.17" header="0.21" footer="0.17"/>
      <pageSetup paperSize="9" scale="89" orientation="landscape" r:id="rId3"/>
    </customSheetView>
    <customSheetView guid="{4593F3EE-0998-4E0E-994A-E02D6BAF3A4B}" showPageBreaks="1" printArea="1">
      <selection sqref="A1:H37"/>
      <pageMargins left="0.16" right="0.28000000000000003" top="0.21" bottom="0.17" header="0.21" footer="0.17"/>
      <pageSetup paperSize="9" scale="89" orientation="landscape" r:id="rId4"/>
    </customSheetView>
    <customSheetView guid="{917057C8-5E5F-4164-B84C-85103677A2E5}">
      <selection activeCell="A15" sqref="A15:XFD15"/>
      <pageMargins left="0.16" right="0.28000000000000003" top="0.21" bottom="0.17" header="0.21" footer="0.17"/>
      <pageSetup paperSize="9" scale="89" orientation="landscape" r:id="rId5"/>
    </customSheetView>
    <customSheetView guid="{5A803268-F6C5-4035-B3E1-A94CB9AA8994}" showPageBreaks="1" printArea="1">
      <selection activeCell="I15" sqref="I15"/>
      <pageMargins left="0.16" right="0.28000000000000003" top="0.21" bottom="0.17" header="0.21" footer="0.17"/>
      <pageSetup paperSize="9" scale="89" orientation="landscape" r:id="rId6"/>
    </customSheetView>
    <customSheetView guid="{751D391F-C74F-4B53-B5B5-25E01AC12EA4}" scale="115">
      <selection activeCell="H7" sqref="H7"/>
      <pageMargins left="0.16" right="0.28000000000000003" top="0.21" bottom="0.17" header="0.21" footer="0.17"/>
      <pageSetup paperSize="9" scale="89" orientation="landscape" r:id="rId7"/>
    </customSheetView>
    <customSheetView guid="{D1D1E152-95AB-45D3-AC07-4EC0834D3E0C}" scale="115" showPageBreaks="1" printArea="1">
      <selection activeCell="H7" sqref="H7"/>
      <pageMargins left="0.16" right="0.28000000000000003" top="0.21" bottom="0.17" header="0.21" footer="0.17"/>
      <pageSetup paperSize="9" scale="89" orientation="landscape" r:id="rId8"/>
    </customSheetView>
    <customSheetView guid="{4DB6C640-CE65-4513-9E5A-F6CDD1F4B8AF}" scale="115" showPageBreaks="1">
      <selection activeCell="A2" sqref="A2:F52"/>
      <pageMargins left="0.16" right="0.28000000000000003" top="0.21" bottom="0.17" header="0.21" footer="0.17"/>
      <pageSetup paperSize="9" scale="89" orientation="landscape" r:id="rId9"/>
    </customSheetView>
    <customSheetView guid="{C3348F62-02F2-4500-9BF2-19F2DEA57A8D}" scale="115" showPageBreaks="1" printArea="1">
      <selection activeCell="H7" sqref="H7"/>
      <pageMargins left="0.16" right="0.28000000000000003" top="0.21" bottom="0.17" header="0.21" footer="0.17"/>
      <pageSetup paperSize="9" scale="89" orientation="landscape" r:id="rId10"/>
    </customSheetView>
  </customSheetViews>
  <mergeCells count="6">
    <mergeCell ref="F4:F5"/>
    <mergeCell ref="A11:A12"/>
    <mergeCell ref="N43:O43"/>
    <mergeCell ref="N44:P44"/>
    <mergeCell ref="N45:P45"/>
    <mergeCell ref="N23:P24"/>
  </mergeCells>
  <pageMargins left="0.16" right="0.28000000000000003" top="0.21" bottom="0.17" header="0.21" footer="0.17"/>
  <pageSetup paperSize="9" scale="89" orientation="landscape" r:id="rId1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">
    <tabColor rgb="FF7030A0"/>
  </sheetPr>
  <dimension ref="B3:AE78"/>
  <sheetViews>
    <sheetView topLeftCell="F1" workbookViewId="0">
      <selection activeCell="I5" sqref="I5:U30"/>
    </sheetView>
  </sheetViews>
  <sheetFormatPr defaultRowHeight="15"/>
  <cols>
    <col min="1" max="1" width="3.85546875" customWidth="1"/>
    <col min="2" max="2" width="9" customWidth="1"/>
    <col min="3" max="3" width="12.5703125" customWidth="1"/>
    <col min="4" max="4" width="9.85546875" customWidth="1"/>
    <col min="5" max="5" width="11.42578125" customWidth="1"/>
    <col min="6" max="6" width="11.28515625" customWidth="1"/>
    <col min="7" max="7" width="15.140625" customWidth="1"/>
    <col min="8" max="8" width="7.42578125" customWidth="1"/>
    <col min="9" max="9" width="11.42578125" customWidth="1"/>
    <col min="10" max="10" width="7.5703125" customWidth="1"/>
    <col min="11" max="11" width="6.140625" customWidth="1"/>
    <col min="12" max="12" width="6" customWidth="1"/>
    <col min="13" max="13" width="7.140625" customWidth="1"/>
    <col min="14" max="14" width="6.85546875" customWidth="1"/>
    <col min="15" max="15" width="7.140625" customWidth="1"/>
    <col min="16" max="16" width="8.42578125" customWidth="1"/>
    <col min="17" max="17" width="13.85546875" customWidth="1"/>
    <col min="18" max="18" width="4.140625" customWidth="1"/>
    <col min="19" max="19" width="16.5703125" customWidth="1"/>
    <col min="20" max="20" width="13.42578125" customWidth="1"/>
    <col min="21" max="21" width="10.85546875" style="4515" customWidth="1"/>
  </cols>
  <sheetData>
    <row r="3" spans="2:21" ht="15.75">
      <c r="B3" s="5291" t="s">
        <v>833</v>
      </c>
      <c r="C3" s="5292"/>
      <c r="D3" s="5292"/>
      <c r="E3" s="5292"/>
      <c r="F3" s="5293"/>
      <c r="G3" s="7"/>
      <c r="H3" s="837" t="s">
        <v>781</v>
      </c>
      <c r="I3" s="838" t="s">
        <v>542</v>
      </c>
      <c r="J3" s="5283" t="s">
        <v>103</v>
      </c>
      <c r="K3" s="5284"/>
      <c r="L3" s="5283" t="s">
        <v>557</v>
      </c>
      <c r="M3" s="5284"/>
      <c r="N3" s="5283" t="s">
        <v>104</v>
      </c>
      <c r="O3" s="5284"/>
      <c r="P3" s="5285" t="s">
        <v>153</v>
      </c>
      <c r="Q3" s="5286"/>
      <c r="R3" s="5286"/>
      <c r="S3" s="5286"/>
      <c r="T3" s="5286"/>
      <c r="U3" s="5287"/>
    </row>
    <row r="4" spans="2:21">
      <c r="B4" s="5294" t="s">
        <v>99</v>
      </c>
      <c r="C4" s="843" t="s">
        <v>12</v>
      </c>
      <c r="D4" s="842"/>
      <c r="E4" s="5294" t="s">
        <v>103</v>
      </c>
      <c r="F4" s="5294" t="s">
        <v>104</v>
      </c>
      <c r="G4" s="7"/>
      <c r="H4" s="837" t="s">
        <v>708</v>
      </c>
      <c r="I4" s="837" t="s">
        <v>782</v>
      </c>
      <c r="J4" s="837" t="s">
        <v>36</v>
      </c>
      <c r="K4" s="837" t="s">
        <v>783</v>
      </c>
      <c r="L4" s="837" t="s">
        <v>36</v>
      </c>
      <c r="M4" s="837" t="s">
        <v>783</v>
      </c>
      <c r="N4" s="837" t="s">
        <v>36</v>
      </c>
      <c r="O4" s="837" t="s">
        <v>783</v>
      </c>
      <c r="P4" s="5288"/>
      <c r="Q4" s="5289"/>
      <c r="R4" s="5289"/>
      <c r="S4" s="5289"/>
      <c r="T4" s="5289"/>
      <c r="U4" s="5290"/>
    </row>
    <row r="5" spans="2:21" ht="18">
      <c r="B5" s="5295"/>
      <c r="C5" s="843" t="s">
        <v>36</v>
      </c>
      <c r="D5" s="843"/>
      <c r="E5" s="5295"/>
      <c r="F5" s="5295"/>
      <c r="G5" s="7"/>
      <c r="H5" s="839">
        <v>4.1666666666666664E-2</v>
      </c>
      <c r="I5" s="4606">
        <v>245</v>
      </c>
      <c r="J5" s="4606">
        <v>-84</v>
      </c>
      <c r="K5" s="4606">
        <v>-12</v>
      </c>
      <c r="L5" s="4606">
        <v>70</v>
      </c>
      <c r="M5" s="4606">
        <v>10</v>
      </c>
      <c r="N5" s="4606">
        <v>-80</v>
      </c>
      <c r="O5" s="4606">
        <v>-70</v>
      </c>
      <c r="P5" s="4607" t="s">
        <v>1308</v>
      </c>
      <c r="Q5" s="4608"/>
      <c r="R5" s="4608"/>
      <c r="S5" s="4608"/>
      <c r="T5" s="4609"/>
      <c r="U5" s="4610" t="s">
        <v>1337</v>
      </c>
    </row>
    <row r="6" spans="2:21" ht="18">
      <c r="B6" s="857">
        <v>0</v>
      </c>
      <c r="C6" s="187">
        <f>E6+F6</f>
        <v>-16</v>
      </c>
      <c r="D6" s="188"/>
      <c r="E6" s="855">
        <f>E32</f>
        <v>-6</v>
      </c>
      <c r="F6" s="855">
        <f>F32</f>
        <v>-10</v>
      </c>
      <c r="G6" s="7"/>
      <c r="H6" s="839">
        <v>8.3333333333333329E-2</v>
      </c>
      <c r="I6" s="4606">
        <v>245</v>
      </c>
      <c r="J6" s="4606">
        <v>-64</v>
      </c>
      <c r="K6" s="4606">
        <v>-26</v>
      </c>
      <c r="L6" s="4606">
        <v>70</v>
      </c>
      <c r="M6" s="4606">
        <v>10</v>
      </c>
      <c r="N6" s="4606">
        <v>-40</v>
      </c>
      <c r="O6" s="4606">
        <v>-76</v>
      </c>
      <c r="P6" s="4611"/>
      <c r="Q6" s="4612"/>
      <c r="R6" s="4612"/>
      <c r="S6" s="4612"/>
      <c r="T6" s="4612"/>
      <c r="U6" s="4613"/>
    </row>
    <row r="7" spans="2:21" ht="18">
      <c r="B7" s="857">
        <v>4.1666666666666602E-2</v>
      </c>
      <c r="C7" s="187">
        <f>E7+F7</f>
        <v>-164</v>
      </c>
      <c r="D7" s="188"/>
      <c r="E7" s="855">
        <f>J5</f>
        <v>-84</v>
      </c>
      <c r="F7" s="855">
        <f>N5</f>
        <v>-80</v>
      </c>
      <c r="G7" s="12"/>
      <c r="H7" s="839">
        <v>0.125</v>
      </c>
      <c r="I7" s="4606">
        <v>245</v>
      </c>
      <c r="J7" s="4606">
        <v>-32</v>
      </c>
      <c r="K7" s="4606">
        <v>-28</v>
      </c>
      <c r="L7" s="4606">
        <v>50</v>
      </c>
      <c r="M7" s="4606">
        <v>10</v>
      </c>
      <c r="N7" s="4606">
        <v>-30</v>
      </c>
      <c r="O7" s="4606">
        <v>-70</v>
      </c>
      <c r="P7" s="4614" t="s">
        <v>1331</v>
      </c>
      <c r="Q7" s="4615">
        <v>556.88</v>
      </c>
      <c r="R7" s="4616" t="s">
        <v>154</v>
      </c>
      <c r="S7" s="4615">
        <v>556.86</v>
      </c>
      <c r="T7" s="4616" t="s">
        <v>1332</v>
      </c>
      <c r="U7" s="4613">
        <v>1.999999999998181E-2</v>
      </c>
    </row>
    <row r="8" spans="2:21" ht="18">
      <c r="B8" s="857">
        <v>8.3333333333333301E-2</v>
      </c>
      <c r="C8" s="187">
        <f t="shared" ref="C8:C32" si="0">E8+F8</f>
        <v>-104</v>
      </c>
      <c r="D8" s="188"/>
      <c r="E8" s="855">
        <f t="shared" ref="E8:E32" si="1">J6</f>
        <v>-64</v>
      </c>
      <c r="F8" s="855">
        <f t="shared" ref="F8:F32" si="2">N6</f>
        <v>-40</v>
      </c>
      <c r="G8" s="754"/>
      <c r="H8" s="839">
        <v>0.16666666666666699</v>
      </c>
      <c r="I8" s="4606">
        <v>375</v>
      </c>
      <c r="J8" s="4606">
        <v>-40</v>
      </c>
      <c r="K8" s="4606">
        <v>-11</v>
      </c>
      <c r="L8" s="4606">
        <v>50</v>
      </c>
      <c r="M8" s="4606">
        <v>5</v>
      </c>
      <c r="N8" s="4606">
        <v>-20</v>
      </c>
      <c r="O8" s="4606">
        <v>-76</v>
      </c>
      <c r="P8" s="4614"/>
      <c r="Q8" s="4617"/>
      <c r="R8" s="4618"/>
      <c r="S8" s="4617"/>
      <c r="T8" s="4618"/>
      <c r="U8" s="4613"/>
    </row>
    <row r="9" spans="2:21" ht="18">
      <c r="B9" s="857">
        <v>0.125</v>
      </c>
      <c r="C9" s="187">
        <f t="shared" si="0"/>
        <v>-62</v>
      </c>
      <c r="D9" s="188"/>
      <c r="E9" s="855">
        <f t="shared" si="1"/>
        <v>-32</v>
      </c>
      <c r="F9" s="855">
        <f t="shared" si="2"/>
        <v>-30</v>
      </c>
      <c r="G9" s="754"/>
      <c r="H9" s="839">
        <v>0.20833333333333401</v>
      </c>
      <c r="I9" s="4606">
        <v>380</v>
      </c>
      <c r="J9" s="4606">
        <v>-30</v>
      </c>
      <c r="K9" s="4606">
        <v>-26</v>
      </c>
      <c r="L9" s="4606">
        <v>20</v>
      </c>
      <c r="M9" s="4606">
        <v>5</v>
      </c>
      <c r="N9" s="4606">
        <v>-20</v>
      </c>
      <c r="O9" s="4606">
        <v>-70</v>
      </c>
      <c r="P9" s="4614" t="s">
        <v>1299</v>
      </c>
      <c r="Q9" s="4615">
        <v>838.33</v>
      </c>
      <c r="R9" s="4616" t="s">
        <v>154</v>
      </c>
      <c r="S9" s="4615">
        <v>838.33</v>
      </c>
      <c r="T9" s="4616" t="s">
        <v>1332</v>
      </c>
      <c r="U9" s="4613">
        <v>0</v>
      </c>
    </row>
    <row r="10" spans="2:21" ht="18.75" thickBot="1">
      <c r="B10" s="857">
        <v>0.16666666666666699</v>
      </c>
      <c r="C10" s="187">
        <f t="shared" si="0"/>
        <v>-60</v>
      </c>
      <c r="D10" s="188"/>
      <c r="E10" s="855">
        <f t="shared" si="1"/>
        <v>-40</v>
      </c>
      <c r="F10" s="855">
        <f t="shared" si="2"/>
        <v>-20</v>
      </c>
      <c r="G10" s="7"/>
      <c r="H10" s="840">
        <v>0.25</v>
      </c>
      <c r="I10" s="4606">
        <v>390</v>
      </c>
      <c r="J10" s="4606">
        <v>-34</v>
      </c>
      <c r="K10" s="4606">
        <v>-28</v>
      </c>
      <c r="L10" s="4606">
        <v>20</v>
      </c>
      <c r="M10" s="4606">
        <v>5</v>
      </c>
      <c r="N10" s="4606">
        <v>-22</v>
      </c>
      <c r="O10" s="4606">
        <v>-70</v>
      </c>
      <c r="P10" s="4612"/>
      <c r="Q10" s="4617"/>
      <c r="R10" s="4612"/>
      <c r="S10" s="4617"/>
      <c r="T10" s="4612"/>
      <c r="U10" s="4613"/>
    </row>
    <row r="11" spans="2:21" ht="18.75" thickTop="1">
      <c r="B11" s="858">
        <v>0.20833333333333401</v>
      </c>
      <c r="C11" s="187">
        <f t="shared" si="0"/>
        <v>-50</v>
      </c>
      <c r="D11" s="188"/>
      <c r="E11" s="855">
        <f t="shared" si="1"/>
        <v>-30</v>
      </c>
      <c r="F11" s="855">
        <f t="shared" si="2"/>
        <v>-20</v>
      </c>
      <c r="G11" s="7"/>
      <c r="H11" s="841">
        <v>0.29166666666666702</v>
      </c>
      <c r="I11" s="4606">
        <v>370</v>
      </c>
      <c r="J11" s="4606">
        <v>-48</v>
      </c>
      <c r="K11" s="4606">
        <v>-30</v>
      </c>
      <c r="L11" s="4619">
        <v>40</v>
      </c>
      <c r="M11" s="4606">
        <v>5</v>
      </c>
      <c r="N11" s="4606">
        <v>-12</v>
      </c>
      <c r="O11" s="4606">
        <v>-68</v>
      </c>
      <c r="P11" s="4607" t="s">
        <v>1333</v>
      </c>
      <c r="Q11" s="4617"/>
      <c r="R11" s="4608"/>
      <c r="S11" s="4617"/>
      <c r="T11" s="4608"/>
      <c r="U11" s="4613"/>
    </row>
    <row r="12" spans="2:21" ht="18">
      <c r="B12" s="858">
        <v>0.25</v>
      </c>
      <c r="C12" s="187">
        <f t="shared" si="0"/>
        <v>-56</v>
      </c>
      <c r="D12" s="188"/>
      <c r="E12" s="855">
        <f t="shared" si="1"/>
        <v>-34</v>
      </c>
      <c r="F12" s="855">
        <f t="shared" si="2"/>
        <v>-22</v>
      </c>
      <c r="G12" s="7"/>
      <c r="H12" s="839">
        <v>0.33333333333333398</v>
      </c>
      <c r="I12" s="4606">
        <v>280</v>
      </c>
      <c r="J12" s="4606">
        <v>-136</v>
      </c>
      <c r="K12" s="4606">
        <v>-40</v>
      </c>
      <c r="L12" s="4619">
        <v>150</v>
      </c>
      <c r="M12" s="4606">
        <v>15</v>
      </c>
      <c r="N12" s="4606">
        <v>-140</v>
      </c>
      <c r="O12" s="4606">
        <v>-80</v>
      </c>
      <c r="P12" s="4611"/>
      <c r="Q12" s="4617"/>
      <c r="R12" s="4612"/>
      <c r="S12" s="4617"/>
      <c r="T12" s="4612"/>
      <c r="U12" s="4613"/>
    </row>
    <row r="13" spans="2:21" ht="18">
      <c r="B13" s="858">
        <v>0.29166666666666669</v>
      </c>
      <c r="C13" s="187">
        <f>E13+F13</f>
        <v>-60</v>
      </c>
      <c r="D13" s="188"/>
      <c r="E13" s="855">
        <f t="shared" si="1"/>
        <v>-48</v>
      </c>
      <c r="F13" s="855">
        <f t="shared" si="2"/>
        <v>-12</v>
      </c>
      <c r="G13" s="752" t="s">
        <v>1280</v>
      </c>
      <c r="H13" s="839">
        <v>0.375</v>
      </c>
      <c r="I13" s="4606">
        <v>290</v>
      </c>
      <c r="J13" s="4606">
        <v>-90</v>
      </c>
      <c r="K13" s="4606">
        <v>-34</v>
      </c>
      <c r="L13" s="4619">
        <v>90</v>
      </c>
      <c r="M13" s="4606">
        <v>15</v>
      </c>
      <c r="N13" s="4606">
        <v>-130</v>
      </c>
      <c r="O13" s="4606">
        <v>-80</v>
      </c>
      <c r="P13" s="4614" t="s">
        <v>1298</v>
      </c>
      <c r="Q13" s="4620">
        <v>6327.15</v>
      </c>
      <c r="R13" s="4616" t="s">
        <v>154</v>
      </c>
      <c r="S13" s="4620">
        <v>6326.89</v>
      </c>
      <c r="T13" s="4616" t="s">
        <v>1332</v>
      </c>
      <c r="U13" s="4816">
        <v>0.25999999999930878</v>
      </c>
    </row>
    <row r="14" spans="2:21" ht="18">
      <c r="B14" s="858">
        <v>0.33333333333333331</v>
      </c>
      <c r="C14" s="187">
        <f>E14+F14</f>
        <v>-276</v>
      </c>
      <c r="D14" s="188"/>
      <c r="E14" s="855">
        <f t="shared" si="1"/>
        <v>-136</v>
      </c>
      <c r="F14" s="855">
        <f t="shared" si="2"/>
        <v>-140</v>
      </c>
      <c r="G14" s="750">
        <f>MIN(C7:C32)</f>
        <v>-276</v>
      </c>
      <c r="H14" s="839">
        <v>0.41666666666666702</v>
      </c>
      <c r="I14" s="4606">
        <v>570</v>
      </c>
      <c r="J14" s="4606">
        <v>16</v>
      </c>
      <c r="K14" s="4606">
        <v>-44</v>
      </c>
      <c r="L14" s="4619">
        <v>-60</v>
      </c>
      <c r="M14" s="4606">
        <v>15</v>
      </c>
      <c r="N14" s="4606">
        <v>16</v>
      </c>
      <c r="O14" s="4606">
        <v>-84</v>
      </c>
      <c r="P14" s="4614"/>
      <c r="Q14" s="4617"/>
      <c r="R14" s="4618"/>
      <c r="S14" s="4617"/>
      <c r="T14" s="4618"/>
      <c r="U14" s="4613"/>
    </row>
    <row r="15" spans="2:21" ht="18">
      <c r="B15" s="858">
        <v>0.375</v>
      </c>
      <c r="C15" s="187">
        <f t="shared" si="0"/>
        <v>-220</v>
      </c>
      <c r="D15" s="188"/>
      <c r="E15" s="855">
        <f t="shared" si="1"/>
        <v>-90</v>
      </c>
      <c r="F15" s="855">
        <f t="shared" si="2"/>
        <v>-130</v>
      </c>
      <c r="G15" s="751">
        <f>INDEX(B7:B32,MATCH(G14,C7:C32,0))</f>
        <v>0.33333333333333331</v>
      </c>
      <c r="H15" s="839">
        <v>0.45833333333333398</v>
      </c>
      <c r="I15" s="4606">
        <v>500</v>
      </c>
      <c r="J15" s="4606">
        <v>44</v>
      </c>
      <c r="K15" s="4606">
        <v>-50</v>
      </c>
      <c r="L15" s="4619">
        <v>-60</v>
      </c>
      <c r="M15" s="4606">
        <v>15</v>
      </c>
      <c r="N15" s="4606">
        <v>50</v>
      </c>
      <c r="O15" s="4606">
        <v>-84</v>
      </c>
      <c r="P15" s="4614" t="s">
        <v>1299</v>
      </c>
      <c r="Q15" s="4615">
        <v>6255.79</v>
      </c>
      <c r="R15" s="4616" t="s">
        <v>154</v>
      </c>
      <c r="S15" s="4615">
        <v>6255.53</v>
      </c>
      <c r="T15" s="4616" t="s">
        <v>1332</v>
      </c>
      <c r="U15" s="4816">
        <v>0.26000000000021828</v>
      </c>
    </row>
    <row r="16" spans="2:21" ht="21" thickBot="1">
      <c r="B16" s="858">
        <v>0.41666666666666669</v>
      </c>
      <c r="C16" s="187">
        <f t="shared" si="0"/>
        <v>32</v>
      </c>
      <c r="D16" s="188"/>
      <c r="E16" s="855">
        <f t="shared" si="1"/>
        <v>16</v>
      </c>
      <c r="F16" s="855">
        <f t="shared" si="2"/>
        <v>16</v>
      </c>
      <c r="G16" s="7"/>
      <c r="H16" s="840">
        <v>0.5</v>
      </c>
      <c r="I16" s="4606">
        <v>480</v>
      </c>
      <c r="J16" s="4606">
        <v>-4</v>
      </c>
      <c r="K16" s="4606">
        <v>-54</v>
      </c>
      <c r="L16" s="4619">
        <v>10</v>
      </c>
      <c r="M16" s="4606">
        <v>15</v>
      </c>
      <c r="N16" s="4606">
        <v>10</v>
      </c>
      <c r="O16" s="4606">
        <v>-90</v>
      </c>
      <c r="P16" s="4612"/>
      <c r="Q16" s="4617"/>
      <c r="R16" s="4621"/>
      <c r="S16" s="4617"/>
      <c r="T16" s="4621"/>
      <c r="U16" s="4613"/>
    </row>
    <row r="17" spans="2:21" ht="18.75" thickTop="1">
      <c r="B17" s="858">
        <v>0.45833333333333331</v>
      </c>
      <c r="C17" s="187">
        <f t="shared" si="0"/>
        <v>94</v>
      </c>
      <c r="D17" s="188"/>
      <c r="E17" s="855">
        <f t="shared" si="1"/>
        <v>44</v>
      </c>
      <c r="F17" s="855">
        <f t="shared" si="2"/>
        <v>50</v>
      </c>
      <c r="G17" s="753" t="s">
        <v>792</v>
      </c>
      <c r="H17" s="841">
        <v>0.54166666666666696</v>
      </c>
      <c r="I17" s="4606">
        <v>350</v>
      </c>
      <c r="J17" s="4606">
        <v>-94</v>
      </c>
      <c r="K17" s="4606">
        <v>-44</v>
      </c>
      <c r="L17" s="4606">
        <v>5</v>
      </c>
      <c r="M17" s="4606">
        <v>10</v>
      </c>
      <c r="N17" s="4606">
        <v>-60</v>
      </c>
      <c r="O17" s="4606">
        <v>-84</v>
      </c>
      <c r="P17" s="4607" t="s">
        <v>1370</v>
      </c>
      <c r="Q17" s="4617"/>
      <c r="R17" s="4608"/>
      <c r="S17" s="4617"/>
      <c r="T17" s="4608"/>
      <c r="U17" s="4613"/>
    </row>
    <row r="18" spans="2:21" ht="18">
      <c r="B18" s="858">
        <v>0.5</v>
      </c>
      <c r="C18" s="187">
        <f t="shared" si="0"/>
        <v>6</v>
      </c>
      <c r="D18" s="188"/>
      <c r="E18" s="855">
        <f t="shared" si="1"/>
        <v>-4</v>
      </c>
      <c r="F18" s="855">
        <f t="shared" si="2"/>
        <v>10</v>
      </c>
      <c r="G18" s="750">
        <f>INDEX(C7:C32,MATCH(G19,B7:B32,0))</f>
        <v>-56</v>
      </c>
      <c r="H18" s="839">
        <v>0.58333333333333404</v>
      </c>
      <c r="I18" s="4606">
        <v>560</v>
      </c>
      <c r="J18" s="4606">
        <v>-20</v>
      </c>
      <c r="K18" s="4606">
        <v>-42</v>
      </c>
      <c r="L18" s="4606">
        <v>0</v>
      </c>
      <c r="M18" s="4606">
        <v>10</v>
      </c>
      <c r="N18" s="4606">
        <v>26</v>
      </c>
      <c r="O18" s="4606">
        <v>-82</v>
      </c>
      <c r="P18" s="4611"/>
      <c r="Q18" s="4617"/>
      <c r="R18" s="4612"/>
      <c r="S18" s="4617"/>
      <c r="T18" s="4612"/>
      <c r="U18" s="4613"/>
    </row>
    <row r="19" spans="2:21" ht="18">
      <c r="B19" s="858">
        <v>0.54166666666666896</v>
      </c>
      <c r="C19" s="187">
        <f t="shared" si="0"/>
        <v>-154</v>
      </c>
      <c r="D19" s="188"/>
      <c r="E19" s="855">
        <f t="shared" si="1"/>
        <v>-94</v>
      </c>
      <c r="F19" s="855">
        <f t="shared" si="2"/>
        <v>-60</v>
      </c>
      <c r="G19" s="751">
        <f>EvReport!L6</f>
        <v>0.8125</v>
      </c>
      <c r="H19" s="839">
        <v>0.625</v>
      </c>
      <c r="I19" s="4606">
        <v>645</v>
      </c>
      <c r="J19" s="4606">
        <v>44</v>
      </c>
      <c r="K19" s="4606">
        <v>-50</v>
      </c>
      <c r="L19" s="4606">
        <v>-60</v>
      </c>
      <c r="M19" s="4606">
        <v>15</v>
      </c>
      <c r="N19" s="4606">
        <v>80</v>
      </c>
      <c r="O19" s="4606">
        <v>-84</v>
      </c>
      <c r="P19" s="4614" t="s">
        <v>1298</v>
      </c>
      <c r="Q19" s="4615">
        <v>7354581</v>
      </c>
      <c r="R19" s="4616" t="s">
        <v>154</v>
      </c>
      <c r="S19" s="4615">
        <v>7354384</v>
      </c>
      <c r="T19" s="4616" t="s">
        <v>1332</v>
      </c>
      <c r="U19" s="4613">
        <v>197</v>
      </c>
    </row>
    <row r="20" spans="2:21" ht="18">
      <c r="B20" s="858">
        <v>0.58333333333333337</v>
      </c>
      <c r="C20" s="187">
        <f t="shared" si="0"/>
        <v>6</v>
      </c>
      <c r="D20" s="188"/>
      <c r="E20" s="855">
        <f t="shared" si="1"/>
        <v>-20</v>
      </c>
      <c r="F20" s="855">
        <f t="shared" si="2"/>
        <v>26</v>
      </c>
      <c r="G20" s="7"/>
      <c r="H20" s="839">
        <v>0.66666666666666696</v>
      </c>
      <c r="I20" s="4606">
        <v>640</v>
      </c>
      <c r="J20" s="4606">
        <v>42</v>
      </c>
      <c r="K20" s="4606">
        <v>-54</v>
      </c>
      <c r="L20" s="4606">
        <v>-90</v>
      </c>
      <c r="M20" s="4606">
        <v>20</v>
      </c>
      <c r="N20" s="4606">
        <v>100</v>
      </c>
      <c r="O20" s="4606">
        <v>-90</v>
      </c>
      <c r="P20" s="4614"/>
      <c r="Q20" s="4617"/>
      <c r="R20" s="4618"/>
      <c r="S20" s="4617"/>
      <c r="T20" s="4622"/>
      <c r="U20" s="4613"/>
    </row>
    <row r="21" spans="2:21" ht="18.75" thickBot="1">
      <c r="B21" s="858">
        <v>0.625000000000003</v>
      </c>
      <c r="C21" s="187">
        <f t="shared" si="0"/>
        <v>124</v>
      </c>
      <c r="D21" s="188"/>
      <c r="E21" s="855">
        <f t="shared" si="1"/>
        <v>44</v>
      </c>
      <c r="F21" s="855">
        <f t="shared" si="2"/>
        <v>80</v>
      </c>
      <c r="G21" s="7"/>
      <c r="H21" s="840">
        <v>0.70833333333333404</v>
      </c>
      <c r="I21" s="4606">
        <v>490</v>
      </c>
      <c r="J21" s="4606">
        <v>-22</v>
      </c>
      <c r="K21" s="4606">
        <v>-46</v>
      </c>
      <c r="L21" s="4606">
        <v>10</v>
      </c>
      <c r="M21" s="4606">
        <v>15</v>
      </c>
      <c r="N21" s="4606">
        <v>10</v>
      </c>
      <c r="O21" s="4606">
        <v>-90</v>
      </c>
      <c r="P21" s="4623" t="s">
        <v>1299</v>
      </c>
      <c r="Q21" s="4615">
        <v>7218384</v>
      </c>
      <c r="R21" s="4616" t="s">
        <v>154</v>
      </c>
      <c r="S21" s="4615">
        <v>7218185</v>
      </c>
      <c r="T21" s="4616" t="s">
        <v>1332</v>
      </c>
      <c r="U21" s="4613">
        <v>199</v>
      </c>
    </row>
    <row r="22" spans="2:21" ht="21" thickTop="1">
      <c r="B22" s="858">
        <v>0.66666666666666996</v>
      </c>
      <c r="C22" s="187">
        <f t="shared" si="0"/>
        <v>142</v>
      </c>
      <c r="D22" s="188"/>
      <c r="E22" s="855">
        <f t="shared" si="1"/>
        <v>42</v>
      </c>
      <c r="F22" s="855">
        <f t="shared" si="2"/>
        <v>100</v>
      </c>
      <c r="G22" s="7"/>
      <c r="H22" s="841">
        <v>0.75</v>
      </c>
      <c r="I22" s="4606">
        <v>410</v>
      </c>
      <c r="J22" s="4606">
        <v>-100</v>
      </c>
      <c r="K22" s="4606">
        <v>-34</v>
      </c>
      <c r="L22" s="4606">
        <v>120</v>
      </c>
      <c r="M22" s="4606">
        <v>15</v>
      </c>
      <c r="N22" s="4606">
        <v>-120</v>
      </c>
      <c r="O22" s="4606">
        <v>-80</v>
      </c>
      <c r="P22" s="4624"/>
      <c r="Q22" s="4617"/>
      <c r="R22" s="4625"/>
      <c r="S22" s="4617"/>
      <c r="T22" s="4618"/>
      <c r="U22" s="4613"/>
    </row>
    <row r="23" spans="2:21" ht="18">
      <c r="B23" s="858">
        <v>0.70833333333333337</v>
      </c>
      <c r="C23" s="187">
        <f t="shared" si="0"/>
        <v>-12</v>
      </c>
      <c r="D23" s="188"/>
      <c r="E23" s="855">
        <f t="shared" si="1"/>
        <v>-22</v>
      </c>
      <c r="F23" s="855">
        <f t="shared" si="2"/>
        <v>10</v>
      </c>
      <c r="G23" s="7"/>
      <c r="H23" s="839">
        <v>0.77083333333333337</v>
      </c>
      <c r="I23" s="4606">
        <v>300</v>
      </c>
      <c r="J23" s="4606">
        <v>-116</v>
      </c>
      <c r="K23" s="4606">
        <v>-44</v>
      </c>
      <c r="L23" s="4606">
        <v>120</v>
      </c>
      <c r="M23" s="4606">
        <v>15</v>
      </c>
      <c r="N23" s="4606">
        <v>-140</v>
      </c>
      <c r="O23" s="4606">
        <v>-84</v>
      </c>
      <c r="P23" s="4607" t="s">
        <v>1371</v>
      </c>
      <c r="Q23" s="4617"/>
      <c r="R23" s="4608"/>
      <c r="S23" s="4617"/>
      <c r="T23" s="4608"/>
      <c r="U23" s="4613"/>
    </row>
    <row r="24" spans="2:21" ht="18">
      <c r="B24" s="858">
        <v>0.75</v>
      </c>
      <c r="C24" s="187">
        <f t="shared" si="0"/>
        <v>-220</v>
      </c>
      <c r="D24" s="188"/>
      <c r="E24" s="855">
        <f t="shared" si="1"/>
        <v>-100</v>
      </c>
      <c r="F24" s="855">
        <f t="shared" si="2"/>
        <v>-120</v>
      </c>
      <c r="G24" s="12"/>
      <c r="H24" s="839">
        <v>0.79166666666666696</v>
      </c>
      <c r="I24" s="4606">
        <v>435</v>
      </c>
      <c r="J24" s="4606">
        <v>-60</v>
      </c>
      <c r="K24" s="4606">
        <v>-46</v>
      </c>
      <c r="L24" s="4606">
        <v>70</v>
      </c>
      <c r="M24" s="4606">
        <v>15</v>
      </c>
      <c r="N24" s="4606">
        <v>-80</v>
      </c>
      <c r="O24" s="4606">
        <v>-84</v>
      </c>
      <c r="P24" s="4611"/>
      <c r="Q24" s="4617"/>
      <c r="R24" s="4612"/>
      <c r="S24" s="4617"/>
      <c r="T24" s="4618"/>
      <c r="U24" s="4613"/>
    </row>
    <row r="25" spans="2:21" ht="18">
      <c r="B25" s="858">
        <v>0.77083333333333337</v>
      </c>
      <c r="C25" s="187">
        <f t="shared" si="0"/>
        <v>-256</v>
      </c>
      <c r="D25" s="188"/>
      <c r="E25" s="855">
        <f t="shared" si="1"/>
        <v>-116</v>
      </c>
      <c r="F25" s="855">
        <f t="shared" si="2"/>
        <v>-140</v>
      </c>
      <c r="G25" s="7"/>
      <c r="H25" s="839">
        <v>0.8125</v>
      </c>
      <c r="I25" s="4606">
        <v>495</v>
      </c>
      <c r="J25" s="4606">
        <v>-16</v>
      </c>
      <c r="K25" s="4606">
        <v>-50</v>
      </c>
      <c r="L25" s="4606">
        <v>20</v>
      </c>
      <c r="M25" s="4606">
        <v>15</v>
      </c>
      <c r="N25" s="4606">
        <v>-40</v>
      </c>
      <c r="O25" s="4606">
        <v>-88</v>
      </c>
      <c r="P25" s="4614" t="s">
        <v>1298</v>
      </c>
      <c r="Q25" s="4615">
        <v>7209339</v>
      </c>
      <c r="R25" s="4616" t="s">
        <v>154</v>
      </c>
      <c r="S25" s="4615">
        <v>7209141</v>
      </c>
      <c r="T25" s="4616" t="s">
        <v>1332</v>
      </c>
      <c r="U25" s="4613">
        <v>198</v>
      </c>
    </row>
    <row r="26" spans="2:21" ht="18.75" thickBot="1">
      <c r="B26" s="858">
        <v>0.79166666666666663</v>
      </c>
      <c r="C26" s="187">
        <f t="shared" si="0"/>
        <v>-140</v>
      </c>
      <c r="D26" s="188"/>
      <c r="E26" s="855">
        <f t="shared" si="1"/>
        <v>-60</v>
      </c>
      <c r="F26" s="855">
        <f t="shared" si="2"/>
        <v>-80</v>
      </c>
      <c r="G26" s="8"/>
      <c r="H26" s="840">
        <v>0.83333333333333304</v>
      </c>
      <c r="I26" s="4626">
        <v>570</v>
      </c>
      <c r="J26" s="4627">
        <v>-22</v>
      </c>
      <c r="K26" s="4627">
        <v>-50</v>
      </c>
      <c r="L26" s="4627">
        <v>10</v>
      </c>
      <c r="M26" s="4606">
        <v>15</v>
      </c>
      <c r="N26" s="4627">
        <v>-20</v>
      </c>
      <c r="O26" s="4627">
        <v>-86</v>
      </c>
      <c r="P26" s="4623"/>
      <c r="Q26" s="4617"/>
      <c r="R26" s="4618"/>
      <c r="S26" s="4617"/>
      <c r="T26" s="4618"/>
      <c r="U26" s="4613"/>
    </row>
    <row r="27" spans="2:21" ht="18.75" thickTop="1">
      <c r="B27" s="858">
        <v>0.8125</v>
      </c>
      <c r="C27" s="187">
        <f t="shared" si="0"/>
        <v>-56</v>
      </c>
      <c r="D27" s="188"/>
      <c r="E27" s="855">
        <f t="shared" si="1"/>
        <v>-16</v>
      </c>
      <c r="F27" s="855">
        <f t="shared" si="2"/>
        <v>-40</v>
      </c>
      <c r="G27" s="7"/>
      <c r="H27" s="841">
        <v>0.875</v>
      </c>
      <c r="I27" s="4628">
        <v>610</v>
      </c>
      <c r="J27" s="4628">
        <v>32</v>
      </c>
      <c r="K27" s="4628">
        <v>-40</v>
      </c>
      <c r="L27" s="4627">
        <v>-20</v>
      </c>
      <c r="M27" s="4606">
        <v>15</v>
      </c>
      <c r="N27" s="4628">
        <v>20</v>
      </c>
      <c r="O27" s="4628">
        <v>-80</v>
      </c>
      <c r="P27" s="4614" t="s">
        <v>1299</v>
      </c>
      <c r="Q27" s="4615">
        <v>140757</v>
      </c>
      <c r="R27" s="4616" t="s">
        <v>154</v>
      </c>
      <c r="S27" s="4615">
        <v>140558</v>
      </c>
      <c r="T27" s="4616" t="s">
        <v>1332</v>
      </c>
      <c r="U27" s="4613">
        <v>199</v>
      </c>
    </row>
    <row r="28" spans="2:21" ht="18">
      <c r="B28" s="858">
        <v>0.83333333333333337</v>
      </c>
      <c r="C28" s="187">
        <f t="shared" si="0"/>
        <v>-42</v>
      </c>
      <c r="D28" s="188"/>
      <c r="E28" s="855">
        <f t="shared" si="1"/>
        <v>-22</v>
      </c>
      <c r="F28" s="855">
        <f t="shared" si="2"/>
        <v>-20</v>
      </c>
      <c r="G28" s="7"/>
      <c r="H28" s="839">
        <v>0.91666666666666696</v>
      </c>
      <c r="I28" s="4628">
        <v>700</v>
      </c>
      <c r="J28" s="4628">
        <v>120</v>
      </c>
      <c r="K28" s="4628">
        <v>-44</v>
      </c>
      <c r="L28" s="4627">
        <v>-100</v>
      </c>
      <c r="M28" s="4606">
        <v>15</v>
      </c>
      <c r="N28" s="4628">
        <v>130</v>
      </c>
      <c r="O28" s="4628">
        <v>-80</v>
      </c>
      <c r="P28" s="4624"/>
      <c r="Q28" s="4629"/>
      <c r="R28" s="4629"/>
      <c r="S28" s="4629"/>
      <c r="T28" s="4629"/>
      <c r="U28" s="4817"/>
    </row>
    <row r="29" spans="2:21" ht="15.75" customHeight="1">
      <c r="B29" s="858">
        <v>0.875</v>
      </c>
      <c r="C29" s="187">
        <f t="shared" si="0"/>
        <v>52</v>
      </c>
      <c r="D29" s="188"/>
      <c r="E29" s="855">
        <f t="shared" si="1"/>
        <v>32</v>
      </c>
      <c r="F29" s="855">
        <f t="shared" si="2"/>
        <v>20</v>
      </c>
      <c r="G29" s="7"/>
      <c r="H29" s="839">
        <v>0.95833333333333404</v>
      </c>
      <c r="I29" s="4628">
        <v>720</v>
      </c>
      <c r="J29" s="4628">
        <v>72</v>
      </c>
      <c r="K29" s="4628">
        <v>-54</v>
      </c>
      <c r="L29" s="4628">
        <v>-70</v>
      </c>
      <c r="M29" s="4606">
        <v>10</v>
      </c>
      <c r="N29" s="4628">
        <v>60</v>
      </c>
      <c r="O29" s="4628">
        <v>-84</v>
      </c>
      <c r="P29" s="4630" t="s">
        <v>153</v>
      </c>
      <c r="Q29" s="4631"/>
      <c r="R29" s="4631"/>
      <c r="S29" s="4631"/>
      <c r="T29" s="4631"/>
      <c r="U29" s="4817"/>
    </row>
    <row r="30" spans="2:21" ht="15.75" customHeight="1">
      <c r="B30" s="858">
        <v>0.91666666666666663</v>
      </c>
      <c r="C30" s="187">
        <f t="shared" si="0"/>
        <v>250</v>
      </c>
      <c r="D30" s="188"/>
      <c r="E30" s="855">
        <f t="shared" si="1"/>
        <v>120</v>
      </c>
      <c r="F30" s="855">
        <f t="shared" si="2"/>
        <v>130</v>
      </c>
      <c r="G30" s="7"/>
      <c r="H30" s="839" t="s">
        <v>24</v>
      </c>
      <c r="I30" s="4628">
        <v>550</v>
      </c>
      <c r="J30" s="4628">
        <v>-6</v>
      </c>
      <c r="K30" s="4628">
        <v>-28</v>
      </c>
      <c r="L30" s="4628">
        <v>0</v>
      </c>
      <c r="M30" s="4606">
        <v>10</v>
      </c>
      <c r="N30" s="4628">
        <v>-10</v>
      </c>
      <c r="O30" s="4628">
        <v>-72</v>
      </c>
      <c r="P30" s="4632"/>
      <c r="Q30" s="4633"/>
      <c r="R30" s="4633"/>
      <c r="S30" s="4633"/>
      <c r="T30" s="4633"/>
      <c r="U30" s="4817"/>
    </row>
    <row r="31" spans="2:21">
      <c r="B31" s="858">
        <v>0.95833333333333337</v>
      </c>
      <c r="C31" s="187">
        <f t="shared" si="0"/>
        <v>132</v>
      </c>
      <c r="D31" s="188"/>
      <c r="E31" s="855">
        <f t="shared" si="1"/>
        <v>72</v>
      </c>
      <c r="F31" s="855">
        <f t="shared" si="2"/>
        <v>60</v>
      </c>
      <c r="G31" s="7"/>
    </row>
    <row r="32" spans="2:21" ht="15.75" thickBot="1">
      <c r="B32" s="859" t="s">
        <v>24</v>
      </c>
      <c r="C32" s="844">
        <f t="shared" si="0"/>
        <v>-16</v>
      </c>
      <c r="D32" s="845"/>
      <c r="E32" s="856">
        <f t="shared" si="1"/>
        <v>-6</v>
      </c>
      <c r="F32" s="856">
        <f t="shared" si="2"/>
        <v>-10</v>
      </c>
      <c r="G32" s="1614"/>
    </row>
    <row r="33" spans="2:31" ht="16.5" thickBot="1">
      <c r="B33" s="850"/>
      <c r="C33" s="5279" t="s">
        <v>100</v>
      </c>
      <c r="D33" s="5280"/>
      <c r="E33" s="5281" t="s">
        <v>784</v>
      </c>
      <c r="F33" s="5282"/>
      <c r="G33" s="9"/>
    </row>
    <row r="34" spans="2:31">
      <c r="B34" s="851" t="s">
        <v>785</v>
      </c>
      <c r="C34" s="853">
        <f>Q7</f>
        <v>556.88</v>
      </c>
      <c r="D34" s="848">
        <f>S7</f>
        <v>556.86</v>
      </c>
      <c r="E34" s="853">
        <f>Q19</f>
        <v>7354581</v>
      </c>
      <c r="F34" s="848">
        <f>S19</f>
        <v>7354384</v>
      </c>
      <c r="G34" s="10"/>
    </row>
    <row r="35" spans="2:31" ht="15.75" thickBot="1">
      <c r="B35" s="852" t="s">
        <v>786</v>
      </c>
      <c r="C35" s="854">
        <f>Q9</f>
        <v>838.33</v>
      </c>
      <c r="D35" s="849">
        <f>S9</f>
        <v>838.33</v>
      </c>
      <c r="E35" s="854">
        <f>Q21</f>
        <v>7218384</v>
      </c>
      <c r="F35" s="849">
        <f>S21</f>
        <v>7218185</v>
      </c>
      <c r="G35" s="11"/>
    </row>
    <row r="36" spans="2:31">
      <c r="B36" s="846"/>
      <c r="C36" s="847"/>
      <c r="D36" s="846"/>
      <c r="E36" s="846"/>
      <c r="F36" s="846"/>
      <c r="G36" s="12"/>
    </row>
    <row r="37" spans="2:31">
      <c r="B37" s="960" t="s">
        <v>102</v>
      </c>
      <c r="C37" s="5276">
        <f>C38+E38</f>
        <v>428999.99999996996</v>
      </c>
      <c r="D37" s="5277"/>
      <c r="E37" s="5277"/>
      <c r="F37" s="5278"/>
      <c r="G37" s="7"/>
    </row>
    <row r="38" spans="2:31">
      <c r="B38" s="960" t="s">
        <v>102</v>
      </c>
      <c r="C38" s="5276">
        <f>((C34-D34)+(C35-D35))*1650000</f>
        <v>32999.999999969987</v>
      </c>
      <c r="D38" s="5278"/>
      <c r="E38" s="5276">
        <f>((E34-F34)+(E35-F35))*1000</f>
        <v>396000</v>
      </c>
      <c r="F38" s="5278"/>
      <c r="G38" s="6"/>
    </row>
    <row r="39" spans="2:31">
      <c r="B39" s="6"/>
      <c r="C39" s="6"/>
      <c r="D39" s="6"/>
      <c r="E39" s="6"/>
      <c r="F39" s="6"/>
      <c r="G39" s="6"/>
    </row>
    <row r="40" spans="2:31">
      <c r="B40" s="6"/>
      <c r="C40" s="957"/>
      <c r="D40" s="958"/>
      <c r="E40" s="958"/>
      <c r="F40" s="958"/>
      <c r="G40" s="959"/>
    </row>
    <row r="41" spans="2:31">
      <c r="B41" s="6"/>
      <c r="C41" s="6"/>
      <c r="D41" s="6"/>
      <c r="E41" s="6"/>
      <c r="F41" s="6"/>
      <c r="G41" s="6"/>
    </row>
    <row r="42" spans="2:31">
      <c r="B42" s="6"/>
      <c r="C42" s="6"/>
      <c r="D42" s="6"/>
      <c r="E42" s="6"/>
      <c r="F42" s="6"/>
      <c r="G42" s="6"/>
      <c r="I42" s="2120"/>
    </row>
    <row r="43" spans="2:31">
      <c r="B43" s="6"/>
      <c r="C43" s="6"/>
      <c r="D43" s="6"/>
      <c r="E43" s="6"/>
      <c r="F43" s="6"/>
      <c r="G43" s="6"/>
      <c r="I43" s="2120"/>
    </row>
    <row r="44" spans="2:31" ht="18">
      <c r="B44" s="6"/>
      <c r="C44" s="6"/>
      <c r="D44" s="6"/>
      <c r="E44" s="6"/>
      <c r="F44" s="6"/>
      <c r="G44" s="6"/>
      <c r="I44" s="2120"/>
      <c r="S44" s="4874"/>
      <c r="T44" s="4874"/>
      <c r="U44" s="4874"/>
      <c r="V44" s="4874"/>
      <c r="W44" s="4874"/>
      <c r="X44" s="4874"/>
      <c r="Y44" s="4874"/>
      <c r="Z44" s="4875"/>
      <c r="AA44" s="4876"/>
      <c r="AB44" s="4876"/>
      <c r="AC44" s="4876"/>
      <c r="AD44" s="4876"/>
      <c r="AE44" s="4877"/>
    </row>
    <row r="45" spans="2:31" ht="15.75">
      <c r="I45" s="2120"/>
      <c r="S45" s="4874"/>
      <c r="T45" s="4874"/>
      <c r="U45" s="4874"/>
      <c r="V45" s="4874"/>
      <c r="W45" s="4874"/>
      <c r="X45" s="4874"/>
      <c r="Y45" s="4874"/>
      <c r="Z45" s="4876"/>
      <c r="AA45" s="4876"/>
      <c r="AB45" s="4876"/>
      <c r="AC45" s="4876"/>
      <c r="AD45" s="4876"/>
      <c r="AE45" s="4876"/>
    </row>
    <row r="46" spans="2:31" ht="18">
      <c r="I46" s="2120"/>
      <c r="S46" s="4874"/>
      <c r="T46" s="4874"/>
      <c r="U46" s="4874"/>
      <c r="V46" s="4874"/>
      <c r="W46" s="4874"/>
      <c r="X46" s="4874"/>
      <c r="Y46" s="4874"/>
      <c r="Z46" s="4878"/>
      <c r="AA46" s="4879"/>
      <c r="AB46" s="4880"/>
      <c r="AC46" s="4879"/>
      <c r="AD46" s="4880"/>
      <c r="AE46" s="4876"/>
    </row>
    <row r="47" spans="2:31" ht="15.75">
      <c r="I47" s="2120"/>
      <c r="S47" s="4874"/>
      <c r="T47" s="4874"/>
      <c r="U47" s="4874"/>
      <c r="V47" s="4874"/>
      <c r="W47" s="4874"/>
      <c r="X47" s="4874"/>
      <c r="Y47" s="4874"/>
      <c r="Z47" s="4876"/>
      <c r="AA47" s="4876"/>
      <c r="AB47" s="4876"/>
      <c r="AC47" s="4876"/>
      <c r="AD47" s="4876"/>
      <c r="AE47" s="4876"/>
    </row>
    <row r="48" spans="2:31" ht="18">
      <c r="I48" s="2120"/>
      <c r="S48" s="4874"/>
      <c r="T48" s="4874"/>
      <c r="U48" s="4874"/>
      <c r="V48" s="4874"/>
      <c r="W48" s="4874"/>
      <c r="X48" s="4874"/>
      <c r="Y48" s="4874"/>
      <c r="Z48" s="4878"/>
      <c r="AA48" s="4879"/>
      <c r="AB48" s="4880"/>
      <c r="AC48" s="4879"/>
      <c r="AD48" s="4880"/>
      <c r="AE48" s="4876"/>
    </row>
    <row r="49" spans="9:31" ht="15.75">
      <c r="I49" s="2120"/>
      <c r="S49" s="4874"/>
      <c r="T49" s="4874"/>
      <c r="U49" s="4874"/>
      <c r="V49" s="4874"/>
      <c r="W49" s="4874"/>
      <c r="X49" s="4874"/>
      <c r="Y49" s="4874"/>
      <c r="Z49" s="4876"/>
      <c r="AA49" s="4876"/>
      <c r="AB49" s="4876"/>
      <c r="AC49" s="4876"/>
      <c r="AD49" s="4876"/>
      <c r="AE49" s="4876"/>
    </row>
    <row r="50" spans="9:31" ht="18">
      <c r="I50" s="2120"/>
      <c r="S50" s="4874"/>
      <c r="T50" s="4874"/>
      <c r="U50" s="4874"/>
      <c r="V50" s="4874"/>
      <c r="W50" s="4874"/>
      <c r="X50" s="4874"/>
      <c r="Y50" s="4874"/>
      <c r="Z50" s="4875"/>
      <c r="AA50" s="4876"/>
      <c r="AB50" s="4876"/>
      <c r="AC50" s="4876"/>
      <c r="AD50" s="4876"/>
      <c r="AE50" s="4876"/>
    </row>
    <row r="51" spans="9:31" ht="15.75">
      <c r="I51" s="2120"/>
      <c r="S51" s="4874"/>
      <c r="T51" s="4874"/>
      <c r="U51" s="4874"/>
      <c r="V51" s="4874"/>
      <c r="W51" s="4874"/>
      <c r="X51" s="4874"/>
      <c r="Y51" s="4874"/>
      <c r="Z51" s="4876"/>
      <c r="AA51" s="4876"/>
      <c r="AB51" s="4876"/>
      <c r="AC51" s="4876"/>
      <c r="AD51" s="4876"/>
      <c r="AE51" s="4876"/>
    </row>
    <row r="52" spans="9:31" ht="18.75" thickBot="1">
      <c r="I52" s="2120"/>
      <c r="S52" s="4874"/>
      <c r="T52" s="4874"/>
      <c r="U52" s="4874"/>
      <c r="V52" s="4874"/>
      <c r="W52" s="4874"/>
      <c r="X52" s="4874"/>
      <c r="Y52" s="4874"/>
      <c r="Z52" s="4878"/>
      <c r="AA52" s="4879"/>
      <c r="AB52" s="4880"/>
      <c r="AC52" s="4879"/>
      <c r="AD52" s="4880"/>
      <c r="AE52" s="4877"/>
    </row>
    <row r="53" spans="9:31" ht="18.75" thickBot="1">
      <c r="I53" s="4338"/>
      <c r="J53" s="4468">
        <v>6206.93</v>
      </c>
      <c r="K53" s="4469" t="s">
        <v>154</v>
      </c>
      <c r="L53" s="4468">
        <v>6206.55</v>
      </c>
      <c r="M53" s="4469" t="s">
        <v>1332</v>
      </c>
      <c r="N53" s="4470">
        <v>0.38</v>
      </c>
      <c r="O53" s="4338"/>
      <c r="P53" s="4339"/>
      <c r="Q53" s="4340"/>
      <c r="R53" s="4340"/>
      <c r="S53" s="4874"/>
      <c r="T53" s="4874"/>
      <c r="U53" s="4874"/>
      <c r="V53" s="4874"/>
      <c r="W53" s="4874"/>
      <c r="X53" s="4874"/>
      <c r="Y53" s="4874"/>
      <c r="Z53" s="4876"/>
      <c r="AA53" s="4876"/>
      <c r="AB53" s="4876"/>
      <c r="AC53" s="4876"/>
      <c r="AD53" s="4876"/>
      <c r="AE53" s="4877"/>
    </row>
    <row r="54" spans="9:31" ht="18">
      <c r="I54" s="4338"/>
      <c r="J54" s="4338"/>
      <c r="K54" s="4338"/>
      <c r="L54" s="4338"/>
      <c r="M54" s="4338"/>
      <c r="N54" s="4338"/>
      <c r="O54" s="4338"/>
      <c r="P54" s="4340"/>
      <c r="Q54" s="4340"/>
      <c r="R54" s="4340"/>
      <c r="S54" s="4874"/>
      <c r="T54" s="4874"/>
      <c r="U54" s="4874"/>
      <c r="V54" s="4874"/>
      <c r="W54" s="4874"/>
      <c r="X54" s="4874"/>
      <c r="Y54" s="4874"/>
      <c r="Z54" s="4878"/>
      <c r="AA54" s="4879"/>
      <c r="AB54" s="4880"/>
      <c r="AC54" s="4879"/>
      <c r="AD54" s="4880"/>
      <c r="AE54" s="4877"/>
    </row>
    <row r="55" spans="9:31" ht="18">
      <c r="I55" s="4338"/>
      <c r="J55" s="4338"/>
      <c r="K55" s="4338"/>
      <c r="L55" s="4338"/>
      <c r="M55" s="4338"/>
      <c r="N55" s="4338"/>
      <c r="O55" s="4338"/>
      <c r="P55" s="4341"/>
      <c r="Q55" s="4342"/>
      <c r="R55" s="4343"/>
      <c r="S55" s="4874"/>
      <c r="T55" s="4874"/>
      <c r="U55" s="4874"/>
      <c r="V55" s="4874"/>
      <c r="W55" s="4874"/>
      <c r="X55" s="4874"/>
      <c r="Y55" s="4874"/>
      <c r="Z55" s="4876"/>
      <c r="AA55" s="4876"/>
      <c r="AB55" s="4876"/>
      <c r="AC55" s="4876"/>
      <c r="AD55" s="4876"/>
      <c r="AE55" s="4876"/>
    </row>
    <row r="56" spans="9:31" ht="18">
      <c r="I56" s="4338"/>
      <c r="J56" s="4338"/>
      <c r="K56" s="4338"/>
      <c r="L56" s="4338"/>
      <c r="M56" s="4338"/>
      <c r="N56" s="4338"/>
      <c r="O56" s="4338"/>
      <c r="P56" s="4340"/>
      <c r="Q56" s="4340"/>
      <c r="R56" s="4340"/>
      <c r="S56" s="4874"/>
      <c r="T56" s="4874"/>
      <c r="U56" s="4874"/>
      <c r="V56" s="4874"/>
      <c r="W56" s="4874"/>
      <c r="X56" s="4874"/>
      <c r="Y56" s="4874"/>
      <c r="Z56" s="4875"/>
      <c r="AA56" s="4876"/>
      <c r="AB56" s="4876"/>
      <c r="AC56" s="4876"/>
      <c r="AD56" s="4876"/>
      <c r="AE56" s="4876"/>
    </row>
    <row r="57" spans="9:31" ht="18">
      <c r="I57" s="4338"/>
      <c r="J57" s="4338"/>
      <c r="K57" s="4338"/>
      <c r="L57" s="4338"/>
      <c r="M57" s="4338"/>
      <c r="N57" s="4338"/>
      <c r="O57" s="4338"/>
      <c r="P57" s="4341"/>
      <c r="Q57" s="4342"/>
      <c r="R57" s="4343"/>
      <c r="S57" s="4874"/>
      <c r="T57" s="4874"/>
      <c r="U57" s="4874"/>
      <c r="V57" s="4874"/>
      <c r="W57" s="4874"/>
      <c r="X57" s="4874"/>
      <c r="Y57" s="4874"/>
      <c r="Z57" s="4876"/>
      <c r="AA57" s="4876"/>
      <c r="AB57" s="4876"/>
      <c r="AC57" s="4876"/>
      <c r="AD57" s="4876"/>
      <c r="AE57" s="4876"/>
    </row>
    <row r="58" spans="9:31" ht="18">
      <c r="I58" s="4338"/>
      <c r="J58" s="4338"/>
      <c r="K58" s="4338"/>
      <c r="L58" s="4338"/>
      <c r="M58" s="4338"/>
      <c r="N58" s="4338"/>
      <c r="O58" s="4338"/>
      <c r="P58" s="4340"/>
      <c r="Q58" s="4340"/>
      <c r="R58" s="4340"/>
      <c r="S58" s="4874"/>
      <c r="T58" s="4874"/>
      <c r="U58" s="4874"/>
      <c r="V58" s="4874"/>
      <c r="W58" s="4874"/>
      <c r="X58" s="4874"/>
      <c r="Y58" s="4874"/>
      <c r="Z58" s="4878"/>
      <c r="AA58" s="4879"/>
      <c r="AB58" s="4880"/>
      <c r="AC58" s="4879"/>
      <c r="AD58" s="4880"/>
      <c r="AE58" s="4876"/>
    </row>
    <row r="59" spans="9:31" ht="18">
      <c r="I59" s="4338"/>
      <c r="J59" s="4338"/>
      <c r="K59" s="4338"/>
      <c r="L59" s="4345"/>
      <c r="M59" s="4338"/>
      <c r="N59" s="4338"/>
      <c r="O59" s="4338"/>
      <c r="P59" s="4339"/>
      <c r="Q59" s="4340"/>
      <c r="R59" s="4340"/>
      <c r="S59" s="4874"/>
      <c r="T59" s="4874"/>
      <c r="U59" s="4874"/>
      <c r="V59" s="4874"/>
      <c r="W59" s="4874"/>
      <c r="X59" s="4874"/>
      <c r="Y59" s="4874"/>
      <c r="Z59" s="4876"/>
      <c r="AA59" s="4876"/>
      <c r="AB59" s="4876"/>
      <c r="AC59" s="4876"/>
      <c r="AD59" s="4876"/>
      <c r="AE59" s="4876"/>
    </row>
    <row r="60" spans="9:31" ht="18">
      <c r="I60" s="4338"/>
      <c r="J60" s="4338"/>
      <c r="K60" s="4338"/>
      <c r="L60" s="4345"/>
      <c r="M60" s="4338"/>
      <c r="N60" s="4338"/>
      <c r="O60" s="4338"/>
      <c r="P60" s="4340"/>
      <c r="Q60" s="4340"/>
      <c r="R60" s="4340"/>
      <c r="S60" s="4874"/>
      <c r="T60" s="4874"/>
      <c r="U60" s="4874"/>
      <c r="V60" s="4874"/>
      <c r="W60" s="4874"/>
      <c r="X60" s="4874"/>
      <c r="Y60" s="4874"/>
      <c r="Z60" s="4878"/>
      <c r="AA60" s="4879"/>
      <c r="AB60" s="4880"/>
      <c r="AC60" s="4879"/>
      <c r="AD60" s="4880"/>
      <c r="AE60" s="4876"/>
    </row>
    <row r="61" spans="9:31" ht="18">
      <c r="I61" s="4338"/>
      <c r="J61" s="4338"/>
      <c r="K61" s="4338"/>
      <c r="L61" s="4345"/>
      <c r="M61" s="4338"/>
      <c r="N61" s="4338"/>
      <c r="O61" s="4338"/>
      <c r="P61" s="4341"/>
      <c r="Q61" s="4342"/>
      <c r="R61" s="4343"/>
      <c r="S61" s="4874"/>
      <c r="T61" s="4874"/>
      <c r="U61" s="4874"/>
      <c r="V61" s="4874"/>
      <c r="W61" s="4874"/>
      <c r="X61" s="4874"/>
      <c r="Y61" s="4874"/>
      <c r="Z61" s="4876"/>
      <c r="AA61" s="4876"/>
      <c r="AB61" s="4876"/>
      <c r="AC61" s="4876"/>
      <c r="AD61" s="4876"/>
      <c r="AE61" s="4876"/>
    </row>
    <row r="62" spans="9:31" ht="18">
      <c r="I62" s="4338"/>
      <c r="J62" s="4338"/>
      <c r="K62" s="4338"/>
      <c r="L62" s="4345"/>
      <c r="M62" s="4338"/>
      <c r="N62" s="4338"/>
      <c r="O62" s="4338"/>
      <c r="P62" s="4340"/>
      <c r="Q62" s="4340"/>
      <c r="R62" s="4340"/>
      <c r="S62" s="4874"/>
      <c r="T62" s="4874"/>
      <c r="U62" s="4874"/>
      <c r="V62" s="4874"/>
      <c r="W62" s="4874"/>
      <c r="X62" s="4874"/>
      <c r="Y62" s="4874"/>
      <c r="Z62" s="4875"/>
      <c r="AA62" s="4876"/>
      <c r="AB62" s="4876"/>
      <c r="AC62" s="4876"/>
      <c r="AD62" s="4876"/>
      <c r="AE62" s="4876"/>
    </row>
    <row r="63" spans="9:31" ht="18">
      <c r="I63" s="4338"/>
      <c r="J63" s="4338"/>
      <c r="K63" s="4338"/>
      <c r="L63" s="4345"/>
      <c r="M63" s="4338"/>
      <c r="N63" s="4338"/>
      <c r="O63" s="4338"/>
      <c r="P63" s="4341"/>
      <c r="Q63" s="4342"/>
      <c r="R63" s="4343"/>
      <c r="S63" s="4874"/>
      <c r="T63" s="4874"/>
      <c r="U63" s="4874"/>
      <c r="V63" s="4874"/>
      <c r="W63" s="4874"/>
      <c r="X63" s="4874"/>
      <c r="Y63" s="4874"/>
      <c r="Z63" s="4876"/>
      <c r="AA63" s="4876"/>
      <c r="AB63" s="4876"/>
      <c r="AC63" s="4876"/>
      <c r="AD63" s="4876"/>
      <c r="AE63" s="4876"/>
    </row>
    <row r="64" spans="9:31" ht="18">
      <c r="I64" s="4338"/>
      <c r="J64" s="4338"/>
      <c r="K64" s="4338"/>
      <c r="L64" s="4345"/>
      <c r="M64" s="4338"/>
      <c r="N64" s="4338"/>
      <c r="O64" s="4338"/>
      <c r="P64" s="4340"/>
      <c r="Q64" s="4340"/>
      <c r="R64" s="4340"/>
      <c r="S64" s="4874"/>
      <c r="T64" s="4874"/>
      <c r="U64" s="4874"/>
      <c r="V64" s="4874"/>
      <c r="W64" s="4874"/>
      <c r="X64" s="4874"/>
      <c r="Y64" s="4874"/>
      <c r="Z64" s="4878"/>
      <c r="AA64" s="4879"/>
      <c r="AB64" s="4880"/>
      <c r="AC64" s="4879"/>
      <c r="AD64" s="4880"/>
      <c r="AE64" s="4876"/>
    </row>
    <row r="65" spans="9:31" ht="18">
      <c r="I65" s="4338"/>
      <c r="J65" s="4338"/>
      <c r="K65" s="4338"/>
      <c r="L65" s="4338"/>
      <c r="M65" s="4338"/>
      <c r="N65" s="4338"/>
      <c r="O65" s="4338"/>
      <c r="P65" s="4339"/>
      <c r="Q65" s="4340"/>
      <c r="R65" s="4340"/>
      <c r="S65" s="4874"/>
      <c r="T65" s="4874"/>
      <c r="U65" s="4874"/>
      <c r="V65" s="4874"/>
      <c r="W65" s="4874"/>
      <c r="X65" s="4874"/>
      <c r="Y65" s="4874"/>
      <c r="Z65" s="4876"/>
      <c r="AA65" s="4876"/>
      <c r="AB65" s="4876"/>
      <c r="AC65" s="4876"/>
      <c r="AD65" s="4876"/>
      <c r="AE65" s="4876"/>
    </row>
    <row r="66" spans="9:31" ht="18">
      <c r="I66" s="4338"/>
      <c r="J66" s="4338"/>
      <c r="K66" s="4338"/>
      <c r="L66" s="4338"/>
      <c r="M66" s="4338"/>
      <c r="N66" s="4338"/>
      <c r="O66" s="4338"/>
      <c r="P66" s="4340"/>
      <c r="Q66" s="4340"/>
      <c r="R66" s="4340"/>
      <c r="S66" s="4874"/>
      <c r="T66" s="4874"/>
      <c r="U66" s="4874"/>
      <c r="V66" s="4874"/>
      <c r="W66" s="4874"/>
      <c r="X66" s="4874"/>
      <c r="Y66" s="4874"/>
      <c r="Z66" s="4878"/>
      <c r="AA66" s="4879"/>
      <c r="AB66" s="4880"/>
      <c r="AC66" s="4879"/>
      <c r="AD66" s="4880"/>
      <c r="AE66" s="4876"/>
    </row>
    <row r="67" spans="9:31" ht="18">
      <c r="I67" s="4338"/>
      <c r="J67" s="4338"/>
      <c r="K67" s="4338"/>
      <c r="L67" s="4338"/>
      <c r="M67" s="4338"/>
      <c r="N67" s="4338"/>
      <c r="O67" s="4338"/>
      <c r="P67" s="4341"/>
      <c r="Q67" s="4342"/>
      <c r="R67" s="4343"/>
      <c r="S67" s="4874"/>
      <c r="T67" s="4874"/>
      <c r="U67" s="4874"/>
      <c r="V67" s="4874"/>
      <c r="W67" s="4874"/>
      <c r="X67" s="4874"/>
      <c r="Y67" s="4874"/>
      <c r="Z67" s="4876"/>
      <c r="AA67" s="4876"/>
      <c r="AB67" s="4876"/>
      <c r="AC67" s="4876"/>
      <c r="AD67" s="4876"/>
      <c r="AE67" s="4876"/>
    </row>
    <row r="68" spans="9:31" ht="20.25">
      <c r="I68" s="4338"/>
      <c r="J68" s="4338"/>
      <c r="K68" s="4338"/>
      <c r="L68" s="4338"/>
      <c r="M68" s="4338"/>
      <c r="N68" s="4338"/>
      <c r="O68" s="4338"/>
      <c r="P68" s="4340"/>
      <c r="Q68" s="4340"/>
      <c r="R68" s="4340"/>
      <c r="S68" s="4874"/>
      <c r="T68" s="4874"/>
      <c r="U68" s="4874"/>
      <c r="V68" s="4874"/>
      <c r="W68" s="4874"/>
      <c r="X68" s="4874"/>
      <c r="Y68" s="4874"/>
      <c r="Z68" s="4873"/>
      <c r="AA68" s="4873"/>
      <c r="AB68" s="4873"/>
      <c r="AC68" s="4873"/>
      <c r="AD68" s="4873"/>
      <c r="AE68" s="4873"/>
    </row>
    <row r="69" spans="9:31" ht="20.25">
      <c r="I69" s="4338"/>
      <c r="J69" s="4338"/>
      <c r="K69" s="4338"/>
      <c r="L69" s="4338"/>
      <c r="M69" s="4338"/>
      <c r="N69" s="4338"/>
      <c r="O69" s="4338"/>
      <c r="P69" s="4341"/>
      <c r="Q69" s="4342"/>
      <c r="R69" s="4343"/>
      <c r="S69" s="4874"/>
      <c r="T69" s="4874"/>
      <c r="U69" s="4874"/>
      <c r="V69" s="4874"/>
      <c r="W69" s="4874"/>
      <c r="X69" s="4874"/>
      <c r="Y69" s="4874"/>
      <c r="Z69" s="4873"/>
      <c r="AA69" s="4873"/>
      <c r="AB69" s="4873"/>
      <c r="AC69" s="4873"/>
      <c r="AD69" s="4873"/>
      <c r="AE69" s="4873"/>
    </row>
    <row r="70" spans="9:31" ht="18">
      <c r="I70" s="4338"/>
      <c r="J70" s="4338"/>
      <c r="K70" s="4338"/>
      <c r="L70" s="4338"/>
      <c r="M70" s="4338"/>
      <c r="N70" s="4338"/>
      <c r="O70" s="4338"/>
      <c r="P70" s="4340"/>
      <c r="Q70" s="4340"/>
      <c r="R70" s="4340"/>
      <c r="S70" s="4340"/>
      <c r="T70" s="4340"/>
      <c r="U70" s="4344"/>
    </row>
    <row r="71" spans="9:31" ht="18">
      <c r="I71" s="4338"/>
      <c r="J71" s="4338"/>
      <c r="K71" s="4338"/>
      <c r="L71" s="4338"/>
      <c r="M71" s="4338"/>
      <c r="N71" s="4338"/>
      <c r="O71" s="4338"/>
      <c r="P71" s="4339"/>
      <c r="Q71" s="4340"/>
      <c r="R71" s="4340"/>
      <c r="S71" s="4340"/>
      <c r="T71" s="4340"/>
      <c r="U71" s="4516"/>
    </row>
    <row r="72" spans="9:31" ht="18">
      <c r="I72" s="4338"/>
      <c r="J72" s="4338"/>
      <c r="K72" s="4338"/>
      <c r="L72" s="4338"/>
      <c r="M72" s="4338"/>
      <c r="N72" s="4338"/>
      <c r="O72" s="4338"/>
      <c r="P72" s="4340"/>
      <c r="Q72" s="4340"/>
      <c r="R72" s="4340"/>
      <c r="S72" s="4340"/>
      <c r="T72" s="4340"/>
      <c r="U72" s="4344"/>
    </row>
    <row r="73" spans="9:31" ht="18">
      <c r="I73" s="4338"/>
      <c r="J73" s="4338"/>
      <c r="K73" s="4338"/>
      <c r="L73" s="4338"/>
      <c r="M73" s="4338"/>
      <c r="N73" s="4338"/>
      <c r="O73" s="4338"/>
      <c r="P73" s="4341"/>
      <c r="Q73" s="4342"/>
      <c r="R73" s="4343"/>
      <c r="S73" s="4342"/>
      <c r="T73" s="4343"/>
      <c r="U73" s="4344"/>
    </row>
    <row r="74" spans="9:31" ht="18">
      <c r="I74" s="4338"/>
      <c r="J74" s="4338"/>
      <c r="K74" s="4338"/>
      <c r="L74" s="4338"/>
      <c r="M74" s="4338"/>
      <c r="N74" s="4338"/>
      <c r="O74" s="4338"/>
      <c r="P74" s="4340"/>
      <c r="Q74" s="4340"/>
      <c r="R74" s="4340"/>
      <c r="S74" s="4340"/>
      <c r="T74" s="4340"/>
      <c r="U74" s="4344"/>
    </row>
    <row r="75" spans="9:31" ht="18">
      <c r="I75" s="4345"/>
      <c r="J75" s="4345"/>
      <c r="K75" s="4345"/>
      <c r="L75" s="4338"/>
      <c r="M75" s="4338"/>
      <c r="N75" s="4345"/>
      <c r="O75" s="4345"/>
      <c r="P75" s="4341"/>
      <c r="Q75" s="4342"/>
      <c r="R75" s="4343"/>
      <c r="S75" s="4342"/>
      <c r="T75" s="4343"/>
      <c r="U75" s="4344"/>
    </row>
    <row r="76" spans="9:31" ht="15.75">
      <c r="I76" s="4345"/>
      <c r="J76" s="4345"/>
      <c r="K76" s="4345"/>
      <c r="L76" s="4338"/>
      <c r="M76" s="4338"/>
      <c r="N76" s="4345"/>
      <c r="O76" s="4345"/>
      <c r="P76" s="4340"/>
      <c r="Q76" s="4340"/>
      <c r="R76" s="4340"/>
      <c r="S76" s="4340"/>
      <c r="T76" s="4340"/>
      <c r="U76" s="4516"/>
    </row>
    <row r="77" spans="9:31" ht="20.25">
      <c r="I77" s="4345"/>
      <c r="J77" s="4345"/>
      <c r="K77" s="4345"/>
      <c r="L77" s="4345"/>
      <c r="M77" s="4338"/>
      <c r="N77" s="4345"/>
      <c r="O77" s="4345"/>
      <c r="P77" s="4346"/>
      <c r="Q77" s="4346"/>
      <c r="R77" s="4346"/>
      <c r="S77" s="4346"/>
      <c r="T77" s="4346"/>
      <c r="U77" s="4346"/>
    </row>
    <row r="78" spans="9:31" ht="20.25">
      <c r="I78" s="4345"/>
      <c r="J78" s="4345"/>
      <c r="K78" s="4345"/>
      <c r="L78" s="4345"/>
      <c r="M78" s="4338"/>
      <c r="N78" s="4345"/>
      <c r="O78" s="4345"/>
      <c r="P78" s="4346"/>
      <c r="Q78" s="4346"/>
      <c r="R78" s="4346"/>
      <c r="S78" s="4346"/>
      <c r="T78" s="4346"/>
      <c r="U78" s="4346"/>
    </row>
  </sheetData>
  <customSheetViews>
    <customSheetView guid="{7C71EF2A-5ADA-494C-8F58-DDA71753DD90}" showPageBreaks="1">
      <selection activeCell="B32" sqref="B32"/>
      <pageMargins left="0.7" right="0.7" top="0.75" bottom="0.75" header="0.3" footer="0.3"/>
      <pageSetup orientation="portrait" r:id="rId1"/>
    </customSheetView>
    <customSheetView guid="{B91C2E87-5EDA-40AE-AC27-0E2C17E803CE}" showPageBreaks="1">
      <selection activeCell="W11" sqref="W11"/>
      <pageMargins left="0.7" right="0.7" top="0.75" bottom="0.75" header="0.3" footer="0.3"/>
      <pageSetup orientation="portrait" r:id="rId2"/>
    </customSheetView>
    <customSheetView guid="{23F4DC00-BC97-4745-AA5C-F05D469CB1EF}">
      <selection activeCell="J34" sqref="J34"/>
      <pageMargins left="0.7" right="0.7" top="0.75" bottom="0.75" header="0.3" footer="0.3"/>
      <pageSetup orientation="portrait" horizontalDpi="0" verticalDpi="0" r:id="rId3"/>
    </customSheetView>
    <customSheetView guid="{4593F3EE-0998-4E0E-994A-E02D6BAF3A4B}">
      <selection activeCell="I5" sqref="I5:U30"/>
      <pageMargins left="0.7" right="0.7" top="0.75" bottom="0.75" header="0.3" footer="0.3"/>
      <pageSetup orientation="portrait" r:id="rId4"/>
    </customSheetView>
    <customSheetView guid="{917057C8-5E5F-4164-B84C-85103677A2E5}">
      <selection activeCell="I38" sqref="I38"/>
      <pageMargins left="0.7" right="0.7" top="0.75" bottom="0.75" header="0.3" footer="0.3"/>
      <pageSetup orientation="portrait" r:id="rId5"/>
    </customSheetView>
    <customSheetView guid="{5A803268-F6C5-4035-B3E1-A94CB9AA8994}" showPageBreaks="1" topLeftCell="A13">
      <selection activeCell="J22" sqref="J22"/>
      <pageMargins left="0.7" right="0.7" top="0.75" bottom="0.75" header="0.3" footer="0.3"/>
      <pageSetup orientation="portrait" horizontalDpi="4294967294" verticalDpi="0" r:id="rId6"/>
    </customSheetView>
    <customSheetView guid="{751D391F-C74F-4B53-B5B5-25E01AC12EA4}">
      <selection activeCell="I5" sqref="I5:U30"/>
      <pageMargins left="0.7" right="0.7" top="0.75" bottom="0.75" header="0.3" footer="0.3"/>
      <pageSetup orientation="portrait" r:id="rId7"/>
    </customSheetView>
    <customSheetView guid="{D1D1E152-95AB-45D3-AC07-4EC0834D3E0C}">
      <selection activeCell="I5" sqref="I5:U30"/>
      <pageMargins left="0.7" right="0.7" top="0.75" bottom="0.75" header="0.3" footer="0.3"/>
      <pageSetup orientation="portrait" r:id="rId8"/>
    </customSheetView>
    <customSheetView guid="{4DB6C640-CE65-4513-9E5A-F6CDD1F4B8AF}">
      <selection activeCell="I5" sqref="I5:U30"/>
      <pageMargins left="0.7" right="0.7" top="0.75" bottom="0.75" header="0.3" footer="0.3"/>
      <pageSetup orientation="portrait" r:id="rId9"/>
    </customSheetView>
    <customSheetView guid="{C3348F62-02F2-4500-9BF2-19F2DEA57A8D}" showPageBreaks="1" topLeftCell="F1">
      <selection activeCell="I5" sqref="I5:U30"/>
      <pageMargins left="0.7" right="0.7" top="0.75" bottom="0.75" header="0.3" footer="0.3"/>
      <pageSetup orientation="portrait" r:id="rId10"/>
    </customSheetView>
  </customSheetViews>
  <mergeCells count="13">
    <mergeCell ref="L3:M3"/>
    <mergeCell ref="N3:O3"/>
    <mergeCell ref="P3:U4"/>
    <mergeCell ref="B3:F3"/>
    <mergeCell ref="E4:E5"/>
    <mergeCell ref="F4:F5"/>
    <mergeCell ref="B4:B5"/>
    <mergeCell ref="J3:K3"/>
    <mergeCell ref="C37:F37"/>
    <mergeCell ref="C38:D38"/>
    <mergeCell ref="E38:F38"/>
    <mergeCell ref="C33:D33"/>
    <mergeCell ref="E33:F33"/>
  </mergeCells>
  <pageMargins left="0.7" right="0.7" top="0.75" bottom="0.75" header="0.3" footer="0.3"/>
  <pageSetup orientation="portrait" r:id="rId1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1:AB1048515"/>
  <sheetViews>
    <sheetView zoomScale="55" zoomScaleNormal="55" zoomScaleSheetLayoutView="40" zoomScalePageLayoutView="40" workbookViewId="0">
      <selection sqref="A1:I115"/>
    </sheetView>
  </sheetViews>
  <sheetFormatPr defaultColWidth="9.140625" defaultRowHeight="15"/>
  <cols>
    <col min="1" max="1" width="57.140625" style="6" customWidth="1"/>
    <col min="2" max="2" width="33.42578125" style="6" customWidth="1"/>
    <col min="3" max="3" width="24.7109375" style="6" customWidth="1"/>
    <col min="4" max="4" width="48.85546875" style="6" customWidth="1"/>
    <col min="5" max="5" width="56" style="6" customWidth="1"/>
    <col min="6" max="6" width="35.28515625" style="6" customWidth="1"/>
    <col min="7" max="7" width="18.5703125" style="6" customWidth="1"/>
    <col min="8" max="8" width="66.7109375" style="6" customWidth="1"/>
    <col min="9" max="9" width="21.28515625" style="6" customWidth="1"/>
    <col min="10" max="10" width="0.42578125" style="6" customWidth="1"/>
    <col min="11" max="11" width="19.42578125" style="6" customWidth="1"/>
    <col min="12" max="14" width="9.140625" style="6"/>
    <col min="15" max="15" width="12.28515625" style="6" bestFit="1" customWidth="1"/>
    <col min="16" max="16384" width="9.140625" style="6"/>
  </cols>
  <sheetData>
    <row r="1" spans="1:10" ht="30.75">
      <c r="A1" s="3545" t="s">
        <v>18</v>
      </c>
      <c r="B1" s="3920"/>
      <c r="C1" s="3921"/>
      <c r="D1" s="3922" t="s">
        <v>1305</v>
      </c>
      <c r="E1" s="3923"/>
      <c r="F1" s="3547"/>
      <c r="G1" s="3548"/>
      <c r="H1" s="3546"/>
      <c r="I1" s="3724"/>
      <c r="J1" s="443"/>
    </row>
    <row r="2" spans="1:10" ht="30.75">
      <c r="A2" s="3549"/>
      <c r="B2" s="3924"/>
      <c r="C2" s="3925"/>
      <c r="D2" s="3926" t="s">
        <v>1306</v>
      </c>
      <c r="E2" s="3927"/>
      <c r="F2" s="3552"/>
      <c r="G2" s="3553"/>
      <c r="H2" s="3550"/>
      <c r="I2" s="3725" t="s">
        <v>437</v>
      </c>
      <c r="J2" s="442"/>
    </row>
    <row r="3" spans="1:10" ht="30.75">
      <c r="A3" s="3549"/>
      <c r="B3" s="3924"/>
      <c r="C3" s="3925"/>
      <c r="D3" s="3926" t="s">
        <v>1307</v>
      </c>
      <c r="E3" s="3927"/>
      <c r="F3" s="3551"/>
      <c r="G3" s="3554"/>
      <c r="H3" s="3554"/>
      <c r="I3" s="3726" t="s">
        <v>438</v>
      </c>
      <c r="J3" s="442"/>
    </row>
    <row r="4" spans="1:10" ht="27.75">
      <c r="A4" s="4048"/>
      <c r="B4" s="4049"/>
      <c r="C4" s="4049"/>
      <c r="D4" s="4049"/>
      <c r="E4" s="4049"/>
      <c r="F4" s="4084"/>
      <c r="G4" s="4100" t="s">
        <v>439</v>
      </c>
      <c r="H4" s="4187">
        <f>Forecast!E3</f>
        <v>43107</v>
      </c>
      <c r="I4" s="4188"/>
      <c r="J4" s="442"/>
    </row>
    <row r="5" spans="1:10" ht="27.75">
      <c r="A5" s="4064" t="s">
        <v>440</v>
      </c>
      <c r="B5" s="4065"/>
      <c r="C5" s="4065"/>
      <c r="D5" s="4066">
        <v>13792</v>
      </c>
      <c r="E5" s="4067">
        <v>0.83333333333333337</v>
      </c>
      <c r="F5" s="4068" t="s">
        <v>441</v>
      </c>
      <c r="G5" s="4371">
        <v>42851</v>
      </c>
      <c r="H5" s="4069"/>
      <c r="I5" s="4070"/>
      <c r="J5" s="442"/>
    </row>
    <row r="6" spans="1:10" ht="27.75">
      <c r="A6" s="4071" t="s">
        <v>442</v>
      </c>
      <c r="B6" s="4072"/>
      <c r="C6" s="4189">
        <f>Generation!B1</f>
        <v>43106</v>
      </c>
      <c r="D6" s="4072" t="s">
        <v>443</v>
      </c>
      <c r="E6" s="4072"/>
      <c r="F6" s="4073" t="s">
        <v>444</v>
      </c>
      <c r="G6" s="4074"/>
      <c r="H6" s="4074"/>
      <c r="I6" s="4075"/>
      <c r="J6" s="1254"/>
    </row>
    <row r="7" spans="1:10" ht="27.75">
      <c r="A7" s="4076" t="s">
        <v>445</v>
      </c>
      <c r="B7" s="4077"/>
      <c r="C7" s="4078">
        <f>YesterdayGen!D41</f>
        <v>6932</v>
      </c>
      <c r="D7" s="4077" t="s">
        <v>940</v>
      </c>
      <c r="E7" s="4079">
        <f>YesterdayGen!E41</f>
        <v>0.5</v>
      </c>
      <c r="F7" s="4080" t="s">
        <v>446</v>
      </c>
      <c r="G7" s="4081">
        <f>Master!E48</f>
        <v>0.20833333333333401</v>
      </c>
      <c r="H7" s="4082">
        <f>Master!D48</f>
        <v>5475</v>
      </c>
      <c r="I7" s="4083" t="s">
        <v>36</v>
      </c>
      <c r="J7" s="442"/>
    </row>
    <row r="8" spans="1:10" ht="27.75">
      <c r="A8" s="4076" t="s">
        <v>447</v>
      </c>
      <c r="B8" s="4084"/>
      <c r="C8" s="4085">
        <f>YesterdayGen!D42</f>
        <v>8218</v>
      </c>
      <c r="D8" s="4077" t="s">
        <v>940</v>
      </c>
      <c r="E8" s="4079">
        <f>YesterdayGen!E42</f>
        <v>0.8125</v>
      </c>
      <c r="F8" s="4077" t="s">
        <v>796</v>
      </c>
      <c r="G8" s="4084"/>
      <c r="H8" s="4086">
        <f>Forecast!G205</f>
        <v>12061</v>
      </c>
      <c r="I8" s="4083" t="s">
        <v>36</v>
      </c>
      <c r="J8" s="442"/>
    </row>
    <row r="9" spans="1:10" ht="27.75">
      <c r="A9" s="4076" t="s">
        <v>448</v>
      </c>
      <c r="B9" s="4084"/>
      <c r="C9" s="4085">
        <f>Forecast!P186</f>
        <v>8218</v>
      </c>
      <c r="D9" s="4077" t="s">
        <v>940</v>
      </c>
      <c r="E9" s="4087">
        <f>E8</f>
        <v>0.8125</v>
      </c>
      <c r="F9" s="4077" t="s">
        <v>449</v>
      </c>
      <c r="G9" s="4084"/>
      <c r="H9" s="4086">
        <f>Forecast!G204</f>
        <v>9200</v>
      </c>
      <c r="I9" s="4083" t="s">
        <v>36</v>
      </c>
      <c r="J9" s="442"/>
    </row>
    <row r="10" spans="1:10" ht="27.75">
      <c r="A10" s="4076" t="s">
        <v>450</v>
      </c>
      <c r="B10" s="4084"/>
      <c r="C10" s="4085">
        <f>YesterdayGen!D40</f>
        <v>8218</v>
      </c>
      <c r="D10" s="4077" t="s">
        <v>940</v>
      </c>
      <c r="E10" s="4087">
        <f>YesterdayGen!E40</f>
        <v>0.8125</v>
      </c>
      <c r="F10" s="4088" t="s">
        <v>364</v>
      </c>
      <c r="G10" s="4089"/>
      <c r="H10" s="4086">
        <f>Forecast!G207</f>
        <v>2861</v>
      </c>
      <c r="I10" s="4083" t="s">
        <v>36</v>
      </c>
      <c r="J10" s="442"/>
    </row>
    <row r="11" spans="1:10" ht="27.75">
      <c r="A11" s="4090" t="s">
        <v>451</v>
      </c>
      <c r="B11" s="4091"/>
      <c r="C11" s="4092">
        <f>Forecast!E189</f>
        <v>166.23389600000002</v>
      </c>
      <c r="D11" s="4093" t="s">
        <v>797</v>
      </c>
      <c r="E11" s="4094">
        <f>YesterdayGen!D45</f>
        <v>0.84283430680619775</v>
      </c>
      <c r="F11" s="4091" t="s">
        <v>452</v>
      </c>
      <c r="G11" s="4091"/>
      <c r="H11" s="4095">
        <f>Forecast!O204</f>
        <v>0</v>
      </c>
      <c r="I11" s="4096" t="s">
        <v>36</v>
      </c>
      <c r="J11" s="442"/>
    </row>
    <row r="12" spans="1:10" ht="25.9" customHeight="1">
      <c r="A12" s="4097"/>
      <c r="B12" s="4084"/>
      <c r="C12" s="4084"/>
      <c r="D12" s="4098" t="s">
        <v>453</v>
      </c>
      <c r="E12" s="4099"/>
      <c r="F12" s="4099"/>
      <c r="G12" s="4084"/>
      <c r="H12" s="4084"/>
      <c r="I12" s="4083"/>
      <c r="J12" s="1255"/>
    </row>
    <row r="13" spans="1:10" ht="22.9" customHeight="1">
      <c r="A13" s="4097" t="s">
        <v>454</v>
      </c>
      <c r="B13" s="4084"/>
      <c r="C13" s="4084"/>
      <c r="D13" s="4086">
        <f>Forecast!F200</f>
        <v>-276</v>
      </c>
      <c r="E13" s="4084" t="s">
        <v>455</v>
      </c>
      <c r="F13" s="4087">
        <f>Forecast!H200</f>
        <v>0.33333333333333331</v>
      </c>
      <c r="G13" s="4100" t="s">
        <v>456</v>
      </c>
      <c r="H13" s="4101"/>
      <c r="I13" s="4102" t="s">
        <v>457</v>
      </c>
      <c r="J13" s="442"/>
    </row>
    <row r="14" spans="1:10" ht="23.45" customHeight="1">
      <c r="A14" s="4097" t="s">
        <v>458</v>
      </c>
      <c r="B14" s="4084"/>
      <c r="C14" s="4084"/>
      <c r="D14" s="4103" t="s">
        <v>459</v>
      </c>
      <c r="E14" s="4084" t="s">
        <v>455</v>
      </c>
      <c r="F14" s="4087" t="s">
        <v>460</v>
      </c>
      <c r="G14" s="4100" t="s">
        <v>456</v>
      </c>
      <c r="H14" s="4100" t="s">
        <v>461</v>
      </c>
      <c r="I14" s="4102" t="s">
        <v>457</v>
      </c>
      <c r="J14" s="442"/>
    </row>
    <row r="15" spans="1:10" ht="27.75">
      <c r="A15" s="4050"/>
      <c r="B15" s="4051" t="s">
        <v>1321</v>
      </c>
      <c r="C15" s="4104"/>
      <c r="D15" s="4105">
        <f>H4</f>
        <v>43107</v>
      </c>
      <c r="E15" s="4106"/>
      <c r="F15" s="4107"/>
      <c r="G15" s="4107"/>
      <c r="H15" s="4107"/>
      <c r="I15" s="4108"/>
      <c r="J15" s="1255"/>
    </row>
    <row r="16" spans="1:10" ht="27.75">
      <c r="A16" s="4109" t="s">
        <v>462</v>
      </c>
      <c r="B16" s="4110">
        <f>Forecast!K214</f>
        <v>97.25</v>
      </c>
      <c r="C16" s="4111" t="s">
        <v>463</v>
      </c>
      <c r="D16" s="4112" t="s">
        <v>464</v>
      </c>
      <c r="E16" s="4113">
        <f>Forecast!O214</f>
        <v>101.67</v>
      </c>
      <c r="F16" s="4111" t="s">
        <v>465</v>
      </c>
      <c r="G16" s="4111"/>
      <c r="H16" s="4111"/>
      <c r="I16" s="4096"/>
      <c r="J16" s="1256"/>
    </row>
    <row r="17" spans="1:13" ht="27.75">
      <c r="A17" s="4076"/>
      <c r="B17" s="4114"/>
      <c r="C17" s="4115"/>
      <c r="D17" s="4116"/>
      <c r="E17" s="4077"/>
      <c r="F17" s="4084"/>
      <c r="G17" s="4077"/>
      <c r="H17" s="4077"/>
      <c r="I17" s="4117"/>
      <c r="J17" s="442"/>
    </row>
    <row r="18" spans="1:13" ht="27.75">
      <c r="A18" s="4076" t="s">
        <v>466</v>
      </c>
      <c r="B18" s="4100" t="s">
        <v>798</v>
      </c>
      <c r="C18" s="4118">
        <f>Forecast!F195</f>
        <v>739.35</v>
      </c>
      <c r="D18" s="4077" t="s">
        <v>467</v>
      </c>
      <c r="E18" s="4119" t="s">
        <v>468</v>
      </c>
      <c r="F18" s="4084"/>
      <c r="G18" s="4077"/>
      <c r="H18" s="4120"/>
      <c r="I18" s="4117"/>
      <c r="J18" s="442"/>
    </row>
    <row r="19" spans="1:13" ht="27.75">
      <c r="A19" s="4076"/>
      <c r="B19" s="4114"/>
      <c r="C19" s="4115"/>
      <c r="D19" s="4116"/>
      <c r="E19" s="4084"/>
      <c r="F19" s="4084"/>
      <c r="G19" s="4077" t="s">
        <v>469</v>
      </c>
      <c r="H19" s="4120"/>
      <c r="I19" s="4117" t="s">
        <v>470</v>
      </c>
      <c r="J19" s="442"/>
    </row>
    <row r="20" spans="1:13" ht="27.75">
      <c r="A20" s="4076"/>
      <c r="B20" s="4116"/>
      <c r="C20" s="4115"/>
      <c r="D20" s="4116"/>
      <c r="E20" s="4103"/>
      <c r="F20" s="4103"/>
      <c r="G20" s="4077" t="s">
        <v>471</v>
      </c>
      <c r="H20" s="4120"/>
      <c r="I20" s="4117" t="s">
        <v>470</v>
      </c>
      <c r="J20" s="442"/>
    </row>
    <row r="21" spans="1:13" ht="27.75">
      <c r="A21" s="4076"/>
      <c r="B21" s="4116"/>
      <c r="C21" s="4115"/>
      <c r="D21" s="4116"/>
      <c r="E21" s="4077"/>
      <c r="F21" s="4077"/>
      <c r="G21" s="4084"/>
      <c r="H21" s="4084"/>
      <c r="I21" s="4083"/>
      <c r="J21" s="442"/>
    </row>
    <row r="22" spans="1:13" ht="27.75">
      <c r="A22" s="4121" t="s">
        <v>472</v>
      </c>
      <c r="B22" s="1790"/>
      <c r="C22" s="4122" t="s">
        <v>473</v>
      </c>
      <c r="D22" s="4123">
        <f>Forecast!F196</f>
        <v>95679992.172000006</v>
      </c>
      <c r="E22" s="4119"/>
      <c r="F22" s="4084"/>
      <c r="G22" s="4084"/>
      <c r="H22" s="4084"/>
      <c r="I22" s="4083"/>
      <c r="J22" s="442"/>
    </row>
    <row r="23" spans="1:13" ht="27.75">
      <c r="A23" s="4090" t="s">
        <v>1160</v>
      </c>
      <c r="B23" s="4124"/>
      <c r="C23" s="4125" t="s">
        <v>779</v>
      </c>
      <c r="D23" s="4126">
        <f>Forecast!F197</f>
        <v>34335874</v>
      </c>
      <c r="E23" s="4127" t="s">
        <v>474</v>
      </c>
      <c r="F23" s="4128">
        <f>Forecast!I196</f>
        <v>323219477.30999994</v>
      </c>
      <c r="G23" s="4127" t="s">
        <v>475</v>
      </c>
      <c r="H23" s="4129">
        <f>Forecast!I197</f>
        <v>453235343.48199993</v>
      </c>
      <c r="I23" s="4130"/>
      <c r="J23" s="442"/>
    </row>
    <row r="24" spans="1:13" ht="27.75">
      <c r="A24" s="4097"/>
      <c r="B24" s="4084"/>
      <c r="C24" s="4084"/>
      <c r="D24" s="4084"/>
      <c r="E24" s="4084"/>
      <c r="F24" s="4084"/>
      <c r="G24" s="4084"/>
      <c r="H24" s="4084"/>
      <c r="I24" s="4083"/>
      <c r="J24" s="1255"/>
    </row>
    <row r="25" spans="1:13" ht="27.75">
      <c r="A25" s="4076"/>
      <c r="B25" s="4084"/>
      <c r="C25" s="4131" t="s">
        <v>476</v>
      </c>
      <c r="D25" s="4084"/>
      <c r="E25" s="4119"/>
      <c r="F25" s="4084"/>
      <c r="G25" s="4084"/>
      <c r="H25" s="4119"/>
      <c r="I25" s="4132"/>
      <c r="J25" s="442"/>
    </row>
    <row r="26" spans="1:13" ht="27.75">
      <c r="A26" s="4097"/>
      <c r="B26" s="4133"/>
      <c r="C26" s="4084"/>
      <c r="D26" s="4084"/>
      <c r="E26" s="4084"/>
      <c r="F26" s="4084"/>
      <c r="G26" s="4084"/>
      <c r="H26" s="4084"/>
      <c r="I26" s="4083"/>
      <c r="J26" s="442"/>
    </row>
    <row r="27" spans="1:13" ht="27.75">
      <c r="A27" s="4134" t="s">
        <v>477</v>
      </c>
      <c r="B27" s="4135" t="s">
        <v>478</v>
      </c>
      <c r="C27" s="4136"/>
      <c r="D27" s="4136"/>
      <c r="E27" s="4137"/>
      <c r="F27" s="4136" t="s">
        <v>479</v>
      </c>
      <c r="G27" s="4138"/>
      <c r="H27" s="4139"/>
      <c r="I27" s="4140"/>
      <c r="J27" s="1259"/>
    </row>
    <row r="28" spans="1:13" ht="27.75">
      <c r="A28" s="4097"/>
      <c r="B28" s="4119" t="s">
        <v>18</v>
      </c>
      <c r="C28" s="4119"/>
      <c r="D28" s="4141" t="s">
        <v>480</v>
      </c>
      <c r="E28" s="4119"/>
      <c r="F28" s="4119" t="s">
        <v>481</v>
      </c>
      <c r="G28" s="4142"/>
      <c r="H28" s="4143" t="s">
        <v>482</v>
      </c>
      <c r="I28" s="4117"/>
      <c r="J28" s="1255"/>
    </row>
    <row r="29" spans="1:13" ht="27.75">
      <c r="A29" s="4144"/>
      <c r="B29" s="4145" t="s">
        <v>36</v>
      </c>
      <c r="C29" s="4145"/>
      <c r="D29" s="4146" t="s">
        <v>36</v>
      </c>
      <c r="E29" s="4146"/>
      <c r="F29" s="4127"/>
      <c r="G29" s="4091" t="s">
        <v>36</v>
      </c>
      <c r="H29" s="4147" t="s">
        <v>483</v>
      </c>
      <c r="I29" s="4083"/>
      <c r="J29" s="442"/>
    </row>
    <row r="30" spans="1:13" ht="27.75">
      <c r="A30" s="4148" t="s">
        <v>10</v>
      </c>
      <c r="B30" s="4120">
        <f>Forecast!M192</f>
        <v>0</v>
      </c>
      <c r="C30" s="4149">
        <f>Forecast!N192</f>
        <v>0</v>
      </c>
      <c r="D30" s="4120">
        <f>Forecast!W190</f>
        <v>3341.4028023850087</v>
      </c>
      <c r="E30" s="4080"/>
      <c r="F30" s="4150"/>
      <c r="G30" s="4151">
        <f>Forecast!J209</f>
        <v>0</v>
      </c>
      <c r="H30" s="4152">
        <f>Forecast!S193</f>
        <v>0</v>
      </c>
      <c r="I30" s="4153"/>
      <c r="J30" s="1257"/>
      <c r="K30" s="436"/>
      <c r="L30" s="437"/>
      <c r="M30" s="438"/>
    </row>
    <row r="31" spans="1:13" ht="27.75">
      <c r="A31" s="4154" t="s">
        <v>484</v>
      </c>
      <c r="B31" s="4120">
        <f>Forecast!M193</f>
        <v>0</v>
      </c>
      <c r="C31" s="4149">
        <f>Forecast!N193</f>
        <v>0</v>
      </c>
      <c r="D31" s="4120">
        <f>Forecast!W191</f>
        <v>1131.8644463373084</v>
      </c>
      <c r="E31" s="1790"/>
      <c r="F31" s="4150"/>
      <c r="G31" s="4155">
        <f>Forecast!K209</f>
        <v>0</v>
      </c>
      <c r="H31" s="4152">
        <f>Forecast!S194</f>
        <v>0</v>
      </c>
      <c r="I31" s="4156"/>
      <c r="J31" s="1253"/>
      <c r="K31" s="436"/>
      <c r="L31" s="437"/>
      <c r="M31" s="438"/>
    </row>
    <row r="32" spans="1:13" ht="27.75">
      <c r="A32" s="4154" t="s">
        <v>485</v>
      </c>
      <c r="B32" s="4120">
        <f>Forecast!M194</f>
        <v>0</v>
      </c>
      <c r="C32" s="4149">
        <f>Forecast!N194</f>
        <v>0</v>
      </c>
      <c r="D32" s="4120">
        <f>Forecast!W192</f>
        <v>1013.329454855196</v>
      </c>
      <c r="E32" s="1790"/>
      <c r="F32" s="4150" t="s">
        <v>169</v>
      </c>
      <c r="G32" s="4155">
        <f>Forecast!L209</f>
        <v>0</v>
      </c>
      <c r="H32" s="4152">
        <f>Forecast!S195</f>
        <v>0</v>
      </c>
      <c r="I32" s="4156"/>
      <c r="J32" s="1253"/>
      <c r="K32" s="436"/>
      <c r="L32" s="437"/>
      <c r="M32" s="438"/>
    </row>
    <row r="33" spans="1:13" ht="27.75">
      <c r="A33" s="4154" t="s">
        <v>486</v>
      </c>
      <c r="B33" s="4120">
        <f>Forecast!M195</f>
        <v>0</v>
      </c>
      <c r="C33" s="4149">
        <f>Forecast!N195</f>
        <v>0</v>
      </c>
      <c r="D33" s="4120">
        <f>Forecast!W193</f>
        <v>915.35043867120953</v>
      </c>
      <c r="E33" s="1790"/>
      <c r="F33" s="4150"/>
      <c r="G33" s="4155">
        <f>Forecast!M209</f>
        <v>0</v>
      </c>
      <c r="H33" s="4152">
        <f>Forecast!S196</f>
        <v>0</v>
      </c>
      <c r="I33" s="4156"/>
      <c r="J33" s="1253"/>
      <c r="K33" s="436"/>
      <c r="L33" s="437"/>
      <c r="M33" s="438"/>
    </row>
    <row r="34" spans="1:13" ht="27.75">
      <c r="A34" s="4154" t="s">
        <v>1219</v>
      </c>
      <c r="B34" s="4120">
        <f>Forecast!M196</f>
        <v>0</v>
      </c>
      <c r="C34" s="4149">
        <f>Forecast!N196</f>
        <v>0</v>
      </c>
      <c r="D34" s="4120">
        <f>Forecast!W194</f>
        <v>827.34235945485534</v>
      </c>
      <c r="E34" s="1790"/>
      <c r="F34" s="4150"/>
      <c r="G34" s="4155">
        <f>Forecast!N209</f>
        <v>0</v>
      </c>
      <c r="H34" s="4152">
        <f>Forecast!S197</f>
        <v>0</v>
      </c>
      <c r="I34" s="4156"/>
      <c r="J34" s="1253"/>
      <c r="K34" s="436"/>
      <c r="L34" s="437"/>
      <c r="M34" s="438"/>
    </row>
    <row r="35" spans="1:13" ht="27.75">
      <c r="A35" s="4154" t="s">
        <v>487</v>
      </c>
      <c r="B35" s="4120">
        <f>Forecast!M197</f>
        <v>0</v>
      </c>
      <c r="C35" s="4149">
        <f>Forecast!N197</f>
        <v>0</v>
      </c>
      <c r="D35" s="4120">
        <f>Forecast!W195</f>
        <v>667.62491056218062</v>
      </c>
      <c r="E35" s="1790"/>
      <c r="F35" s="4150"/>
      <c r="G35" s="4155">
        <f>Forecast!O209</f>
        <v>0</v>
      </c>
      <c r="H35" s="4152">
        <f>Forecast!S198</f>
        <v>0</v>
      </c>
      <c r="I35" s="4156"/>
      <c r="J35" s="1253"/>
      <c r="K35" s="436"/>
      <c r="L35" s="437"/>
      <c r="M35" s="438"/>
    </row>
    <row r="36" spans="1:13" ht="27.75">
      <c r="A36" s="4154" t="s">
        <v>488</v>
      </c>
      <c r="B36" s="4120">
        <f>Forecast!M198</f>
        <v>0</v>
      </c>
      <c r="C36" s="4149">
        <f>Forecast!N198</f>
        <v>0</v>
      </c>
      <c r="D36" s="4120">
        <f>Forecast!W196</f>
        <v>378.96181005110731</v>
      </c>
      <c r="E36" s="1790"/>
      <c r="F36" s="4150"/>
      <c r="G36" s="4155">
        <f>Forecast!P209</f>
        <v>0</v>
      </c>
      <c r="H36" s="4152">
        <f>Forecast!S199</f>
        <v>0</v>
      </c>
      <c r="I36" s="4156"/>
      <c r="J36" s="1253"/>
      <c r="K36" s="436"/>
      <c r="L36" s="437"/>
      <c r="M36" s="438"/>
    </row>
    <row r="37" spans="1:13" ht="27.75">
      <c r="A37" s="4154" t="s">
        <v>489</v>
      </c>
      <c r="B37" s="4120">
        <f>Forecast!M199</f>
        <v>0</v>
      </c>
      <c r="C37" s="4149">
        <f>Forecast!N199</f>
        <v>0</v>
      </c>
      <c r="D37" s="4120">
        <f>Forecast!W197</f>
        <v>172.04522146507665</v>
      </c>
      <c r="E37" s="1790"/>
      <c r="F37" s="4150"/>
      <c r="G37" s="4155">
        <f>Forecast!Q209</f>
        <v>0</v>
      </c>
      <c r="H37" s="4152">
        <f>Forecast!S200</f>
        <v>0</v>
      </c>
      <c r="I37" s="4156"/>
      <c r="J37" s="1253"/>
      <c r="K37" s="436"/>
      <c r="L37" s="437"/>
      <c r="M37" s="438"/>
    </row>
    <row r="38" spans="1:13" ht="27.75">
      <c r="A38" s="4154" t="s">
        <v>490</v>
      </c>
      <c r="B38" s="4120">
        <f>Forecast!M200</f>
        <v>0</v>
      </c>
      <c r="C38" s="4149">
        <f>Forecast!N200</f>
        <v>0</v>
      </c>
      <c r="D38" s="4120">
        <f>Forecast!W198</f>
        <v>514.87839863713793</v>
      </c>
      <c r="E38" s="1790"/>
      <c r="F38" s="4150"/>
      <c r="G38" s="4155">
        <f>Forecast!R209</f>
        <v>0</v>
      </c>
      <c r="H38" s="4152">
        <f>Forecast!S201</f>
        <v>0</v>
      </c>
      <c r="I38" s="4157"/>
      <c r="J38" s="1253"/>
      <c r="K38" s="436"/>
      <c r="L38" s="437"/>
      <c r="M38" s="438"/>
    </row>
    <row r="39" spans="1:13" ht="27.75">
      <c r="A39" s="4158" t="s">
        <v>491</v>
      </c>
      <c r="B39" s="4159">
        <f>SUM(B30:B38)</f>
        <v>0</v>
      </c>
      <c r="C39" s="4159"/>
      <c r="D39" s="4159">
        <f>SUM(D30:D38)</f>
        <v>8962.7998424190791</v>
      </c>
      <c r="E39" s="4160"/>
      <c r="F39" s="4161"/>
      <c r="G39" s="4159">
        <f>IF(SUM(G30:G38)&lt;2,0,SUM(G30:G38))</f>
        <v>0</v>
      </c>
      <c r="H39" s="4160"/>
      <c r="I39" s="4157"/>
      <c r="J39" s="1258"/>
      <c r="K39" s="436"/>
      <c r="L39" s="437"/>
      <c r="M39" s="439"/>
    </row>
    <row r="40" spans="1:13" ht="27.75">
      <c r="A40" s="4097"/>
      <c r="B40" s="4100"/>
      <c r="C40" s="4098"/>
      <c r="D40" s="4084"/>
      <c r="E40" s="4084"/>
      <c r="F40" s="4084"/>
      <c r="G40" s="4084"/>
      <c r="H40" s="4084"/>
      <c r="I40" s="4083"/>
      <c r="J40" s="442"/>
    </row>
    <row r="41" spans="1:13" ht="27.75">
      <c r="A41" s="4076"/>
      <c r="B41" s="4162" t="s">
        <v>492</v>
      </c>
      <c r="C41" s="4077"/>
      <c r="D41" s="4162"/>
      <c r="E41" s="4162"/>
      <c r="F41" s="4162"/>
      <c r="G41" s="4162"/>
      <c r="H41" s="4162"/>
      <c r="I41" s="4163"/>
      <c r="J41" s="442"/>
    </row>
    <row r="42" spans="1:13" ht="27.75">
      <c r="A42" s="4076"/>
      <c r="B42" s="4162"/>
      <c r="C42" s="4162"/>
      <c r="D42" s="4162"/>
      <c r="E42" s="4162"/>
      <c r="F42" s="4162"/>
      <c r="G42" s="4162"/>
      <c r="H42" s="4164"/>
      <c r="I42" s="4163"/>
      <c r="J42" s="442"/>
    </row>
    <row r="43" spans="1:13" ht="27.75">
      <c r="A43" s="4519" t="s">
        <v>493</v>
      </c>
      <c r="B43" s="4520" t="s">
        <v>494</v>
      </c>
      <c r="C43" s="4520"/>
      <c r="D43" s="4520" t="s">
        <v>495</v>
      </c>
      <c r="E43" s="4521" t="s">
        <v>496</v>
      </c>
      <c r="F43" s="4740"/>
      <c r="G43" s="4521"/>
      <c r="H43" s="4521"/>
      <c r="I43" s="4522"/>
      <c r="J43" s="1254"/>
    </row>
    <row r="44" spans="1:13" ht="29.25" customHeight="1">
      <c r="A44" s="4165"/>
      <c r="B44" s="4222"/>
      <c r="C44" s="4168"/>
      <c r="D44" s="4180"/>
      <c r="E44" s="4737" t="s">
        <v>1482</v>
      </c>
      <c r="F44" s="4741"/>
      <c r="G44" s="1780" t="s">
        <v>1515</v>
      </c>
      <c r="H44" s="4174"/>
      <c r="I44" s="4221"/>
      <c r="J44" s="442"/>
    </row>
    <row r="45" spans="1:13" ht="27" customHeight="1">
      <c r="A45" s="4166"/>
      <c r="B45" s="4167"/>
      <c r="C45" s="4168"/>
      <c r="D45" s="4169"/>
      <c r="E45" s="3598" t="s">
        <v>1636</v>
      </c>
      <c r="F45" s="4742"/>
      <c r="G45" s="1780"/>
      <c r="H45" s="4170"/>
      <c r="I45" s="4171"/>
      <c r="J45" s="442"/>
    </row>
    <row r="46" spans="1:13" ht="27" customHeight="1">
      <c r="A46" s="4172"/>
      <c r="B46" s="4168"/>
      <c r="C46" s="4173"/>
      <c r="D46" s="4169"/>
      <c r="E46" s="3599" t="s">
        <v>1455</v>
      </c>
      <c r="F46" s="4742"/>
      <c r="G46" s="4885"/>
      <c r="H46" s="4884"/>
      <c r="I46" s="4175"/>
      <c r="J46" s="442"/>
    </row>
    <row r="47" spans="1:13" ht="27.75">
      <c r="A47" s="4166"/>
      <c r="B47" s="4168"/>
      <c r="C47" s="4173"/>
      <c r="D47" s="4169"/>
      <c r="E47" s="4214" t="s">
        <v>1366</v>
      </c>
      <c r="F47" s="4742"/>
      <c r="G47" s="1757"/>
      <c r="H47" s="4174"/>
      <c r="I47" s="4176"/>
      <c r="J47" s="442"/>
    </row>
    <row r="48" spans="1:13" ht="27.75">
      <c r="A48" s="4166"/>
      <c r="B48" s="4168"/>
      <c r="C48" s="4173"/>
      <c r="D48" s="4169"/>
      <c r="E48" s="3628" t="s">
        <v>1466</v>
      </c>
      <c r="F48" s="4741"/>
      <c r="G48" s="1757"/>
      <c r="H48" s="4174"/>
      <c r="I48" s="4177"/>
      <c r="J48" s="442"/>
    </row>
    <row r="49" spans="1:28" ht="27.75">
      <c r="A49" s="4166"/>
      <c r="B49" s="4178"/>
      <c r="C49" s="4173"/>
      <c r="D49" s="4179"/>
      <c r="E49" s="4214" t="s">
        <v>1752</v>
      </c>
      <c r="F49" s="4741"/>
      <c r="G49" s="1757"/>
      <c r="H49" s="4174"/>
      <c r="I49" s="4177"/>
      <c r="J49" s="442"/>
    </row>
    <row r="50" spans="1:28" ht="27.75">
      <c r="A50" s="4166"/>
      <c r="B50" s="4178"/>
      <c r="C50" s="4173"/>
      <c r="D50" s="4179"/>
      <c r="E50" s="4916" t="s">
        <v>1469</v>
      </c>
      <c r="F50" s="4741"/>
      <c r="G50" s="1780"/>
      <c r="H50" s="1780"/>
      <c r="I50" s="4177"/>
      <c r="J50" s="442"/>
    </row>
    <row r="51" spans="1:28" ht="30">
      <c r="A51" s="4166"/>
      <c r="B51" s="4178"/>
      <c r="C51" s="4173"/>
      <c r="D51" s="4180"/>
      <c r="E51" s="4917" t="s">
        <v>1599</v>
      </c>
      <c r="F51" s="4741"/>
      <c r="G51" s="1780"/>
      <c r="H51" s="1780"/>
      <c r="I51" s="4177"/>
      <c r="J51" s="442"/>
      <c r="O51" s="3388"/>
    </row>
    <row r="52" spans="1:28" ht="27.75">
      <c r="A52" s="4166"/>
      <c r="B52" s="4181"/>
      <c r="C52" s="4182"/>
      <c r="D52" s="4183" t="s">
        <v>18</v>
      </c>
      <c r="E52" s="4916" t="s">
        <v>1472</v>
      </c>
      <c r="F52" s="4743"/>
      <c r="G52" s="4184"/>
      <c r="H52" s="4185"/>
      <c r="I52" s="4186"/>
      <c r="J52" s="442"/>
    </row>
    <row r="53" spans="1:28" ht="20.25">
      <c r="A53" s="4235"/>
      <c r="B53" s="3557"/>
      <c r="C53" s="3558"/>
      <c r="D53" s="3556"/>
      <c r="E53" s="4738"/>
      <c r="F53" s="4744"/>
      <c r="G53" s="3556"/>
      <c r="H53" s="3556"/>
      <c r="I53" s="3728"/>
      <c r="J53" s="1255"/>
    </row>
    <row r="54" spans="1:28" ht="20.25">
      <c r="A54" s="4236"/>
      <c r="B54" s="3555"/>
      <c r="C54" s="3555"/>
      <c r="D54" s="3555" t="s">
        <v>169</v>
      </c>
      <c r="E54" s="3559"/>
      <c r="F54" s="4238"/>
      <c r="G54" s="3559"/>
      <c r="H54" s="3559"/>
      <c r="I54" s="3727"/>
      <c r="J54" s="442"/>
      <c r="O54" s="959"/>
      <c r="P54" s="959"/>
    </row>
    <row r="55" spans="1:28" ht="20.25">
      <c r="A55" s="4237"/>
      <c r="B55" s="3560" t="s">
        <v>497</v>
      </c>
      <c r="C55" s="3555"/>
      <c r="D55" s="3555"/>
      <c r="E55" s="3559"/>
      <c r="F55" s="4745"/>
      <c r="G55" s="3559"/>
      <c r="H55" s="3559"/>
      <c r="I55" s="3727"/>
      <c r="J55" s="442"/>
      <c r="O55" s="959"/>
      <c r="P55" s="959"/>
    </row>
    <row r="56" spans="1:28" ht="30.75">
      <c r="A56" s="4239"/>
      <c r="B56" s="4240"/>
      <c r="C56" s="4240"/>
      <c r="D56" s="4240"/>
      <c r="E56" s="4739"/>
      <c r="F56" s="4746"/>
      <c r="G56" s="4241"/>
      <c r="H56" s="4241"/>
      <c r="I56" s="4242"/>
      <c r="J56" s="442"/>
      <c r="L56" s="373"/>
      <c r="M56" s="373"/>
      <c r="N56" s="373"/>
      <c r="O56" s="3334"/>
      <c r="P56" s="3117"/>
      <c r="Q56" s="3116"/>
      <c r="R56" s="3116"/>
      <c r="S56" s="3116"/>
      <c r="T56" s="3116"/>
      <c r="U56" s="3067"/>
      <c r="V56" s="3257"/>
      <c r="W56" s="373"/>
      <c r="X56" s="373"/>
      <c r="Y56" s="373"/>
      <c r="Z56" s="373"/>
      <c r="AA56" s="373"/>
    </row>
    <row r="57" spans="1:28" ht="39.950000000000003" customHeight="1">
      <c r="A57" s="5190" t="s">
        <v>1745</v>
      </c>
      <c r="B57" s="3894"/>
      <c r="C57" s="4655"/>
      <c r="D57" s="4655"/>
      <c r="E57" s="4655"/>
      <c r="F57" s="286"/>
      <c r="G57" s="5190"/>
      <c r="H57" s="4655"/>
      <c r="I57" s="4656"/>
      <c r="J57" s="4656"/>
      <c r="K57" s="373"/>
      <c r="L57" s="3335"/>
      <c r="M57" s="5083" t="s">
        <v>1518</v>
      </c>
      <c r="N57" s="3894"/>
      <c r="O57" s="4655"/>
      <c r="P57" s="4655"/>
      <c r="Q57" s="4655"/>
      <c r="R57" s="4648"/>
      <c r="S57" s="1988"/>
      <c r="T57" s="4655"/>
      <c r="U57" s="4750"/>
      <c r="V57" s="3623"/>
      <c r="W57" s="3623"/>
      <c r="X57" s="3623"/>
      <c r="Y57" s="3388"/>
      <c r="Z57" s="2936"/>
      <c r="AA57" s="2936"/>
      <c r="AB57" s="2936"/>
    </row>
    <row r="58" spans="1:28" ht="39.950000000000003" customHeight="1">
      <c r="A58" s="5082" t="s">
        <v>1746</v>
      </c>
      <c r="B58" s="3894"/>
      <c r="C58" s="3894"/>
      <c r="D58" s="3894"/>
      <c r="E58" s="3894"/>
      <c r="F58" s="286"/>
      <c r="G58" s="4642" t="s">
        <v>1720</v>
      </c>
      <c r="H58" s="3894"/>
      <c r="I58" s="4657"/>
      <c r="J58" s="4648"/>
      <c r="K58" s="3624"/>
      <c r="L58" s="4190"/>
      <c r="M58" s="5083" t="s">
        <v>1519</v>
      </c>
      <c r="N58" s="3894"/>
      <c r="O58" s="3894"/>
      <c r="P58" s="3894"/>
      <c r="Q58" s="3894"/>
      <c r="R58" s="4648"/>
      <c r="S58" s="1988"/>
      <c r="T58" s="286"/>
      <c r="U58" s="4751"/>
      <c r="V58" s="4598"/>
      <c r="W58" s="3623"/>
      <c r="X58" s="3623"/>
      <c r="Y58" s="3388"/>
      <c r="Z58" s="2936"/>
      <c r="AA58" s="2936"/>
      <c r="AB58" s="2936"/>
    </row>
    <row r="59" spans="1:28" ht="39.950000000000003" customHeight="1">
      <c r="A59" s="5199"/>
      <c r="G59" s="4605" t="s">
        <v>1721</v>
      </c>
      <c r="H59" s="3894"/>
      <c r="I59" s="4657"/>
      <c r="J59" s="4648"/>
      <c r="K59" s="2936"/>
      <c r="L59" s="4191"/>
      <c r="M59" s="5083" t="s">
        <v>1520</v>
      </c>
      <c r="N59" s="3894"/>
      <c r="O59" s="3894"/>
      <c r="P59" s="3894"/>
      <c r="Q59" s="3894"/>
      <c r="R59" s="4648"/>
      <c r="S59" s="4642"/>
      <c r="T59" s="286"/>
      <c r="U59" s="4751"/>
      <c r="V59" s="3945"/>
      <c r="W59" s="3623"/>
      <c r="X59" s="3623"/>
      <c r="Y59" s="3666"/>
      <c r="Z59" s="2936"/>
      <c r="AA59" s="2936"/>
      <c r="AB59" s="2936"/>
    </row>
    <row r="60" spans="1:28" ht="39.950000000000003" customHeight="1">
      <c r="A60" s="4759" t="s">
        <v>1722</v>
      </c>
      <c r="B60" s="3894"/>
      <c r="C60" s="3894"/>
      <c r="D60" s="3894"/>
      <c r="E60" s="3894"/>
      <c r="F60" s="286"/>
      <c r="G60" s="4759"/>
      <c r="H60" s="3894"/>
      <c r="I60" s="4657"/>
      <c r="J60" s="4648"/>
      <c r="K60" s="4352"/>
      <c r="L60" s="4191"/>
      <c r="M60" s="5083" t="s">
        <v>1521</v>
      </c>
      <c r="N60" s="3894"/>
      <c r="O60" s="3894"/>
      <c r="P60" s="3894"/>
      <c r="Q60" s="3894"/>
      <c r="R60" s="4648"/>
      <c r="S60" s="4642"/>
      <c r="T60" s="286"/>
      <c r="U60" s="4751"/>
      <c r="V60" s="3945"/>
      <c r="W60" s="3623"/>
      <c r="X60" s="3623"/>
      <c r="Y60" s="3388"/>
      <c r="Z60" s="2936"/>
      <c r="AA60" s="2936"/>
      <c r="AB60" s="2936"/>
    </row>
    <row r="61" spans="1:28" ht="39.950000000000003" customHeight="1">
      <c r="A61" s="4759" t="s">
        <v>1723</v>
      </c>
      <c r="B61" s="3894"/>
      <c r="C61" s="3894"/>
      <c r="D61" s="3894"/>
      <c r="E61" s="3894"/>
      <c r="F61" s="286"/>
      <c r="G61" s="5081"/>
      <c r="H61" s="3894"/>
      <c r="I61" s="4657"/>
      <c r="J61" s="4648"/>
      <c r="K61" s="3984"/>
      <c r="L61" s="4191"/>
      <c r="M61" s="5083" t="s">
        <v>1522</v>
      </c>
      <c r="N61" s="3894"/>
      <c r="O61" s="3894"/>
      <c r="P61" s="3894"/>
      <c r="Q61" s="3894"/>
      <c r="R61" s="4648"/>
      <c r="S61" s="4642"/>
      <c r="T61" s="286"/>
      <c r="U61" s="4751"/>
      <c r="V61" s="3945"/>
      <c r="W61" s="3623"/>
      <c r="X61" s="3623"/>
      <c r="Y61" s="3388"/>
      <c r="Z61" s="2936"/>
      <c r="AA61" s="2936"/>
      <c r="AB61" s="2936"/>
    </row>
    <row r="62" spans="1:28" ht="39.950000000000003" customHeight="1">
      <c r="A62" s="5081" t="s">
        <v>1724</v>
      </c>
      <c r="B62" s="3894"/>
      <c r="C62" s="3894"/>
      <c r="D62" s="3894"/>
      <c r="E62" s="3894"/>
      <c r="F62" s="286"/>
      <c r="G62" s="4759"/>
      <c r="H62" s="3894"/>
      <c r="I62" s="4657"/>
      <c r="J62" s="4648"/>
      <c r="K62" s="2936"/>
      <c r="L62" s="4191"/>
      <c r="M62" s="5083" t="s">
        <v>1523</v>
      </c>
      <c r="N62" s="3894"/>
      <c r="O62" s="3894"/>
      <c r="P62" s="3894"/>
      <c r="Q62" s="3894"/>
      <c r="R62" s="4648"/>
      <c r="S62" s="4830"/>
      <c r="T62" s="4830"/>
      <c r="U62" s="4751"/>
      <c r="V62" s="3945"/>
      <c r="W62" s="3623"/>
      <c r="X62" s="3623"/>
      <c r="Y62" s="3388"/>
      <c r="Z62" s="2936"/>
      <c r="AA62" s="2936"/>
      <c r="AB62" s="2936"/>
    </row>
    <row r="63" spans="1:28" ht="39.950000000000003" customHeight="1">
      <c r="A63" s="4759" t="s">
        <v>1725</v>
      </c>
      <c r="B63" s="3894"/>
      <c r="C63" s="3894"/>
      <c r="D63" s="3894"/>
      <c r="E63" s="3894"/>
      <c r="F63" s="286"/>
      <c r="G63" s="4759"/>
      <c r="H63" s="4847"/>
      <c r="I63" s="5191"/>
      <c r="J63" s="4648"/>
      <c r="K63" s="3984"/>
      <c r="L63" s="4191"/>
      <c r="M63" s="5083" t="s">
        <v>1524</v>
      </c>
      <c r="N63" s="4847"/>
      <c r="O63" s="4847"/>
      <c r="P63" s="4847"/>
      <c r="Q63" s="4847"/>
      <c r="R63" s="4648"/>
      <c r="S63" s="4830" t="s">
        <v>1492</v>
      </c>
      <c r="T63" s="4830"/>
      <c r="U63" s="4751"/>
      <c r="V63" s="3945"/>
      <c r="W63" s="3623"/>
      <c r="X63" s="3623"/>
      <c r="Y63" s="3666"/>
      <c r="Z63" s="2936"/>
      <c r="AA63" s="2936"/>
      <c r="AB63" s="2936"/>
    </row>
    <row r="64" spans="1:28" ht="39.950000000000003" customHeight="1">
      <c r="A64" s="4759" t="s">
        <v>1742</v>
      </c>
      <c r="B64" s="4847"/>
      <c r="C64" s="4847"/>
      <c r="D64" s="4847"/>
      <c r="E64" s="4847"/>
      <c r="F64" s="286"/>
      <c r="G64" s="5081"/>
      <c r="H64" s="3894"/>
      <c r="I64" s="4657"/>
      <c r="J64" s="4648"/>
      <c r="K64" s="2936"/>
      <c r="L64" s="4191"/>
      <c r="M64" s="5084" t="s">
        <v>1525</v>
      </c>
      <c r="N64" s="3894"/>
      <c r="O64" s="3894"/>
      <c r="P64" s="3894"/>
      <c r="Q64" s="3894"/>
      <c r="R64" s="4648"/>
      <c r="S64" s="4830" t="s">
        <v>1493</v>
      </c>
      <c r="T64" s="4830"/>
      <c r="U64" s="4751"/>
      <c r="V64" s="3945"/>
      <c r="W64" s="3623"/>
      <c r="X64" s="3623"/>
      <c r="Y64" s="3388"/>
      <c r="Z64" s="2936"/>
      <c r="AA64" s="2936"/>
      <c r="AB64" s="2936"/>
    </row>
    <row r="65" spans="1:28" ht="39.950000000000003" customHeight="1">
      <c r="A65" s="5081" t="s">
        <v>1727</v>
      </c>
      <c r="B65" s="3894"/>
      <c r="C65" s="3894"/>
      <c r="D65" s="3894"/>
      <c r="E65" s="3894"/>
      <c r="F65" s="286"/>
      <c r="G65" s="5199"/>
      <c r="H65" s="3894"/>
      <c r="I65" s="4657"/>
      <c r="J65" s="4648"/>
      <c r="K65" s="4353"/>
      <c r="L65" s="4191"/>
      <c r="M65" s="5083" t="s">
        <v>1526</v>
      </c>
      <c r="N65" s="3894"/>
      <c r="O65" s="3894"/>
      <c r="P65" s="3894"/>
      <c r="Q65" s="3894"/>
      <c r="R65" s="4648"/>
      <c r="S65" s="4830"/>
      <c r="T65" s="286"/>
      <c r="U65" s="4751"/>
      <c r="V65" s="3945"/>
      <c r="W65" s="3623"/>
      <c r="X65" s="3623"/>
      <c r="Y65" s="3388"/>
      <c r="Z65" s="2936"/>
      <c r="AA65" s="2936"/>
      <c r="AB65" s="2936"/>
    </row>
    <row r="66" spans="1:28" ht="39.950000000000003" customHeight="1">
      <c r="A66" s="4759" t="s">
        <v>1728</v>
      </c>
      <c r="B66" s="3894"/>
      <c r="C66" s="3894"/>
      <c r="D66" s="3894"/>
      <c r="E66" s="3894"/>
      <c r="F66" s="286"/>
      <c r="G66" s="4642" t="s">
        <v>1729</v>
      </c>
      <c r="H66" s="3894"/>
      <c r="I66" s="4657"/>
      <c r="J66" s="4648"/>
      <c r="K66" s="1988"/>
      <c r="L66" s="4191"/>
      <c r="M66" s="5083" t="s">
        <v>1527</v>
      </c>
      <c r="N66" s="3894"/>
      <c r="O66" s="3894"/>
      <c r="P66" s="3894"/>
      <c r="Q66" s="3894"/>
      <c r="R66" s="4648"/>
      <c r="S66" s="4762"/>
      <c r="T66" s="286"/>
      <c r="U66" s="4751"/>
      <c r="V66" s="3945"/>
      <c r="W66" s="3623"/>
      <c r="X66" s="3623"/>
      <c r="Y66" s="3666"/>
      <c r="Z66" s="2936"/>
      <c r="AA66" s="2936"/>
      <c r="AB66" s="2936"/>
    </row>
    <row r="67" spans="1:28" ht="39.950000000000003" customHeight="1">
      <c r="A67" s="5199"/>
      <c r="B67" s="3894"/>
      <c r="C67" s="3894"/>
      <c r="D67" s="3894"/>
      <c r="E67" s="3894"/>
      <c r="F67" s="286"/>
      <c r="G67" s="4605" t="s">
        <v>1730</v>
      </c>
      <c r="H67" s="3894"/>
      <c r="I67" s="4657"/>
      <c r="J67" s="4657"/>
      <c r="K67" s="2118"/>
      <c r="L67" s="4191"/>
      <c r="M67" s="5085" t="s">
        <v>1528</v>
      </c>
      <c r="N67" s="3894"/>
      <c r="O67" s="3894"/>
      <c r="P67" s="3894"/>
      <c r="Q67" s="3894"/>
      <c r="R67" s="4648"/>
      <c r="S67" s="4830"/>
      <c r="T67" s="4645"/>
      <c r="U67" s="4752"/>
      <c r="V67" s="3945"/>
      <c r="W67" s="3623"/>
      <c r="X67" s="3623"/>
      <c r="Y67" s="3666"/>
      <c r="Z67" s="2936"/>
      <c r="AA67" s="2936"/>
      <c r="AB67" s="2936"/>
    </row>
    <row r="68" spans="1:28" ht="39.950000000000003" customHeight="1">
      <c r="A68" s="4759" t="s">
        <v>1731</v>
      </c>
      <c r="B68" s="3894"/>
      <c r="C68" s="3894"/>
      <c r="D68" s="3894"/>
      <c r="E68" s="3894"/>
      <c r="F68" s="286"/>
      <c r="G68" s="5082"/>
      <c r="H68" s="3894"/>
      <c r="I68" s="4657"/>
      <c r="J68" s="4657"/>
      <c r="K68" s="3388"/>
      <c r="L68" s="4191"/>
      <c r="M68" s="5085" t="s">
        <v>1529</v>
      </c>
      <c r="N68" s="3894"/>
      <c r="O68" s="3894"/>
      <c r="P68" s="3894"/>
      <c r="Q68" s="3894"/>
      <c r="R68" s="4648"/>
      <c r="S68" s="4830"/>
      <c r="T68" s="4646"/>
      <c r="U68" s="4752"/>
      <c r="V68" s="3945"/>
      <c r="W68" s="3623"/>
      <c r="X68" s="3623"/>
      <c r="Y68" s="3388"/>
      <c r="Z68" s="3016"/>
      <c r="AA68" s="3016"/>
      <c r="AB68" s="3016"/>
    </row>
    <row r="69" spans="1:28" s="7" customFormat="1" ht="39.950000000000003" customHeight="1">
      <c r="A69" s="4759" t="s">
        <v>1732</v>
      </c>
      <c r="B69" s="3894"/>
      <c r="C69" s="3894"/>
      <c r="D69" s="3894"/>
      <c r="E69" s="3894"/>
      <c r="F69" s="286"/>
      <c r="G69" s="5091"/>
      <c r="H69" s="5093"/>
      <c r="I69" s="5192"/>
      <c r="J69" s="4657"/>
      <c r="K69" s="2936"/>
      <c r="L69" s="4191"/>
      <c r="M69" s="5085" t="s">
        <v>1530</v>
      </c>
      <c r="N69" s="3894"/>
      <c r="O69" s="4644"/>
      <c r="P69" s="3894"/>
      <c r="Q69" s="3894"/>
      <c r="R69" s="4648"/>
      <c r="S69" s="4644"/>
      <c r="T69" s="3894"/>
      <c r="U69" s="4752"/>
      <c r="V69" s="3945"/>
      <c r="W69" s="3623"/>
      <c r="X69" s="3623"/>
      <c r="Y69" s="3388"/>
      <c r="Z69" s="2936"/>
      <c r="AA69" s="3016"/>
      <c r="AB69" s="3016"/>
    </row>
    <row r="70" spans="1:28" s="7" customFormat="1" ht="39.950000000000003" customHeight="1">
      <c r="A70" s="5091" t="s">
        <v>1733</v>
      </c>
      <c r="B70" s="5093"/>
      <c r="C70" s="5093"/>
      <c r="D70" s="3894"/>
      <c r="E70" s="3894"/>
      <c r="F70" s="286"/>
      <c r="G70" s="5081"/>
      <c r="H70" s="3894"/>
      <c r="I70" s="4657"/>
      <c r="J70" s="4657"/>
      <c r="K70" s="3984"/>
      <c r="L70" s="4191"/>
      <c r="M70" s="5085" t="s">
        <v>1543</v>
      </c>
      <c r="N70" s="3894"/>
      <c r="O70" s="3894"/>
      <c r="P70" s="3894"/>
      <c r="Q70" s="3894"/>
      <c r="R70" s="4648"/>
      <c r="S70" s="4830"/>
      <c r="T70" s="3894"/>
      <c r="U70" s="4752"/>
      <c r="V70" s="3945"/>
      <c r="W70" s="3623"/>
      <c r="X70" s="3623"/>
      <c r="Y70" s="3388"/>
      <c r="Z70" s="2936"/>
      <c r="AA70" s="3016"/>
      <c r="AB70" s="3016"/>
    </row>
    <row r="71" spans="1:28" s="7" customFormat="1" ht="39.950000000000003" customHeight="1">
      <c r="A71" s="5081" t="s">
        <v>1734</v>
      </c>
      <c r="B71" s="3894"/>
      <c r="C71" s="3894"/>
      <c r="D71" s="3894"/>
      <c r="E71" s="3894"/>
      <c r="F71" s="286"/>
      <c r="G71" s="4759"/>
      <c r="H71" s="3894"/>
      <c r="I71" s="4657"/>
      <c r="J71" s="4658"/>
      <c r="K71" s="1988"/>
      <c r="L71" s="4191"/>
      <c r="M71" s="5083" t="s">
        <v>1531</v>
      </c>
      <c r="N71" s="3894"/>
      <c r="O71" s="3894"/>
      <c r="P71" s="3894"/>
      <c r="Q71" s="3894"/>
      <c r="R71" s="4648"/>
      <c r="S71" s="4830"/>
      <c r="T71" s="3894"/>
      <c r="U71" s="4753"/>
      <c r="V71" s="3945"/>
      <c r="W71" s="3623"/>
      <c r="X71" s="3623"/>
      <c r="Y71" s="3666"/>
      <c r="Z71" s="2936"/>
      <c r="AA71" s="3016"/>
      <c r="AB71" s="3016"/>
    </row>
    <row r="72" spans="1:28" s="7" customFormat="1" ht="39.950000000000003" customHeight="1">
      <c r="A72" s="4759" t="s">
        <v>1735</v>
      </c>
      <c r="B72" s="3894"/>
      <c r="C72" s="3894"/>
      <c r="D72" s="3894"/>
      <c r="E72" s="3894"/>
      <c r="F72" s="286"/>
      <c r="G72" s="4759"/>
      <c r="H72" s="3894"/>
      <c r="I72" s="4657"/>
      <c r="J72" s="4658"/>
      <c r="K72" s="2118"/>
      <c r="L72" s="4191"/>
      <c r="M72" s="5083" t="s">
        <v>1532</v>
      </c>
      <c r="N72" s="3894"/>
      <c r="O72" s="3894"/>
      <c r="P72" s="3894"/>
      <c r="Q72" s="3894"/>
      <c r="R72" s="4648"/>
      <c r="S72" s="4605"/>
      <c r="T72" s="3894"/>
      <c r="U72" s="4753"/>
      <c r="V72" s="3945"/>
      <c r="W72" s="3623"/>
      <c r="X72" s="3623"/>
      <c r="Y72" s="3388"/>
      <c r="Z72" s="3016"/>
      <c r="AA72" s="3016"/>
      <c r="AB72" s="3016"/>
    </row>
    <row r="73" spans="1:28" s="7" customFormat="1" ht="39.950000000000003" customHeight="1">
      <c r="A73" s="4759" t="s">
        <v>1736</v>
      </c>
      <c r="B73" s="3894"/>
      <c r="C73" s="3894"/>
      <c r="D73" s="3894"/>
      <c r="E73" s="3894"/>
      <c r="F73" s="286"/>
      <c r="G73" s="4759"/>
      <c r="H73" s="3894"/>
      <c r="I73" s="4657"/>
      <c r="J73" s="4658"/>
      <c r="K73" s="2936"/>
      <c r="L73" s="4191"/>
      <c r="M73" s="4759" t="s">
        <v>1533</v>
      </c>
      <c r="N73" s="3894"/>
      <c r="O73" s="3894"/>
      <c r="P73" s="3894"/>
      <c r="Q73" s="3894"/>
      <c r="R73" s="4648"/>
      <c r="S73" s="4922"/>
      <c r="T73" s="3894"/>
      <c r="U73" s="4753"/>
      <c r="V73" s="3945"/>
      <c r="W73" s="3623"/>
      <c r="X73" s="3623"/>
      <c r="Y73" s="2161"/>
      <c r="Z73" s="3016"/>
      <c r="AA73" s="2936"/>
      <c r="AB73" s="2936"/>
    </row>
    <row r="74" spans="1:28" ht="39.950000000000003" customHeight="1">
      <c r="A74" s="4759" t="s">
        <v>1737</v>
      </c>
      <c r="B74" s="3894"/>
      <c r="C74" s="3894"/>
      <c r="D74" s="3894"/>
      <c r="E74" s="3894"/>
      <c r="F74" s="286"/>
      <c r="G74" s="4759"/>
      <c r="H74" s="3894"/>
      <c r="I74" s="4657"/>
      <c r="J74" s="4658"/>
      <c r="K74" s="3984"/>
      <c r="L74" s="4191"/>
      <c r="M74" s="4918" t="s">
        <v>1534</v>
      </c>
      <c r="N74" s="3894"/>
      <c r="O74" s="3894"/>
      <c r="P74" s="3894"/>
      <c r="Q74" s="3894"/>
      <c r="R74" s="4648"/>
      <c r="S74" s="5025"/>
      <c r="T74" s="4645"/>
      <c r="U74" s="4753"/>
      <c r="V74" s="3945"/>
      <c r="W74" s="3623"/>
      <c r="X74" s="3623"/>
      <c r="Y74" s="2161"/>
      <c r="Z74" s="3016"/>
      <c r="AA74" s="3015"/>
      <c r="AB74" s="2936"/>
    </row>
    <row r="75" spans="1:28" ht="39.950000000000003" customHeight="1">
      <c r="A75" s="4759" t="s">
        <v>1738</v>
      </c>
      <c r="B75" s="3894"/>
      <c r="C75" s="3894"/>
      <c r="D75" s="3894"/>
      <c r="E75" s="3894"/>
      <c r="F75" s="286"/>
      <c r="G75" s="5199"/>
      <c r="H75" s="3894"/>
      <c r="I75" s="4657"/>
      <c r="J75" s="4658"/>
      <c r="K75" s="2936"/>
      <c r="L75" s="4191"/>
      <c r="M75" s="5083" t="s">
        <v>1535</v>
      </c>
      <c r="N75" s="3894"/>
      <c r="O75" s="3894"/>
      <c r="P75" s="3894"/>
      <c r="Q75" s="3894"/>
      <c r="R75" s="4648"/>
      <c r="S75" s="4605"/>
      <c r="T75" s="4645"/>
      <c r="U75" s="4753"/>
      <c r="V75" s="3945"/>
      <c r="W75" s="3623"/>
      <c r="X75" s="3623"/>
      <c r="Y75" s="3388"/>
      <c r="Z75" s="3016"/>
      <c r="AA75" s="3015"/>
      <c r="AB75" s="2936"/>
    </row>
    <row r="76" spans="1:28" ht="39.950000000000003" customHeight="1">
      <c r="A76" s="4759" t="s">
        <v>1743</v>
      </c>
      <c r="B76" s="3894"/>
      <c r="C76" s="3894"/>
      <c r="D76" s="3894"/>
      <c r="E76" s="3894"/>
      <c r="F76" s="286"/>
      <c r="G76" s="4642" t="s">
        <v>1739</v>
      </c>
      <c r="H76" s="3894"/>
      <c r="I76" s="4657"/>
      <c r="J76" s="4658"/>
      <c r="K76" s="3984"/>
      <c r="L76" s="4191"/>
      <c r="M76" s="4759" t="s">
        <v>1536</v>
      </c>
      <c r="N76" s="3894"/>
      <c r="O76" s="3894"/>
      <c r="P76" s="3894"/>
      <c r="Q76" s="3894"/>
      <c r="R76" s="4648"/>
      <c r="S76" s="4642"/>
      <c r="T76" s="4645"/>
      <c r="U76" s="4753"/>
      <c r="V76" s="3945"/>
      <c r="W76" s="3623"/>
      <c r="X76" s="3623"/>
      <c r="Y76" s="3666"/>
      <c r="Z76" s="3016"/>
      <c r="AA76" s="3015"/>
      <c r="AB76" s="2936"/>
    </row>
    <row r="77" spans="1:28" ht="39.950000000000003" customHeight="1">
      <c r="A77" s="4759"/>
      <c r="B77" s="3894"/>
      <c r="C77" s="3894"/>
      <c r="D77" s="3894"/>
      <c r="E77" s="3894"/>
      <c r="F77" s="286"/>
      <c r="G77" s="4605" t="s">
        <v>1744</v>
      </c>
      <c r="H77" s="3894"/>
      <c r="I77" s="4657"/>
      <c r="J77" s="4658"/>
      <c r="K77" s="1988"/>
      <c r="L77" s="4191"/>
      <c r="M77" s="5085" t="s">
        <v>1537</v>
      </c>
      <c r="N77" s="3894"/>
      <c r="O77" s="3894"/>
      <c r="P77" s="3894"/>
      <c r="Q77" s="3894"/>
      <c r="R77" s="4648"/>
      <c r="S77" s="4642"/>
      <c r="T77" s="4645"/>
      <c r="U77" s="4753"/>
      <c r="V77" s="3945"/>
      <c r="W77" s="3623"/>
      <c r="X77" s="3623"/>
      <c r="Y77" s="3666"/>
      <c r="Z77" s="2936"/>
      <c r="AA77" s="3015"/>
      <c r="AB77" s="3015"/>
    </row>
    <row r="78" spans="1:28" s="959" customFormat="1" ht="39.950000000000003" customHeight="1">
      <c r="A78" s="5082" t="s">
        <v>1740</v>
      </c>
      <c r="B78" s="3894"/>
      <c r="C78" s="3894"/>
      <c r="D78" s="3894"/>
      <c r="E78" s="3894"/>
      <c r="F78" s="286"/>
      <c r="G78" s="5082"/>
      <c r="H78" s="3894"/>
      <c r="I78" s="4657"/>
      <c r="J78" s="4658"/>
      <c r="K78" s="2118"/>
      <c r="L78" s="4192"/>
      <c r="M78" s="4918" t="s">
        <v>1538</v>
      </c>
      <c r="N78" s="3894"/>
      <c r="O78" s="3894"/>
      <c r="P78" s="3894"/>
      <c r="Q78" s="3894"/>
      <c r="R78" s="4648"/>
      <c r="S78" s="4642"/>
      <c r="T78" s="4645"/>
      <c r="U78" s="4753"/>
      <c r="V78" s="3945"/>
      <c r="W78" s="3623"/>
      <c r="X78" s="3623"/>
      <c r="Y78" s="3666"/>
      <c r="Z78" s="3015"/>
      <c r="AA78" s="3015"/>
      <c r="AB78" s="2936"/>
    </row>
    <row r="79" spans="1:28" ht="39.950000000000003" customHeight="1">
      <c r="A79" s="5082" t="s">
        <v>1741</v>
      </c>
      <c r="B79" s="3894"/>
      <c r="C79" s="3894"/>
      <c r="D79" s="3894"/>
      <c r="E79" s="3894"/>
      <c r="F79" s="286"/>
      <c r="G79" s="4759"/>
      <c r="H79" s="4847"/>
      <c r="I79" s="5191"/>
      <c r="J79" s="4658"/>
      <c r="K79" s="2936"/>
      <c r="L79" s="4192"/>
      <c r="M79" s="5083" t="s">
        <v>1539</v>
      </c>
      <c r="N79" s="5086"/>
      <c r="O79" s="5086"/>
      <c r="P79" s="5086"/>
      <c r="Q79" s="5086"/>
      <c r="R79" s="4648"/>
      <c r="S79" s="4830"/>
      <c r="T79" s="4645"/>
      <c r="U79" s="4751"/>
      <c r="V79" s="3945"/>
      <c r="W79" s="3904"/>
      <c r="X79" s="3623"/>
      <c r="Y79" s="3666"/>
      <c r="Z79" s="3909"/>
      <c r="AA79" s="3909"/>
      <c r="AB79" s="3003"/>
    </row>
    <row r="80" spans="1:28" ht="39.950000000000003" customHeight="1">
      <c r="A80" s="4759" t="s">
        <v>1747</v>
      </c>
      <c r="B80" s="4847"/>
      <c r="C80" s="4847"/>
      <c r="D80" s="4847"/>
      <c r="E80" s="4847"/>
      <c r="F80" s="286"/>
      <c r="G80" s="5081"/>
      <c r="H80" s="3894"/>
      <c r="I80" s="4657"/>
      <c r="J80" s="4657"/>
      <c r="K80" s="2936"/>
      <c r="L80" s="4191"/>
      <c r="M80" s="4918" t="s">
        <v>1544</v>
      </c>
      <c r="N80" s="5087"/>
      <c r="O80" s="5087"/>
      <c r="P80" s="5087"/>
      <c r="Q80" s="4919"/>
      <c r="R80" s="4648"/>
      <c r="S80" s="4830"/>
      <c r="T80" s="4646"/>
      <c r="U80" s="4752"/>
      <c r="V80" s="3945"/>
      <c r="W80" s="3904"/>
      <c r="X80" s="3623"/>
      <c r="Y80" s="3388"/>
      <c r="Z80" s="3895"/>
      <c r="AA80" s="3895"/>
      <c r="AB80" s="3336"/>
    </row>
    <row r="81" spans="1:28" ht="39.950000000000003" customHeight="1">
      <c r="A81" s="5081" t="s">
        <v>1749</v>
      </c>
      <c r="B81" s="3894"/>
      <c r="C81" s="3894"/>
      <c r="D81" s="3894"/>
      <c r="E81" s="3894"/>
      <c r="F81" s="286"/>
      <c r="G81" s="4642" t="s">
        <v>1748</v>
      </c>
      <c r="H81" s="3894"/>
      <c r="I81" s="4657"/>
      <c r="J81" s="4657"/>
      <c r="K81" s="3984"/>
      <c r="L81" s="4191"/>
      <c r="M81" s="5083" t="s">
        <v>1540</v>
      </c>
      <c r="N81" s="5088"/>
      <c r="O81" s="5088"/>
      <c r="P81" s="5088"/>
      <c r="Q81" s="5088"/>
      <c r="R81" s="5089"/>
      <c r="S81" s="4830"/>
      <c r="T81" s="4646"/>
      <c r="U81" s="4752"/>
      <c r="V81" s="3945"/>
      <c r="W81" s="3904"/>
      <c r="X81" s="3623"/>
      <c r="Y81" s="3388"/>
      <c r="Z81" s="3895"/>
      <c r="AA81" s="3895"/>
      <c r="AB81" s="3336"/>
    </row>
    <row r="82" spans="1:28" ht="39.950000000000003" customHeight="1">
      <c r="A82" s="4759"/>
      <c r="B82" s="3894"/>
      <c r="C82" s="3894"/>
      <c r="D82" s="3894"/>
      <c r="E82" s="3894"/>
      <c r="F82" s="286"/>
      <c r="G82" s="4605" t="s">
        <v>1750</v>
      </c>
      <c r="H82" s="3894"/>
      <c r="I82" s="4657"/>
      <c r="J82" s="4657"/>
      <c r="K82" s="3984"/>
      <c r="L82" s="4191"/>
      <c r="M82" s="5085" t="s">
        <v>1541</v>
      </c>
      <c r="N82" s="3894"/>
      <c r="O82" s="3894"/>
      <c r="P82" s="3894"/>
      <c r="Q82" s="3894"/>
      <c r="R82" s="4648"/>
      <c r="S82" s="4923"/>
      <c r="T82" s="4646"/>
      <c r="U82" s="4752"/>
      <c r="V82" s="3945"/>
      <c r="W82" s="3904"/>
      <c r="X82" s="3623"/>
      <c r="Y82" s="3666"/>
      <c r="Z82" s="3895"/>
      <c r="AA82" s="3895"/>
      <c r="AB82" s="3336"/>
    </row>
    <row r="83" spans="1:28" ht="39.950000000000003" customHeight="1">
      <c r="A83" s="5082"/>
      <c r="B83" s="3894"/>
      <c r="C83" s="3894"/>
      <c r="D83" s="3894"/>
      <c r="E83" s="3894"/>
      <c r="F83" s="286"/>
      <c r="G83" s="5082" t="s">
        <v>1751</v>
      </c>
      <c r="H83" s="3894"/>
      <c r="I83" s="4657"/>
      <c r="J83" s="4657"/>
      <c r="K83" s="2936"/>
      <c r="L83" s="4191"/>
      <c r="M83" s="5085" t="s">
        <v>1545</v>
      </c>
      <c r="N83" s="3894"/>
      <c r="O83" s="3894"/>
      <c r="P83" s="3894"/>
      <c r="Q83" s="3894"/>
      <c r="R83" s="4648"/>
      <c r="S83" s="4830"/>
      <c r="T83" s="4646"/>
      <c r="U83" s="4752"/>
      <c r="V83" s="3945"/>
      <c r="W83" s="3904"/>
      <c r="X83" s="3904"/>
      <c r="Y83" s="3666"/>
      <c r="Z83" s="3895"/>
      <c r="AA83" s="3895"/>
      <c r="AB83" s="3336"/>
    </row>
    <row r="84" spans="1:28" ht="39.950000000000003" customHeight="1">
      <c r="A84" s="5084"/>
      <c r="B84" s="3894"/>
      <c r="C84" s="3894"/>
      <c r="D84" s="3894"/>
      <c r="E84" s="3894"/>
      <c r="F84" s="286"/>
      <c r="G84" s="5084"/>
      <c r="H84" s="3894"/>
      <c r="I84" s="4657"/>
      <c r="J84" s="4657"/>
      <c r="K84" s="3984"/>
      <c r="L84" s="4191"/>
      <c r="M84" s="5083" t="s">
        <v>1542</v>
      </c>
      <c r="N84" s="3894"/>
      <c r="O84" s="3894"/>
      <c r="P84" s="3894"/>
      <c r="Q84" s="3894"/>
      <c r="R84" s="4648"/>
      <c r="S84" s="4830"/>
      <c r="T84" s="4646"/>
      <c r="U84" s="4752"/>
      <c r="V84" s="3945"/>
      <c r="W84" s="3623"/>
      <c r="X84" s="3623"/>
      <c r="Y84" s="3388"/>
      <c r="Z84" s="3915"/>
      <c r="AA84" s="3915"/>
      <c r="AB84" s="3016"/>
    </row>
    <row r="85" spans="1:28" ht="39.950000000000003" customHeight="1">
      <c r="A85" s="5085"/>
      <c r="B85" s="3894"/>
      <c r="C85" s="3894"/>
      <c r="D85" s="3894"/>
      <c r="E85" s="3894"/>
      <c r="F85" s="286"/>
      <c r="G85" s="5085"/>
      <c r="H85" s="3894"/>
      <c r="I85" s="4657"/>
      <c r="J85" s="4658"/>
      <c r="K85" s="2936"/>
      <c r="L85" s="4191"/>
      <c r="M85" s="5083"/>
      <c r="N85" s="4645"/>
      <c r="O85" s="4645"/>
      <c r="P85" s="4645"/>
      <c r="Q85" s="4646"/>
      <c r="R85" s="4648"/>
      <c r="S85" s="4923"/>
      <c r="T85" s="4785"/>
      <c r="U85" s="4753"/>
      <c r="V85" s="3945"/>
      <c r="W85" s="3623"/>
      <c r="X85" s="3623"/>
      <c r="Y85" s="3666"/>
      <c r="Z85" s="3015"/>
      <c r="AA85" s="3402"/>
      <c r="AB85" s="3402"/>
    </row>
    <row r="86" spans="1:28" ht="39.950000000000003" customHeight="1">
      <c r="A86" s="5085"/>
      <c r="B86" s="4646"/>
      <c r="C86" s="4646"/>
      <c r="D86" s="4646"/>
      <c r="E86" s="4645"/>
      <c r="F86" s="286"/>
      <c r="G86" s="5085"/>
      <c r="H86" s="4646"/>
      <c r="I86" s="4659"/>
      <c r="J86" s="3003"/>
      <c r="K86" s="4295"/>
      <c r="L86" s="4191"/>
      <c r="M86" s="5090" t="s">
        <v>1546</v>
      </c>
      <c r="N86" s="3894"/>
      <c r="O86" s="3894"/>
      <c r="P86" s="3894"/>
      <c r="Q86" s="4645"/>
      <c r="R86" s="4648"/>
      <c r="S86" s="4830"/>
      <c r="T86" s="4921"/>
      <c r="U86" s="4754"/>
      <c r="V86" s="3945"/>
      <c r="W86" s="3623"/>
      <c r="X86" s="3623"/>
      <c r="Y86" s="3916"/>
      <c r="Z86" s="3015"/>
      <c r="AA86" s="3402"/>
      <c r="AB86" s="3414"/>
    </row>
    <row r="87" spans="1:28" ht="30.75" customHeight="1">
      <c r="A87" s="5083"/>
      <c r="B87" s="3894"/>
      <c r="C87" s="3894"/>
      <c r="D87" s="3894"/>
      <c r="E87" s="4646"/>
      <c r="F87" s="286"/>
      <c r="G87" s="5193"/>
      <c r="H87" s="4786"/>
      <c r="I87" s="3945"/>
      <c r="J87" s="3003"/>
      <c r="K87" s="1988"/>
      <c r="L87" s="4193"/>
      <c r="M87" s="5083" t="s">
        <v>1547</v>
      </c>
      <c r="N87" s="4646"/>
      <c r="O87" s="4646"/>
      <c r="P87" s="4646"/>
      <c r="Q87" s="3894"/>
      <c r="R87" s="4648"/>
      <c r="S87" s="4830"/>
      <c r="T87" s="4786"/>
      <c r="U87" s="4754"/>
      <c r="V87" s="3945"/>
      <c r="W87" s="3623"/>
      <c r="X87" s="3623"/>
      <c r="Y87" s="3388"/>
      <c r="Z87" s="3015"/>
      <c r="AA87" s="3402"/>
      <c r="AB87" s="3414"/>
    </row>
    <row r="88" spans="1:28" ht="34.5" customHeight="1">
      <c r="A88" s="4918"/>
      <c r="B88" s="4646"/>
      <c r="C88" s="4646"/>
      <c r="D88" s="4646"/>
      <c r="E88" s="3894"/>
      <c r="F88" s="286"/>
      <c r="G88" s="4605"/>
      <c r="H88" s="4786"/>
      <c r="I88" s="3945"/>
      <c r="J88" s="3003"/>
      <c r="K88" s="1988"/>
      <c r="L88" s="4191"/>
      <c r="M88" s="4787" t="s">
        <v>1494</v>
      </c>
      <c r="N88" s="4646"/>
      <c r="O88" s="4646"/>
      <c r="P88" s="4646"/>
      <c r="Q88" s="4646"/>
      <c r="R88" s="4658"/>
      <c r="S88" s="4643"/>
      <c r="T88" s="4786"/>
      <c r="U88" s="4754"/>
      <c r="V88" s="3945"/>
      <c r="W88" s="3627"/>
      <c r="X88" s="3905"/>
      <c r="Y88" s="3666"/>
      <c r="Z88" s="3016"/>
      <c r="AA88" s="3917"/>
      <c r="AB88" s="3414"/>
    </row>
    <row r="89" spans="1:28" ht="33">
      <c r="A89" s="4759"/>
      <c r="B89" s="4646"/>
      <c r="C89" s="4646"/>
      <c r="D89" s="4646"/>
      <c r="E89" s="4646"/>
      <c r="F89" s="4645"/>
      <c r="G89" s="5193"/>
      <c r="H89" s="4786"/>
      <c r="I89" s="5194"/>
      <c r="J89" s="3016"/>
      <c r="K89" s="3388"/>
      <c r="L89" s="3896"/>
      <c r="M89" s="4644" t="s">
        <v>1495</v>
      </c>
      <c r="N89" s="3894"/>
      <c r="O89" s="3894"/>
      <c r="P89" s="3894"/>
      <c r="Q89" s="4646"/>
      <c r="R89" s="4659"/>
      <c r="S89" s="4830"/>
      <c r="T89" s="4786"/>
      <c r="U89" s="4755"/>
      <c r="V89" s="4284"/>
      <c r="W89" s="3913"/>
      <c r="X89" s="3912"/>
      <c r="Y89" s="3911"/>
      <c r="Z89" s="3912"/>
      <c r="AA89" s="3910"/>
      <c r="AB89" s="3908"/>
    </row>
    <row r="90" spans="1:28" ht="34.5" customHeight="1">
      <c r="A90" s="4918"/>
      <c r="B90" s="3894"/>
      <c r="C90" s="3894"/>
      <c r="D90" s="3894"/>
      <c r="E90" s="4646"/>
      <c r="F90" s="4645"/>
      <c r="G90" s="5193"/>
      <c r="H90" s="4786"/>
      <c r="I90" s="3945"/>
      <c r="J90" s="3016"/>
      <c r="K90" s="3388"/>
      <c r="L90" s="3896"/>
      <c r="M90" s="4787" t="s">
        <v>1496</v>
      </c>
      <c r="N90" s="3894"/>
      <c r="O90" s="3894"/>
      <c r="P90" s="3894"/>
      <c r="Q90" s="3894"/>
      <c r="R90" s="4659"/>
      <c r="S90" s="4830"/>
      <c r="T90" s="4786"/>
      <c r="U90" s="4754"/>
      <c r="V90" s="3625"/>
      <c r="W90" s="3913"/>
      <c r="X90" s="3912"/>
      <c r="Y90" s="3911"/>
      <c r="Z90" s="3912"/>
      <c r="AA90" s="3910"/>
      <c r="AB90" s="3908"/>
    </row>
    <row r="91" spans="1:28" ht="33">
      <c r="A91" s="4918"/>
      <c r="B91" s="3894"/>
      <c r="C91" s="3894"/>
      <c r="D91" s="3894"/>
      <c r="E91" s="4646"/>
      <c r="F91" s="4646"/>
      <c r="G91" s="4882"/>
      <c r="H91" s="3894"/>
      <c r="I91" s="3945"/>
      <c r="J91" s="3016"/>
      <c r="K91" s="3388"/>
      <c r="L91" s="3823"/>
      <c r="M91" s="5021" t="s">
        <v>1497</v>
      </c>
      <c r="N91" s="3894"/>
      <c r="O91" s="3894"/>
      <c r="P91" s="3894"/>
      <c r="Q91" s="3894"/>
      <c r="R91" s="4658"/>
      <c r="S91" s="4642"/>
      <c r="T91" s="3894"/>
      <c r="U91" s="4754"/>
      <c r="V91" s="3625"/>
      <c r="W91" s="3614"/>
      <c r="X91" s="373"/>
      <c r="Y91" s="373"/>
      <c r="Z91" s="373"/>
      <c r="AA91" s="373"/>
    </row>
    <row r="92" spans="1:28" ht="33">
      <c r="A92" s="4759"/>
      <c r="B92" s="3894"/>
      <c r="C92" s="3894"/>
      <c r="D92" s="3894"/>
      <c r="E92" s="3894"/>
      <c r="F92" s="4646"/>
      <c r="G92" s="4883"/>
      <c r="H92" s="3894"/>
      <c r="I92" s="3945"/>
      <c r="J92" s="3016"/>
      <c r="K92" s="3388"/>
      <c r="L92" s="2936"/>
      <c r="M92" s="4787" t="s">
        <v>1498</v>
      </c>
      <c r="N92" s="3894"/>
      <c r="O92" s="3894"/>
      <c r="P92" s="3894"/>
      <c r="Q92" s="3894"/>
      <c r="R92" s="4659"/>
      <c r="S92" s="4643"/>
      <c r="T92" s="3894"/>
      <c r="U92" s="4754"/>
      <c r="V92" s="3625"/>
      <c r="W92" s="3615"/>
      <c r="X92" s="373"/>
      <c r="Y92" s="373"/>
      <c r="Z92" s="373"/>
      <c r="AA92" s="373"/>
    </row>
    <row r="93" spans="1:28" ht="33">
      <c r="A93" s="4759"/>
      <c r="B93" s="3894"/>
      <c r="C93" s="3894"/>
      <c r="D93" s="3894"/>
      <c r="E93" s="3894"/>
      <c r="F93" s="4645"/>
      <c r="G93" s="3388"/>
      <c r="H93" s="3894"/>
      <c r="I93" s="3945"/>
      <c r="J93" s="3016"/>
      <c r="K93" s="3388"/>
      <c r="L93" s="2936"/>
      <c r="M93" s="4644" t="s">
        <v>1513</v>
      </c>
      <c r="N93" s="5026"/>
      <c r="O93" s="3894"/>
      <c r="P93" s="3894"/>
      <c r="Q93" s="3894"/>
      <c r="R93" s="4657"/>
      <c r="S93" s="3772"/>
      <c r="T93" s="3894"/>
      <c r="U93" s="4754"/>
      <c r="V93" s="3625"/>
      <c r="W93" s="2961"/>
      <c r="X93" s="373"/>
      <c r="Y93" s="373"/>
      <c r="Z93" s="373"/>
      <c r="AA93" s="373"/>
    </row>
    <row r="94" spans="1:28" ht="31.5" customHeight="1">
      <c r="A94" s="4759"/>
      <c r="B94" s="3894"/>
      <c r="C94" s="3894"/>
      <c r="D94" s="3894"/>
      <c r="E94" s="3894"/>
      <c r="F94" s="4646"/>
      <c r="G94" s="4644"/>
      <c r="H94" s="3894"/>
      <c r="I94" s="5195"/>
      <c r="J94" s="3336"/>
      <c r="K94" s="3772"/>
      <c r="L94" s="2936"/>
      <c r="M94" s="4644" t="s">
        <v>1499</v>
      </c>
      <c r="N94" s="4646"/>
      <c r="O94" s="4646"/>
      <c r="P94" s="4646"/>
      <c r="Q94" s="4646"/>
      <c r="R94" s="4747"/>
      <c r="S94" s="4644"/>
      <c r="T94" s="3894"/>
      <c r="U94" s="4756"/>
      <c r="V94" s="4286"/>
      <c r="W94" s="2961"/>
      <c r="X94" s="373"/>
      <c r="Y94" s="373"/>
      <c r="Z94" s="373"/>
      <c r="AA94" s="373"/>
    </row>
    <row r="95" spans="1:28" ht="31.5" customHeight="1">
      <c r="A95" s="5082"/>
      <c r="B95" s="3894"/>
      <c r="C95" s="3894"/>
      <c r="D95" s="3894"/>
      <c r="E95" s="3894"/>
      <c r="F95" s="5189"/>
      <c r="G95" s="3906"/>
      <c r="H95" s="373"/>
      <c r="I95" s="5196"/>
      <c r="J95" s="2936"/>
      <c r="K95" s="3388"/>
      <c r="L95" s="3336"/>
      <c r="M95" s="4644" t="s">
        <v>1500</v>
      </c>
      <c r="N95" s="4920"/>
      <c r="O95" s="5027"/>
      <c r="P95" s="5027"/>
      <c r="Q95" s="5027"/>
      <c r="R95" s="4659"/>
      <c r="S95" s="3906"/>
      <c r="T95" s="4844"/>
      <c r="U95" s="4757"/>
      <c r="V95" s="4286"/>
      <c r="W95" s="2961"/>
      <c r="X95" s="373"/>
      <c r="Y95" s="373"/>
      <c r="Z95" s="373"/>
      <c r="AA95" s="373"/>
    </row>
    <row r="96" spans="1:28" ht="31.5" customHeight="1">
      <c r="A96" s="4918"/>
      <c r="B96" s="4920"/>
      <c r="C96" s="2159"/>
      <c r="D96" s="2159"/>
      <c r="E96" s="2159"/>
      <c r="F96" s="4646"/>
      <c r="G96" s="3906"/>
      <c r="H96" s="3894"/>
      <c r="I96" s="5195"/>
      <c r="J96" s="2936"/>
      <c r="K96" s="3388"/>
      <c r="L96" s="2936"/>
      <c r="M96" s="4644" t="s">
        <v>1501</v>
      </c>
      <c r="N96" s="130"/>
      <c r="O96" s="4924"/>
      <c r="P96" s="4924"/>
      <c r="Q96" s="4924"/>
      <c r="S96" s="3906"/>
      <c r="T96" s="3894"/>
      <c r="U96" s="4756"/>
      <c r="V96" s="4289"/>
      <c r="W96" s="2961"/>
      <c r="X96" s="373"/>
      <c r="Y96" s="373"/>
      <c r="Z96" s="373"/>
      <c r="AA96" s="373"/>
    </row>
    <row r="97" spans="1:27" ht="31.5" customHeight="1">
      <c r="A97" s="4918"/>
      <c r="B97" s="130"/>
      <c r="C97" s="4924"/>
      <c r="D97" s="4924"/>
      <c r="E97" s="4924"/>
      <c r="G97" s="2161"/>
      <c r="H97" s="3894"/>
      <c r="I97" s="5196"/>
      <c r="J97" s="3625"/>
      <c r="K97" s="3666"/>
      <c r="L97" s="3336"/>
      <c r="M97" s="4644" t="s">
        <v>1502</v>
      </c>
      <c r="N97" s="286"/>
      <c r="O97" s="4646"/>
      <c r="P97" s="4646"/>
      <c r="Q97" s="4646"/>
      <c r="R97" s="4648"/>
      <c r="S97" s="3003"/>
      <c r="T97" s="3336"/>
      <c r="U97" s="3016"/>
      <c r="V97" s="4292"/>
      <c r="W97" s="2961"/>
      <c r="X97" s="373"/>
      <c r="Y97" s="373"/>
      <c r="Z97" s="373"/>
      <c r="AA97" s="373"/>
    </row>
    <row r="98" spans="1:27" ht="31.5" customHeight="1">
      <c r="A98" s="4644"/>
      <c r="F98" s="373"/>
      <c r="G98" s="2161"/>
      <c r="H98" s="3894"/>
      <c r="I98" s="5197"/>
      <c r="J98" s="3944"/>
      <c r="K98" s="3388"/>
      <c r="L98" s="2936"/>
      <c r="M98" s="3665" t="s">
        <v>1503</v>
      </c>
      <c r="N98" s="3003"/>
      <c r="O98" s="3003"/>
      <c r="P98" s="3003"/>
      <c r="Q98" s="3945"/>
      <c r="R98" s="3665"/>
      <c r="S98" s="3016"/>
      <c r="T98" s="3336"/>
      <c r="U98" s="3336"/>
      <c r="V98" s="4293"/>
      <c r="W98" s="2961"/>
      <c r="X98" s="373"/>
      <c r="Y98" s="373"/>
      <c r="Z98" s="373"/>
      <c r="AA98" s="373"/>
    </row>
    <row r="99" spans="1:27" ht="31.5" customHeight="1">
      <c r="A99" s="4644"/>
      <c r="F99" s="373"/>
      <c r="G99" s="5193"/>
      <c r="H99" s="3894"/>
      <c r="I99" s="5197"/>
      <c r="J99" s="3944"/>
      <c r="K99" s="3388"/>
      <c r="L99" s="2936"/>
      <c r="M99" s="4644" t="s">
        <v>1504</v>
      </c>
      <c r="N99" s="3894"/>
      <c r="O99" s="3894"/>
      <c r="P99" s="3894"/>
      <c r="Q99" s="4657"/>
      <c r="R99" s="4644"/>
      <c r="S99" s="4288" t="s">
        <v>1492</v>
      </c>
      <c r="T99" s="4291"/>
      <c r="U99" s="4287"/>
      <c r="V99" s="4293"/>
      <c r="W99" s="2961"/>
      <c r="X99" s="373"/>
      <c r="Y99" s="373"/>
      <c r="Z99" s="373"/>
      <c r="AA99" s="373"/>
    </row>
    <row r="100" spans="1:27" ht="31.5" customHeight="1">
      <c r="A100" s="4644"/>
      <c r="B100" s="4919"/>
      <c r="C100" s="4919"/>
      <c r="D100" s="4919"/>
      <c r="E100" s="4919"/>
      <c r="F100" s="373"/>
      <c r="G100" s="4642"/>
      <c r="H100" s="286"/>
      <c r="I100" s="5196"/>
      <c r="K100" s="373"/>
      <c r="L100" s="2936"/>
      <c r="M100" s="4605" t="s">
        <v>1505</v>
      </c>
      <c r="N100" s="4645"/>
      <c r="O100" s="4645"/>
      <c r="P100" s="4645"/>
      <c r="Q100" s="4658"/>
      <c r="R100" s="4605"/>
      <c r="S100" s="2936" t="s">
        <v>1506</v>
      </c>
      <c r="T100" s="2936"/>
      <c r="U100" s="3003"/>
      <c r="V100" s="3003"/>
      <c r="W100" s="2961"/>
      <c r="X100" s="373"/>
      <c r="Y100" s="373"/>
      <c r="Z100" s="373"/>
      <c r="AA100" s="373"/>
    </row>
    <row r="101" spans="1:27" ht="31.5" customHeight="1">
      <c r="A101" s="4644"/>
      <c r="B101" s="3894"/>
      <c r="C101" s="3894"/>
      <c r="D101" s="3894"/>
      <c r="E101" s="3894"/>
      <c r="F101" s="3894"/>
      <c r="G101" s="4605"/>
      <c r="H101" s="286"/>
      <c r="I101" s="5196"/>
      <c r="K101" s="373"/>
      <c r="L101" s="2936"/>
      <c r="M101" s="4642" t="s">
        <v>1507</v>
      </c>
      <c r="N101" s="286"/>
      <c r="O101" s="286"/>
      <c r="P101" s="286"/>
      <c r="Q101" s="4648"/>
      <c r="R101" s="4642"/>
      <c r="S101" s="2936"/>
      <c r="T101" s="2936"/>
      <c r="U101" s="2936"/>
      <c r="V101" s="2936"/>
      <c r="W101" s="2961"/>
      <c r="X101" s="373"/>
      <c r="Y101" s="373"/>
      <c r="Z101" s="373"/>
      <c r="AA101" s="373"/>
    </row>
    <row r="102" spans="1:27" ht="31.5" customHeight="1">
      <c r="A102" s="4644"/>
      <c r="B102" s="3894"/>
      <c r="C102" s="3894"/>
      <c r="D102" s="3894"/>
      <c r="E102" s="3894"/>
      <c r="F102" s="3894"/>
      <c r="G102" s="5095"/>
      <c r="H102" s="286"/>
      <c r="I102" s="5196"/>
      <c r="K102" s="373"/>
      <c r="L102" s="2936"/>
      <c r="M102" s="4642" t="s">
        <v>1508</v>
      </c>
      <c r="N102" s="286"/>
      <c r="O102" s="286"/>
      <c r="P102" s="286"/>
      <c r="Q102" s="4648"/>
      <c r="R102" s="4642"/>
      <c r="S102" s="2936" t="s">
        <v>1510</v>
      </c>
      <c r="T102" s="2936"/>
      <c r="U102" s="2936"/>
      <c r="V102" s="2936"/>
      <c r="W102" s="2961"/>
      <c r="X102" s="373"/>
      <c r="Y102" s="373"/>
      <c r="Z102" s="373"/>
      <c r="AA102" s="373"/>
    </row>
    <row r="103" spans="1:27" ht="35.25" customHeight="1">
      <c r="A103" s="4644"/>
      <c r="B103" s="3894"/>
      <c r="C103" s="3894"/>
      <c r="D103" s="3894"/>
      <c r="E103" s="3894"/>
      <c r="F103" s="4646"/>
      <c r="G103" s="5096"/>
      <c r="H103" s="4649"/>
      <c r="I103" s="5196"/>
      <c r="K103" s="373"/>
      <c r="L103" s="3336"/>
      <c r="M103" s="4642" t="s">
        <v>1509</v>
      </c>
      <c r="N103" s="286"/>
      <c r="O103" s="3894"/>
      <c r="P103" s="3894"/>
      <c r="Q103" s="4657"/>
      <c r="R103" s="4642"/>
      <c r="S103" s="2936" t="s">
        <v>1511</v>
      </c>
      <c r="T103" s="2936"/>
      <c r="U103" s="2936"/>
      <c r="V103" s="2936"/>
      <c r="W103" s="2961"/>
      <c r="X103" s="373"/>
      <c r="Y103" s="373"/>
      <c r="Z103" s="373"/>
      <c r="AA103" s="373"/>
    </row>
    <row r="104" spans="1:27" ht="35.25" customHeight="1">
      <c r="A104" s="4605"/>
      <c r="B104" s="286"/>
      <c r="C104" s="3894"/>
      <c r="D104" s="3894"/>
      <c r="E104" s="3894"/>
      <c r="F104" s="286"/>
      <c r="G104" s="4758"/>
      <c r="H104" s="4650"/>
      <c r="I104" s="5196"/>
      <c r="K104" s="373"/>
      <c r="L104" s="2936"/>
      <c r="M104" s="3388" t="s">
        <v>1512</v>
      </c>
      <c r="N104" s="286"/>
      <c r="O104" s="3894"/>
      <c r="P104" s="3894"/>
      <c r="Q104" s="4657"/>
      <c r="R104" s="4642"/>
      <c r="S104" s="2936"/>
      <c r="T104" s="2936"/>
      <c r="U104" s="2936"/>
      <c r="V104" s="2936"/>
      <c r="W104" s="373"/>
      <c r="X104" s="373"/>
      <c r="Y104" s="373"/>
      <c r="Z104" s="373"/>
      <c r="AA104" s="373"/>
    </row>
    <row r="105" spans="1:27" ht="33" customHeight="1">
      <c r="A105" s="4642"/>
      <c r="B105" s="286"/>
      <c r="C105" s="4646"/>
      <c r="D105" s="3894"/>
      <c r="E105" s="3894"/>
      <c r="F105" s="286"/>
      <c r="G105" s="4759"/>
      <c r="H105" s="286"/>
      <c r="I105" s="5196"/>
      <c r="K105" s="373"/>
      <c r="L105" s="2936"/>
      <c r="M105" s="4642" t="s">
        <v>1514</v>
      </c>
      <c r="N105" s="286"/>
      <c r="O105" s="4646"/>
      <c r="P105" s="3894"/>
      <c r="Q105" s="4657"/>
      <c r="R105" s="4642"/>
      <c r="S105" s="2936"/>
      <c r="T105" s="2936"/>
      <c r="U105" s="2936"/>
      <c r="V105" s="2936"/>
      <c r="W105" s="373"/>
      <c r="X105" s="373"/>
      <c r="Y105" s="373"/>
      <c r="Z105" s="373"/>
      <c r="AA105" s="373"/>
    </row>
    <row r="106" spans="1:27" ht="30" hidden="1" customHeight="1">
      <c r="A106" s="4642"/>
      <c r="B106" s="286"/>
      <c r="C106" s="286"/>
      <c r="D106" s="286"/>
      <c r="E106" s="286"/>
      <c r="F106" s="286"/>
      <c r="G106" s="4759"/>
      <c r="H106" s="286"/>
      <c r="I106" s="5196"/>
      <c r="K106" s="373"/>
      <c r="L106" s="1780"/>
      <c r="M106" s="4605" t="s">
        <v>1377</v>
      </c>
      <c r="N106" s="286"/>
      <c r="O106" s="3894"/>
      <c r="P106" s="3894"/>
      <c r="Q106" s="4657"/>
      <c r="R106" s="4605"/>
      <c r="S106" s="3015"/>
      <c r="T106" s="3015"/>
      <c r="U106" s="3336"/>
      <c r="V106" s="2936"/>
      <c r="W106" s="373"/>
      <c r="X106" s="373"/>
      <c r="Y106" s="373"/>
      <c r="Z106" s="373"/>
      <c r="AA106" s="373"/>
    </row>
    <row r="107" spans="1:27" ht="36" customHeight="1" thickBot="1">
      <c r="A107" s="4651"/>
      <c r="B107" s="4652"/>
      <c r="C107" s="4652"/>
      <c r="D107" s="4652"/>
      <c r="E107" s="4652"/>
      <c r="F107" s="4653"/>
      <c r="G107" s="4760"/>
      <c r="H107" s="4653"/>
      <c r="I107" s="5198"/>
      <c r="K107" s="373"/>
      <c r="L107" s="2936"/>
      <c r="M107" s="4643" t="s">
        <v>1385</v>
      </c>
      <c r="N107" s="286"/>
      <c r="O107" s="3894"/>
      <c r="P107" s="4645"/>
      <c r="Q107" s="4658"/>
      <c r="R107" s="4643"/>
      <c r="S107" s="2936"/>
      <c r="T107" s="2936"/>
      <c r="U107" s="3336"/>
      <c r="V107" s="2936"/>
      <c r="W107" s="373"/>
      <c r="X107" s="373"/>
      <c r="Y107" s="373"/>
      <c r="Z107" s="373"/>
      <c r="AA107" s="373"/>
    </row>
    <row r="108" spans="1:27" ht="35.25" customHeight="1">
      <c r="A108" s="3772"/>
      <c r="B108" s="3750"/>
      <c r="C108" s="3750"/>
      <c r="D108" s="3750"/>
      <c r="E108" s="3750"/>
      <c r="F108" s="3455"/>
      <c r="G108" s="3456"/>
      <c r="H108" s="3457"/>
      <c r="I108" s="442"/>
      <c r="K108" s="373"/>
      <c r="L108" s="2936"/>
      <c r="M108" s="4643" t="s">
        <v>1378</v>
      </c>
      <c r="N108" s="286"/>
      <c r="O108" s="3894"/>
      <c r="P108" s="286"/>
      <c r="Q108" s="4648"/>
      <c r="R108" s="4643"/>
      <c r="S108" s="2936"/>
      <c r="T108" s="2936"/>
      <c r="U108" s="2936"/>
      <c r="V108" s="2936"/>
      <c r="W108" s="373"/>
      <c r="X108" s="373"/>
      <c r="Y108" s="373"/>
      <c r="Z108" s="373"/>
      <c r="AA108" s="373"/>
    </row>
    <row r="109" spans="1:27" ht="35.25" customHeight="1">
      <c r="A109" s="3772"/>
      <c r="B109" s="3733"/>
      <c r="C109" s="3733"/>
      <c r="D109" s="3733"/>
      <c r="E109" s="3733"/>
      <c r="F109" s="1903"/>
      <c r="G109" s="1904"/>
      <c r="H109" s="1905"/>
      <c r="I109" s="442"/>
      <c r="K109" s="373"/>
      <c r="L109" s="2936"/>
      <c r="M109" s="4605" t="s">
        <v>1386</v>
      </c>
      <c r="N109" s="286"/>
      <c r="O109" s="4645"/>
      <c r="P109" s="3894"/>
      <c r="Q109" s="4657"/>
      <c r="R109" s="4605"/>
      <c r="S109" s="2936"/>
      <c r="T109" s="2936"/>
      <c r="U109" s="2936"/>
      <c r="V109" s="2936"/>
      <c r="W109" s="373"/>
      <c r="X109" s="373"/>
      <c r="Y109" s="373"/>
      <c r="Z109" s="373"/>
      <c r="AA109" s="373"/>
    </row>
    <row r="110" spans="1:27" ht="31.5" customHeight="1">
      <c r="A110" s="3772"/>
      <c r="B110" s="3901"/>
      <c r="C110" s="3902"/>
      <c r="D110" s="3901"/>
      <c r="E110" s="3903"/>
      <c r="F110" s="433"/>
      <c r="G110" s="434"/>
      <c r="H110" s="3907"/>
      <c r="I110" s="442"/>
      <c r="K110" s="373"/>
      <c r="L110" s="2936"/>
      <c r="M110" s="4643" t="s">
        <v>1379</v>
      </c>
      <c r="N110" s="286"/>
      <c r="O110" s="3894"/>
      <c r="P110" s="3894"/>
      <c r="Q110" s="4657"/>
      <c r="R110" s="4643"/>
      <c r="S110" s="2936"/>
      <c r="T110" s="2936"/>
      <c r="U110" s="2936"/>
      <c r="V110" s="2936"/>
      <c r="W110" s="373"/>
      <c r="X110" s="373"/>
      <c r="Y110" s="373"/>
      <c r="Z110" s="373"/>
      <c r="AA110" s="373"/>
    </row>
    <row r="111" spans="1:27" ht="32.25" customHeight="1">
      <c r="A111" s="3772"/>
      <c r="B111" s="3901"/>
      <c r="C111" s="3901"/>
      <c r="D111" s="3901"/>
      <c r="E111" s="3903"/>
      <c r="F111" s="433"/>
      <c r="G111" s="434"/>
      <c r="H111" s="4052"/>
      <c r="I111" s="442"/>
      <c r="K111" s="373"/>
      <c r="L111" s="2936"/>
      <c r="M111" s="4643" t="s">
        <v>1380</v>
      </c>
      <c r="N111" s="286"/>
      <c r="O111" s="3894"/>
      <c r="P111" s="3894"/>
      <c r="Q111" s="4657"/>
      <c r="R111" s="4643"/>
      <c r="S111" s="2936"/>
      <c r="T111" s="2936"/>
      <c r="U111" s="3336"/>
      <c r="V111" s="2936"/>
      <c r="W111" s="373"/>
      <c r="X111" s="373"/>
      <c r="Y111" s="373"/>
      <c r="Z111" s="373"/>
      <c r="AA111" s="373"/>
    </row>
    <row r="112" spans="1:27" ht="36.75" customHeight="1">
      <c r="A112" s="4054"/>
      <c r="B112" s="4055" t="s">
        <v>1300</v>
      </c>
      <c r="C112" s="4055"/>
      <c r="D112" s="4055"/>
      <c r="E112" s="4055" t="s">
        <v>1319</v>
      </c>
      <c r="F112" s="4055"/>
      <c r="G112" s="4055"/>
      <c r="H112" s="4055" t="s">
        <v>1320</v>
      </c>
      <c r="I112" s="4056"/>
      <c r="K112" s="373"/>
      <c r="L112" s="1780"/>
      <c r="M112" s="4642" t="s">
        <v>1381</v>
      </c>
      <c r="N112" s="286"/>
      <c r="O112" s="3894"/>
      <c r="P112" s="3894"/>
      <c r="Q112" s="4657"/>
      <c r="R112" s="4642"/>
      <c r="S112" s="2936"/>
      <c r="T112" s="2936"/>
      <c r="U112" s="3336"/>
      <c r="V112" s="2936"/>
      <c r="W112" s="373"/>
      <c r="X112" s="373"/>
      <c r="Y112" s="373"/>
      <c r="Z112" s="373"/>
      <c r="AA112" s="373"/>
    </row>
    <row r="113" spans="1:27" ht="30" customHeight="1" thickBot="1">
      <c r="A113" s="4057"/>
      <c r="B113" s="4058" t="s">
        <v>380</v>
      </c>
      <c r="C113" s="4059"/>
      <c r="D113" s="4058"/>
      <c r="E113" s="4060" t="s">
        <v>379</v>
      </c>
      <c r="F113" s="4058"/>
      <c r="G113" s="4061"/>
      <c r="H113" s="4062" t="s">
        <v>610</v>
      </c>
      <c r="I113" s="4063"/>
      <c r="K113" s="373"/>
      <c r="L113" s="3336"/>
      <c r="M113" s="130" t="s">
        <v>1382</v>
      </c>
      <c r="N113" s="286"/>
      <c r="O113" s="4646"/>
      <c r="P113" s="3894"/>
      <c r="Q113" s="4657"/>
      <c r="R113" s="4644"/>
      <c r="S113" s="2936"/>
      <c r="T113" s="2936"/>
      <c r="U113" s="3335"/>
      <c r="V113" s="2936"/>
      <c r="W113" s="373"/>
      <c r="X113" s="373"/>
      <c r="Y113" s="373"/>
      <c r="Z113" s="373"/>
      <c r="AA113" s="373"/>
    </row>
    <row r="114" spans="1:27" ht="29.25" customHeight="1">
      <c r="A114" s="3772"/>
      <c r="B114" s="3901"/>
      <c r="C114" s="3901"/>
      <c r="D114" s="3901"/>
      <c r="E114" s="3903"/>
      <c r="F114" s="433"/>
      <c r="G114" s="434"/>
      <c r="H114" s="4052"/>
      <c r="I114" s="4053"/>
      <c r="K114" s="373"/>
      <c r="L114" s="3898"/>
      <c r="M114" s="4642" t="s">
        <v>1383</v>
      </c>
      <c r="N114" s="286"/>
      <c r="O114" s="3894"/>
      <c r="P114" s="3894"/>
      <c r="Q114" s="4657"/>
      <c r="R114" s="4643"/>
      <c r="S114" s="2936"/>
      <c r="T114" s="2936"/>
      <c r="U114" s="2936"/>
      <c r="V114" s="2936"/>
      <c r="W114" s="373"/>
      <c r="X114" s="373"/>
      <c r="Y114" s="373"/>
      <c r="Z114" s="373"/>
      <c r="AA114" s="373"/>
    </row>
    <row r="115" spans="1:27" ht="22.5" customHeight="1">
      <c r="A115" s="3016"/>
      <c r="B115" s="3751"/>
      <c r="C115" s="3751"/>
      <c r="D115" s="3751"/>
      <c r="E115" s="3751"/>
      <c r="F115" s="2936"/>
      <c r="G115" s="2936"/>
      <c r="H115" s="2936"/>
      <c r="I115" s="2936"/>
      <c r="K115" s="373"/>
      <c r="L115" s="2936"/>
      <c r="M115" s="4642" t="s">
        <v>1384</v>
      </c>
      <c r="N115" s="286"/>
      <c r="O115" s="3894"/>
      <c r="P115" s="4645"/>
      <c r="Q115" s="4658"/>
      <c r="R115" s="4643"/>
      <c r="S115" s="2936"/>
      <c r="T115" s="2936"/>
      <c r="U115" s="2936"/>
      <c r="V115" s="2936"/>
      <c r="W115" s="373"/>
      <c r="X115" s="373"/>
      <c r="Y115" s="373"/>
      <c r="Z115" s="373"/>
      <c r="AA115" s="373"/>
    </row>
    <row r="116" spans="1:27" ht="34.5" customHeight="1">
      <c r="A116" s="3016"/>
      <c r="B116" s="3750"/>
      <c r="C116" s="3750"/>
      <c r="D116" s="3750"/>
      <c r="E116" s="3750"/>
      <c r="F116" s="3016"/>
      <c r="G116" s="3016"/>
      <c r="H116" s="3016"/>
      <c r="I116" s="2936"/>
      <c r="K116" s="373"/>
      <c r="L116" s="2936"/>
      <c r="M116" s="4642" t="s">
        <v>1419</v>
      </c>
      <c r="N116" s="286"/>
      <c r="O116" s="3894"/>
      <c r="P116" s="286"/>
      <c r="Q116" s="4648"/>
      <c r="R116" s="4644"/>
      <c r="S116" s="373"/>
      <c r="T116" s="373"/>
      <c r="U116" s="2936"/>
      <c r="V116" s="2936"/>
      <c r="W116" s="373"/>
      <c r="X116" s="373"/>
      <c r="Y116" s="373"/>
      <c r="Z116" s="373"/>
      <c r="AA116" s="373"/>
    </row>
    <row r="117" spans="1:27" ht="69.75" customHeight="1">
      <c r="A117" s="3016"/>
      <c r="B117" s="3750"/>
      <c r="C117" s="3750"/>
      <c r="D117" s="3750"/>
      <c r="E117" s="3750"/>
      <c r="F117" s="3016"/>
      <c r="G117" s="2936"/>
      <c r="H117" s="3016"/>
      <c r="I117" s="2936"/>
      <c r="K117" s="373"/>
      <c r="L117" s="2936"/>
      <c r="M117" s="4642" t="s">
        <v>1392</v>
      </c>
      <c r="N117" s="4208"/>
      <c r="O117" s="3003"/>
      <c r="P117" s="3015"/>
      <c r="Q117" s="2936"/>
      <c r="R117" s="2936"/>
      <c r="S117" s="2936"/>
      <c r="T117" s="2936"/>
      <c r="U117" s="2936"/>
      <c r="V117" s="2936"/>
      <c r="W117" s="373"/>
      <c r="X117" s="373"/>
      <c r="Y117" s="373"/>
      <c r="Z117" s="373"/>
      <c r="AA117" s="373"/>
    </row>
    <row r="118" spans="1:27" ht="33">
      <c r="A118" s="3016"/>
      <c r="B118" s="3750"/>
      <c r="C118" s="3750"/>
      <c r="D118" s="3750"/>
      <c r="E118" s="3750"/>
      <c r="F118" s="3003"/>
      <c r="G118" s="3003"/>
      <c r="H118" s="3003"/>
      <c r="I118" s="3335"/>
      <c r="K118" s="373"/>
      <c r="L118" s="2936"/>
      <c r="M118" s="4642" t="s">
        <v>1393</v>
      </c>
      <c r="N118" s="4208"/>
      <c r="O118" s="3003"/>
      <c r="P118" s="3015"/>
      <c r="Q118" s="2936"/>
      <c r="R118" s="2936"/>
      <c r="S118" s="2936"/>
      <c r="T118" s="2936"/>
      <c r="U118" s="2936"/>
      <c r="V118" s="2936"/>
      <c r="W118" s="373"/>
      <c r="X118" s="373"/>
      <c r="Y118" s="373"/>
      <c r="Z118" s="373"/>
      <c r="AA118" s="373"/>
    </row>
    <row r="119" spans="1:27" ht="27.75" customHeight="1">
      <c r="A119" s="3016"/>
      <c r="B119" s="3750"/>
      <c r="C119" s="3750"/>
      <c r="D119" s="3750"/>
      <c r="E119" s="3750"/>
      <c r="F119" s="3455"/>
      <c r="G119" s="3456"/>
      <c r="H119" s="3457"/>
      <c r="I119" s="373"/>
      <c r="K119" s="373"/>
      <c r="L119" s="2936"/>
      <c r="M119" s="4642" t="s">
        <v>1394</v>
      </c>
      <c r="N119" s="3665"/>
      <c r="O119" s="4282"/>
      <c r="P119" s="2936"/>
      <c r="Q119" s="2936"/>
      <c r="R119" s="2936"/>
      <c r="S119" s="2936"/>
      <c r="T119" s="2936"/>
      <c r="U119" s="2936"/>
      <c r="V119" s="2936"/>
      <c r="W119" s="373"/>
      <c r="X119" s="373"/>
      <c r="Y119" s="373"/>
      <c r="Z119" s="373"/>
      <c r="AA119" s="373"/>
    </row>
    <row r="120" spans="1:27" ht="33" hidden="1">
      <c r="A120" s="3016"/>
      <c r="B120" s="3733"/>
      <c r="C120" s="3733"/>
      <c r="D120" s="3733"/>
      <c r="E120" s="3733"/>
      <c r="F120" s="1903"/>
      <c r="G120" s="1904"/>
      <c r="H120" s="1905"/>
      <c r="I120" s="373"/>
      <c r="K120" s="373"/>
      <c r="L120" s="2936"/>
      <c r="M120" s="4642" t="s">
        <v>1395</v>
      </c>
      <c r="N120" s="3665"/>
      <c r="O120" s="4283"/>
      <c r="P120" s="2936"/>
      <c r="Q120" s="373"/>
      <c r="R120" s="373"/>
      <c r="S120" s="373"/>
      <c r="T120" s="373"/>
      <c r="U120" s="373"/>
      <c r="V120" s="373"/>
      <c r="W120" s="373"/>
      <c r="X120" s="373"/>
      <c r="Y120" s="373"/>
      <c r="Z120" s="373"/>
      <c r="AA120" s="373"/>
    </row>
    <row r="121" spans="1:27" ht="33" hidden="1">
      <c r="A121" s="3016"/>
      <c r="B121" s="3733"/>
      <c r="C121" s="3733"/>
      <c r="D121" s="3733"/>
      <c r="E121" s="3733"/>
      <c r="F121" s="1785"/>
      <c r="G121" s="1784"/>
      <c r="H121" s="1786"/>
      <c r="I121" s="373"/>
      <c r="K121" s="373"/>
      <c r="L121" s="2936"/>
      <c r="M121" s="4642" t="s">
        <v>1396</v>
      </c>
      <c r="N121" s="3665"/>
      <c r="O121" s="3003"/>
      <c r="P121" s="2936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</row>
    <row r="122" spans="1:27" ht="33">
      <c r="A122" s="3016"/>
      <c r="B122" s="3733"/>
      <c r="C122" s="3733"/>
      <c r="D122" s="3733"/>
      <c r="E122" s="3733"/>
      <c r="F122" s="1783"/>
      <c r="G122" s="1782"/>
      <c r="H122" s="3458"/>
      <c r="I122" s="373"/>
      <c r="K122" s="373"/>
      <c r="L122" s="2936"/>
      <c r="M122" s="4642" t="s">
        <v>1397</v>
      </c>
      <c r="N122" s="3665"/>
      <c r="O122" s="3003"/>
      <c r="P122" s="3015"/>
      <c r="Q122" s="373"/>
      <c r="R122" s="373"/>
      <c r="S122" s="373"/>
      <c r="T122" s="373"/>
      <c r="U122" s="373"/>
      <c r="V122" s="373"/>
      <c r="W122" s="373"/>
      <c r="X122" s="373"/>
      <c r="Y122" s="373"/>
      <c r="Z122" s="373"/>
      <c r="AA122" s="373"/>
    </row>
    <row r="123" spans="1:27" ht="33">
      <c r="A123" s="2936" t="s">
        <v>1559</v>
      </c>
      <c r="B123" s="3016"/>
      <c r="C123" s="3016"/>
      <c r="D123" s="3016"/>
      <c r="E123" s="2936"/>
      <c r="F123" s="3016"/>
      <c r="G123" s="3016"/>
      <c r="H123" s="3335"/>
      <c r="I123" s="373"/>
      <c r="K123" s="373"/>
      <c r="L123" s="2936"/>
      <c r="M123" s="4642" t="s">
        <v>1420</v>
      </c>
      <c r="N123" s="3665"/>
      <c r="O123" s="3003"/>
      <c r="P123" s="2936"/>
      <c r="Q123" s="373"/>
      <c r="R123" s="373"/>
      <c r="S123" s="373"/>
      <c r="T123" s="373"/>
      <c r="U123" s="373"/>
      <c r="V123" s="373"/>
      <c r="W123" s="373"/>
      <c r="X123" s="373"/>
      <c r="Y123" s="373"/>
      <c r="Z123" s="373"/>
      <c r="AA123" s="373"/>
    </row>
    <row r="124" spans="1:27" ht="33">
      <c r="A124" s="3016" t="s">
        <v>1560</v>
      </c>
      <c r="B124" s="3901"/>
      <c r="C124" s="3902"/>
      <c r="D124" s="3901"/>
      <c r="E124" s="3903"/>
      <c r="F124" s="4826"/>
      <c r="G124" s="4827"/>
      <c r="H124" s="4828"/>
      <c r="I124" s="373"/>
      <c r="K124" s="373"/>
      <c r="L124" s="2936"/>
      <c r="M124" s="4642" t="s">
        <v>1398</v>
      </c>
      <c r="N124" s="3665"/>
      <c r="O124" s="3003"/>
      <c r="P124" s="2936"/>
      <c r="Q124" s="373"/>
      <c r="R124" s="373"/>
      <c r="S124" s="373"/>
      <c r="T124" s="373"/>
      <c r="U124" s="373"/>
      <c r="V124" s="373"/>
      <c r="W124" s="373"/>
      <c r="X124" s="373"/>
      <c r="Y124" s="373"/>
      <c r="Z124" s="373"/>
      <c r="AA124" s="373"/>
    </row>
    <row r="125" spans="1:27" ht="33">
      <c r="A125" s="3016" t="s">
        <v>1561</v>
      </c>
      <c r="B125" s="3901"/>
      <c r="C125" s="3901"/>
      <c r="D125" s="3901"/>
      <c r="E125" s="3903"/>
      <c r="F125" s="4826"/>
      <c r="G125" s="4827"/>
      <c r="H125" s="4829"/>
      <c r="I125" s="373"/>
      <c r="K125" s="373"/>
      <c r="L125" s="2936"/>
      <c r="M125" s="4642" t="s">
        <v>1399</v>
      </c>
      <c r="N125" s="3665"/>
      <c r="O125" s="3003"/>
      <c r="P125" s="2936"/>
      <c r="Q125" s="373"/>
      <c r="R125" s="373"/>
      <c r="S125" s="373"/>
      <c r="T125" s="373"/>
      <c r="U125" s="373"/>
      <c r="V125" s="373"/>
      <c r="W125" s="373"/>
      <c r="X125" s="373"/>
      <c r="Y125" s="373"/>
      <c r="Z125" s="373"/>
      <c r="AA125" s="373"/>
    </row>
    <row r="126" spans="1:27" ht="33">
      <c r="A126" s="3016" t="s">
        <v>1562</v>
      </c>
      <c r="B126" s="4830"/>
      <c r="C126" s="4830"/>
      <c r="D126" s="4830"/>
      <c r="E126" s="4831"/>
      <c r="F126" s="4831"/>
      <c r="G126" s="4831"/>
      <c r="H126" s="4831"/>
      <c r="K126" s="373"/>
      <c r="L126" s="1780"/>
      <c r="M126" s="4642" t="s">
        <v>1400</v>
      </c>
      <c r="N126" s="4285"/>
      <c r="O126" s="3003"/>
      <c r="P126" s="2936"/>
      <c r="Q126" s="373"/>
      <c r="R126" s="373"/>
      <c r="S126" s="373"/>
      <c r="T126" s="373"/>
      <c r="U126" s="373"/>
      <c r="V126" s="373"/>
      <c r="W126" s="373"/>
      <c r="X126" s="373"/>
      <c r="Y126" s="373"/>
      <c r="Z126" s="373"/>
      <c r="AA126" s="373"/>
    </row>
    <row r="127" spans="1:27" ht="33">
      <c r="A127" s="4832" t="s">
        <v>1563</v>
      </c>
      <c r="B127" s="4830"/>
      <c r="C127" s="4830"/>
      <c r="D127" s="4830"/>
      <c r="E127" s="4831"/>
      <c r="F127" s="4831"/>
      <c r="G127" s="4831"/>
      <c r="H127" s="4831"/>
      <c r="K127" s="373"/>
      <c r="L127" s="2936"/>
      <c r="M127" s="4642" t="s">
        <v>1401</v>
      </c>
      <c r="N127" s="4285"/>
      <c r="O127" s="2936"/>
      <c r="P127" s="2936"/>
      <c r="Q127" s="373"/>
      <c r="R127" s="373"/>
      <c r="S127" s="373"/>
      <c r="T127" s="373"/>
      <c r="U127" s="373"/>
      <c r="V127" s="373"/>
      <c r="W127" s="373"/>
      <c r="X127" s="373"/>
      <c r="Y127" s="373"/>
      <c r="Z127" s="373"/>
      <c r="AA127" s="373"/>
    </row>
    <row r="128" spans="1:27" ht="33">
      <c r="A128" s="4833" t="s">
        <v>1564</v>
      </c>
      <c r="B128" s="4830"/>
      <c r="C128" s="4830"/>
      <c r="D128" s="4830"/>
      <c r="E128" s="4831"/>
      <c r="F128" s="4831"/>
      <c r="G128" s="4831"/>
      <c r="H128" s="4831"/>
      <c r="K128" s="373"/>
      <c r="L128" s="2936"/>
      <c r="M128" s="4642" t="s">
        <v>1402</v>
      </c>
      <c r="N128" s="4285"/>
      <c r="O128" s="3016"/>
      <c r="P128" s="3015"/>
      <c r="Q128" s="373"/>
      <c r="R128" s="373"/>
      <c r="S128" s="373"/>
      <c r="T128" s="373"/>
      <c r="U128" s="373"/>
      <c r="V128" s="373"/>
      <c r="W128" s="373"/>
      <c r="X128" s="373"/>
      <c r="Y128" s="373"/>
      <c r="Z128" s="373"/>
      <c r="AA128" s="373"/>
    </row>
    <row r="129" spans="1:27" ht="33">
      <c r="A129" s="4827" t="s">
        <v>1565</v>
      </c>
      <c r="B129" s="3335"/>
      <c r="C129" s="3335"/>
      <c r="D129" s="3335"/>
      <c r="E129" s="4831"/>
      <c r="F129" s="3772"/>
      <c r="G129" s="2121"/>
      <c r="H129" s="4831"/>
      <c r="K129" s="373"/>
      <c r="L129" s="2936"/>
      <c r="M129" s="4642" t="s">
        <v>1403</v>
      </c>
      <c r="N129" s="4285"/>
      <c r="O129" s="2936"/>
      <c r="P129" s="2936"/>
      <c r="Q129" s="373"/>
      <c r="R129" s="373"/>
      <c r="S129" s="373"/>
      <c r="T129" s="373"/>
      <c r="U129" s="373"/>
      <c r="V129" s="373"/>
      <c r="W129" s="373"/>
      <c r="X129" s="373"/>
      <c r="Y129" s="373"/>
      <c r="Z129" s="373"/>
      <c r="AA129" s="373"/>
    </row>
    <row r="130" spans="1:27" ht="33">
      <c r="A130" s="4827" t="s">
        <v>1591</v>
      </c>
      <c r="B130" s="3335"/>
      <c r="C130" s="3335"/>
      <c r="D130" s="3335"/>
      <c r="E130" s="4831"/>
      <c r="F130" s="3772"/>
      <c r="G130" s="2121"/>
      <c r="H130" s="4831"/>
      <c r="K130" s="373"/>
      <c r="L130" s="2936"/>
      <c r="M130" s="4642" t="s">
        <v>1404</v>
      </c>
      <c r="N130" s="4290"/>
      <c r="O130" s="3016"/>
      <c r="P130" s="2936"/>
      <c r="Q130" s="373"/>
      <c r="R130" s="373"/>
      <c r="S130" s="373"/>
      <c r="T130" s="373"/>
      <c r="U130" s="373"/>
      <c r="V130" s="373"/>
      <c r="W130" s="373"/>
      <c r="X130" s="373"/>
      <c r="Y130" s="373"/>
      <c r="Z130" s="373"/>
      <c r="AA130" s="373"/>
    </row>
    <row r="131" spans="1:27" ht="33">
      <c r="A131" s="3335" t="s">
        <v>1566</v>
      </c>
      <c r="B131" s="3335"/>
      <c r="C131" s="3335"/>
      <c r="D131" s="3335"/>
      <c r="E131" s="4831"/>
      <c r="F131" s="3666"/>
      <c r="G131" s="4834"/>
      <c r="H131" s="4831"/>
      <c r="K131" s="373"/>
      <c r="L131" s="2936"/>
      <c r="M131" s="4642" t="s">
        <v>1405</v>
      </c>
      <c r="N131" s="373"/>
      <c r="O131" s="3751"/>
      <c r="P131" s="2936"/>
      <c r="Q131" s="373"/>
      <c r="R131" s="373"/>
      <c r="S131" s="373"/>
      <c r="T131" s="373"/>
      <c r="U131" s="373"/>
      <c r="V131" s="373"/>
      <c r="W131" s="373"/>
      <c r="X131" s="373"/>
      <c r="Y131" s="373"/>
      <c r="Z131" s="373"/>
      <c r="AA131" s="373"/>
    </row>
    <row r="132" spans="1:27" ht="33">
      <c r="A132" s="4835" t="s">
        <v>1567</v>
      </c>
      <c r="B132" s="4830"/>
      <c r="C132" s="4830"/>
      <c r="D132" s="4836"/>
      <c r="E132" s="4830"/>
      <c r="F132" s="4830"/>
      <c r="G132" s="4830"/>
      <c r="H132" s="4830"/>
      <c r="K132" s="373"/>
      <c r="L132" s="3896"/>
      <c r="M132" s="4642" t="s">
        <v>1406</v>
      </c>
      <c r="N132" s="373"/>
      <c r="O132" s="3897"/>
      <c r="P132" s="3613"/>
      <c r="Q132" s="373"/>
      <c r="R132" s="373"/>
      <c r="S132" s="373"/>
      <c r="T132" s="373"/>
      <c r="U132" s="373"/>
      <c r="V132" s="373"/>
      <c r="W132" s="373"/>
      <c r="X132" s="373"/>
      <c r="Y132" s="373"/>
      <c r="Z132" s="373"/>
      <c r="AA132" s="373"/>
    </row>
    <row r="133" spans="1:27" ht="33">
      <c r="A133" s="4835" t="s">
        <v>1568</v>
      </c>
      <c r="B133" s="4830"/>
      <c r="C133" s="4830"/>
      <c r="D133" s="4836"/>
      <c r="E133" s="4830"/>
      <c r="F133" s="4830"/>
      <c r="G133" s="4830" t="s">
        <v>1485</v>
      </c>
      <c r="H133" s="4830"/>
      <c r="K133" s="373"/>
      <c r="L133" s="3896"/>
      <c r="M133" s="4642" t="s">
        <v>1407</v>
      </c>
      <c r="N133" s="373"/>
      <c r="O133" s="3897"/>
      <c r="Q133" s="373"/>
      <c r="R133" s="373"/>
      <c r="S133" s="373"/>
      <c r="T133" s="373"/>
      <c r="U133" s="373"/>
      <c r="V133" s="373"/>
      <c r="W133" s="373"/>
      <c r="X133" s="373"/>
      <c r="Y133" s="373"/>
      <c r="Z133" s="373"/>
      <c r="AA133" s="373"/>
    </row>
    <row r="134" spans="1:27" ht="33">
      <c r="A134" s="4835" t="s">
        <v>1569</v>
      </c>
      <c r="B134" s="4830"/>
      <c r="C134" s="4830"/>
      <c r="D134" s="4836"/>
      <c r="E134" s="4830"/>
      <c r="F134" s="4830"/>
      <c r="G134" s="4830" t="s">
        <v>1484</v>
      </c>
      <c r="H134" s="4830"/>
      <c r="K134" s="373"/>
      <c r="L134" s="3896"/>
      <c r="M134" s="4642" t="s">
        <v>1408</v>
      </c>
      <c r="N134" s="373"/>
      <c r="O134" s="3897"/>
      <c r="Q134" s="373"/>
      <c r="R134" s="373"/>
      <c r="S134" s="373"/>
      <c r="T134" s="373"/>
      <c r="U134" s="373"/>
      <c r="V134" s="373"/>
      <c r="W134" s="373"/>
      <c r="X134" s="373"/>
      <c r="Y134" s="373"/>
      <c r="Z134" s="373"/>
      <c r="AA134" s="373"/>
    </row>
    <row r="135" spans="1:27" ht="33">
      <c r="A135" s="4835" t="s">
        <v>1570</v>
      </c>
      <c r="B135" s="4830"/>
      <c r="C135" s="4830"/>
      <c r="D135" s="4836"/>
      <c r="E135" s="4830"/>
      <c r="F135" s="4830"/>
      <c r="G135" s="4830"/>
      <c r="H135" s="4830"/>
      <c r="K135" s="373"/>
      <c r="L135" s="3896"/>
      <c r="M135" s="4642" t="s">
        <v>1409</v>
      </c>
      <c r="N135" s="373"/>
      <c r="O135" s="3897"/>
      <c r="Q135" s="373"/>
      <c r="R135" s="373"/>
      <c r="S135" s="373"/>
      <c r="T135" s="373"/>
      <c r="U135" s="373"/>
      <c r="V135" s="373"/>
      <c r="W135" s="373"/>
      <c r="X135" s="373"/>
      <c r="Y135" s="373"/>
      <c r="Z135" s="373"/>
      <c r="AA135" s="373"/>
    </row>
    <row r="136" spans="1:27" ht="33">
      <c r="A136" s="4835" t="s">
        <v>1571</v>
      </c>
      <c r="B136" s="4830"/>
      <c r="C136" s="4830"/>
      <c r="D136" s="4836"/>
      <c r="E136" s="4830"/>
      <c r="F136" s="4830"/>
      <c r="G136" s="4830"/>
      <c r="H136" s="4830"/>
      <c r="K136" s="373"/>
      <c r="L136" s="373"/>
      <c r="M136" s="4642" t="s">
        <v>1421</v>
      </c>
      <c r="N136" s="373"/>
      <c r="O136" s="3899"/>
      <c r="P136" s="373"/>
      <c r="Q136" s="373"/>
      <c r="R136" s="373"/>
      <c r="S136" s="373"/>
      <c r="T136" s="373"/>
      <c r="U136" s="373"/>
      <c r="V136" s="373"/>
      <c r="W136" s="373"/>
      <c r="X136" s="373"/>
      <c r="Y136" s="373"/>
      <c r="Z136" s="373"/>
      <c r="AA136" s="373"/>
    </row>
    <row r="137" spans="1:27" ht="33">
      <c r="A137" s="4835" t="s">
        <v>1572</v>
      </c>
      <c r="B137" s="4830"/>
      <c r="C137" s="4830"/>
      <c r="D137" s="4836"/>
      <c r="E137" s="4830"/>
      <c r="F137" s="4830"/>
      <c r="G137" s="4830"/>
      <c r="H137" s="4830"/>
      <c r="K137" s="373"/>
      <c r="L137" s="373"/>
      <c r="M137" s="4647" t="s">
        <v>1410</v>
      </c>
      <c r="N137" s="373"/>
      <c r="O137" s="3899"/>
      <c r="P137" s="373"/>
      <c r="Q137" s="373"/>
      <c r="R137" s="373"/>
      <c r="S137" s="373"/>
      <c r="T137" s="373"/>
      <c r="U137" s="373"/>
      <c r="V137" s="373"/>
      <c r="W137" s="373"/>
      <c r="X137" s="373"/>
      <c r="Y137" s="373"/>
      <c r="Z137" s="373"/>
      <c r="AA137" s="373"/>
    </row>
    <row r="138" spans="1:27" ht="33">
      <c r="A138" s="4835" t="s">
        <v>1573</v>
      </c>
      <c r="B138" s="4830"/>
      <c r="C138" s="4830"/>
      <c r="D138" s="4836"/>
      <c r="E138" s="4830"/>
      <c r="F138" s="4830"/>
      <c r="G138" s="4830"/>
      <c r="H138" s="4830"/>
      <c r="K138" s="373"/>
      <c r="L138" s="373"/>
      <c r="M138" s="4642" t="s">
        <v>1422</v>
      </c>
      <c r="N138" s="373"/>
      <c r="O138" s="3899"/>
      <c r="P138" s="373"/>
      <c r="Q138" s="373"/>
      <c r="R138" s="373"/>
      <c r="S138" s="373"/>
      <c r="T138" s="373"/>
      <c r="U138" s="373"/>
      <c r="V138" s="373"/>
      <c r="W138" s="373"/>
      <c r="X138" s="373"/>
      <c r="Y138" s="373"/>
      <c r="Z138" s="373"/>
      <c r="AA138" s="373"/>
    </row>
    <row r="139" spans="1:27" ht="33">
      <c r="A139" s="4837" t="s">
        <v>1574</v>
      </c>
      <c r="B139" s="4838"/>
      <c r="C139" s="4838"/>
      <c r="D139" s="4838"/>
      <c r="E139" s="4830"/>
      <c r="F139" s="4830"/>
      <c r="G139" s="4830"/>
      <c r="H139" s="4830"/>
      <c r="I139" s="373"/>
      <c r="K139" s="373"/>
      <c r="L139" s="373"/>
      <c r="M139" s="4642" t="s">
        <v>1423</v>
      </c>
      <c r="N139" s="373"/>
      <c r="O139" s="3899"/>
      <c r="P139" s="373"/>
      <c r="Q139" s="373"/>
      <c r="R139" s="373"/>
      <c r="S139" s="373"/>
      <c r="T139" s="373"/>
      <c r="U139" s="373"/>
      <c r="V139" s="373"/>
      <c r="W139" s="373"/>
      <c r="X139" s="373"/>
      <c r="Y139" s="373"/>
      <c r="Z139" s="373"/>
      <c r="AA139" s="373"/>
    </row>
    <row r="140" spans="1:27" ht="33">
      <c r="A140" s="4839" t="s">
        <v>1575</v>
      </c>
      <c r="B140" s="4839"/>
      <c r="C140" s="4839"/>
      <c r="D140" s="4839"/>
      <c r="E140" s="4840"/>
      <c r="F140" s="4840"/>
      <c r="G140" s="4831"/>
      <c r="H140" s="4840"/>
      <c r="I140" s="373"/>
      <c r="K140" s="373"/>
      <c r="L140" s="373"/>
      <c r="M140" s="4642" t="s">
        <v>1411</v>
      </c>
      <c r="N140" s="373"/>
      <c r="O140" s="3899"/>
      <c r="P140" s="373"/>
      <c r="Q140" s="373"/>
      <c r="R140" s="373"/>
      <c r="S140" s="373"/>
      <c r="T140" s="373"/>
      <c r="U140" s="373"/>
      <c r="V140" s="373"/>
      <c r="W140" s="373"/>
      <c r="X140" s="373"/>
      <c r="Y140" s="373"/>
      <c r="Z140" s="373"/>
      <c r="AA140" s="373"/>
    </row>
    <row r="141" spans="1:27" ht="33">
      <c r="A141" s="4841" t="s">
        <v>1576</v>
      </c>
      <c r="B141" s="4841"/>
      <c r="C141" s="4841"/>
      <c r="D141" s="4841"/>
      <c r="E141" s="4842"/>
      <c r="F141" s="4842"/>
      <c r="G141" s="4831"/>
      <c r="H141" s="4842"/>
      <c r="I141" s="373"/>
      <c r="K141" s="373"/>
      <c r="L141" s="373"/>
      <c r="M141" s="4642" t="s">
        <v>1412</v>
      </c>
      <c r="N141" s="373"/>
      <c r="O141" s="3899"/>
      <c r="P141" s="373"/>
      <c r="Q141" s="373"/>
      <c r="R141" s="373"/>
      <c r="S141" s="373"/>
      <c r="T141" s="373"/>
      <c r="U141" s="373"/>
      <c r="V141" s="373"/>
      <c r="W141" s="373"/>
      <c r="X141" s="373"/>
      <c r="Y141" s="373"/>
      <c r="Z141" s="373"/>
      <c r="AA141" s="373"/>
    </row>
    <row r="142" spans="1:27" ht="33">
      <c r="A142" s="4839" t="s">
        <v>1594</v>
      </c>
      <c r="B142" s="4839"/>
      <c r="C142" s="4839"/>
      <c r="D142" s="4839"/>
      <c r="E142" s="4840"/>
      <c r="F142" s="4840"/>
      <c r="G142" s="4839"/>
      <c r="H142" s="4840"/>
      <c r="I142" s="373"/>
      <c r="K142" s="373"/>
      <c r="L142" s="373"/>
      <c r="M142" s="4642" t="s">
        <v>1424</v>
      </c>
      <c r="N142" s="373"/>
      <c r="O142" s="3899"/>
      <c r="P142" s="373"/>
      <c r="Q142" s="373"/>
      <c r="R142" s="373"/>
      <c r="S142" s="373"/>
      <c r="T142" s="373"/>
      <c r="U142" s="373"/>
      <c r="V142" s="373"/>
      <c r="W142" s="373"/>
      <c r="X142" s="373"/>
      <c r="Y142" s="373"/>
      <c r="Z142" s="373"/>
      <c r="AA142" s="373"/>
    </row>
    <row r="143" spans="1:27" ht="33">
      <c r="A143" s="4843" t="s">
        <v>1593</v>
      </c>
      <c r="B143" s="4844"/>
      <c r="C143" s="4844"/>
      <c r="D143" s="4844"/>
      <c r="E143" s="4844"/>
      <c r="F143" s="4843"/>
      <c r="G143" s="4844"/>
      <c r="H143" s="4844"/>
      <c r="I143" s="373"/>
      <c r="K143" s="373"/>
      <c r="L143" s="373"/>
      <c r="M143" s="4642" t="s">
        <v>1413</v>
      </c>
      <c r="N143" s="373"/>
      <c r="O143" s="3899"/>
      <c r="P143" s="373"/>
      <c r="Q143" s="373"/>
      <c r="R143" s="373"/>
      <c r="S143" s="373"/>
      <c r="T143" s="373"/>
      <c r="U143" s="373"/>
      <c r="V143" s="373"/>
      <c r="W143" s="373"/>
      <c r="X143" s="373"/>
      <c r="Y143" s="373"/>
      <c r="Z143" s="373"/>
      <c r="AA143" s="373"/>
    </row>
    <row r="144" spans="1:27" ht="33">
      <c r="A144" s="4845" t="s">
        <v>1595</v>
      </c>
      <c r="B144" s="4846"/>
      <c r="C144" s="4846"/>
      <c r="D144" s="4846"/>
      <c r="E144" s="4830"/>
      <c r="F144" s="4835"/>
      <c r="G144" s="4830"/>
      <c r="H144" s="4830"/>
      <c r="I144" s="1757"/>
      <c r="K144" s="373"/>
      <c r="L144" s="2936"/>
      <c r="M144" s="4642" t="s">
        <v>1414</v>
      </c>
      <c r="N144" s="373"/>
      <c r="O144" s="3751"/>
      <c r="P144" s="373"/>
      <c r="Q144" s="373"/>
      <c r="R144" s="373"/>
      <c r="S144" s="373"/>
      <c r="T144" s="373"/>
      <c r="U144" s="373"/>
      <c r="V144" s="373"/>
      <c r="W144" s="373"/>
      <c r="X144" s="373"/>
      <c r="Y144" s="373"/>
      <c r="Z144" s="373"/>
      <c r="AA144" s="373"/>
    </row>
    <row r="145" spans="1:27" ht="33">
      <c r="A145" s="4835" t="s">
        <v>1596</v>
      </c>
      <c r="B145" s="4830"/>
      <c r="C145" s="4830"/>
      <c r="D145" s="4831"/>
      <c r="E145" s="4830"/>
      <c r="F145" s="4830"/>
      <c r="G145" s="4830"/>
      <c r="H145" s="4830"/>
      <c r="K145" s="373"/>
      <c r="L145" s="2936"/>
      <c r="M145" s="4642" t="s">
        <v>1415</v>
      </c>
      <c r="N145" s="373"/>
      <c r="O145" s="3751"/>
      <c r="P145" s="373"/>
      <c r="Q145" s="373"/>
      <c r="R145" s="373"/>
      <c r="S145" s="373"/>
      <c r="T145" s="373"/>
      <c r="U145" s="373"/>
      <c r="V145" s="373"/>
      <c r="W145" s="373"/>
      <c r="X145" s="373"/>
      <c r="Y145" s="373"/>
      <c r="Z145" s="373"/>
      <c r="AA145" s="373"/>
    </row>
    <row r="146" spans="1:27" ht="33">
      <c r="A146" s="4831" t="s">
        <v>1577</v>
      </c>
      <c r="B146" s="4831"/>
      <c r="C146" s="4831"/>
      <c r="D146" s="4831"/>
      <c r="E146" s="4831"/>
      <c r="F146" s="4831"/>
      <c r="G146" s="4831"/>
      <c r="H146" s="4831"/>
      <c r="K146" s="373"/>
      <c r="L146" s="2936"/>
      <c r="M146" s="4642" t="s">
        <v>1416</v>
      </c>
      <c r="N146" s="373"/>
      <c r="O146" s="3751"/>
      <c r="P146" s="373"/>
      <c r="Q146" s="373"/>
      <c r="R146" s="373"/>
      <c r="S146" s="373"/>
      <c r="T146" s="373"/>
      <c r="U146" s="373"/>
      <c r="V146" s="373"/>
      <c r="W146" s="373"/>
      <c r="X146" s="373"/>
      <c r="Y146" s="373"/>
      <c r="Z146" s="373"/>
      <c r="AA146" s="373"/>
    </row>
    <row r="147" spans="1:27" ht="33">
      <c r="A147" s="4831" t="s">
        <v>1592</v>
      </c>
      <c r="B147" s="4831"/>
      <c r="C147" s="4831"/>
      <c r="D147" s="4831"/>
      <c r="E147" s="4831"/>
      <c r="F147" s="4831"/>
      <c r="G147" s="4831"/>
      <c r="H147" s="4831"/>
      <c r="K147" s="373"/>
      <c r="L147" s="2936"/>
      <c r="M147" s="4642" t="s">
        <v>1417</v>
      </c>
      <c r="N147" s="373"/>
      <c r="O147" s="3750"/>
      <c r="P147" s="373"/>
      <c r="Q147" s="373"/>
      <c r="R147" s="373"/>
      <c r="S147" s="373"/>
      <c r="T147" s="373"/>
      <c r="U147" s="373"/>
      <c r="V147" s="373"/>
      <c r="W147" s="373"/>
      <c r="X147" s="373"/>
      <c r="Y147" s="373"/>
      <c r="Z147" s="373"/>
      <c r="AA147" s="373"/>
    </row>
    <row r="148" spans="1:27" ht="33">
      <c r="A148" s="4831" t="s">
        <v>1578</v>
      </c>
      <c r="B148" s="4831"/>
      <c r="C148" s="4831"/>
      <c r="D148" s="4831"/>
      <c r="E148" s="4831"/>
      <c r="F148" s="4831"/>
      <c r="G148" s="4831"/>
      <c r="H148" s="4831"/>
      <c r="K148" s="373"/>
      <c r="L148" s="2936"/>
      <c r="M148" s="4642" t="s">
        <v>1418</v>
      </c>
      <c r="N148" s="373"/>
      <c r="O148" s="3751"/>
      <c r="P148" s="373"/>
      <c r="Q148" s="373"/>
      <c r="R148" s="373"/>
      <c r="S148" s="373"/>
      <c r="T148" s="373"/>
      <c r="U148" s="373"/>
      <c r="V148" s="373"/>
      <c r="W148" s="373"/>
      <c r="X148" s="373"/>
      <c r="Y148" s="373"/>
      <c r="Z148" s="373"/>
      <c r="AA148" s="373"/>
    </row>
    <row r="149" spans="1:27" ht="33">
      <c r="A149" s="4831" t="s">
        <v>1581</v>
      </c>
      <c r="B149" s="4831"/>
      <c r="C149" s="4831"/>
      <c r="D149" s="4831"/>
      <c r="E149" s="4831"/>
      <c r="F149" s="4831"/>
      <c r="G149" s="4831"/>
      <c r="H149" s="4831"/>
      <c r="K149" s="373"/>
      <c r="L149" s="2936"/>
      <c r="M149" s="4784" t="s">
        <v>1426</v>
      </c>
      <c r="N149" s="373"/>
      <c r="O149" s="3751"/>
      <c r="P149" s="373"/>
      <c r="Q149" s="373"/>
      <c r="R149" s="373"/>
      <c r="S149" s="373"/>
      <c r="T149" s="373"/>
      <c r="U149" s="373"/>
      <c r="V149" s="373"/>
      <c r="W149" s="373"/>
      <c r="X149" s="373"/>
      <c r="Y149" s="373"/>
      <c r="Z149" s="373"/>
      <c r="AA149" s="373"/>
    </row>
    <row r="150" spans="1:27" ht="33">
      <c r="A150" s="4831" t="s">
        <v>1579</v>
      </c>
      <c r="B150" s="4831"/>
      <c r="C150" s="4831"/>
      <c r="D150" s="4831"/>
      <c r="E150" s="4831"/>
      <c r="F150" s="4831"/>
      <c r="G150" s="4831"/>
      <c r="H150" s="4831"/>
      <c r="K150" s="373"/>
      <c r="L150" s="2936"/>
      <c r="M150" s="4784" t="s">
        <v>1427</v>
      </c>
      <c r="N150" s="373"/>
      <c r="O150" s="2936"/>
      <c r="P150" s="373"/>
      <c r="Q150" s="373"/>
      <c r="R150" s="373"/>
      <c r="S150" s="373"/>
      <c r="T150" s="373"/>
      <c r="U150" s="373"/>
      <c r="V150" s="373"/>
      <c r="W150" s="373"/>
      <c r="X150" s="373"/>
      <c r="Y150" s="373"/>
      <c r="Z150" s="373"/>
      <c r="AA150" s="373"/>
    </row>
    <row r="151" spans="1:27" ht="33">
      <c r="A151" s="3238" t="s">
        <v>1582</v>
      </c>
      <c r="B151" s="2900"/>
      <c r="C151" s="2900"/>
      <c r="D151" s="2900"/>
      <c r="E151" s="2901"/>
      <c r="F151" s="2902"/>
      <c r="G151" s="2903"/>
      <c r="I151" s="1758"/>
      <c r="K151" s="373"/>
      <c r="L151" s="2936"/>
      <c r="M151" s="4784" t="s">
        <v>1443</v>
      </c>
      <c r="N151" s="373"/>
      <c r="O151" s="2936"/>
      <c r="P151" s="373"/>
      <c r="Q151" s="373"/>
      <c r="R151" s="373"/>
      <c r="S151" s="373"/>
      <c r="T151" s="373"/>
      <c r="U151" s="373"/>
      <c r="V151" s="373"/>
      <c r="W151" s="373"/>
      <c r="X151" s="373"/>
      <c r="Y151" s="373"/>
      <c r="Z151" s="373"/>
      <c r="AA151" s="373"/>
    </row>
    <row r="152" spans="1:27" ht="33">
      <c r="A152" s="3119" t="s">
        <v>1580</v>
      </c>
      <c r="B152" s="3118"/>
      <c r="C152" s="2900"/>
      <c r="D152" s="2904"/>
      <c r="E152" s="2905"/>
      <c r="F152" s="2118"/>
      <c r="G152" s="2906"/>
      <c r="K152" s="373"/>
      <c r="L152" s="2936"/>
      <c r="M152" s="4784" t="s">
        <v>1428</v>
      </c>
      <c r="N152" s="373"/>
      <c r="O152" s="2936"/>
      <c r="P152" s="373"/>
      <c r="Q152" s="373"/>
      <c r="R152" s="373"/>
      <c r="S152" s="373"/>
      <c r="T152" s="373"/>
      <c r="U152" s="373"/>
      <c r="V152" s="373"/>
      <c r="W152" s="373"/>
      <c r="X152" s="373"/>
      <c r="Y152" s="373"/>
      <c r="Z152" s="373"/>
      <c r="AA152" s="373"/>
    </row>
    <row r="153" spans="1:27" ht="33">
      <c r="A153" s="3590" t="s">
        <v>1583</v>
      </c>
      <c r="B153" s="2925"/>
      <c r="C153" s="2900"/>
      <c r="D153" s="2904"/>
      <c r="E153" s="2905"/>
      <c r="F153" s="2172"/>
      <c r="G153" s="2906"/>
      <c r="K153" s="373"/>
      <c r="L153" s="2936"/>
      <c r="M153" s="4784" t="s">
        <v>1434</v>
      </c>
      <c r="N153" s="373"/>
      <c r="O153" s="2936"/>
      <c r="P153" s="373"/>
      <c r="Q153" s="373"/>
      <c r="R153" s="373"/>
      <c r="S153" s="373"/>
      <c r="T153" s="373"/>
      <c r="U153" s="373"/>
      <c r="V153" s="373"/>
      <c r="W153" s="373"/>
      <c r="X153" s="373"/>
      <c r="Y153" s="373"/>
      <c r="Z153" s="373"/>
      <c r="AA153" s="373"/>
    </row>
    <row r="154" spans="1:27" ht="33">
      <c r="A154" s="3119" t="s">
        <v>1584</v>
      </c>
      <c r="B154" s="2925"/>
      <c r="C154" s="2900"/>
      <c r="D154" s="2904"/>
      <c r="E154" s="2905"/>
      <c r="F154" s="2907"/>
      <c r="G154" s="2904"/>
      <c r="K154" s="373"/>
      <c r="L154" s="2936"/>
      <c r="M154" s="4784" t="s">
        <v>1429</v>
      </c>
      <c r="N154" s="373"/>
      <c r="O154" s="2936"/>
      <c r="P154" s="373"/>
      <c r="Q154" s="373"/>
      <c r="R154" s="373"/>
      <c r="S154" s="373"/>
      <c r="T154" s="373"/>
      <c r="U154" s="373"/>
      <c r="V154" s="373"/>
      <c r="W154" s="373"/>
      <c r="X154" s="373"/>
      <c r="Y154" s="373"/>
      <c r="Z154" s="373"/>
      <c r="AA154" s="373"/>
    </row>
    <row r="155" spans="1:27" ht="33">
      <c r="A155" s="3119" t="s">
        <v>1585</v>
      </c>
      <c r="B155" s="2925"/>
      <c r="C155" s="2900"/>
      <c r="D155" s="2904"/>
      <c r="E155" s="2905"/>
      <c r="F155" s="2908"/>
      <c r="G155" s="2904"/>
      <c r="K155" s="373"/>
      <c r="L155" s="2936"/>
      <c r="M155" s="4784" t="s">
        <v>1430</v>
      </c>
      <c r="N155" s="373"/>
      <c r="O155" s="2936"/>
      <c r="P155" s="373"/>
      <c r="Q155" s="373"/>
      <c r="R155" s="373"/>
      <c r="S155" s="373"/>
      <c r="T155" s="373"/>
      <c r="U155" s="373"/>
      <c r="V155" s="373"/>
      <c r="W155" s="373"/>
      <c r="X155" s="373"/>
      <c r="Y155" s="373"/>
      <c r="Z155" s="373"/>
      <c r="AA155" s="373"/>
    </row>
    <row r="156" spans="1:27" ht="33">
      <c r="A156" s="3119" t="s">
        <v>1586</v>
      </c>
      <c r="B156" s="2925"/>
      <c r="C156" s="2900"/>
      <c r="D156" s="2904"/>
      <c r="E156" s="2905"/>
      <c r="F156" s="2908"/>
      <c r="G156" s="2906"/>
      <c r="K156" s="373"/>
      <c r="L156" s="2936"/>
      <c r="M156" s="4784" t="s">
        <v>1431</v>
      </c>
      <c r="N156" s="373"/>
      <c r="O156" s="2936"/>
      <c r="P156" s="373"/>
      <c r="Q156" s="373"/>
      <c r="R156" s="373"/>
      <c r="S156" s="373"/>
      <c r="T156" s="373"/>
      <c r="U156" s="373"/>
      <c r="V156" s="373"/>
      <c r="W156" s="373"/>
      <c r="X156" s="373"/>
      <c r="Y156" s="373"/>
      <c r="Z156" s="373"/>
      <c r="AA156" s="373"/>
    </row>
    <row r="157" spans="1:27" ht="33">
      <c r="A157" s="3119" t="s">
        <v>1587</v>
      </c>
      <c r="B157" s="2925"/>
      <c r="C157" s="2900"/>
      <c r="D157" s="2904"/>
      <c r="E157" s="2905"/>
      <c r="F157" s="1988"/>
      <c r="G157" s="2906"/>
      <c r="K157" s="373"/>
      <c r="L157" s="2936"/>
      <c r="M157" s="4784" t="s">
        <v>1432</v>
      </c>
      <c r="N157" s="373"/>
      <c r="O157" s="2936"/>
      <c r="P157" s="373"/>
      <c r="Q157" s="373"/>
      <c r="R157" s="373"/>
      <c r="S157" s="373"/>
      <c r="T157" s="373"/>
      <c r="U157" s="373"/>
      <c r="V157" s="373"/>
      <c r="W157" s="373"/>
      <c r="X157" s="373"/>
      <c r="Y157" s="373"/>
      <c r="Z157" s="373"/>
      <c r="AA157" s="373"/>
    </row>
    <row r="158" spans="1:27" ht="33">
      <c r="A158" s="3119" t="s">
        <v>1588</v>
      </c>
      <c r="B158" s="2925"/>
      <c r="C158" s="2900"/>
      <c r="D158" s="2904"/>
      <c r="E158" s="2905"/>
      <c r="F158" s="1988"/>
      <c r="G158" s="2906"/>
      <c r="K158" s="373"/>
      <c r="L158" s="2936"/>
      <c r="M158" s="4784" t="s">
        <v>1433</v>
      </c>
      <c r="N158" s="373"/>
      <c r="O158" s="2936"/>
      <c r="P158" s="373"/>
      <c r="Q158" s="373"/>
      <c r="R158" s="373"/>
      <c r="S158" s="373"/>
      <c r="T158" s="373"/>
      <c r="U158" s="373"/>
      <c r="V158" s="373"/>
      <c r="W158" s="373"/>
      <c r="X158" s="373"/>
      <c r="Y158" s="373"/>
      <c r="Z158" s="373"/>
      <c r="AA158" s="373"/>
    </row>
    <row r="159" spans="1:27" ht="33">
      <c r="A159" s="3119" t="s">
        <v>1589</v>
      </c>
      <c r="B159" s="2925"/>
      <c r="C159" s="2900"/>
      <c r="D159" s="2904"/>
      <c r="E159" s="2905"/>
      <c r="F159" s="2902"/>
      <c r="G159" s="2909"/>
      <c r="K159" s="373"/>
      <c r="L159" s="2936"/>
      <c r="M159" s="4788" t="s">
        <v>1435</v>
      </c>
      <c r="N159" s="373"/>
      <c r="O159" s="2936"/>
      <c r="P159" s="373"/>
      <c r="Q159" s="373"/>
      <c r="R159" s="373"/>
      <c r="S159" s="373"/>
      <c r="T159" s="373"/>
      <c r="U159" s="373"/>
      <c r="V159" s="373"/>
      <c r="W159" s="373"/>
      <c r="X159" s="373"/>
      <c r="Y159" s="373"/>
      <c r="Z159" s="373"/>
      <c r="AA159" s="373"/>
    </row>
    <row r="160" spans="1:27" ht="33">
      <c r="A160" s="3119" t="s">
        <v>1590</v>
      </c>
      <c r="B160" s="2925"/>
      <c r="C160" s="2900"/>
      <c r="D160" s="2904"/>
      <c r="E160" s="2905"/>
      <c r="F160" s="2908"/>
      <c r="G160" s="2909"/>
      <c r="K160" s="373"/>
      <c r="L160" s="2936"/>
      <c r="M160" s="4784" t="s">
        <v>1436</v>
      </c>
      <c r="N160" s="373"/>
      <c r="O160" s="2936"/>
      <c r="P160" s="373"/>
      <c r="Q160" s="373"/>
      <c r="R160" s="373"/>
      <c r="S160" s="373"/>
      <c r="T160" s="373"/>
      <c r="U160" s="373"/>
      <c r="V160" s="373"/>
      <c r="W160" s="373"/>
      <c r="X160" s="373"/>
      <c r="Y160" s="373"/>
      <c r="Z160" s="373"/>
      <c r="AA160" s="373"/>
    </row>
    <row r="161" spans="1:27" ht="33">
      <c r="A161" s="3119" t="s">
        <v>1473</v>
      </c>
      <c r="B161" s="3186"/>
      <c r="C161" s="2915"/>
      <c r="D161" s="2913"/>
      <c r="E161" s="2919"/>
      <c r="F161" s="2918"/>
      <c r="G161" s="2913"/>
      <c r="K161" s="373"/>
      <c r="L161" s="2936"/>
      <c r="M161" s="4784" t="s">
        <v>1437</v>
      </c>
      <c r="N161" s="373"/>
      <c r="O161" s="2936"/>
      <c r="P161" s="373"/>
      <c r="Q161" s="373"/>
      <c r="R161" s="373"/>
      <c r="S161" s="373"/>
      <c r="T161" s="373"/>
      <c r="U161" s="373"/>
      <c r="V161" s="373"/>
      <c r="W161" s="373"/>
      <c r="X161" s="373"/>
      <c r="Y161" s="373"/>
      <c r="Z161" s="373"/>
      <c r="AA161" s="373"/>
    </row>
    <row r="162" spans="1:27" ht="33">
      <c r="A162" s="3119" t="s">
        <v>1474</v>
      </c>
      <c r="B162" s="3186"/>
      <c r="C162" s="2910"/>
      <c r="D162" s="2911"/>
      <c r="E162" s="2912"/>
      <c r="F162" s="3906"/>
      <c r="G162" s="2914"/>
      <c r="K162" s="373"/>
      <c r="L162" s="2936"/>
      <c r="M162" s="4784" t="s">
        <v>1438</v>
      </c>
      <c r="N162" s="373"/>
      <c r="O162" s="2936"/>
      <c r="P162" s="373"/>
      <c r="Q162" s="373"/>
      <c r="R162" s="373"/>
      <c r="S162" s="373"/>
      <c r="T162" s="373"/>
      <c r="U162" s="373"/>
      <c r="V162" s="373"/>
      <c r="W162" s="373"/>
      <c r="X162" s="373"/>
      <c r="Y162" s="373"/>
      <c r="Z162" s="373"/>
      <c r="AA162" s="373"/>
    </row>
    <row r="163" spans="1:27" ht="33">
      <c r="A163" s="3119" t="s">
        <v>1475</v>
      </c>
      <c r="B163" s="3186"/>
      <c r="C163" s="2910"/>
      <c r="D163" s="2911"/>
      <c r="E163" s="2912"/>
      <c r="F163" s="3670"/>
      <c r="G163" s="2911"/>
      <c r="K163" s="373"/>
      <c r="L163" s="2936"/>
      <c r="M163" s="4788" t="s">
        <v>1439</v>
      </c>
      <c r="N163" s="373"/>
      <c r="O163" s="2936"/>
      <c r="P163" s="373"/>
      <c r="Q163" s="373"/>
      <c r="R163" s="373"/>
      <c r="S163" s="373"/>
      <c r="T163" s="373"/>
      <c r="U163" s="373"/>
      <c r="V163" s="373"/>
      <c r="W163" s="373"/>
      <c r="X163" s="373"/>
      <c r="Y163" s="373"/>
      <c r="Z163" s="373"/>
      <c r="AA163" s="373"/>
    </row>
    <row r="164" spans="1:27" ht="33">
      <c r="A164" s="3119" t="s">
        <v>1476</v>
      </c>
      <c r="B164" s="3186"/>
      <c r="C164" s="2928"/>
      <c r="D164" s="2929"/>
      <c r="E164" s="2917"/>
      <c r="F164" s="1988"/>
      <c r="G164" s="2121"/>
      <c r="K164" s="373"/>
      <c r="L164" s="3336"/>
      <c r="M164" s="4784" t="s">
        <v>1440</v>
      </c>
      <c r="N164" s="373"/>
      <c r="O164" s="3336"/>
      <c r="P164" s="373"/>
      <c r="Q164" s="373"/>
      <c r="R164" s="373"/>
      <c r="S164" s="373"/>
      <c r="T164" s="373"/>
      <c r="U164" s="373"/>
      <c r="V164" s="373"/>
      <c r="W164" s="373"/>
      <c r="X164" s="373"/>
      <c r="Y164" s="373"/>
      <c r="Z164" s="373"/>
      <c r="AA164" s="373"/>
    </row>
    <row r="165" spans="1:27" ht="33">
      <c r="A165" s="3119" t="s">
        <v>1477</v>
      </c>
      <c r="B165" s="3187"/>
      <c r="C165" s="2930"/>
      <c r="D165" s="2931"/>
      <c r="E165" s="2916"/>
      <c r="F165" s="1988"/>
      <c r="G165" s="1987"/>
      <c r="K165" s="373"/>
      <c r="L165" s="3003"/>
      <c r="M165" s="4784" t="s">
        <v>1441</v>
      </c>
      <c r="N165" s="373"/>
      <c r="O165" s="3003"/>
      <c r="P165" s="373"/>
      <c r="Q165" s="373"/>
      <c r="R165" s="373"/>
      <c r="S165" s="373"/>
      <c r="T165" s="373"/>
      <c r="U165" s="373"/>
      <c r="V165" s="373"/>
      <c r="W165" s="373"/>
      <c r="X165" s="373"/>
      <c r="Y165" s="373"/>
      <c r="Z165" s="373"/>
      <c r="AA165" s="373"/>
    </row>
    <row r="166" spans="1:27" ht="33">
      <c r="A166" s="3119"/>
      <c r="B166" s="3188"/>
      <c r="C166" s="143"/>
      <c r="E166" s="2110"/>
      <c r="F166" s="1988"/>
      <c r="G166" s="1987"/>
      <c r="K166" s="373"/>
      <c r="L166" s="3336"/>
      <c r="M166" s="4784" t="s">
        <v>1444</v>
      </c>
      <c r="N166" s="373"/>
      <c r="O166" s="3336"/>
      <c r="P166" s="373"/>
      <c r="Q166" s="373"/>
      <c r="R166" s="373"/>
      <c r="S166" s="373"/>
      <c r="T166" s="373"/>
      <c r="U166" s="373"/>
      <c r="V166" s="373"/>
      <c r="W166" s="373"/>
      <c r="X166" s="373"/>
      <c r="Y166" s="373"/>
      <c r="Z166" s="373"/>
      <c r="AA166" s="373"/>
    </row>
    <row r="167" spans="1:27" ht="33">
      <c r="A167" s="3119" t="s">
        <v>1194</v>
      </c>
      <c r="B167" s="3188"/>
      <c r="C167" s="143"/>
      <c r="E167" s="2110"/>
      <c r="F167" s="2131"/>
      <c r="G167" s="2103"/>
      <c r="K167" s="373"/>
      <c r="L167" s="2936"/>
      <c r="M167" s="4784" t="s">
        <v>1442</v>
      </c>
      <c r="N167" s="373"/>
      <c r="O167" s="2936"/>
      <c r="P167" s="373"/>
      <c r="Q167" s="373"/>
      <c r="R167" s="373"/>
      <c r="S167" s="373"/>
      <c r="T167" s="373"/>
      <c r="U167" s="373"/>
      <c r="V167" s="373"/>
      <c r="W167" s="373"/>
      <c r="X167" s="373"/>
      <c r="Y167" s="373"/>
      <c r="Z167" s="373"/>
      <c r="AA167" s="373"/>
    </row>
    <row r="168" spans="1:27" ht="33">
      <c r="A168" s="3119" t="s">
        <v>1195</v>
      </c>
      <c r="B168" s="3188"/>
      <c r="C168" s="2932"/>
      <c r="D168" s="2102"/>
      <c r="E168" s="2111"/>
      <c r="F168" s="2926"/>
      <c r="G168" s="2104"/>
      <c r="K168" s="373"/>
      <c r="L168" s="2936"/>
      <c r="M168" s="4784" t="s">
        <v>1449</v>
      </c>
      <c r="N168" s="373"/>
      <c r="O168" s="2936"/>
      <c r="P168" s="373"/>
      <c r="Q168" s="373"/>
      <c r="R168" s="373"/>
      <c r="S168" s="373"/>
      <c r="T168" s="373"/>
      <c r="U168" s="373"/>
      <c r="V168" s="373"/>
      <c r="W168" s="373"/>
      <c r="X168" s="373"/>
      <c r="Y168" s="373"/>
      <c r="Z168" s="373"/>
      <c r="AA168" s="373"/>
    </row>
    <row r="169" spans="1:27" ht="33">
      <c r="A169" s="3119" t="s">
        <v>1196</v>
      </c>
      <c r="B169" s="3189"/>
      <c r="C169" s="2133"/>
      <c r="D169" s="2933"/>
      <c r="E169" s="2112"/>
      <c r="F169" s="1988" t="s">
        <v>1169</v>
      </c>
      <c r="G169" s="2104"/>
      <c r="K169" s="373"/>
      <c r="L169" s="2936"/>
      <c r="M169" s="4784" t="s">
        <v>1450</v>
      </c>
      <c r="N169" s="373"/>
      <c r="O169" s="2936"/>
      <c r="P169" s="373"/>
      <c r="Q169" s="373"/>
      <c r="R169" s="373"/>
      <c r="S169" s="373"/>
      <c r="T169" s="373"/>
      <c r="U169" s="373"/>
      <c r="V169" s="373"/>
      <c r="W169" s="373"/>
      <c r="X169" s="373"/>
      <c r="Y169" s="373"/>
      <c r="Z169" s="373"/>
      <c r="AA169" s="373"/>
    </row>
    <row r="170" spans="1:27" ht="33">
      <c r="A170" s="3119" t="s">
        <v>1197</v>
      </c>
      <c r="B170" s="2925"/>
      <c r="C170" s="2134"/>
      <c r="D170" s="2934"/>
      <c r="E170" s="2113"/>
      <c r="F170" s="1988" t="s">
        <v>1170</v>
      </c>
      <c r="G170" s="2105"/>
      <c r="K170" s="373"/>
      <c r="L170" s="2936"/>
      <c r="M170" s="4784" t="s">
        <v>1451</v>
      </c>
      <c r="N170" s="373"/>
      <c r="O170" s="2936"/>
      <c r="P170" s="373"/>
      <c r="Q170" s="373"/>
      <c r="R170" s="373"/>
      <c r="S170" s="373"/>
      <c r="T170" s="373"/>
      <c r="U170" s="373"/>
      <c r="V170" s="373"/>
      <c r="W170" s="373"/>
      <c r="X170" s="373"/>
      <c r="Y170" s="373"/>
      <c r="Z170" s="373"/>
      <c r="AA170" s="373"/>
    </row>
    <row r="171" spans="1:27" ht="33">
      <c r="A171" s="3164" t="s">
        <v>1198</v>
      </c>
      <c r="B171" s="2925"/>
      <c r="C171" s="130"/>
      <c r="D171" s="2934"/>
      <c r="E171" s="2113"/>
      <c r="F171" s="1988"/>
      <c r="K171" s="373"/>
      <c r="L171" s="2936"/>
      <c r="M171" s="4784" t="s">
        <v>1445</v>
      </c>
      <c r="N171" s="373"/>
      <c r="O171" s="2936"/>
      <c r="P171" s="373"/>
      <c r="Q171" s="373"/>
      <c r="R171" s="373"/>
      <c r="S171" s="373"/>
      <c r="T171" s="373"/>
      <c r="U171" s="373"/>
      <c r="V171" s="373"/>
      <c r="W171" s="373"/>
      <c r="X171" s="373"/>
      <c r="Y171" s="373"/>
      <c r="Z171" s="373"/>
      <c r="AA171" s="373"/>
    </row>
    <row r="172" spans="1:27" ht="33">
      <c r="A172" s="3164" t="s">
        <v>1199</v>
      </c>
      <c r="B172" s="3186"/>
      <c r="C172" s="130"/>
      <c r="D172" s="2934"/>
      <c r="E172" s="2113"/>
      <c r="F172" s="1988"/>
      <c r="G172" s="2106"/>
      <c r="K172" s="373"/>
      <c r="L172" s="3336"/>
      <c r="M172" s="4784" t="s">
        <v>1446</v>
      </c>
      <c r="N172" s="373"/>
      <c r="O172" s="3336"/>
      <c r="P172" s="373"/>
      <c r="Q172" s="373"/>
      <c r="R172" s="373"/>
      <c r="S172" s="373"/>
      <c r="T172" s="373"/>
      <c r="U172" s="373"/>
      <c r="V172" s="373"/>
      <c r="W172" s="373"/>
      <c r="X172" s="373"/>
      <c r="Y172" s="373"/>
      <c r="Z172" s="373"/>
      <c r="AA172" s="373"/>
    </row>
    <row r="173" spans="1:27" ht="33">
      <c r="A173" s="3119" t="s">
        <v>1200</v>
      </c>
      <c r="B173" s="2925"/>
      <c r="C173" s="130"/>
      <c r="D173" s="2934"/>
      <c r="E173" s="2113"/>
      <c r="F173" s="1988"/>
      <c r="G173" s="2106"/>
      <c r="K173" s="373"/>
      <c r="L173" s="2936"/>
      <c r="M173" s="4784" t="s">
        <v>1447</v>
      </c>
      <c r="N173" s="373"/>
      <c r="O173" s="2936"/>
      <c r="P173" s="373"/>
      <c r="Q173" s="373"/>
      <c r="R173" s="373"/>
      <c r="S173" s="373"/>
      <c r="T173" s="373"/>
      <c r="U173" s="373"/>
      <c r="V173" s="373"/>
      <c r="W173" s="373"/>
      <c r="X173" s="373"/>
      <c r="Y173" s="373"/>
      <c r="Z173" s="373"/>
      <c r="AA173" s="373"/>
    </row>
    <row r="174" spans="1:27" ht="33">
      <c r="A174" s="3119" t="s">
        <v>1199</v>
      </c>
      <c r="B174" s="2925"/>
      <c r="C174" s="143"/>
      <c r="F174" s="2922"/>
      <c r="G174" s="2107"/>
      <c r="K174" s="373"/>
      <c r="L174" s="2936"/>
      <c r="M174" s="4784" t="s">
        <v>1448</v>
      </c>
      <c r="N174" s="373"/>
      <c r="O174" s="2936"/>
      <c r="P174" s="373"/>
      <c r="Q174" s="373"/>
      <c r="R174" s="373"/>
      <c r="S174" s="373"/>
      <c r="T174" s="373"/>
      <c r="U174" s="373"/>
      <c r="V174" s="373"/>
      <c r="W174" s="373"/>
      <c r="X174" s="373"/>
      <c r="Y174" s="373"/>
      <c r="Z174" s="373"/>
      <c r="AA174" s="373"/>
    </row>
    <row r="175" spans="1:27" ht="33">
      <c r="A175" s="3119" t="s">
        <v>1201</v>
      </c>
      <c r="B175" s="2925"/>
      <c r="C175" s="130"/>
      <c r="D175" s="2934"/>
      <c r="E175" s="2113"/>
      <c r="F175" s="2923"/>
      <c r="G175" s="2106"/>
      <c r="K175" s="373"/>
      <c r="L175" s="2936"/>
      <c r="M175" s="4784" t="s">
        <v>1452</v>
      </c>
      <c r="N175" s="373"/>
      <c r="O175" s="2936"/>
      <c r="P175" s="373"/>
      <c r="Q175" s="373"/>
      <c r="R175" s="373"/>
      <c r="S175" s="373"/>
      <c r="T175" s="373"/>
      <c r="U175" s="373"/>
      <c r="V175" s="373"/>
      <c r="W175" s="373"/>
      <c r="X175" s="373"/>
      <c r="Y175" s="373"/>
      <c r="Z175" s="373"/>
      <c r="AA175" s="373"/>
    </row>
    <row r="176" spans="1:27" ht="30">
      <c r="A176" s="3119"/>
      <c r="B176" s="3190"/>
      <c r="F176" s="2160"/>
      <c r="G176" s="2106"/>
      <c r="K176" s="373"/>
      <c r="L176" s="3003"/>
      <c r="M176" s="373"/>
      <c r="N176" s="373"/>
      <c r="O176" s="3003"/>
      <c r="P176" s="373"/>
      <c r="Q176" s="373"/>
      <c r="R176" s="373"/>
      <c r="S176" s="373"/>
      <c r="T176" s="373"/>
      <c r="U176" s="373"/>
      <c r="V176" s="373"/>
      <c r="W176" s="373"/>
      <c r="X176" s="373"/>
      <c r="Y176" s="373"/>
      <c r="Z176" s="373"/>
      <c r="AA176" s="373"/>
    </row>
    <row r="177" spans="1:27" ht="33">
      <c r="A177" s="3239" t="s">
        <v>1209</v>
      </c>
      <c r="B177" s="3191"/>
      <c r="C177" s="130"/>
      <c r="D177" s="2935"/>
      <c r="E177" s="2159"/>
      <c r="F177" s="2161"/>
      <c r="H177" s="6">
        <f>2*556</f>
        <v>1112</v>
      </c>
      <c r="K177" s="373"/>
      <c r="L177" s="2936"/>
      <c r="M177" s="373"/>
      <c r="N177" s="373"/>
      <c r="O177" s="2936"/>
      <c r="P177" s="373"/>
      <c r="Q177" s="373"/>
      <c r="R177" s="373"/>
      <c r="S177" s="373"/>
      <c r="T177" s="373"/>
      <c r="U177" s="373"/>
      <c r="V177" s="373"/>
      <c r="W177" s="373"/>
      <c r="X177" s="373"/>
      <c r="Y177" s="373"/>
      <c r="Z177" s="373"/>
      <c r="AA177" s="373"/>
    </row>
    <row r="178" spans="1:27" ht="33">
      <c r="A178" s="3240" t="s">
        <v>1208</v>
      </c>
      <c r="B178" s="2932"/>
      <c r="C178" s="130"/>
      <c r="D178" s="2935"/>
      <c r="E178" s="2159"/>
      <c r="F178" s="2135"/>
      <c r="G178" s="2107"/>
      <c r="K178" s="373"/>
      <c r="L178" s="2936"/>
      <c r="M178" s="373"/>
      <c r="N178" s="373"/>
      <c r="O178" s="2936"/>
      <c r="P178" s="373"/>
      <c r="Q178" s="373"/>
      <c r="R178" s="373"/>
      <c r="S178" s="373"/>
      <c r="T178" s="373"/>
      <c r="U178" s="373"/>
      <c r="V178" s="373"/>
      <c r="W178" s="373"/>
      <c r="X178" s="373"/>
      <c r="Y178" s="373"/>
      <c r="Z178" s="373"/>
      <c r="AA178" s="373"/>
    </row>
    <row r="179" spans="1:27" ht="30">
      <c r="A179" s="3164" t="s">
        <v>1207</v>
      </c>
      <c r="B179" s="2925"/>
      <c r="C179" s="143"/>
      <c r="D179" s="143"/>
      <c r="E179" s="180"/>
      <c r="F179" s="2160"/>
      <c r="G179" s="2106"/>
      <c r="K179" s="373"/>
      <c r="L179" s="2936"/>
      <c r="M179" s="373"/>
      <c r="N179" s="373"/>
      <c r="O179" s="2936"/>
      <c r="P179" s="373"/>
      <c r="Q179" s="373"/>
      <c r="R179" s="373"/>
      <c r="S179" s="373"/>
      <c r="T179" s="373"/>
      <c r="U179" s="373"/>
      <c r="V179" s="373"/>
      <c r="W179" s="373"/>
      <c r="X179" s="373"/>
      <c r="Y179" s="373"/>
      <c r="Z179" s="373"/>
      <c r="AA179" s="373"/>
    </row>
    <row r="180" spans="1:27" ht="30">
      <c r="A180" s="3164" t="s">
        <v>1206</v>
      </c>
      <c r="B180" s="2925"/>
      <c r="C180" s="143"/>
      <c r="E180" s="373"/>
      <c r="F180" s="2160"/>
      <c r="G180" s="1780"/>
      <c r="K180" s="373"/>
      <c r="L180" s="2936"/>
      <c r="M180" s="373"/>
      <c r="N180" s="373"/>
      <c r="O180" s="2936"/>
      <c r="P180" s="373"/>
      <c r="Q180" s="373"/>
      <c r="R180" s="373"/>
      <c r="S180" s="373"/>
      <c r="T180" s="373"/>
      <c r="U180" s="373"/>
      <c r="V180" s="373"/>
      <c r="W180" s="373"/>
      <c r="X180" s="373"/>
      <c r="Y180" s="373"/>
      <c r="Z180" s="373"/>
      <c r="AA180" s="373"/>
    </row>
    <row r="181" spans="1:27" ht="30">
      <c r="A181" s="3164" t="s">
        <v>1205</v>
      </c>
      <c r="B181" s="2925"/>
      <c r="C181" s="143"/>
      <c r="E181" s="373"/>
      <c r="F181" s="2160"/>
      <c r="K181" s="373"/>
      <c r="L181" s="2936"/>
      <c r="M181" s="373"/>
      <c r="N181" s="373"/>
      <c r="O181" s="2936"/>
      <c r="P181" s="373"/>
      <c r="Q181" s="373"/>
      <c r="R181" s="373"/>
      <c r="S181" s="373"/>
      <c r="T181" s="373"/>
      <c r="U181" s="373"/>
      <c r="V181" s="373"/>
      <c r="W181" s="373"/>
      <c r="X181" s="373"/>
      <c r="Y181" s="373"/>
      <c r="Z181" s="373"/>
      <c r="AA181" s="373"/>
    </row>
    <row r="182" spans="1:27" ht="30">
      <c r="A182" s="3119" t="s">
        <v>1204</v>
      </c>
      <c r="B182" s="3192"/>
      <c r="C182" s="143"/>
      <c r="F182" s="2160"/>
      <c r="G182" s="1780"/>
      <c r="K182" s="373"/>
      <c r="L182" s="2936"/>
      <c r="M182" s="373"/>
      <c r="N182" s="373"/>
      <c r="O182" s="2936"/>
      <c r="P182" s="373"/>
      <c r="Q182" s="373"/>
      <c r="R182" s="373"/>
      <c r="S182" s="373"/>
      <c r="T182" s="373"/>
      <c r="U182" s="373"/>
      <c r="V182" s="373"/>
      <c r="W182" s="373"/>
      <c r="X182" s="373"/>
      <c r="Y182" s="373"/>
      <c r="Z182" s="373"/>
      <c r="AA182" s="373"/>
    </row>
    <row r="183" spans="1:27" ht="30.75">
      <c r="A183" s="3241" t="s">
        <v>1203</v>
      </c>
      <c r="B183" s="2925"/>
      <c r="C183" s="143"/>
      <c r="F183" s="2160"/>
      <c r="G183" s="1780"/>
      <c r="K183" s="373"/>
      <c r="L183" s="2936"/>
      <c r="M183" s="373"/>
      <c r="N183" s="373"/>
      <c r="O183" s="2936"/>
      <c r="P183" s="373"/>
      <c r="Q183" s="373"/>
      <c r="R183" s="373"/>
      <c r="S183" s="373"/>
      <c r="T183" s="373"/>
      <c r="U183" s="373"/>
      <c r="V183" s="373"/>
      <c r="W183" s="373"/>
      <c r="X183" s="373"/>
      <c r="Y183" s="373"/>
      <c r="Z183" s="373"/>
      <c r="AA183" s="373"/>
    </row>
    <row r="184" spans="1:27" ht="30.75">
      <c r="A184" s="3139" t="s">
        <v>1202</v>
      </c>
      <c r="B184" s="2925"/>
      <c r="C184" s="1779"/>
      <c r="D184" s="2925"/>
      <c r="E184" s="2114"/>
      <c r="F184" s="2109"/>
      <c r="G184" s="1824"/>
      <c r="K184" s="373"/>
      <c r="L184" s="2936"/>
      <c r="M184" s="373"/>
      <c r="N184" s="373"/>
      <c r="O184" s="2936"/>
    </row>
    <row r="185" spans="1:27" ht="30.75">
      <c r="A185" s="3139"/>
      <c r="B185" s="2925"/>
      <c r="C185" s="1779"/>
      <c r="D185" s="2925"/>
      <c r="E185" s="2114"/>
      <c r="F185" s="2108"/>
      <c r="G185" s="1824"/>
      <c r="K185" s="373"/>
      <c r="L185" s="3336"/>
      <c r="M185" s="373"/>
      <c r="N185" s="373"/>
      <c r="O185" s="3336"/>
    </row>
    <row r="186" spans="1:27" ht="30">
      <c r="A186" s="2921" t="s">
        <v>1165</v>
      </c>
      <c r="B186" s="1779"/>
      <c r="C186" s="1779"/>
      <c r="D186" s="2925"/>
      <c r="E186" s="2114"/>
      <c r="F186" s="1988"/>
      <c r="G186" s="1824"/>
      <c r="K186" s="373"/>
      <c r="L186" s="2936"/>
      <c r="M186" s="373"/>
      <c r="N186" s="373"/>
      <c r="O186" s="3336"/>
    </row>
    <row r="187" spans="1:27" ht="30">
      <c r="A187" s="2920" t="s">
        <v>1164</v>
      </c>
      <c r="B187" s="1779"/>
      <c r="C187" s="1779"/>
      <c r="D187" s="2925"/>
      <c r="E187" s="2114"/>
      <c r="F187" s="2118"/>
      <c r="G187" s="1824"/>
      <c r="K187" s="373"/>
      <c r="L187" s="2936"/>
      <c r="M187" s="373"/>
      <c r="N187" s="373"/>
      <c r="O187" s="2936"/>
    </row>
    <row r="188" spans="1:27" ht="30">
      <c r="A188" s="2921" t="s">
        <v>1166</v>
      </c>
      <c r="B188" s="1779"/>
      <c r="C188" s="1779"/>
      <c r="D188" s="2925"/>
      <c r="E188" s="2114"/>
      <c r="F188" s="2099" t="s">
        <v>1168</v>
      </c>
      <c r="G188" s="1790"/>
      <c r="K188" s="373"/>
      <c r="L188" s="2936"/>
      <c r="M188" s="373"/>
      <c r="N188" s="373"/>
      <c r="O188" s="2936"/>
    </row>
    <row r="189" spans="1:27" ht="30">
      <c r="A189" s="2921" t="s">
        <v>1167</v>
      </c>
      <c r="B189" s="1779"/>
      <c r="C189" s="1779"/>
      <c r="D189" s="2925"/>
      <c r="E189" s="2114"/>
      <c r="F189" s="2099" t="s">
        <v>1193</v>
      </c>
      <c r="G189" s="1790"/>
      <c r="K189" s="373"/>
      <c r="L189" s="2936"/>
      <c r="M189" s="373"/>
      <c r="N189" s="373"/>
      <c r="O189" s="2936"/>
    </row>
    <row r="190" spans="1:27" ht="30">
      <c r="A190" s="2115" t="s">
        <v>1171</v>
      </c>
      <c r="B190" s="1779"/>
      <c r="C190" s="1779"/>
      <c r="D190" s="2925"/>
      <c r="E190" s="2114"/>
      <c r="G190" s="1825"/>
      <c r="K190" s="373"/>
      <c r="L190" s="3336"/>
      <c r="M190" s="373"/>
      <c r="N190" s="373"/>
      <c r="O190" s="3336"/>
    </row>
    <row r="191" spans="1:27" ht="30">
      <c r="A191" s="2116" t="s">
        <v>1172</v>
      </c>
      <c r="B191" s="1779"/>
      <c r="C191" s="1779"/>
      <c r="D191" s="2925"/>
      <c r="E191" s="2114"/>
      <c r="G191" s="1823"/>
      <c r="K191" s="373"/>
      <c r="L191" s="3336"/>
      <c r="M191" s="373"/>
      <c r="N191" s="373"/>
      <c r="O191" s="3336"/>
    </row>
    <row r="192" spans="1:27" ht="29.25">
      <c r="A192" s="2116" t="s">
        <v>1173</v>
      </c>
      <c r="B192" s="1779"/>
      <c r="C192" s="1779"/>
      <c r="D192" s="2925"/>
      <c r="E192" s="2114"/>
      <c r="F192" s="1988"/>
      <c r="G192" s="1779"/>
      <c r="K192" s="373"/>
      <c r="L192" s="373"/>
      <c r="M192" s="373"/>
      <c r="N192" s="373"/>
      <c r="O192" s="3899"/>
    </row>
    <row r="193" spans="1:15" ht="29.25">
      <c r="A193" s="2116" t="s">
        <v>1174</v>
      </c>
      <c r="B193" s="2925"/>
      <c r="C193" s="2925"/>
      <c r="D193" s="2925"/>
      <c r="E193" s="2114"/>
      <c r="F193" s="1988"/>
      <c r="G193" s="1779"/>
      <c r="K193" s="373"/>
      <c r="L193" s="373"/>
      <c r="M193" s="373"/>
      <c r="N193" s="373"/>
      <c r="O193" s="3899"/>
    </row>
    <row r="194" spans="1:15" ht="29.25">
      <c r="A194" s="2117" t="s">
        <v>1175</v>
      </c>
      <c r="B194" s="2925"/>
      <c r="C194" s="2925"/>
      <c r="D194" s="2925"/>
      <c r="E194" s="2114"/>
      <c r="F194" s="1988"/>
      <c r="G194" s="1780"/>
      <c r="K194" s="373"/>
      <c r="L194" s="373"/>
      <c r="M194" s="373"/>
      <c r="N194" s="373"/>
      <c r="O194" s="3899"/>
    </row>
    <row r="195" spans="1:15" ht="29.25">
      <c r="A195" s="2927" t="s">
        <v>1176</v>
      </c>
      <c r="B195" s="2925"/>
      <c r="C195" s="2925"/>
      <c r="D195" s="2925"/>
      <c r="E195" s="2114"/>
      <c r="F195" s="1988"/>
      <c r="G195" s="1780"/>
      <c r="K195" s="373"/>
      <c r="L195" s="373"/>
      <c r="M195" s="373"/>
      <c r="N195" s="373"/>
      <c r="O195" s="3899"/>
    </row>
    <row r="196" spans="1:15" ht="29.25">
      <c r="A196" s="2927" t="s">
        <v>1177</v>
      </c>
      <c r="B196" s="2925"/>
      <c r="C196" s="2925"/>
      <c r="D196" s="2925"/>
      <c r="E196" s="2114"/>
      <c r="F196" s="1988"/>
      <c r="G196" s="1780"/>
      <c r="K196" s="373"/>
      <c r="L196" s="373"/>
      <c r="M196" s="373"/>
      <c r="N196" s="373"/>
      <c r="O196" s="3899"/>
    </row>
    <row r="197" spans="1:15" ht="29.25">
      <c r="A197" s="5092" t="s">
        <v>1178</v>
      </c>
      <c r="B197" s="2925"/>
      <c r="C197" s="2925"/>
      <c r="D197" s="2925"/>
      <c r="E197" s="2114"/>
      <c r="F197" s="1988"/>
      <c r="G197" s="1780"/>
      <c r="K197" s="373"/>
      <c r="L197" s="373"/>
      <c r="M197" s="373"/>
      <c r="N197" s="373"/>
      <c r="O197" s="3899"/>
    </row>
    <row r="198" spans="1:15" ht="27">
      <c r="A198" s="2927"/>
      <c r="B198" s="2925"/>
      <c r="C198" s="2925"/>
      <c r="D198" s="2925"/>
      <c r="E198" s="2114"/>
      <c r="G198" s="1823"/>
      <c r="K198" s="373"/>
      <c r="L198" s="373"/>
      <c r="M198" s="373"/>
      <c r="N198" s="373"/>
      <c r="O198" s="3899"/>
    </row>
    <row r="199" spans="1:15" ht="27">
      <c r="A199" s="2927"/>
      <c r="K199" s="373"/>
      <c r="L199" s="373"/>
      <c r="M199" s="373"/>
      <c r="N199" s="373"/>
      <c r="O199" s="3899"/>
    </row>
    <row r="200" spans="1:15">
      <c r="K200" s="373"/>
      <c r="L200" s="373"/>
      <c r="M200" s="373"/>
      <c r="N200" s="373"/>
      <c r="O200" s="3899"/>
    </row>
    <row r="201" spans="1:15">
      <c r="K201" s="373"/>
      <c r="L201" s="373"/>
      <c r="M201" s="373"/>
      <c r="N201" s="373"/>
      <c r="O201" s="3899"/>
    </row>
    <row r="202" spans="1:15">
      <c r="K202" s="373"/>
      <c r="L202" s="373"/>
      <c r="M202" s="373"/>
      <c r="N202" s="373"/>
      <c r="O202" s="3899"/>
    </row>
    <row r="203" spans="1:15">
      <c r="K203" s="373"/>
      <c r="L203" s="373"/>
      <c r="M203" s="373"/>
      <c r="N203" s="373"/>
      <c r="O203" s="3899"/>
    </row>
    <row r="204" spans="1:15">
      <c r="K204" s="373"/>
      <c r="L204" s="373"/>
      <c r="M204" s="373"/>
      <c r="N204" s="373"/>
      <c r="O204" s="3899"/>
    </row>
    <row r="205" spans="1:15">
      <c r="K205" s="373"/>
      <c r="L205" s="373"/>
      <c r="M205" s="373"/>
      <c r="N205" s="373"/>
      <c r="O205" s="3899"/>
    </row>
    <row r="206" spans="1:15">
      <c r="K206" s="373"/>
      <c r="L206" s="373"/>
      <c r="M206" s="373"/>
      <c r="N206" s="373"/>
      <c r="O206" s="3899"/>
    </row>
    <row r="207" spans="1:15">
      <c r="K207" s="373"/>
      <c r="L207" s="373"/>
      <c r="M207" s="373"/>
      <c r="N207" s="373"/>
      <c r="O207" s="3899"/>
    </row>
    <row r="208" spans="1:15">
      <c r="K208" s="373"/>
      <c r="L208" s="373"/>
      <c r="M208" s="373"/>
      <c r="N208" s="373"/>
      <c r="O208" s="3899"/>
    </row>
    <row r="209" spans="5:15">
      <c r="K209" s="373"/>
      <c r="L209" s="373"/>
      <c r="M209" s="373"/>
      <c r="N209" s="373"/>
      <c r="O209" s="3899"/>
    </row>
    <row r="210" spans="5:15">
      <c r="K210" s="373"/>
      <c r="L210" s="373"/>
      <c r="M210" s="373"/>
      <c r="N210" s="373"/>
      <c r="O210" s="3899"/>
    </row>
    <row r="211" spans="5:15">
      <c r="K211" s="373"/>
      <c r="L211" s="373"/>
      <c r="M211" s="373"/>
      <c r="N211" s="373"/>
      <c r="O211" s="3899"/>
    </row>
    <row r="212" spans="5:15">
      <c r="K212" s="373"/>
      <c r="L212" s="373"/>
      <c r="M212" s="373"/>
      <c r="N212" s="373"/>
      <c r="O212" s="3899"/>
    </row>
    <row r="213" spans="5:15">
      <c r="K213" s="373"/>
      <c r="L213" s="373"/>
      <c r="M213" s="373"/>
      <c r="N213" s="373"/>
      <c r="O213" s="3899"/>
    </row>
    <row r="214" spans="5:15">
      <c r="K214" s="373"/>
      <c r="L214" s="373"/>
      <c r="M214" s="373"/>
      <c r="N214" s="373"/>
      <c r="O214" s="3899"/>
    </row>
    <row r="215" spans="5:15">
      <c r="K215" s="373"/>
      <c r="L215" s="373"/>
      <c r="M215" s="373"/>
      <c r="N215" s="373"/>
      <c r="O215" s="3899"/>
    </row>
    <row r="216" spans="5:15">
      <c r="K216" s="373"/>
      <c r="L216" s="373"/>
      <c r="M216" s="373"/>
      <c r="N216" s="373"/>
      <c r="O216" s="3899"/>
    </row>
    <row r="217" spans="5:15">
      <c r="K217" s="373"/>
      <c r="L217" s="373"/>
      <c r="M217" s="373"/>
      <c r="N217" s="373"/>
      <c r="O217" s="3899"/>
    </row>
    <row r="218" spans="5:15">
      <c r="K218" s="373"/>
      <c r="L218" s="373"/>
      <c r="M218" s="373"/>
      <c r="N218" s="373"/>
      <c r="O218" s="3899"/>
    </row>
    <row r="219" spans="5:15">
      <c r="K219" s="373"/>
      <c r="L219" s="373"/>
      <c r="M219" s="373"/>
      <c r="N219" s="373"/>
      <c r="O219" s="3899"/>
    </row>
    <row r="220" spans="5:15">
      <c r="K220" s="373"/>
      <c r="O220" s="3762"/>
    </row>
    <row r="222" spans="5:15">
      <c r="O222" s="3762"/>
    </row>
    <row r="223" spans="5:15" ht="29.25">
      <c r="E223" s="1988" t="s">
        <v>1190</v>
      </c>
      <c r="O223" s="3762"/>
    </row>
    <row r="224" spans="5:15" ht="29.25">
      <c r="E224" s="3640" t="s">
        <v>1191</v>
      </c>
      <c r="O224" s="3762"/>
    </row>
    <row r="225" spans="3:16">
      <c r="C225" s="6">
        <v>5</v>
      </c>
      <c r="O225" s="3762"/>
    </row>
    <row r="226" spans="3:16">
      <c r="C226" s="6">
        <v>5</v>
      </c>
      <c r="O226" s="3762"/>
      <c r="P226" s="3762"/>
    </row>
    <row r="227" spans="3:16">
      <c r="O227" s="3762"/>
    </row>
    <row r="228" spans="3:16">
      <c r="O228" s="3762"/>
    </row>
    <row r="229" spans="3:16">
      <c r="O229" s="3762"/>
    </row>
    <row r="230" spans="3:16">
      <c r="O230" s="3762"/>
    </row>
    <row r="231" spans="3:16">
      <c r="O231" s="3762"/>
    </row>
    <row r="232" spans="3:16">
      <c r="O232" s="3762"/>
    </row>
    <row r="233" spans="3:16">
      <c r="O233" s="3762"/>
    </row>
    <row r="234" spans="3:16">
      <c r="O234" s="3762"/>
    </row>
    <row r="235" spans="3:16">
      <c r="O235" s="3762"/>
    </row>
    <row r="236" spans="3:16">
      <c r="O236" s="3762"/>
    </row>
    <row r="243" spans="2:8" ht="51.75" customHeight="1">
      <c r="B243" s="4248" t="s">
        <v>18</v>
      </c>
      <c r="C243" s="4248">
        <v>8813</v>
      </c>
    </row>
    <row r="244" spans="2:8" ht="51.75" customHeight="1">
      <c r="B244" s="4248" t="s">
        <v>1327</v>
      </c>
      <c r="C244" s="4248">
        <v>8816</v>
      </c>
    </row>
    <row r="245" spans="2:8" ht="51.75" customHeight="1">
      <c r="B245" s="4248" t="s">
        <v>1328</v>
      </c>
      <c r="C245" s="4248">
        <v>8815</v>
      </c>
      <c r="E245" s="5188" t="s">
        <v>1726</v>
      </c>
      <c r="F245" s="5185"/>
      <c r="G245" s="5185"/>
      <c r="H245" s="5185"/>
    </row>
    <row r="246" spans="2:8" ht="51.75" customHeight="1">
      <c r="B246" s="4248" t="s">
        <v>1329</v>
      </c>
      <c r="C246" s="4248">
        <v>8812</v>
      </c>
    </row>
    <row r="247" spans="2:8" ht="51.75" customHeight="1">
      <c r="B247" s="4248" t="s">
        <v>1330</v>
      </c>
      <c r="C247" s="4248">
        <v>8814</v>
      </c>
    </row>
    <row r="248" spans="2:8" ht="51.75" customHeight="1">
      <c r="B248" s="4247"/>
      <c r="C248" s="4247"/>
    </row>
    <row r="249" spans="2:8" ht="51.75" customHeight="1">
      <c r="B249" s="4248" t="s">
        <v>1326</v>
      </c>
      <c r="C249" s="4248">
        <v>8813</v>
      </c>
    </row>
    <row r="250" spans="2:8" ht="51.75" customHeight="1">
      <c r="B250" s="4248" t="s">
        <v>1327</v>
      </c>
      <c r="C250" s="4248">
        <v>8816</v>
      </c>
    </row>
    <row r="251" spans="2:8" ht="51.75" customHeight="1">
      <c r="B251" s="4248" t="s">
        <v>1328</v>
      </c>
      <c r="C251" s="4248">
        <v>8815</v>
      </c>
    </row>
    <row r="252" spans="2:8" ht="51.75" customHeight="1">
      <c r="B252" s="4248" t="s">
        <v>1329</v>
      </c>
      <c r="C252" s="4248">
        <v>8812</v>
      </c>
    </row>
    <row r="253" spans="2:8" ht="51.75" customHeight="1">
      <c r="B253" s="4248" t="s">
        <v>1330</v>
      </c>
      <c r="C253" s="4248">
        <v>8814</v>
      </c>
    </row>
    <row r="254" spans="2:8" ht="51.75" customHeight="1">
      <c r="B254" s="4247"/>
      <c r="C254" s="4247"/>
    </row>
    <row r="255" spans="2:8" ht="51.75" customHeight="1">
      <c r="B255" s="4248" t="s">
        <v>1326</v>
      </c>
      <c r="C255" s="4248">
        <v>8813</v>
      </c>
    </row>
    <row r="256" spans="2:8" ht="51.75" customHeight="1">
      <c r="B256" s="4248" t="s">
        <v>1327</v>
      </c>
      <c r="C256" s="4248">
        <v>8816</v>
      </c>
    </row>
    <row r="257" spans="2:3" ht="51.75" customHeight="1">
      <c r="B257" s="4248" t="s">
        <v>1328</v>
      </c>
      <c r="C257" s="4248">
        <v>8815</v>
      </c>
    </row>
    <row r="258" spans="2:3" ht="51.75" customHeight="1">
      <c r="B258" s="4248" t="s">
        <v>1329</v>
      </c>
      <c r="C258" s="4248">
        <v>8812</v>
      </c>
    </row>
    <row r="259" spans="2:3" ht="51.75" customHeight="1">
      <c r="B259" s="4248" t="s">
        <v>1330</v>
      </c>
      <c r="C259" s="4248">
        <v>8814</v>
      </c>
    </row>
    <row r="260" spans="2:3" ht="51.75" customHeight="1">
      <c r="B260" s="4247"/>
      <c r="C260" s="4247"/>
    </row>
    <row r="261" spans="2:3" ht="51.75" customHeight="1">
      <c r="B261" s="4248" t="s">
        <v>1326</v>
      </c>
      <c r="C261" s="4248">
        <v>8813</v>
      </c>
    </row>
    <row r="262" spans="2:3" ht="51.75" customHeight="1">
      <c r="B262" s="4248" t="s">
        <v>1327</v>
      </c>
      <c r="C262" s="4248">
        <v>8816</v>
      </c>
    </row>
    <row r="263" spans="2:3" ht="51.75" customHeight="1">
      <c r="B263" s="4248" t="s">
        <v>1328</v>
      </c>
      <c r="C263" s="4248">
        <v>8815</v>
      </c>
    </row>
    <row r="264" spans="2:3" ht="51.75" customHeight="1">
      <c r="B264" s="4248" t="s">
        <v>1329</v>
      </c>
      <c r="C264" s="4248">
        <v>8812</v>
      </c>
    </row>
    <row r="265" spans="2:3" ht="51.75" customHeight="1">
      <c r="B265" s="4248" t="s">
        <v>1330</v>
      </c>
      <c r="C265" s="4248">
        <v>8814</v>
      </c>
    </row>
    <row r="285" spans="1:9" ht="30">
      <c r="A285" s="3671" t="s">
        <v>1274</v>
      </c>
      <c r="B285" s="3624"/>
      <c r="C285" s="3624"/>
      <c r="D285" s="3623"/>
      <c r="E285" s="3623"/>
      <c r="F285" s="1988" t="s">
        <v>1257</v>
      </c>
      <c r="G285" s="3624"/>
      <c r="H285" s="3624"/>
      <c r="I285" s="3561"/>
    </row>
    <row r="286" spans="1:9" ht="30">
      <c r="A286" s="3388" t="s">
        <v>1270</v>
      </c>
      <c r="B286" s="2936"/>
      <c r="C286" s="2936"/>
      <c r="D286" s="3623"/>
      <c r="E286" s="3623"/>
      <c r="F286" s="1988" t="s">
        <v>1258</v>
      </c>
      <c r="G286" s="2936"/>
      <c r="H286" s="2936"/>
      <c r="I286" s="3562"/>
    </row>
    <row r="287" spans="1:9" ht="30">
      <c r="A287" s="3388" t="s">
        <v>1277</v>
      </c>
      <c r="B287" s="2936"/>
      <c r="C287" s="2936"/>
      <c r="D287" s="3623"/>
      <c r="E287" s="3623"/>
      <c r="F287" s="3670"/>
      <c r="G287" s="2936"/>
      <c r="H287" s="2936"/>
      <c r="I287" s="3563"/>
    </row>
    <row r="288" spans="1:9" ht="30">
      <c r="A288" s="3388" t="s">
        <v>1259</v>
      </c>
      <c r="B288" s="2936"/>
      <c r="C288" s="2936"/>
      <c r="D288" s="3623"/>
      <c r="E288" s="3623"/>
      <c r="F288" s="3388"/>
      <c r="G288" s="2936"/>
      <c r="H288" s="2936"/>
      <c r="I288" s="3563"/>
    </row>
    <row r="289" spans="1:9" ht="30">
      <c r="A289" s="3388" t="s">
        <v>1278</v>
      </c>
      <c r="B289" s="2936"/>
      <c r="C289" s="2936"/>
      <c r="D289" s="3623"/>
      <c r="E289" s="3623"/>
      <c r="F289" s="3670"/>
      <c r="G289" s="2936"/>
      <c r="H289" s="3016"/>
      <c r="I289" s="3564"/>
    </row>
    <row r="290" spans="1:9" ht="30">
      <c r="A290" s="3388" t="s">
        <v>1260</v>
      </c>
      <c r="B290" s="2936"/>
      <c r="C290" s="2936"/>
      <c r="D290" s="3623"/>
      <c r="E290" s="3623"/>
      <c r="F290" s="3670"/>
      <c r="G290" s="2936"/>
      <c r="I290" s="3563"/>
    </row>
    <row r="291" spans="1:9" ht="30">
      <c r="A291" s="3666" t="s">
        <v>1268</v>
      </c>
      <c r="B291" s="2936"/>
      <c r="C291" s="2936"/>
      <c r="D291" s="3623"/>
      <c r="E291" s="3623"/>
      <c r="F291" s="3670"/>
      <c r="G291" s="2936"/>
      <c r="I291" s="3563"/>
    </row>
    <row r="292" spans="1:9" ht="30">
      <c r="A292" s="3666" t="s">
        <v>1269</v>
      </c>
      <c r="B292" s="2936"/>
      <c r="C292" s="2936"/>
      <c r="D292" s="3623"/>
      <c r="E292" s="3623"/>
      <c r="F292" s="3388"/>
      <c r="G292" s="2936"/>
      <c r="I292" s="3563"/>
    </row>
    <row r="293" spans="1:9" ht="30">
      <c r="A293" s="3388" t="s">
        <v>1261</v>
      </c>
      <c r="B293" s="3003"/>
      <c r="C293" s="3003"/>
      <c r="D293" s="3622"/>
      <c r="E293" s="3623"/>
      <c r="F293" s="3388"/>
      <c r="G293" s="2936"/>
      <c r="I293" s="3563"/>
    </row>
    <row r="294" spans="1:9" ht="30">
      <c r="A294" s="3388" t="s">
        <v>1262</v>
      </c>
      <c r="B294" s="3003"/>
      <c r="C294" s="3003"/>
      <c r="D294" s="3622"/>
      <c r="E294" s="3623"/>
      <c r="F294" s="1988" t="s">
        <v>1263</v>
      </c>
      <c r="G294" s="2936"/>
      <c r="H294" s="3629"/>
      <c r="I294" s="3623"/>
    </row>
    <row r="295" spans="1:9" ht="30">
      <c r="A295" s="3388"/>
      <c r="B295" s="2936"/>
      <c r="C295" s="2936"/>
      <c r="D295" s="3622"/>
      <c r="E295" s="3622"/>
      <c r="F295" s="1988" t="s">
        <v>1264</v>
      </c>
      <c r="G295" s="2936"/>
      <c r="H295" s="3623"/>
      <c r="I295" s="3623"/>
    </row>
    <row r="296" spans="1:9" ht="30">
      <c r="A296" s="3388" t="s">
        <v>1265</v>
      </c>
      <c r="B296" s="3015"/>
      <c r="C296" s="3015"/>
      <c r="D296" s="3622"/>
      <c r="E296" s="3622"/>
      <c r="F296" s="3670"/>
      <c r="G296" s="3003"/>
      <c r="H296" s="3629"/>
    </row>
    <row r="297" spans="1:9" ht="30">
      <c r="A297" s="3388" t="s">
        <v>1266</v>
      </c>
      <c r="B297" s="3015"/>
      <c r="C297" s="3015"/>
      <c r="D297" s="3622"/>
      <c r="E297" s="3622"/>
      <c r="F297" s="3665"/>
      <c r="G297" s="3003"/>
      <c r="H297" s="3623"/>
      <c r="I297" s="3563"/>
    </row>
    <row r="298" spans="1:9" ht="30">
      <c r="A298" s="3388" t="s">
        <v>1267</v>
      </c>
      <c r="B298" s="3015"/>
      <c r="C298" s="3015"/>
      <c r="D298" s="3623"/>
      <c r="E298" s="3622"/>
      <c r="F298" s="3665"/>
      <c r="G298" s="3003"/>
      <c r="H298" s="3623"/>
      <c r="I298" s="3565"/>
    </row>
    <row r="299" spans="1:9" ht="30">
      <c r="A299" s="3388" t="s">
        <v>1271</v>
      </c>
      <c r="B299" s="3015"/>
      <c r="C299" s="3015"/>
      <c r="D299" s="3627"/>
      <c r="E299" s="3622"/>
      <c r="F299" s="3665"/>
      <c r="G299" s="3003"/>
      <c r="H299" s="7"/>
      <c r="I299" s="3566"/>
    </row>
    <row r="300" spans="1:9" ht="30">
      <c r="A300" s="3388" t="s">
        <v>1275</v>
      </c>
      <c r="B300" s="3015"/>
      <c r="C300" s="3015"/>
      <c r="D300" s="3627"/>
      <c r="E300" s="3623"/>
      <c r="F300" s="3388"/>
      <c r="G300" s="3003"/>
      <c r="H300" s="7"/>
      <c r="I300" s="3567"/>
    </row>
    <row r="301" spans="1:9" ht="30">
      <c r="A301" s="3388" t="s">
        <v>1272</v>
      </c>
      <c r="B301" s="3015"/>
      <c r="C301" s="3015"/>
      <c r="D301" s="3627"/>
      <c r="E301" s="3627"/>
      <c r="F301" s="3670"/>
      <c r="G301" s="2936"/>
      <c r="H301" s="3571"/>
      <c r="I301" s="3567"/>
    </row>
    <row r="302" spans="1:9" ht="30">
      <c r="A302" s="3388" t="s">
        <v>1276</v>
      </c>
      <c r="B302" s="3015"/>
      <c r="C302" s="3015"/>
      <c r="D302" s="3627"/>
      <c r="E302" s="3627"/>
      <c r="F302" s="3670"/>
      <c r="G302" s="3015"/>
      <c r="I302" s="3568"/>
    </row>
    <row r="303" spans="1:9" ht="30">
      <c r="A303" s="3388" t="s">
        <v>1273</v>
      </c>
      <c r="B303" s="3015"/>
      <c r="C303" s="3015"/>
      <c r="D303" s="3627"/>
      <c r="E303" s="3627"/>
      <c r="F303" s="3670"/>
      <c r="G303" s="3015"/>
      <c r="I303" s="3563"/>
    </row>
    <row r="304" spans="1:9" ht="30">
      <c r="A304" s="3665"/>
      <c r="B304" s="3623"/>
      <c r="C304" s="3623"/>
      <c r="D304" s="3623"/>
      <c r="E304" s="3623"/>
      <c r="F304" s="2161"/>
      <c r="G304" s="3636"/>
      <c r="H304" s="3637"/>
      <c r="I304" s="3562"/>
    </row>
    <row r="305" spans="1:9" ht="30">
      <c r="A305" s="3388"/>
      <c r="B305" s="3627"/>
      <c r="C305" s="3627"/>
      <c r="D305" s="3627"/>
      <c r="E305" s="3627"/>
      <c r="F305" s="3388"/>
      <c r="G305" s="3638"/>
      <c r="H305" s="3639"/>
      <c r="I305" s="3569"/>
    </row>
    <row r="306" spans="1:9" ht="30">
      <c r="A306" s="3388"/>
      <c r="B306" s="3623"/>
      <c r="C306" s="3623"/>
      <c r="D306" s="3623"/>
      <c r="E306" s="3623"/>
      <c r="F306" s="2161"/>
      <c r="G306" s="3634"/>
      <c r="H306" s="3635"/>
      <c r="I306" s="3570"/>
    </row>
    <row r="307" spans="1:9" ht="30">
      <c r="A307" s="3388"/>
      <c r="B307" s="3623"/>
      <c r="C307" s="3623"/>
      <c r="D307" s="3623"/>
      <c r="E307" s="3623"/>
      <c r="F307" s="3668"/>
      <c r="G307" s="3634"/>
      <c r="H307" s="3635"/>
      <c r="I307" s="3570"/>
    </row>
    <row r="308" spans="1:9" ht="30">
      <c r="A308" s="3388"/>
      <c r="B308" s="3623"/>
      <c r="C308" s="3623"/>
      <c r="D308" s="3623"/>
      <c r="E308" s="3623"/>
      <c r="F308" s="1988"/>
      <c r="G308" s="3634"/>
      <c r="H308" s="3635"/>
      <c r="I308" s="3570"/>
    </row>
    <row r="309" spans="1:9" ht="30">
      <c r="A309" s="3388"/>
      <c r="B309" s="3623"/>
      <c r="C309" s="3623"/>
      <c r="D309" s="3623"/>
      <c r="E309" s="3623"/>
      <c r="F309" s="1988"/>
      <c r="G309" s="3634"/>
      <c r="H309" s="3635"/>
      <c r="I309" s="3570"/>
    </row>
    <row r="310" spans="1:9" ht="30">
      <c r="A310" s="3388"/>
      <c r="B310" s="3623"/>
      <c r="C310" s="3623"/>
      <c r="D310" s="3623"/>
      <c r="E310" s="3623"/>
      <c r="F310" s="2161"/>
      <c r="G310" s="3634"/>
      <c r="H310" s="3635"/>
      <c r="I310" s="3570"/>
    </row>
    <row r="311" spans="1:9" ht="30">
      <c r="A311" s="3388"/>
      <c r="B311" s="3623"/>
      <c r="C311" s="3623"/>
      <c r="D311" s="3623"/>
      <c r="E311" s="3623"/>
      <c r="F311" s="3667"/>
      <c r="G311" s="3634"/>
      <c r="H311" s="3635"/>
      <c r="I311" s="3570"/>
    </row>
    <row r="312" spans="1:9" ht="30">
      <c r="A312" s="3388"/>
      <c r="B312" s="3623"/>
      <c r="C312" s="3623"/>
      <c r="D312" s="3623"/>
      <c r="E312" s="3623"/>
      <c r="F312" s="3669"/>
      <c r="G312" s="3622"/>
      <c r="H312" s="3626"/>
      <c r="I312" s="3570"/>
    </row>
    <row r="1048515" spans="3:28" ht="15.75">
      <c r="C1048515" s="446"/>
      <c r="AB1048515" s="6" t="s">
        <v>1160</v>
      </c>
    </row>
  </sheetData>
  <customSheetViews>
    <customSheetView guid="{7C71EF2A-5ADA-494C-8F58-DDA71753DD90}" scale="70" showPageBreaks="1" printArea="1" topLeftCell="A64">
      <selection activeCell="A74" sqref="A74"/>
      <rowBreaks count="1" manualBreakCount="1">
        <brk id="127" max="16383" man="1"/>
      </rowBreaks>
      <pageMargins left="0" right="0" top="0" bottom="0" header="0" footer="0"/>
      <printOptions horizontalCentered="1"/>
      <pageSetup paperSize="9" scale="25" orientation="portrait" horizontalDpi="4294967295" verticalDpi="4294967295" r:id="rId1"/>
      <headerFooter differentFirst="1" alignWithMargins="0">
        <oddFooter>&amp;CPage &amp;P of 7</oddFooter>
      </headerFooter>
    </customSheetView>
    <customSheetView guid="{B91C2E87-5EDA-40AE-AC27-0E2C17E803CE}" scale="50" showPageBreaks="1" printArea="1" hiddenRows="1" hiddenColumns="1">
      <selection sqref="A1:I115"/>
      <pageMargins left="0.2" right="0.36" top="0.17" bottom="0.17" header="0.17" footer="0.17"/>
      <printOptions horizontalCentered="1"/>
      <pageSetup paperSize="9" scale="25" orientation="portrait" r:id="rId2"/>
      <headerFooter differentFirst="1" alignWithMargins="0">
        <oddFooter>&amp;CPage &amp;P of 7</oddFooter>
      </headerFooter>
    </customSheetView>
    <customSheetView guid="{23F4DC00-BC97-4745-AA5C-F05D469CB1EF}" scale="70" showPageBreaks="1" printArea="1">
      <selection sqref="A1:I115"/>
      <pageMargins left="0.1" right="0.1" top="0.75" bottom="0.44" header="0.3" footer="0.3"/>
      <printOptions horizontalCentered="1"/>
      <pageSetup paperSize="9" scale="30" orientation="portrait" r:id="rId3"/>
      <headerFooter differentFirst="1" alignWithMargins="0">
        <oddFooter>&amp;CPage &amp;P of 7</oddFooter>
      </headerFooter>
    </customSheetView>
    <customSheetView guid="{4593F3EE-0998-4E0E-994A-E02D6BAF3A4B}" scale="55" showPageBreaks="1" printArea="1" hiddenColumns="1" topLeftCell="A65">
      <selection activeCell="D86" sqref="D86"/>
      <pageMargins left="0.28000000000000003" right="0.24" top="0.2" bottom="0.17" header="0.37" footer="0.17"/>
      <printOptions horizontalCentered="1"/>
      <pageSetup paperSize="9" scale="24" orientation="portrait" r:id="rId4"/>
      <headerFooter differentFirst="1" alignWithMargins="0">
        <oddFooter>&amp;CPage &amp;P of 7</oddFooter>
      </headerFooter>
    </customSheetView>
    <customSheetView guid="{917057C8-5E5F-4164-B84C-85103677A2E5}" scale="70">
      <selection sqref="A1:I115"/>
      <pageMargins left="0.28000000000000003" right="0.24" top="0.2" bottom="0.17" header="0.37" footer="0.17"/>
      <printOptions horizontalCentered="1"/>
      <pageSetup paperSize="9" scale="23" orientation="portrait" r:id="rId5"/>
      <headerFooter differentFirst="1" alignWithMargins="0">
        <oddFooter>&amp;CPage &amp;P of 7</oddFooter>
      </headerFooter>
    </customSheetView>
    <customSheetView guid="{5A803268-F6C5-4035-B3E1-A94CB9AA8994}" scale="70" showPageBreaks="1" printArea="1">
      <selection sqref="A1:I115"/>
      <pageMargins left="0.1" right="0.1" top="0.75" bottom="0.44" header="0.3" footer="0.3"/>
      <printOptions horizontalCentered="1"/>
      <pageSetup paperSize="9" scale="30" orientation="portrait" r:id="rId6"/>
      <headerFooter differentFirst="1" alignWithMargins="0">
        <oddFooter>&amp;CPage &amp;P of 7</oddFooter>
      </headerFooter>
    </customSheetView>
    <customSheetView guid="{751D391F-C74F-4B53-B5B5-25E01AC12EA4}" scale="55" hiddenRows="1">
      <selection sqref="A1:I115"/>
      <pageMargins left="0" right="0" top="0" bottom="0" header="0" footer="0"/>
      <printOptions horizontalCentered="1"/>
      <pageSetup paperSize="9" scale="23" orientation="portrait" horizontalDpi="4294967295" verticalDpi="4294967295" r:id="rId7"/>
      <headerFooter differentFirst="1" alignWithMargins="0">
        <oddFooter>&amp;CPage &amp;P of 7</oddFooter>
      </headerFooter>
    </customSheetView>
    <customSheetView guid="{D1D1E152-95AB-45D3-AC07-4EC0834D3E0C}" scale="55" showPageBreaks="1" printArea="1" hiddenRows="1" topLeftCell="A26">
      <selection activeCell="M37" sqref="M37"/>
      <pageMargins left="0" right="0" top="0" bottom="0" header="0" footer="0"/>
      <printOptions horizontalCentered="1"/>
      <pageSetup paperSize="9" scale="23" orientation="portrait" horizontalDpi="4294967295" verticalDpi="4294967295" r:id="rId8"/>
      <headerFooter differentFirst="1" alignWithMargins="0">
        <oddFooter>&amp;CPage &amp;P of 7</oddFooter>
      </headerFooter>
    </customSheetView>
    <customSheetView guid="{4DB6C640-CE65-4513-9E5A-F6CDD1F4B8AF}" scale="55" showPageBreaks="1">
      <selection activeCell="D5" sqref="D5"/>
      <pageMargins left="0" right="0" top="0" bottom="0" header="0" footer="0"/>
      <printOptions horizontalCentered="1"/>
      <pageSetup paperSize="9" scale="23" orientation="portrait" horizontalDpi="4294967295" verticalDpi="4294967295" r:id="rId9"/>
      <headerFooter differentFirst="1" alignWithMargins="0">
        <oddFooter>&amp;CPage &amp;P of 7</oddFooter>
      </headerFooter>
    </customSheetView>
    <customSheetView guid="{C3348F62-02F2-4500-9BF2-19F2DEA57A8D}" scale="55" showPageBreaks="1" printArea="1" hiddenRows="1">
      <selection sqref="A1:I115"/>
      <pageMargins left="0" right="0" top="0" bottom="0" header="0" footer="0"/>
      <printOptions horizontalCentered="1"/>
      <pageSetup paperSize="9" scale="23" orientation="portrait" horizontalDpi="4294967295" verticalDpi="4294967295" r:id="rId10"/>
      <headerFooter differentFirst="1" alignWithMargins="0">
        <oddFooter>&amp;CPage &amp;P of 7</oddFooter>
      </headerFooter>
    </customSheetView>
  </customSheetViews>
  <printOptions horizontalCentered="1"/>
  <pageMargins left="0" right="0" top="0" bottom="0" header="0" footer="0"/>
  <pageSetup paperSize="9" scale="23" orientation="portrait" horizontalDpi="4294967295" verticalDpi="4294967295" r:id="rId11"/>
  <headerFooter differentFirst="1" alignWithMargins="0">
    <oddFooter>&amp;CPage &amp;P of 7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1">
    <tabColor rgb="FFC00000"/>
  </sheetPr>
  <dimension ref="A2:BB231"/>
  <sheetViews>
    <sheetView zoomScale="85" zoomScaleNormal="85" zoomScalePageLayoutView="80" workbookViewId="0">
      <pane xSplit="3" ySplit="6" topLeftCell="D7" activePane="bottomRight" state="frozen"/>
      <selection pane="topRight" activeCell="D1" sqref="D1"/>
      <selection pane="bottomLeft" activeCell="A7" sqref="A7"/>
      <selection pane="bottomRight" sqref="A1:J192"/>
    </sheetView>
  </sheetViews>
  <sheetFormatPr defaultColWidth="9.140625" defaultRowHeight="14.25"/>
  <cols>
    <col min="1" max="1" width="3.42578125" style="180" customWidth="1"/>
    <col min="2" max="2" width="7.7109375" style="180" customWidth="1"/>
    <col min="3" max="3" width="23.42578125" style="180" customWidth="1"/>
    <col min="4" max="4" width="31.28515625" style="180" customWidth="1"/>
    <col min="5" max="5" width="19" style="180" customWidth="1"/>
    <col min="6" max="6" width="27.28515625" style="180" customWidth="1"/>
    <col min="7" max="7" width="18.28515625" style="180" customWidth="1"/>
    <col min="8" max="8" width="16.140625" style="180" customWidth="1"/>
    <col min="9" max="9" width="19.42578125" style="180" customWidth="1"/>
    <col min="10" max="10" width="31.7109375" style="180" customWidth="1"/>
    <col min="11" max="11" width="13" style="180" customWidth="1"/>
    <col min="12" max="52" width="9.140625" style="180"/>
    <col min="53" max="53" width="17.5703125" style="180" customWidth="1"/>
    <col min="54" max="16384" width="9.140625" style="180"/>
  </cols>
  <sheetData>
    <row r="2" spans="2:54" ht="32.25" customHeight="1">
      <c r="B2" s="204" t="s">
        <v>169</v>
      </c>
      <c r="C2" s="447" t="s">
        <v>860</v>
      </c>
      <c r="D2" s="448"/>
      <c r="E2" s="448"/>
      <c r="F2" s="448"/>
      <c r="G2" s="448"/>
      <c r="H2" s="448"/>
      <c r="I2" s="447"/>
      <c r="J2" s="449"/>
      <c r="K2" s="195"/>
    </row>
    <row r="3" spans="2:54" ht="19.5" customHeight="1">
      <c r="B3" s="204"/>
      <c r="C3" s="261"/>
      <c r="D3" s="1130"/>
      <c r="E3" s="1130"/>
      <c r="F3" s="1130"/>
      <c r="G3" s="1130"/>
      <c r="H3" s="1130"/>
      <c r="I3" s="1131"/>
      <c r="J3" s="450"/>
      <c r="K3" s="195"/>
      <c r="BA3" s="1405" t="s">
        <v>866</v>
      </c>
      <c r="BB3" s="1406">
        <v>192</v>
      </c>
    </row>
    <row r="4" spans="2:54" ht="15" customHeight="1" thickBot="1">
      <c r="B4" s="1260"/>
      <c r="C4" s="1261" t="s">
        <v>383</v>
      </c>
      <c r="D4" s="1262">
        <f>YesterdayGen!A2</f>
        <v>43106</v>
      </c>
      <c r="E4" s="1263"/>
      <c r="F4" s="469"/>
      <c r="G4" s="469"/>
      <c r="H4" s="469"/>
      <c r="I4" s="1264"/>
      <c r="J4" s="1265" t="s">
        <v>498</v>
      </c>
      <c r="K4" s="210"/>
      <c r="BA4" s="1134"/>
      <c r="BB4" s="1135"/>
    </row>
    <row r="5" spans="2:54" ht="20.25" customHeight="1" thickBot="1">
      <c r="B5" s="1266" t="s">
        <v>809</v>
      </c>
      <c r="C5" s="1267"/>
      <c r="D5" s="1268"/>
      <c r="E5" s="1269"/>
      <c r="F5" s="1269"/>
      <c r="G5" s="1266" t="s">
        <v>812</v>
      </c>
      <c r="H5" s="1266" t="s">
        <v>815</v>
      </c>
      <c r="I5" s="1266" t="s">
        <v>817</v>
      </c>
      <c r="J5" s="1269"/>
      <c r="K5" s="213"/>
      <c r="BA5" s="1134"/>
      <c r="BB5" s="1135"/>
    </row>
    <row r="6" spans="2:54" ht="17.25" customHeight="1">
      <c r="B6" s="1270" t="s">
        <v>814</v>
      </c>
      <c r="C6" s="1271" t="s">
        <v>278</v>
      </c>
      <c r="D6" s="1272"/>
      <c r="E6" s="1273" t="s">
        <v>279</v>
      </c>
      <c r="F6" s="1273" t="s">
        <v>178</v>
      </c>
      <c r="G6" s="1270" t="s">
        <v>813</v>
      </c>
      <c r="H6" s="1270" t="s">
        <v>816</v>
      </c>
      <c r="I6" s="1270" t="s">
        <v>818</v>
      </c>
      <c r="J6" s="1269" t="s">
        <v>296</v>
      </c>
      <c r="K6" s="213"/>
    </row>
    <row r="7" spans="2:54" ht="18.75" customHeight="1" thickBot="1">
      <c r="B7" s="1274"/>
      <c r="C7" s="1275"/>
      <c r="D7" s="1276"/>
      <c r="E7" s="1274"/>
      <c r="F7" s="1274"/>
      <c r="G7" s="1274"/>
      <c r="H7" s="1277" t="s">
        <v>14</v>
      </c>
      <c r="I7" s="1277"/>
      <c r="J7" s="1278"/>
      <c r="K7" s="212"/>
    </row>
    <row r="8" spans="2:54" ht="14.25" customHeight="1" thickBot="1">
      <c r="B8" s="1279"/>
      <c r="C8" s="1280"/>
      <c r="D8" s="1280"/>
      <c r="E8" s="1281"/>
      <c r="F8" s="1282" t="s">
        <v>734</v>
      </c>
      <c r="G8" s="1283" t="s">
        <v>36</v>
      </c>
      <c r="H8" s="1283" t="s">
        <v>36</v>
      </c>
      <c r="I8" s="1283" t="s">
        <v>15</v>
      </c>
      <c r="J8" s="1284"/>
      <c r="K8" s="212"/>
    </row>
    <row r="9" spans="2:54" ht="16.5" customHeight="1">
      <c r="B9" s="1285">
        <v>1</v>
      </c>
      <c r="C9" s="1290" t="str">
        <f>Master!C3</f>
        <v>Ghorasal Repowered CCPP:Unit-3 (GT</v>
      </c>
      <c r="D9" s="1291"/>
      <c r="E9" s="1285" t="str">
        <f>Master!C4</f>
        <v>PDB</v>
      </c>
      <c r="F9" s="1292" t="str">
        <f>Master!C6</f>
        <v>1*260</v>
      </c>
      <c r="G9" s="1289">
        <f>Master!C8</f>
        <v>260</v>
      </c>
      <c r="H9" s="1293">
        <f>YesterdayGen!C34</f>
        <v>0</v>
      </c>
      <c r="I9" s="1294">
        <f>YesterdayGen!C31</f>
        <v>0</v>
      </c>
      <c r="J9" s="3102" t="str">
        <f>IF(EvReport!L9 = 0, " ",EvReport!L9)</f>
        <v>Under maint.</v>
      </c>
      <c r="K9" s="220"/>
    </row>
    <row r="10" spans="2:54" ht="16.5" customHeight="1">
      <c r="B10" s="1285">
        <v>2</v>
      </c>
      <c r="C10" s="1290" t="str">
        <f>Master!D3</f>
        <v>Ghorasal Repowered CCPP Unit-4</v>
      </c>
      <c r="D10" s="1291"/>
      <c r="E10" s="1289" t="str">
        <f>Master!D4</f>
        <v>PDB</v>
      </c>
      <c r="F10" s="1292" t="str">
        <f>Master!D6</f>
        <v>1*210</v>
      </c>
      <c r="G10" s="1289">
        <f>Master!D8</f>
        <v>180</v>
      </c>
      <c r="H10" s="1293">
        <f>YesterdayGen!D34</f>
        <v>240</v>
      </c>
      <c r="I10" s="1294">
        <f>YesterdayGen!D31</f>
        <v>5146000</v>
      </c>
      <c r="J10" s="3102" t="str">
        <f>IF(EvReport!L10 = 0, " ",EvReport!L10)</f>
        <v xml:space="preserve"> </v>
      </c>
      <c r="K10" s="221"/>
    </row>
    <row r="11" spans="2:54" ht="16.5" customHeight="1">
      <c r="B11" s="1285"/>
      <c r="C11" s="1290" t="str">
        <f>Master!E3</f>
        <v>Ghorasal TPP Unit-5</v>
      </c>
      <c r="D11" s="1291"/>
      <c r="E11" s="1289" t="str">
        <f>Master!E4</f>
        <v>PDB</v>
      </c>
      <c r="F11" s="1292" t="str">
        <f>Master!E6</f>
        <v>1*210</v>
      </c>
      <c r="G11" s="1289">
        <f>Master!E8</f>
        <v>190</v>
      </c>
      <c r="H11" s="1293">
        <f>YesterdayGen!E34</f>
        <v>0</v>
      </c>
      <c r="I11" s="1294">
        <f>YesterdayGen!E31</f>
        <v>0</v>
      </c>
      <c r="J11" s="3102" t="str">
        <f>IF(EvReport!L11 = 0, " ",EvReport!L11)</f>
        <v>Gas shortage</v>
      </c>
      <c r="K11" s="220"/>
    </row>
    <row r="12" spans="2:54" ht="16.5" customHeight="1">
      <c r="B12" s="1285">
        <v>3</v>
      </c>
      <c r="C12" s="1290" t="str">
        <f>Master!F3</f>
        <v>Ghorasal 365 MW CCPP Unit-7</v>
      </c>
      <c r="D12" s="1291"/>
      <c r="E12" s="1289" t="str">
        <f>Master!F4</f>
        <v>PDB</v>
      </c>
      <c r="F12" s="1292" t="str">
        <f>Master!F6</f>
        <v>1*243+1*122</v>
      </c>
      <c r="G12" s="1289">
        <f>Master!F8</f>
        <v>365</v>
      </c>
      <c r="H12" s="1293">
        <f>YesterdayGen!F34</f>
        <v>0</v>
      </c>
      <c r="I12" s="1294">
        <f>YesterdayGen!F31</f>
        <v>0</v>
      </c>
      <c r="J12" s="3102" t="str">
        <f>IF(EvReport!L12 = 0, " ",EvReport!L12)</f>
        <v>DP High</v>
      </c>
      <c r="K12" s="220"/>
    </row>
    <row r="13" spans="2:54" ht="16.5" customHeight="1">
      <c r="B13" s="1285"/>
      <c r="C13" s="1297" t="str">
        <f>Master!H3</f>
        <v>Ghorashal 78.5 MW PP(MAX)</v>
      </c>
      <c r="D13" s="1291"/>
      <c r="E13" s="1289" t="str">
        <f>Master!H4</f>
        <v>QRPP</v>
      </c>
      <c r="F13" s="1295" t="str">
        <f>Master!H6</f>
        <v>2*40</v>
      </c>
      <c r="G13" s="1289">
        <f>Master!H8</f>
        <v>0</v>
      </c>
      <c r="H13" s="1293">
        <f>YesterdayGen!H34</f>
        <v>0</v>
      </c>
      <c r="I13" s="1296">
        <f>YesterdayGen!H31</f>
        <v>0</v>
      </c>
      <c r="J13" s="3102" t="str">
        <f>IF(EvReport!L13 = 0, " ",EvReport!L13)</f>
        <v>Contract Expired</v>
      </c>
      <c r="K13" s="225"/>
    </row>
    <row r="14" spans="2:54" ht="16.5" customHeight="1">
      <c r="B14" s="1285">
        <v>4</v>
      </c>
      <c r="C14" s="1290" t="str">
        <f>Master!G3</f>
        <v>Ghorashal 108MW PP (Regent)</v>
      </c>
      <c r="D14" s="1291"/>
      <c r="E14" s="1289" t="str">
        <f>Master!G4</f>
        <v>IPP</v>
      </c>
      <c r="F14" s="1295" t="str">
        <f>Master!G6</f>
        <v>34*3.35</v>
      </c>
      <c r="G14" s="1289">
        <f>Master!G8</f>
        <v>108</v>
      </c>
      <c r="H14" s="1293">
        <f>YesterdayGen!G34</f>
        <v>0</v>
      </c>
      <c r="I14" s="1296">
        <f>YesterdayGen!G31</f>
        <v>0</v>
      </c>
      <c r="J14" s="3102" t="str">
        <f>IF(EvReport!L14 = 0, " ",EvReport!L14)</f>
        <v>Gas shortage</v>
      </c>
      <c r="K14" s="225"/>
    </row>
    <row r="15" spans="2:54" ht="16.5" customHeight="1">
      <c r="B15" s="1285">
        <v>5</v>
      </c>
      <c r="C15" s="1290" t="str">
        <f>Master!L3</f>
        <v>Haripur GTPP</v>
      </c>
      <c r="D15" s="1291"/>
      <c r="E15" s="1289" t="str">
        <f>Master!L4</f>
        <v>SBU, PDB</v>
      </c>
      <c r="F15" s="1295" t="str">
        <f>Master!L6</f>
        <v>2*32</v>
      </c>
      <c r="G15" s="1289">
        <f>Master!L8</f>
        <v>20</v>
      </c>
      <c r="H15" s="1293">
        <f>YesterdayGen!L34</f>
        <v>0</v>
      </c>
      <c r="I15" s="1296">
        <f>YesterdayGen!L31</f>
        <v>0</v>
      </c>
      <c r="J15" s="1409" t="str">
        <f>IF(EvReport!L15 = 0, " ",EvReport!L15)</f>
        <v>Under maint.</v>
      </c>
      <c r="K15" s="225"/>
    </row>
    <row r="16" spans="2:54" ht="16.5" customHeight="1">
      <c r="B16" s="1285">
        <v>6</v>
      </c>
      <c r="C16" s="1290" t="str">
        <f>Master!I3</f>
        <v>Haripur  412 MW CCPP</v>
      </c>
      <c r="D16" s="1291"/>
      <c r="E16" s="1289" t="str">
        <f>Master!I4</f>
        <v>EGCB</v>
      </c>
      <c r="F16" s="1292" t="str">
        <f>Master!I6</f>
        <v>1*273+1*139</v>
      </c>
      <c r="G16" s="1289">
        <f>Master!I8</f>
        <v>412</v>
      </c>
      <c r="H16" s="1293">
        <f>YesterdayGen!I34</f>
        <v>0</v>
      </c>
      <c r="I16" s="1298">
        <f>YesterdayGen!I31</f>
        <v>0</v>
      </c>
      <c r="J16" s="1409" t="str">
        <f>IF(EvReport!L16 = 0, " ",EvReport!L16)</f>
        <v>Under maint.</v>
      </c>
      <c r="K16" s="225"/>
    </row>
    <row r="17" spans="2:11" ht="16.5" customHeight="1">
      <c r="B17" s="1285">
        <v>7</v>
      </c>
      <c r="C17" s="1290" t="str">
        <f>Master!J3</f>
        <v>Haripur 360MW CCPP(HPL)</v>
      </c>
      <c r="D17" s="1291"/>
      <c r="E17" s="1289" t="str">
        <f>Master!J4</f>
        <v>IPP</v>
      </c>
      <c r="F17" s="1295" t="str">
        <f>Master!J6</f>
        <v>1*235+1*125</v>
      </c>
      <c r="G17" s="1289">
        <f>Master!J8</f>
        <v>360</v>
      </c>
      <c r="H17" s="1293">
        <f>YesterdayGen!J34</f>
        <v>222</v>
      </c>
      <c r="I17" s="1298">
        <f>YesterdayGen!J31</f>
        <v>5166000</v>
      </c>
      <c r="J17" s="1409" t="str">
        <f>IF(EvReport!L17 = 0, " ",EvReport!L17)</f>
        <v>Gas shortage</v>
      </c>
      <c r="K17" s="220"/>
    </row>
    <row r="18" spans="2:11" s="181" customFormat="1" ht="16.5" customHeight="1">
      <c r="B18" s="1285">
        <v>8</v>
      </c>
      <c r="C18" s="1299" t="str">
        <f>Master!M3</f>
        <v>Meghnaghat 450 MW CCPP(MPL)</v>
      </c>
      <c r="D18" s="1300"/>
      <c r="E18" s="1289" t="str">
        <f>Master!M4</f>
        <v>IPP</v>
      </c>
      <c r="F18" s="1292" t="str">
        <f>Master!M6</f>
        <v>2*150+1*150</v>
      </c>
      <c r="G18" s="1301">
        <f>Master!M8</f>
        <v>450</v>
      </c>
      <c r="H18" s="1293">
        <f>YesterdayGen!M34</f>
        <v>180</v>
      </c>
      <c r="I18" s="1302">
        <f>YesterdayGen!M31</f>
        <v>4190750</v>
      </c>
      <c r="J18" s="1409" t="str">
        <f>IF(EvReport!L18 = 0, " ",EvReport!L18)</f>
        <v>Gas shortage</v>
      </c>
      <c r="K18" s="220"/>
    </row>
    <row r="19" spans="2:11" ht="16.5" customHeight="1">
      <c r="B19" s="1285">
        <v>9</v>
      </c>
      <c r="C19" s="1299" t="str">
        <f>Master!O3</f>
        <v>Meghnaghat 100 MW(IEL)</v>
      </c>
      <c r="D19" s="1300"/>
      <c r="E19" s="1289" t="str">
        <f>Master!O4</f>
        <v>QRPP</v>
      </c>
      <c r="F19" s="1292" t="str">
        <f>Master!O6</f>
        <v>12*8.9</v>
      </c>
      <c r="G19" s="1301">
        <f>Master!O8</f>
        <v>0</v>
      </c>
      <c r="H19" s="1293">
        <f>YesterdayGen!O34</f>
        <v>0</v>
      </c>
      <c r="I19" s="1302">
        <f>YesterdayGen!O31</f>
        <v>0</v>
      </c>
      <c r="J19" s="1409" t="str">
        <f>IF(EvReport!L19 = 0, " ",EvReport!L19)</f>
        <v>Contract Expired</v>
      </c>
      <c r="K19" s="220"/>
    </row>
    <row r="20" spans="2:11" ht="16.5" customHeight="1">
      <c r="B20" s="1285">
        <v>10</v>
      </c>
      <c r="C20" s="1299" t="str">
        <f>Master!N3</f>
        <v>Meghnaghat CCPP(Summit)</v>
      </c>
      <c r="D20" s="1300"/>
      <c r="E20" s="1289" t="str">
        <f>Master!N4</f>
        <v>IPP</v>
      </c>
      <c r="F20" s="1303" t="str">
        <f>Master!N6</f>
        <v>2*110+1*110</v>
      </c>
      <c r="G20" s="1301">
        <f>Master!N8</f>
        <v>305</v>
      </c>
      <c r="H20" s="1293">
        <f>YesterdayGen!N34</f>
        <v>0</v>
      </c>
      <c r="I20" s="1302">
        <f>YesterdayGen!N31</f>
        <v>0</v>
      </c>
      <c r="J20" s="3630" t="str">
        <f>IF(EvReport!L20 = 0, " ",EvReport!L20)</f>
        <v>Gas shortage</v>
      </c>
      <c r="K20" s="220"/>
    </row>
    <row r="21" spans="2:11" ht="16.5" customHeight="1">
      <c r="B21" s="1285">
        <v>11</v>
      </c>
      <c r="C21" s="1299" t="str">
        <f>Master!P3</f>
        <v>Madanganj 102 PP(Summit)</v>
      </c>
      <c r="D21" s="1300"/>
      <c r="E21" s="1289" t="str">
        <f>Master!P4</f>
        <v xml:space="preserve">QRPP </v>
      </c>
      <c r="F21" s="1292" t="str">
        <f>Master!P6</f>
        <v>6*17</v>
      </c>
      <c r="G21" s="1301">
        <f>Master!P8</f>
        <v>0</v>
      </c>
      <c r="H21" s="1293">
        <f>YesterdayGen!P34</f>
        <v>0</v>
      </c>
      <c r="I21" s="1302">
        <f>YesterdayGen!P31</f>
        <v>0</v>
      </c>
      <c r="J21" s="1409" t="str">
        <f>IF(EvReport!L21 = 0, " ",EvReport!L21)</f>
        <v>Contract Expired</v>
      </c>
      <c r="K21" s="220"/>
    </row>
    <row r="22" spans="2:11" ht="16.5" customHeight="1">
      <c r="B22" s="1285">
        <v>12</v>
      </c>
      <c r="C22" s="1304" t="str">
        <f>Master!Q3</f>
        <v>Madanganj-55 MW PP(Summit)</v>
      </c>
      <c r="D22" s="1300"/>
      <c r="E22" s="1289" t="str">
        <f>Master!Q4</f>
        <v>(IPP)</v>
      </c>
      <c r="F22" s="1292" t="str">
        <f>Master!Q6</f>
        <v>3*17.08+1*11.3</v>
      </c>
      <c r="G22" s="1301">
        <f>Master!Q8</f>
        <v>55</v>
      </c>
      <c r="H22" s="1293">
        <f>YesterdayGen!Q34</f>
        <v>55</v>
      </c>
      <c r="I22" s="1302">
        <f>YesterdayGen!Q31</f>
        <v>424788</v>
      </c>
      <c r="J22" s="1409" t="str">
        <f>IF(EvReport!L22 = 0, " ",EvReport!L22)</f>
        <v xml:space="preserve"> </v>
      </c>
      <c r="K22" s="220"/>
    </row>
    <row r="23" spans="2:11" ht="16.5" customHeight="1">
      <c r="B23" s="1285">
        <v>13</v>
      </c>
      <c r="C23" s="1299" t="str">
        <f>Master!X3</f>
        <v>Keraniganj 100 MW PP (Powerpac)</v>
      </c>
      <c r="D23" s="1300"/>
      <c r="E23" s="1289" t="str">
        <f>Master!X4</f>
        <v>QRPP</v>
      </c>
      <c r="F23" s="1292" t="str">
        <f>Master!X6</f>
        <v>8*13.45</v>
      </c>
      <c r="G23" s="1301">
        <f>Master!X8</f>
        <v>100</v>
      </c>
      <c r="H23" s="1293">
        <f>YesterdayGen!X34</f>
        <v>24</v>
      </c>
      <c r="I23" s="1302">
        <f>YesterdayGen!X31</f>
        <v>126484</v>
      </c>
      <c r="J23" s="1409" t="str">
        <f>IF(EvReport!L23 = 0, " ",EvReport!L23)</f>
        <v>Engine problem</v>
      </c>
      <c r="K23" s="220"/>
    </row>
    <row r="24" spans="2:11" ht="16.5" customHeight="1">
      <c r="B24" s="1285">
        <v>14</v>
      </c>
      <c r="C24" s="1290" t="str">
        <f>Master!AE3</f>
        <v>Narshingdi 22 MW PP  (Doreen)</v>
      </c>
      <c r="D24" s="1291"/>
      <c r="E24" s="1305" t="str">
        <f>Master!AE4</f>
        <v>SIPP, REB</v>
      </c>
      <c r="F24" s="1306" t="str">
        <f>Master!AE6</f>
        <v>8*2.90</v>
      </c>
      <c r="G24" s="1289">
        <f>Master!AE8</f>
        <v>22</v>
      </c>
      <c r="H24" s="1293">
        <f>YesterdayGen!AE34</f>
        <v>16</v>
      </c>
      <c r="I24" s="1298">
        <f>YesterdayGen!AE31</f>
        <v>408816</v>
      </c>
      <c r="J24" s="1409" t="str">
        <f>IF(EvReport!L24 = 0, " ",EvReport!L24)</f>
        <v>Engine problem</v>
      </c>
      <c r="K24" s="220"/>
    </row>
    <row r="25" spans="2:11" s="181" customFormat="1" ht="16.5" customHeight="1">
      <c r="B25" s="1285">
        <v>15</v>
      </c>
      <c r="C25" s="1290" t="str">
        <f>Master!S3</f>
        <v>210 MW Siddhirgonj TPP</v>
      </c>
      <c r="D25" s="1291"/>
      <c r="E25" s="1289" t="str">
        <f>Master!S4</f>
        <v>PDB</v>
      </c>
      <c r="F25" s="1295" t="str">
        <f>Master!S6</f>
        <v xml:space="preserve"> 1*210</v>
      </c>
      <c r="G25" s="1289">
        <f>Master!S8</f>
        <v>115</v>
      </c>
      <c r="H25" s="1293">
        <f>YesterdayGen!S34</f>
        <v>0</v>
      </c>
      <c r="I25" s="1294">
        <f>YesterdayGen!S31</f>
        <v>0</v>
      </c>
      <c r="J25" s="1409" t="str">
        <f>IF(EvReport!L25 = 0, " ",EvReport!L25)</f>
        <v>Under maint.</v>
      </c>
      <c r="K25" s="220"/>
    </row>
    <row r="26" spans="2:11" ht="16.5" customHeight="1">
      <c r="B26" s="1285">
        <v>16</v>
      </c>
      <c r="C26" s="1290" t="str">
        <f>Master!T3</f>
        <v xml:space="preserve">Siddhirgonj 2*120 MW GTPP </v>
      </c>
      <c r="D26" s="1291"/>
      <c r="E26" s="1289" t="str">
        <f>Master!T4</f>
        <v>EGCB</v>
      </c>
      <c r="F26" s="1295" t="str">
        <f>Master!T6</f>
        <v xml:space="preserve"> 2*105</v>
      </c>
      <c r="G26" s="1289">
        <f>Master!T8</f>
        <v>210</v>
      </c>
      <c r="H26" s="1293">
        <f>YesterdayGen!T34</f>
        <v>0</v>
      </c>
      <c r="I26" s="1298">
        <f>YesterdayGen!T31</f>
        <v>0</v>
      </c>
      <c r="J26" s="1409" t="str">
        <f>IF(EvReport!L26 = 0, " ",EvReport!L26)</f>
        <v>Gas shortage</v>
      </c>
      <c r="K26" s="220"/>
    </row>
    <row r="27" spans="2:11" ht="16.5" customHeight="1">
      <c r="B27" s="1285">
        <v>17</v>
      </c>
      <c r="C27" s="1307" t="str">
        <f>Master!U3</f>
        <v>Siddhirganj 100 PP(Dutch Bangla)</v>
      </c>
      <c r="D27" s="1308"/>
      <c r="E27" s="1289" t="str">
        <f>Master!U4</f>
        <v xml:space="preserve">QRPP </v>
      </c>
      <c r="F27" s="1306" t="str">
        <f>Master!U6</f>
        <v>12*8.9</v>
      </c>
      <c r="G27" s="1305">
        <f>Master!U8</f>
        <v>0</v>
      </c>
      <c r="H27" s="1293">
        <f>YesterdayGen!U34</f>
        <v>0</v>
      </c>
      <c r="I27" s="1309">
        <f>YesterdayGen!U31</f>
        <v>0</v>
      </c>
      <c r="J27" s="1409" t="str">
        <f>IF(EvReport!L27 = 0, " ",EvReport!L27)</f>
        <v>Contract Expired</v>
      </c>
      <c r="K27" s="220"/>
    </row>
    <row r="28" spans="2:11" ht="16.5" customHeight="1">
      <c r="B28" s="1285">
        <v>18</v>
      </c>
      <c r="C28" s="1307" t="str">
        <f>Master!R3</f>
        <v>Siddhirganj 335 MW CCPP</v>
      </c>
      <c r="D28" s="1308"/>
      <c r="E28" s="1289" t="str">
        <f>Master!R4</f>
        <v>EGCB</v>
      </c>
      <c r="F28" s="1306" t="str">
        <f>Master!R6</f>
        <v>1*217+118</v>
      </c>
      <c r="G28" s="1305">
        <f>Master!R8</f>
        <v>335</v>
      </c>
      <c r="H28" s="1293">
        <f>YesterdayGen!R34</f>
        <v>0</v>
      </c>
      <c r="I28" s="1309">
        <f>YesterdayGen!R31</f>
        <v>0</v>
      </c>
      <c r="J28" s="1409" t="str">
        <f>IF(EvReport!L28 = 0, " ",EvReport!L28)</f>
        <v>Gas shortage</v>
      </c>
      <c r="K28" s="220"/>
    </row>
    <row r="29" spans="2:11" ht="16.5" customHeight="1">
      <c r="B29" s="1285">
        <v>19</v>
      </c>
      <c r="C29" s="1290" t="str">
        <f>Master!V3</f>
        <v>Gagnagar 102 MW PP (Digital Power)</v>
      </c>
      <c r="D29" s="1291"/>
      <c r="E29" s="1289" t="str">
        <f>Master!V4</f>
        <v>IPP</v>
      </c>
      <c r="F29" s="1295" t="str">
        <f>Master!V6</f>
        <v>12*8.924</v>
      </c>
      <c r="G29" s="1289">
        <f>Master!V8</f>
        <v>102</v>
      </c>
      <c r="H29" s="1293">
        <f>YesterdayGen!V34</f>
        <v>102</v>
      </c>
      <c r="I29" s="1298">
        <f>YesterdayGen!V31</f>
        <v>1256544</v>
      </c>
      <c r="J29" s="1409" t="str">
        <f>IF(EvReport!L29 = 0, " ",EvReport!L29)</f>
        <v xml:space="preserve"> </v>
      </c>
      <c r="K29" s="220"/>
    </row>
    <row r="30" spans="2:11" ht="16.5" customHeight="1">
      <c r="B30" s="1285">
        <v>20</v>
      </c>
      <c r="C30" s="1290" t="str">
        <f>Master!AA3</f>
        <v>Katpotti 52 MW PP (Sinha)</v>
      </c>
      <c r="D30" s="1291"/>
      <c r="E30" s="1289" t="str">
        <f>Master!AA4</f>
        <v>IPP</v>
      </c>
      <c r="F30" s="1295" t="str">
        <f>Master!AA6</f>
        <v>7*7.9</v>
      </c>
      <c r="G30" s="1289">
        <f>Master!AA8</f>
        <v>0</v>
      </c>
      <c r="H30" s="1293">
        <f>YesterdayGen!AA34</f>
        <v>0</v>
      </c>
      <c r="I30" s="1298">
        <f>YesterdayGen!AA31</f>
        <v>0</v>
      </c>
      <c r="J30" s="1409" t="str">
        <f>IF(EvReport!L30 = 0, " ",EvReport!L30)</f>
        <v>High Voltage</v>
      </c>
      <c r="K30" s="220"/>
    </row>
    <row r="31" spans="2:11" ht="16.5" customHeight="1">
      <c r="B31" s="1285">
        <v>21</v>
      </c>
      <c r="C31" s="1290" t="str">
        <f>Master!AB3</f>
        <v>Kamalaghat 54 MW PP(Banco Energy)</v>
      </c>
      <c r="D31" s="1291"/>
      <c r="E31" s="1289" t="str">
        <f>Master!AB4</f>
        <v>IPP</v>
      </c>
      <c r="F31" s="1295" t="str">
        <f>Master!AB6</f>
        <v>3*18</v>
      </c>
      <c r="G31" s="1289">
        <f>Master!AB8</f>
        <v>54</v>
      </c>
      <c r="H31" s="1293">
        <f>YesterdayGen!AB34</f>
        <v>35</v>
      </c>
      <c r="I31" s="1298">
        <f>YesterdayGen!AB31</f>
        <v>876600</v>
      </c>
      <c r="J31" s="1409" t="str">
        <f>IF(EvReport!L31 = 0, " ",EvReport!L31)</f>
        <v>Engine problem</v>
      </c>
      <c r="K31" s="220"/>
    </row>
    <row r="32" spans="2:11" ht="16.5" customHeight="1">
      <c r="B32" s="1285">
        <v>22</v>
      </c>
      <c r="C32" s="1290" t="str">
        <f>Master!W3</f>
        <v>Kodda 150MW PP</v>
      </c>
      <c r="D32" s="1291"/>
      <c r="E32" s="1289" t="str">
        <f>Master!W4</f>
        <v>BPDB-RPCL</v>
      </c>
      <c r="F32" s="1295" t="str">
        <f>Master!W6</f>
        <v>9*17.06</v>
      </c>
      <c r="G32" s="1289">
        <f>Master!W8</f>
        <v>149</v>
      </c>
      <c r="H32" s="1293">
        <f>YesterdayGen!W34</f>
        <v>0</v>
      </c>
      <c r="I32" s="1298">
        <f>YesterdayGen!W31</f>
        <v>63840</v>
      </c>
      <c r="J32" s="1409" t="str">
        <f>IF(EvReport!L32 = 0, " ",EvReport!L32)</f>
        <v>High Voltage</v>
      </c>
      <c r="K32" s="220"/>
    </row>
    <row r="33" spans="2:11" ht="16.5" customHeight="1">
      <c r="B33" s="1285">
        <v>23</v>
      </c>
      <c r="C33" s="1290" t="str">
        <f>Master!AC3</f>
        <v>Manikganj 55 MW PP (Northern)</v>
      </c>
      <c r="D33" s="1291"/>
      <c r="E33" s="1289" t="str">
        <f>Master!AC4</f>
        <v>IPP</v>
      </c>
      <c r="F33" s="1295" t="str">
        <f>Master!AC6</f>
        <v>3*19.3</v>
      </c>
      <c r="G33" s="1289">
        <f>Master!AC8</f>
        <v>55</v>
      </c>
      <c r="H33" s="1293">
        <f>YesterdayGen!AC34</f>
        <v>55</v>
      </c>
      <c r="I33" s="1298">
        <f>YesterdayGen!AC31</f>
        <v>1151874</v>
      </c>
      <c r="J33" s="1409" t="str">
        <f>IF(EvReport!L33 = 0, " ",EvReport!L33)</f>
        <v xml:space="preserve"> </v>
      </c>
      <c r="K33" s="220"/>
    </row>
    <row r="34" spans="2:11" ht="16.5" customHeight="1">
      <c r="B34" s="1285">
        <v>24</v>
      </c>
      <c r="C34" s="1290" t="str">
        <f>Master!AD3</f>
        <v>Nababganj 55 MW PP (Southern power )</v>
      </c>
      <c r="D34" s="1291"/>
      <c r="E34" s="1289" t="str">
        <f>Master!AD4</f>
        <v>IPP</v>
      </c>
      <c r="F34" s="1295" t="str">
        <f>Master!AD6</f>
        <v>3*19.3</v>
      </c>
      <c r="G34" s="1289">
        <f>Master!AD8</f>
        <v>55</v>
      </c>
      <c r="H34" s="1293">
        <f>YesterdayGen!AD34</f>
        <v>35</v>
      </c>
      <c r="I34" s="1298">
        <f>YesterdayGen!AD31</f>
        <v>720579</v>
      </c>
      <c r="J34" s="1409" t="str">
        <f>IF(EvReport!L34 = 0, " ",EvReport!L34)</f>
        <v>Machine problem</v>
      </c>
      <c r="K34" s="220"/>
    </row>
    <row r="35" spans="2:11" ht="16.5" customHeight="1">
      <c r="B35" s="1285">
        <v>25</v>
      </c>
      <c r="C35" s="1290" t="str">
        <f>Master!Y3</f>
        <v>Bosila 108MW PP(CLC)</v>
      </c>
      <c r="D35" s="1291"/>
      <c r="E35" s="1289" t="str">
        <f>Master!Y4</f>
        <v>IPP</v>
      </c>
      <c r="F35" s="1295" t="str">
        <f>Master!Y6</f>
        <v>12*8.775+1*3.5</v>
      </c>
      <c r="G35" s="1289">
        <f>Master!Y8</f>
        <v>0</v>
      </c>
      <c r="H35" s="1293">
        <f>YesterdayGen!Y34</f>
        <v>0</v>
      </c>
      <c r="I35" s="1298">
        <f>YesterdayGen!Y31</f>
        <v>0</v>
      </c>
      <c r="J35" s="1409" t="str">
        <f>IF(EvReport!L35 = 0, " ",EvReport!L35)</f>
        <v xml:space="preserve"> </v>
      </c>
      <c r="K35" s="220"/>
    </row>
    <row r="36" spans="2:11" ht="16.5" customHeight="1">
      <c r="B36" s="1285">
        <v>26</v>
      </c>
      <c r="C36" s="1290" t="s">
        <v>155</v>
      </c>
      <c r="D36" s="1291"/>
      <c r="E36" s="1305" t="str">
        <f>Master!AF4</f>
        <v>SIPP,REB</v>
      </c>
      <c r="F36" s="1295" t="str">
        <f>Master!AF6</f>
        <v>3*3.67+4*8.73</v>
      </c>
      <c r="G36" s="1289">
        <f>Master!AF8+Master!AG8</f>
        <v>80</v>
      </c>
      <c r="H36" s="1310">
        <f>YesterdayGen!AF34+YesterdayGen!AG34</f>
        <v>34</v>
      </c>
      <c r="I36" s="1298">
        <f>YesterdayGen!AF31+YesterdayGen!AG31</f>
        <v>797100</v>
      </c>
      <c r="J36" s="1409" t="str">
        <f>IF(EvReport!L36 = 0, " ",EvReport!L36)</f>
        <v>Engine problem</v>
      </c>
      <c r="K36" s="220"/>
    </row>
    <row r="37" spans="2:11" ht="16.5" customHeight="1">
      <c r="B37" s="1285">
        <v>27</v>
      </c>
      <c r="C37" s="1290" t="str">
        <f>Master!AH3</f>
        <v>Maona 33 MW PP(Summit)</v>
      </c>
      <c r="D37" s="1291"/>
      <c r="E37" s="1305" t="str">
        <f>Master!AH4</f>
        <v>SIPP,REB</v>
      </c>
      <c r="F37" s="1295" t="str">
        <f>Master!AH6</f>
        <v>4*8.73</v>
      </c>
      <c r="G37" s="1289">
        <f>Master!AH8</f>
        <v>33</v>
      </c>
      <c r="H37" s="1310">
        <f>YesterdayGen!AH34</f>
        <v>16</v>
      </c>
      <c r="I37" s="1298">
        <f>YesterdayGen!AH31</f>
        <v>568000</v>
      </c>
      <c r="J37" s="1409" t="str">
        <f>IF(EvReport!L37 = 0, " ",EvReport!L37)</f>
        <v>Engine problem</v>
      </c>
      <c r="K37" s="220"/>
    </row>
    <row r="38" spans="2:11" ht="16.5" customHeight="1">
      <c r="B38" s="1285">
        <v>28</v>
      </c>
      <c r="C38" s="1290" t="str">
        <f>Master!AI3</f>
        <v xml:space="preserve">Rupganj 33 MW PP(Summit) </v>
      </c>
      <c r="D38" s="1291"/>
      <c r="E38" s="1311" t="str">
        <f>Master!AI4</f>
        <v>SIPP,REB</v>
      </c>
      <c r="F38" s="1306" t="str">
        <f>Master!AI6</f>
        <v>4*8.73</v>
      </c>
      <c r="G38" s="1289">
        <f>Master!AI8</f>
        <v>33</v>
      </c>
      <c r="H38" s="1310">
        <f>YesterdayGen!AI34</f>
        <v>33</v>
      </c>
      <c r="I38" s="1298">
        <f>YesterdayGen!AI31</f>
        <v>839200</v>
      </c>
      <c r="J38" s="1409" t="str">
        <f>IF(EvReport!L38 = 0, " ",EvReport!L38)</f>
        <v xml:space="preserve"> </v>
      </c>
      <c r="K38" s="220"/>
    </row>
    <row r="39" spans="2:11" ht="16.5" customHeight="1">
      <c r="B39" s="1285">
        <v>29</v>
      </c>
      <c r="C39" s="1290" t="str">
        <f>Master!AJ3</f>
        <v>Gazipur 52 MW PP</v>
      </c>
      <c r="D39" s="1312"/>
      <c r="E39" s="1313" t="str">
        <f>Master!AJ4</f>
        <v>RPCL</v>
      </c>
      <c r="F39" s="1314" t="str">
        <f>Master!AJ6</f>
        <v>6*8.9</v>
      </c>
      <c r="G39" s="1315">
        <f>Master!AJ8</f>
        <v>52</v>
      </c>
      <c r="H39" s="1310">
        <f>YesterdayGen!AJ34</f>
        <v>25</v>
      </c>
      <c r="I39" s="1316">
        <f>YesterdayGen!AJ31</f>
        <v>108480</v>
      </c>
      <c r="J39" s="1409" t="str">
        <f>IF(EvReport!L39 = 0, " ",EvReport!L39)</f>
        <v xml:space="preserve"> </v>
      </c>
      <c r="K39" s="220"/>
    </row>
    <row r="40" spans="2:11" ht="16.5" customHeight="1">
      <c r="B40" s="1285">
        <v>30</v>
      </c>
      <c r="C40" s="1771" t="str">
        <f>Master!AK3</f>
        <v>Tongi 80 MW GTPP</v>
      </c>
      <c r="D40" s="1772"/>
      <c r="E40" s="1317" t="str">
        <f>Master!AK4</f>
        <v>PDB</v>
      </c>
      <c r="F40" s="1318" t="str">
        <f>Master!AK6</f>
        <v>1* 105</v>
      </c>
      <c r="G40" s="1315">
        <f>Master!AK8</f>
        <v>105</v>
      </c>
      <c r="H40" s="1319">
        <f>YesterdayGen!AK34</f>
        <v>0</v>
      </c>
      <c r="I40" s="1316">
        <f>YesterdayGen!AK31</f>
        <v>0</v>
      </c>
      <c r="J40" s="1409" t="str">
        <f>IF(EvReport!L40 = 0, " ",EvReport!L40)</f>
        <v>Machine problem</v>
      </c>
      <c r="K40" s="220"/>
    </row>
    <row r="41" spans="2:11" ht="16.5" customHeight="1">
      <c r="B41" s="1285">
        <v>31</v>
      </c>
      <c r="C41" s="1771" t="str">
        <f>Master!CS3</f>
        <v xml:space="preserve">Kodda 300 MW PP Unit-2 (Summit) </v>
      </c>
      <c r="D41" s="1773"/>
      <c r="E41" s="1540" t="str">
        <f>Master!CS4</f>
        <v>IPP</v>
      </c>
      <c r="F41" s="1540" t="str">
        <f>Master!CS6</f>
        <v>18*17.076</v>
      </c>
      <c r="G41" s="1541">
        <f>Master!CS8</f>
        <v>300</v>
      </c>
      <c r="H41" s="1542">
        <f>YesterdayGen!CS34</f>
        <v>265</v>
      </c>
      <c r="I41" s="1543">
        <f>YesterdayGen!CS31</f>
        <v>3858980</v>
      </c>
      <c r="J41" s="1409" t="str">
        <f>IF(EvReport!L41= 0, " ",EvReport!L41)</f>
        <v>Engine problem</v>
      </c>
      <c r="K41" s="220"/>
    </row>
    <row r="42" spans="2:11" ht="16.5" customHeight="1">
      <c r="B42" s="1285">
        <v>32</v>
      </c>
      <c r="C42" s="1771" t="str">
        <f>Master!CT3</f>
        <v xml:space="preserve"> Keranigonj 300 MW PP (APR)</v>
      </c>
      <c r="D42" s="1773"/>
      <c r="E42" s="1540" t="str">
        <f>Master!CT4</f>
        <v>IPP</v>
      </c>
      <c r="F42" s="1540" t="str">
        <f>Master!CT6</f>
        <v>256*1.4</v>
      </c>
      <c r="G42" s="1541">
        <v>300</v>
      </c>
      <c r="H42" s="1542">
        <f>YesterdayGen!CT34</f>
        <v>0</v>
      </c>
      <c r="I42" s="1543">
        <f>YesterdayGen!CT31</f>
        <v>70596</v>
      </c>
      <c r="J42" s="1774" t="str">
        <f>IF(EvReport!L42= 0, " ",EvReport!L42)</f>
        <v xml:space="preserve"> </v>
      </c>
      <c r="K42" s="220"/>
    </row>
    <row r="43" spans="2:11" ht="16.5" customHeight="1">
      <c r="B43" s="1285">
        <v>33</v>
      </c>
      <c r="C43" s="1771" t="str">
        <f>Master!CU3</f>
        <v xml:space="preserve"> Bramhangoan 100 MW PP (Aggreko)</v>
      </c>
      <c r="D43" s="1773"/>
      <c r="E43" s="1541" t="str">
        <f>Master!CU4</f>
        <v>IPP</v>
      </c>
      <c r="F43" s="1580">
        <f>Master!CU6</f>
        <v>100</v>
      </c>
      <c r="G43" s="1541">
        <f>Master!CU8</f>
        <v>100</v>
      </c>
      <c r="H43" s="1542">
        <f>YesterdayGen!CU34</f>
        <v>0</v>
      </c>
      <c r="I43" s="1543">
        <f>YesterdayGen!CU31</f>
        <v>40738</v>
      </c>
      <c r="J43" s="1770" t="str">
        <f>IF(EvReport!L43= 0, " ",EvReport!L43)</f>
        <v xml:space="preserve"> </v>
      </c>
      <c r="K43" s="220"/>
    </row>
    <row r="44" spans="2:11" ht="16.5" customHeight="1">
      <c r="B44" s="4319">
        <v>34</v>
      </c>
      <c r="C44" s="1771" t="str">
        <f>Master!CW3</f>
        <v>Aurahati 100MW PP (Aggreko)</v>
      </c>
      <c r="D44" s="1773"/>
      <c r="E44" s="4320" t="str">
        <f>Master!CW4</f>
        <v>IPP</v>
      </c>
      <c r="F44" s="4320" t="str">
        <f>Master!CW6</f>
        <v>0.85*23+0.95*91</v>
      </c>
      <c r="G44" s="4306">
        <f>Master!CW8</f>
        <v>100</v>
      </c>
      <c r="H44" s="4317">
        <f>YesterdayGen!CW34</f>
        <v>0</v>
      </c>
      <c r="I44" s="4316">
        <f>YesterdayGen!CW31</f>
        <v>52983</v>
      </c>
      <c r="J44" s="1768" t="str">
        <f>IF(EvReport!L44= 0, " ",EvReport!L44)</f>
        <v xml:space="preserve"> </v>
      </c>
      <c r="K44" s="220"/>
    </row>
    <row r="45" spans="2:11" ht="16.5" customHeight="1">
      <c r="B45" s="4319">
        <v>35</v>
      </c>
      <c r="C45" s="4314" t="str">
        <f>Master!CX3</f>
        <v xml:space="preserve">Kodda 149 MW PP Unit-1 (Summit) </v>
      </c>
      <c r="D45" s="4313"/>
      <c r="E45" s="1769" t="str">
        <f>Master!CX4</f>
        <v>IPP</v>
      </c>
      <c r="F45" s="4318">
        <f>Master!CX6</f>
        <v>149</v>
      </c>
      <c r="G45" s="1769">
        <f>Master!CX8</f>
        <v>149</v>
      </c>
      <c r="H45" s="4317">
        <f>YesterdayGen!CX34</f>
        <v>70</v>
      </c>
      <c r="I45" s="4316">
        <f>YesterdayGen!CX31</f>
        <v>745488</v>
      </c>
      <c r="J45" s="1770" t="str">
        <f>IF(EvReport!L45= 0, " ",EvReport!L45)</f>
        <v>High Voltage</v>
      </c>
      <c r="K45" s="220"/>
    </row>
    <row r="46" spans="2:11" ht="16.5" customHeight="1">
      <c r="B46" s="4319">
        <v>36</v>
      </c>
      <c r="C46" s="4314" t="str">
        <f>Master!DE3</f>
        <v>Gazipur 100 MW PP</v>
      </c>
      <c r="D46" s="4313"/>
      <c r="E46" s="4306" t="str">
        <f>Master!DE4</f>
        <v>RPCL</v>
      </c>
      <c r="F46" s="4318" t="str">
        <f>Master!DE6</f>
        <v>100 MW</v>
      </c>
      <c r="G46" s="4306">
        <f>Master!DE8</f>
        <v>105</v>
      </c>
      <c r="H46" s="4317">
        <f>YesterdayGen!DE34</f>
        <v>105</v>
      </c>
      <c r="I46" s="4316">
        <f>YesterdayGen!DE31</f>
        <v>2010000</v>
      </c>
      <c r="J46" s="4303" t="str">
        <f>IF(EvReport!L46= 0, " ",EvReport!L46)</f>
        <v xml:space="preserve"> </v>
      </c>
      <c r="K46" s="220"/>
    </row>
    <row r="47" spans="2:11" ht="16.5" customHeight="1">
      <c r="B47" s="4315">
        <v>37</v>
      </c>
      <c r="C47" s="4314" t="str">
        <f>Master!DO3</f>
        <v>Meghnaghat 104 MW PP (OPCL)</v>
      </c>
      <c r="D47" s="4313"/>
      <c r="E47" s="3942" t="str">
        <f>Master!DO4</f>
        <v>IPP</v>
      </c>
      <c r="F47" s="4312" t="str">
        <f>Master!DO6</f>
        <v>18.5*6</v>
      </c>
      <c r="G47" s="3942">
        <f>Master!DO8</f>
        <v>104</v>
      </c>
      <c r="H47" s="4311">
        <f>YesterdayGen!DO34</f>
        <v>104</v>
      </c>
      <c r="I47" s="4310">
        <f>YesterdayGen!DO31</f>
        <v>1228800</v>
      </c>
      <c r="J47" s="4309" t="str">
        <f>IF(EvReport!L47= 0, " ",EvReport!L47)</f>
        <v xml:space="preserve"> </v>
      </c>
      <c r="K47" s="220"/>
    </row>
    <row r="48" spans="2:11" ht="16.5" customHeight="1">
      <c r="B48" s="4306">
        <v>38</v>
      </c>
      <c r="C48" s="4308" t="str">
        <f>Master!DQ3</f>
        <v>Manikgonj 162MW PP(MPGL)</v>
      </c>
      <c r="D48" s="4307"/>
      <c r="E48" s="4306" t="str">
        <f>Master!DQ4</f>
        <v>IPP</v>
      </c>
      <c r="F48" s="4306" t="str">
        <f>Master!DQ6</f>
        <v>9*18</v>
      </c>
      <c r="G48" s="4306">
        <f>Master!DQ8</f>
        <v>162</v>
      </c>
      <c r="H48" s="4305">
        <f>YesterdayGen!DQ34</f>
        <v>54</v>
      </c>
      <c r="I48" s="4304">
        <f>YesterdayGen!DQ31</f>
        <v>3034080</v>
      </c>
      <c r="J48" s="4303" t="str">
        <f>IF(EvReport!L48= 0, " ",EvReport!L48)</f>
        <v>High Voltage, PM speech</v>
      </c>
      <c r="K48" s="220"/>
    </row>
    <row r="49" spans="2:11" ht="16.5" customHeight="1" thickBot="1">
      <c r="B49" s="4300">
        <v>39</v>
      </c>
      <c r="C49" s="4302" t="str">
        <f>Master!DU3</f>
        <v>Spectra Solar Plant Ltd.</v>
      </c>
      <c r="D49" s="4301"/>
      <c r="E49" s="4300" t="str">
        <f>Master!DU4</f>
        <v>IPP</v>
      </c>
      <c r="F49" s="4300">
        <f>Master!DU6</f>
        <v>35</v>
      </c>
      <c r="G49" s="4300">
        <f>Master!DU8</f>
        <v>35</v>
      </c>
      <c r="H49" s="4299">
        <f>YesterdayGen!DU34</f>
        <v>0</v>
      </c>
      <c r="I49" s="4298">
        <f>YesterdayGen!DU31</f>
        <v>180071</v>
      </c>
      <c r="J49" s="4297" t="str">
        <f>IF(EvReport!L49= 0, " ",EvReport!L49)</f>
        <v xml:space="preserve"> </v>
      </c>
      <c r="K49" s="220"/>
    </row>
    <row r="50" spans="2:11" ht="16.5" customHeight="1" thickBot="1">
      <c r="B50" s="4421"/>
      <c r="C50" s="4422" t="str">
        <f>Master!DW3</f>
        <v>Kanchan Purbachal Power Generation  Ltd.</v>
      </c>
      <c r="D50" s="4423"/>
      <c r="E50" s="4794" t="str">
        <f>Master!DW4</f>
        <v>IPP</v>
      </c>
      <c r="F50" s="4794">
        <f>Master!DW6</f>
        <v>55</v>
      </c>
      <c r="G50" s="1880">
        <f>Master!DW8</f>
        <v>0</v>
      </c>
      <c r="H50" s="4425">
        <f>YesterdayGen!DW34</f>
        <v>55</v>
      </c>
      <c r="I50" s="4426">
        <f>YesterdayGen!DW31</f>
        <v>385200</v>
      </c>
      <c r="J50" s="1579" t="str">
        <f>IF(EvReport!L50= 0, " ",EvReport!L50)</f>
        <v xml:space="preserve"> </v>
      </c>
      <c r="K50" s="220"/>
    </row>
    <row r="51" spans="2:11" s="232" customFormat="1" ht="16.5" customHeight="1" thickBot="1">
      <c r="B51" s="1320"/>
      <c r="C51" s="1321" t="s">
        <v>746</v>
      </c>
      <c r="D51" s="1321"/>
      <c r="E51" s="1322"/>
      <c r="F51" s="1322"/>
      <c r="G51" s="1323">
        <f>SUM(G9:G50)</f>
        <v>5560</v>
      </c>
      <c r="H51" s="1323">
        <f>SUM(H9:H50)</f>
        <v>1725</v>
      </c>
      <c r="I51" s="1323">
        <f>SUM(I9:I50)</f>
        <v>33451991</v>
      </c>
      <c r="J51" s="1324" t="s">
        <v>18</v>
      </c>
      <c r="K51" s="230"/>
    </row>
    <row r="52" spans="2:11" ht="16.5" customHeight="1">
      <c r="B52" s="1285">
        <v>40</v>
      </c>
      <c r="C52" s="1325" t="str">
        <f>Master!AN3</f>
        <v xml:space="preserve">Chattogram TPP-1 </v>
      </c>
      <c r="D52" s="1286"/>
      <c r="E52" s="1326" t="str">
        <f>Master!AN4</f>
        <v>PDB</v>
      </c>
      <c r="F52" s="1327" t="str">
        <f>Master!AN6</f>
        <v>1*210</v>
      </c>
      <c r="G52" s="1285">
        <f>Master!AN8</f>
        <v>180</v>
      </c>
      <c r="H52" s="1287">
        <f>YesterdayGen!AN34</f>
        <v>0</v>
      </c>
      <c r="I52" s="1288">
        <f>YesterdayGen!AN31</f>
        <v>0</v>
      </c>
      <c r="J52" s="1408" t="str">
        <f>IF(EvReport!L52 = 0, " ",EvReport!L52)</f>
        <v>Gas shortage</v>
      </c>
      <c r="K52" s="213"/>
    </row>
    <row r="53" spans="2:11" ht="16.5" customHeight="1">
      <c r="B53" s="1285"/>
      <c r="C53" s="1328" t="str">
        <f>Master!AO3</f>
        <v>Chattogram TPP-2</v>
      </c>
      <c r="D53" s="1286"/>
      <c r="E53" s="1326" t="str">
        <f>Master!AO4</f>
        <v>PDB</v>
      </c>
      <c r="F53" s="1327" t="str">
        <f>Master!AO6</f>
        <v>1*210</v>
      </c>
      <c r="G53" s="1285">
        <f>Master!AO8</f>
        <v>180</v>
      </c>
      <c r="H53" s="1287">
        <f>YesterdayGen!AO34</f>
        <v>0</v>
      </c>
      <c r="I53" s="1288">
        <f>YesterdayGen!AO31</f>
        <v>0</v>
      </c>
      <c r="J53" s="1409" t="str">
        <f>IF(EvReport!L53 = 0, " ",EvReport!L53)</f>
        <v>Gas shortage</v>
      </c>
      <c r="K53" s="213"/>
    </row>
    <row r="54" spans="2:11" ht="16.5" customHeight="1">
      <c r="B54" s="1285">
        <v>41</v>
      </c>
      <c r="C54" s="1328" t="str">
        <f>Master!AP3</f>
        <v>Raozan 25 MW PP</v>
      </c>
      <c r="D54" s="1286"/>
      <c r="E54" s="1326" t="str">
        <f>Master!AP4</f>
        <v>IPP</v>
      </c>
      <c r="F54" s="1327" t="str">
        <f>Master!AP6</f>
        <v>3*8.9</v>
      </c>
      <c r="G54" s="1285">
        <f>Master!AP8</f>
        <v>25</v>
      </c>
      <c r="H54" s="1287">
        <f>YesterdayGen!AP34</f>
        <v>17</v>
      </c>
      <c r="I54" s="1288">
        <f>YesterdayGen!AP31</f>
        <v>56071</v>
      </c>
      <c r="J54" s="1409" t="str">
        <f>IF(EvReport!L54 = 0, " ",EvReport!L54)</f>
        <v>High Voltage</v>
      </c>
      <c r="K54" s="213"/>
    </row>
    <row r="55" spans="2:11" ht="16.5" customHeight="1">
      <c r="B55" s="1285">
        <v>42</v>
      </c>
      <c r="C55" s="1328" t="str">
        <f>Master!CY3</f>
        <v>Teknaf  20MW PP (Solartech)</v>
      </c>
      <c r="D55" s="1286"/>
      <c r="E55" s="1326" t="str">
        <f>Master!CY4</f>
        <v>Teknaf Solartech Energy Ltd.</v>
      </c>
      <c r="F55" s="1327">
        <f>Master!CY6</f>
        <v>20</v>
      </c>
      <c r="G55" s="1285">
        <f>Master!CY8</f>
        <v>20</v>
      </c>
      <c r="H55" s="1287">
        <f>YesterdayGen!CY34</f>
        <v>0</v>
      </c>
      <c r="I55" s="1288">
        <f>YesterdayGen!CY31</f>
        <v>133110</v>
      </c>
      <c r="J55" s="1409" t="str">
        <f>IF(EvReport!L55= 0, " ",EvReport!L55)</f>
        <v xml:space="preserve"> </v>
      </c>
      <c r="K55" s="213"/>
    </row>
    <row r="56" spans="2:11" ht="16.5" customHeight="1">
      <c r="B56" s="1285">
        <v>43</v>
      </c>
      <c r="C56" s="1328" t="str">
        <f>Master!BA3</f>
        <v>Patenga 50MW PP (Baraka)</v>
      </c>
      <c r="D56" s="1286"/>
      <c r="E56" s="1326" t="str">
        <f>Master!BA4</f>
        <v>IPP</v>
      </c>
      <c r="F56" s="1327" t="str">
        <f>Master!BA6</f>
        <v>8*6.98</v>
      </c>
      <c r="G56" s="1285">
        <f>Master!BA8</f>
        <v>50</v>
      </c>
      <c r="H56" s="1287">
        <f>YesterdayGen!BA34</f>
        <v>0</v>
      </c>
      <c r="I56" s="1288">
        <f>YesterdayGen!BA31</f>
        <v>342240</v>
      </c>
      <c r="J56" s="1409" t="str">
        <f>IF(EvReport!L56 = 0, " ",EvReport!L56)</f>
        <v>Reserve.</v>
      </c>
      <c r="K56" s="212"/>
    </row>
    <row r="57" spans="2:11" ht="16.5" customHeight="1">
      <c r="B57" s="1285">
        <v>44</v>
      </c>
      <c r="C57" s="1328" t="s">
        <v>160</v>
      </c>
      <c r="D57" s="1291"/>
      <c r="E57" s="1289" t="str">
        <f>Master!AL4</f>
        <v>PDB</v>
      </c>
      <c r="F57" s="1289" t="s">
        <v>733</v>
      </c>
      <c r="G57" s="1289">
        <f>Master!AL8+Master!AM8</f>
        <v>230</v>
      </c>
      <c r="H57" s="1293">
        <f>YesterdayGen!AL34+YesterdayGen!AM34</f>
        <v>78</v>
      </c>
      <c r="I57" s="1294">
        <f>YesterdayGen!AL31+YesterdayGen!AM31</f>
        <v>1814800</v>
      </c>
      <c r="J57" s="1409" t="str">
        <f>IF(EvReport!L57 = 0, " ",EvReport!L57)</f>
        <v>Low water level</v>
      </c>
      <c r="K57" s="213"/>
    </row>
    <row r="58" spans="2:11" ht="16.5" customHeight="1">
      <c r="B58" s="1285">
        <v>45</v>
      </c>
      <c r="C58" s="1329" t="s">
        <v>170</v>
      </c>
      <c r="D58" s="1330"/>
      <c r="E58" s="1295" t="str">
        <f>Master!AQ4</f>
        <v>PDB</v>
      </c>
      <c r="F58" s="1289" t="str">
        <f>Master!AQ6</f>
        <v>1*150+1*175</v>
      </c>
      <c r="G58" s="1289">
        <f>Master!AQ8</f>
        <v>225</v>
      </c>
      <c r="H58" s="1293">
        <f>YesterdayGen!AQ34+YesterdayGen!AR34</f>
        <v>0</v>
      </c>
      <c r="I58" s="1294">
        <f>YesterdayGen!AQ31+YesterdayGen!AR31</f>
        <v>0</v>
      </c>
      <c r="J58" s="1409" t="str">
        <f>IF(EvReport!L58 = 0, " ",EvReport!L58)</f>
        <v>Under maint.</v>
      </c>
      <c r="K58" s="213"/>
    </row>
    <row r="59" spans="2:11" ht="16.5" customHeight="1">
      <c r="B59" s="1285">
        <v>46</v>
      </c>
      <c r="C59" s="1329" t="s">
        <v>115</v>
      </c>
      <c r="D59" s="1308"/>
      <c r="E59" s="1295" t="str">
        <f>Master!AS4</f>
        <v>PDB</v>
      </c>
      <c r="F59" s="1289" t="str">
        <f>Master!AS6</f>
        <v xml:space="preserve">1*150 </v>
      </c>
      <c r="G59" s="1289">
        <f>Master!AS8</f>
        <v>150</v>
      </c>
      <c r="H59" s="1293">
        <f>YesterdayGen!AS34+YesterdayGen!AT34</f>
        <v>0</v>
      </c>
      <c r="I59" s="1294">
        <f>YesterdayGen!AS31+YesterdayGen!AT31</f>
        <v>0</v>
      </c>
      <c r="J59" s="1409" t="str">
        <f>IF(EvReport!L59 = 0, " ",EvReport!L59)</f>
        <v>Under maint.</v>
      </c>
      <c r="K59" s="213"/>
    </row>
    <row r="60" spans="2:11" ht="16.5" customHeight="1">
      <c r="B60" s="1285">
        <v>47</v>
      </c>
      <c r="C60" s="1849" t="str">
        <f>Master!DF3</f>
        <v>Sikalbaha 105 MW PP (Baraka Sikalbaha)</v>
      </c>
      <c r="D60" s="1850"/>
      <c r="E60" s="1851" t="str">
        <f>Master!DF4</f>
        <v>IPP</v>
      </c>
      <c r="F60" s="1852" t="str">
        <f>Master!DF6</f>
        <v>105 MW</v>
      </c>
      <c r="G60" s="1853">
        <f>Master!DF8</f>
        <v>105</v>
      </c>
      <c r="H60" s="1854">
        <f>YesterdayGen!DF34</f>
        <v>105</v>
      </c>
      <c r="I60" s="1855">
        <f>YesterdayGen!DF31</f>
        <v>960145</v>
      </c>
      <c r="J60" s="1856" t="str">
        <f>IF(EvReport!L60= 0, " ",EvReport!L60)</f>
        <v xml:space="preserve"> </v>
      </c>
      <c r="K60" s="213"/>
    </row>
    <row r="61" spans="2:11" ht="16.5" customHeight="1">
      <c r="B61" s="1285">
        <v>48</v>
      </c>
      <c r="C61" s="1329" t="str">
        <f>Master!AW3</f>
        <v>Hathazari 100 MW peaking PP</v>
      </c>
      <c r="D61" s="1308"/>
      <c r="E61" s="1295" t="str">
        <f>Master!AW4</f>
        <v>PDB</v>
      </c>
      <c r="F61" s="1331" t="str">
        <f>Master!AW6</f>
        <v>11*8.9</v>
      </c>
      <c r="G61" s="1289">
        <f>Master!AW8</f>
        <v>98</v>
      </c>
      <c r="H61" s="1293">
        <f>YesterdayGen!AW34</f>
        <v>0</v>
      </c>
      <c r="I61" s="1294">
        <f>YesterdayGen!AW31</f>
        <v>0</v>
      </c>
      <c r="J61" s="1409" t="str">
        <f>IF(EvReport!L61 = 0, " ",EvReport!L61)</f>
        <v>Under S/D</v>
      </c>
      <c r="K61" s="213"/>
    </row>
    <row r="62" spans="2:11" ht="16.5" customHeight="1">
      <c r="B62" s="1285">
        <v>49</v>
      </c>
      <c r="C62" s="1329" t="str">
        <f>Master!AX3</f>
        <v>Dohazari -Kalaish 100 MW Peaking</v>
      </c>
      <c r="D62" s="1308"/>
      <c r="E62" s="1295" t="str">
        <f>Master!AX4</f>
        <v>PDB</v>
      </c>
      <c r="F62" s="1331" t="str">
        <f>Master!AX6</f>
        <v>6*17</v>
      </c>
      <c r="G62" s="1289">
        <f>Master!AX8</f>
        <v>102</v>
      </c>
      <c r="H62" s="1293">
        <f>YesterdayGen!AX34</f>
        <v>40</v>
      </c>
      <c r="I62" s="1294">
        <f>YesterdayGen!AX31</f>
        <v>141029</v>
      </c>
      <c r="J62" s="1409" t="str">
        <f>IF(EvReport!L62 = 0, " ",EvReport!L62)</f>
        <v>Engine problem</v>
      </c>
      <c r="K62" s="213"/>
    </row>
    <row r="63" spans="2:11" ht="16.5" customHeight="1">
      <c r="B63" s="1285">
        <v>50</v>
      </c>
      <c r="C63" s="1329" t="str">
        <f>Master!AY3</f>
        <v>Juldah 100 MW Unit-1 (Acorn)</v>
      </c>
      <c r="D63" s="1308"/>
      <c r="E63" s="1295" t="str">
        <f>Master!AY4</f>
        <v>QRPP</v>
      </c>
      <c r="F63" s="1331" t="str">
        <f>Master!AY6</f>
        <v>8*13.45</v>
      </c>
      <c r="G63" s="1289">
        <f>Master!AY8</f>
        <v>100</v>
      </c>
      <c r="H63" s="1293">
        <f>YesterdayGen!AY34</f>
        <v>10</v>
      </c>
      <c r="I63" s="1294">
        <f>YesterdayGen!AY31</f>
        <v>334560</v>
      </c>
      <c r="J63" s="1409" t="str">
        <f>IF(EvReport!L63 = 0, " ",EvReport!L63)</f>
        <v>High Voltage</v>
      </c>
      <c r="K63" s="213"/>
    </row>
    <row r="64" spans="2:11" ht="16.5" customHeight="1">
      <c r="B64" s="1285">
        <v>51</v>
      </c>
      <c r="C64" s="1329" t="str">
        <f>Master!CZ3</f>
        <v>Juldah 100 MW PP Unit-3 (Acorn)</v>
      </c>
      <c r="D64" s="1308"/>
      <c r="E64" s="1318" t="str">
        <f>Master!CZ4</f>
        <v>IPP</v>
      </c>
      <c r="F64" s="1332">
        <f>Master!CZ6</f>
        <v>0</v>
      </c>
      <c r="G64" s="1315">
        <f>Master!CZ8</f>
        <v>100</v>
      </c>
      <c r="H64" s="1293">
        <f>YesterdayGen!CZ34</f>
        <v>90</v>
      </c>
      <c r="I64" s="1294">
        <f>YesterdayGen!CZ31</f>
        <v>2079360</v>
      </c>
      <c r="J64" s="1409" t="str">
        <f>IF(EvReport!L64= 0, " ",EvReport!L64)</f>
        <v>Engine problem</v>
      </c>
      <c r="K64" s="213"/>
    </row>
    <row r="65" spans="2:11" ht="16.5" customHeight="1">
      <c r="B65" s="1285">
        <v>52</v>
      </c>
      <c r="C65" s="1329" t="str">
        <f>Master!BB3</f>
        <v>Barabkunda  22 MW PP (Regent)</v>
      </c>
      <c r="D65" s="1308"/>
      <c r="E65" s="1314" t="str">
        <f>Master!BB4</f>
        <v>SIPP, PDB</v>
      </c>
      <c r="F65" s="1332" t="str">
        <f>Master!BB6</f>
        <v>8*2.90</v>
      </c>
      <c r="G65" s="1315">
        <f>Master!BB8</f>
        <v>22</v>
      </c>
      <c r="H65" s="1293">
        <f>YesterdayGen!BB34</f>
        <v>21</v>
      </c>
      <c r="I65" s="1298">
        <f>YesterdayGen!BB31</f>
        <v>457440</v>
      </c>
      <c r="J65" s="1409" t="str">
        <f>IF(EvReport!L65 = 0, " ",EvReport!L65)</f>
        <v xml:space="preserve"> </v>
      </c>
      <c r="K65" s="213"/>
    </row>
    <row r="66" spans="2:11" ht="16.5" customHeight="1">
      <c r="B66" s="1285" t="s">
        <v>144</v>
      </c>
      <c r="C66" s="1333" t="str">
        <f>Master!BC3</f>
        <v>Malancha, Ctg. EPZ (United)</v>
      </c>
      <c r="D66" s="2089"/>
      <c r="E66" s="2090"/>
      <c r="F66" s="2090" t="str">
        <f>Master!BC6</f>
        <v>5*8.73+3*9.34</v>
      </c>
      <c r="G66" s="2091">
        <f>Master!BC8</f>
        <v>0</v>
      </c>
      <c r="H66" s="2092">
        <f>YesterdayGen!BC34</f>
        <v>10</v>
      </c>
      <c r="I66" s="2093">
        <f>YesterdayGen!BC31</f>
        <v>364320</v>
      </c>
      <c r="J66" s="1409" t="str">
        <f>IF(EvReport!L66 = 0, " ",EvReport!L66)</f>
        <v xml:space="preserve"> </v>
      </c>
      <c r="K66" s="213"/>
    </row>
    <row r="67" spans="2:11" ht="16.5" customHeight="1" thickBot="1">
      <c r="B67" s="3940">
        <v>53</v>
      </c>
      <c r="C67" s="2088" t="str">
        <f>Master!AZ3</f>
        <v>Chattogram 108 MW PP (ECPV)</v>
      </c>
      <c r="D67" s="2094"/>
      <c r="E67" s="2095" t="str">
        <f>Master!AZ4</f>
        <v>IPP</v>
      </c>
      <c r="F67" s="2095" t="str">
        <f>Master!AZ6</f>
        <v>16*7</v>
      </c>
      <c r="G67" s="2096">
        <f>Master!AZ8</f>
        <v>108</v>
      </c>
      <c r="H67" s="2097">
        <f>YesterdayGen!AZ34</f>
        <v>12</v>
      </c>
      <c r="I67" s="2098">
        <f>YesterdayGen!AZ31</f>
        <v>319680</v>
      </c>
      <c r="J67" s="1410" t="str">
        <f>IF(EvReport!L67 = 0, " ",EvReport!L67)</f>
        <v>Engine problem</v>
      </c>
      <c r="K67" s="213"/>
    </row>
    <row r="68" spans="2:11" ht="16.5" customHeight="1" thickBot="1">
      <c r="B68" s="3940">
        <v>54</v>
      </c>
      <c r="C68" s="2088" t="str">
        <f>Master!DG3</f>
        <v>Kaptai 7 MW  Solar PP</v>
      </c>
      <c r="D68" s="2094"/>
      <c r="E68" s="2095" t="str">
        <f>Master!DG4</f>
        <v>PDB</v>
      </c>
      <c r="F68" s="2095" t="str">
        <f>Master!DG6</f>
        <v>7.4 MW</v>
      </c>
      <c r="G68" s="2096">
        <f>Master!DG8</f>
        <v>7</v>
      </c>
      <c r="H68" s="2097">
        <f>YesterdayGen!DG34</f>
        <v>0</v>
      </c>
      <c r="I68" s="2098">
        <f>YesterdayGen!DG31</f>
        <v>27600</v>
      </c>
      <c r="J68" s="1579" t="str">
        <f>IF(EvReport!L68= 0, " ",EvReport!L68)</f>
        <v xml:space="preserve"> </v>
      </c>
      <c r="K68" s="213"/>
    </row>
    <row r="69" spans="2:11" ht="16.5" customHeight="1" thickBot="1">
      <c r="B69" s="3940">
        <v>55</v>
      </c>
      <c r="C69" s="2088" t="str">
        <f>Master!DH3</f>
        <v>Anwara 300 MW PP (United)</v>
      </c>
      <c r="D69" s="2094"/>
      <c r="E69" s="2095" t="str">
        <f>Master!DH4</f>
        <v>IPP</v>
      </c>
      <c r="F69" s="2095" t="str">
        <f>Master!DH6</f>
        <v>300 MW</v>
      </c>
      <c r="G69" s="2096">
        <f>Master!DH8</f>
        <v>300</v>
      </c>
      <c r="H69" s="2097">
        <f>YesterdayGen!DH34</f>
        <v>65</v>
      </c>
      <c r="I69" s="2098">
        <f>YesterdayGen!DH31</f>
        <v>647345</v>
      </c>
      <c r="J69" s="1579" t="str">
        <f>IF(EvReport!L69= 0, " ",EvReport!L69)</f>
        <v>High Voltage</v>
      </c>
      <c r="K69" s="213"/>
    </row>
    <row r="70" spans="2:11" ht="16.5" customHeight="1">
      <c r="B70" s="4319">
        <v>56</v>
      </c>
      <c r="C70" s="4321" t="str">
        <f>Master!DI3</f>
        <v>Jodiac Power</v>
      </c>
      <c r="D70" s="4322"/>
      <c r="E70" s="4323" t="str">
        <f>Master!DI4</f>
        <v>IPP</v>
      </c>
      <c r="F70" s="4324" t="str">
        <f>Master!DI6</f>
        <v>3*18.55+1*3.6</v>
      </c>
      <c r="G70" s="4306">
        <f>Master!DI8</f>
        <v>54</v>
      </c>
      <c r="H70" s="4317">
        <f>YesterdayGen!DI34</f>
        <v>54</v>
      </c>
      <c r="I70" s="4316">
        <f>YesterdayGen!DI31</f>
        <v>1347607</v>
      </c>
      <c r="J70" s="4303" t="str">
        <f>IF(EvReport!L70= 0, " ",EvReport!L70)</f>
        <v xml:space="preserve"> </v>
      </c>
      <c r="K70" s="213"/>
    </row>
    <row r="71" spans="2:11" ht="16.5" customHeight="1">
      <c r="B71" s="4315">
        <v>57</v>
      </c>
      <c r="C71" s="4321" t="str">
        <f>Master!DJ3</f>
        <v>Karnaphuli Power Ltd.</v>
      </c>
      <c r="D71" s="4322"/>
      <c r="E71" s="4325" t="str">
        <f>Master!DJ4</f>
        <v>IPP</v>
      </c>
      <c r="F71" s="4326">
        <f>Master!DJ6</f>
        <v>110</v>
      </c>
      <c r="G71" s="3942">
        <f>Master!DJ8</f>
        <v>110</v>
      </c>
      <c r="H71" s="4311">
        <f>YesterdayGen!DJ34</f>
        <v>110</v>
      </c>
      <c r="I71" s="4310">
        <f>YesterdayGen!DJ31</f>
        <v>2154463</v>
      </c>
      <c r="J71" s="4309" t="str">
        <f>IF(EvReport!L71= 0, " ",EvReport!L71)</f>
        <v xml:space="preserve"> </v>
      </c>
      <c r="K71" s="213"/>
    </row>
    <row r="72" spans="2:11" ht="16.5" customHeight="1">
      <c r="B72" s="4306">
        <v>58</v>
      </c>
      <c r="C72" s="4327" t="str">
        <f>Master!DM3</f>
        <v>Juldah unit-2 (Acorn)</v>
      </c>
      <c r="D72" s="4328"/>
      <c r="E72" s="4323" t="str">
        <f>Master!DM4</f>
        <v>IPP</v>
      </c>
      <c r="F72" s="4323" t="str">
        <f>Master!DM6</f>
        <v>8*13.6</v>
      </c>
      <c r="G72" s="4306">
        <f>Master!DM8</f>
        <v>100</v>
      </c>
      <c r="H72" s="4305">
        <f>YesterdayGen!DM34</f>
        <v>90</v>
      </c>
      <c r="I72" s="4304">
        <f>YesterdayGen!DM31</f>
        <v>1582080</v>
      </c>
      <c r="J72" s="4303" t="str">
        <f>IF(EvReport!L72= 0, " ",EvReport!L72)</f>
        <v>Engine problem</v>
      </c>
      <c r="K72" s="213"/>
    </row>
    <row r="73" spans="2:11" ht="16.5" customHeight="1" thickBot="1">
      <c r="B73" s="4300">
        <v>59</v>
      </c>
      <c r="C73" s="4329" t="str">
        <f>Master!DR3</f>
        <v>Anlima Energy Ltd.</v>
      </c>
      <c r="D73" s="4330"/>
      <c r="E73" s="4331" t="str">
        <f>Master!DR4</f>
        <v>IPP</v>
      </c>
      <c r="F73" s="4331" t="str">
        <f>Master!DR6</f>
        <v>6*21.2</v>
      </c>
      <c r="G73" s="4300">
        <f>Master!DR8</f>
        <v>116</v>
      </c>
      <c r="H73" s="4299">
        <f>YesterdayGen!DR34</f>
        <v>116</v>
      </c>
      <c r="I73" s="4298">
        <f>YesterdayGen!DR31</f>
        <v>2655873</v>
      </c>
      <c r="J73" s="4297" t="str">
        <f>IF(EvReport!L73= 0, " ",EvReport!L73)</f>
        <v xml:space="preserve"> </v>
      </c>
      <c r="K73" s="213"/>
    </row>
    <row r="74" spans="2:11" ht="16.5" customHeight="1" thickBot="1">
      <c r="B74" s="1320"/>
      <c r="C74" s="1321" t="s">
        <v>916</v>
      </c>
      <c r="D74" s="1321"/>
      <c r="E74" s="1322"/>
      <c r="F74" s="1322"/>
      <c r="G74" s="1323">
        <f>SUM(G52:G73)</f>
        <v>2382</v>
      </c>
      <c r="H74" s="1323">
        <f>SUM(H52:H73)</f>
        <v>818</v>
      </c>
      <c r="I74" s="1323">
        <f>SUM(I52:I73)</f>
        <v>15417723</v>
      </c>
      <c r="J74" s="1324" t="s">
        <v>18</v>
      </c>
      <c r="K74" s="220"/>
    </row>
    <row r="75" spans="2:11" ht="16.5" customHeight="1">
      <c r="B75" s="1285">
        <v>60</v>
      </c>
      <c r="C75" s="1328" t="str">
        <f>Master!BD3</f>
        <v>Ashuganj TPP Unit- 3</v>
      </c>
      <c r="D75" s="1291"/>
      <c r="E75" s="1295" t="str">
        <f>Master!BD4</f>
        <v>APSCL</v>
      </c>
      <c r="F75" s="1336" t="str">
        <f>Master!BD6</f>
        <v>1*150</v>
      </c>
      <c r="G75" s="1289">
        <f>Master!BD8</f>
        <v>135</v>
      </c>
      <c r="H75" s="1293">
        <f>YesterdayGen!BD34</f>
        <v>0</v>
      </c>
      <c r="I75" s="1294">
        <f>YesterdayGen!BD31</f>
        <v>0</v>
      </c>
      <c r="J75" s="1409" t="str">
        <f>IF(EvReport!L75 = 0, " ",EvReport!L75)</f>
        <v>Contract Expired</v>
      </c>
      <c r="K75" s="220"/>
    </row>
    <row r="76" spans="2:11" ht="16.5" customHeight="1">
      <c r="B76" s="1285"/>
      <c r="C76" s="1328" t="str">
        <f>Master!BE3</f>
        <v>Ashuganj TPP Unit- 4</v>
      </c>
      <c r="D76" s="1291"/>
      <c r="E76" s="1295" t="str">
        <f>Master!BE4</f>
        <v>APSCL</v>
      </c>
      <c r="F76" s="1336" t="str">
        <f>Master!BE6</f>
        <v>1*150</v>
      </c>
      <c r="G76" s="1289">
        <f>Master!BE8</f>
        <v>129</v>
      </c>
      <c r="H76" s="1293">
        <f>YesterdayGen!BE34</f>
        <v>0</v>
      </c>
      <c r="I76" s="1294">
        <f>YesterdayGen!BE31</f>
        <v>0</v>
      </c>
      <c r="J76" s="1409" t="str">
        <f>IF(EvReport!L76 = 0, " ",EvReport!L76)</f>
        <v>Gas shortage</v>
      </c>
      <c r="K76" s="220"/>
    </row>
    <row r="77" spans="2:11" ht="16.5" customHeight="1">
      <c r="B77" s="1285"/>
      <c r="C77" s="1328" t="str">
        <f>Master!BF3</f>
        <v>Ashuganj TPP Unit- 5</v>
      </c>
      <c r="D77" s="1291"/>
      <c r="E77" s="1326" t="str">
        <f>Master!BF4</f>
        <v>APSCL</v>
      </c>
      <c r="F77" s="1327" t="str">
        <f>Master!BF6</f>
        <v>1*150</v>
      </c>
      <c r="G77" s="1289">
        <f>Master!BF8</f>
        <v>134</v>
      </c>
      <c r="H77" s="1293">
        <f>YesterdayGen!BF34</f>
        <v>80</v>
      </c>
      <c r="I77" s="1294">
        <f>YesterdayGen!BF31</f>
        <v>1973546</v>
      </c>
      <c r="J77" s="1409" t="str">
        <f>IF(EvReport!L77 = 0, " ",EvReport!L77)</f>
        <v>Gas shortage</v>
      </c>
      <c r="K77" s="220"/>
    </row>
    <row r="78" spans="2:11" ht="16.5" customHeight="1">
      <c r="B78" s="1285">
        <v>61</v>
      </c>
      <c r="C78" s="1328" t="str">
        <f>Master!BI3</f>
        <v xml:space="preserve">Ashuganj 225 MW  CCPP </v>
      </c>
      <c r="D78" s="1291"/>
      <c r="E78" s="1326" t="str">
        <f>Master!BI4</f>
        <v>APSCL</v>
      </c>
      <c r="F78" s="1327" t="str">
        <f>Master!BI6</f>
        <v>1*142+1*75</v>
      </c>
      <c r="G78" s="1289">
        <f>Master!BI8</f>
        <v>221</v>
      </c>
      <c r="H78" s="1293">
        <f>YesterdayGen!BI34</f>
        <v>168</v>
      </c>
      <c r="I78" s="1296">
        <f>YesterdayGen!BI31</f>
        <v>3462000</v>
      </c>
      <c r="J78" s="1409" t="e">
        <f>IF(EvReport!#REF! = 0, " ",EvReport!#REF!)</f>
        <v>#REF!</v>
      </c>
      <c r="K78" s="216"/>
    </row>
    <row r="79" spans="2:11" ht="16.5" customHeight="1">
      <c r="B79" s="1285">
        <v>62</v>
      </c>
      <c r="C79" s="1328" t="str">
        <f>Master!BG3</f>
        <v>Ashuganj 450 MW CCPP(North)</v>
      </c>
      <c r="D79" s="1291"/>
      <c r="E79" s="1326" t="str">
        <f>Master!BG4</f>
        <v>APSCL</v>
      </c>
      <c r="F79" s="1327" t="str">
        <f>Master!BG6</f>
        <v>1*360</v>
      </c>
      <c r="G79" s="1289">
        <f>Master!BG8</f>
        <v>360</v>
      </c>
      <c r="H79" s="1293">
        <f>YesterdayGen!BG34</f>
        <v>150</v>
      </c>
      <c r="I79" s="1294">
        <f>YesterdayGen!BG31</f>
        <v>4327900</v>
      </c>
      <c r="J79" s="1409" t="str">
        <f>IF(EvReport!L78 = 0, " ",EvReport!L78)</f>
        <v>Gas shortage</v>
      </c>
      <c r="K79" s="216"/>
    </row>
    <row r="80" spans="2:11" ht="16.5" customHeight="1">
      <c r="B80" s="1285">
        <v>63</v>
      </c>
      <c r="C80" s="1328" t="str">
        <f>Master!BH3</f>
        <v>Ashuganj 450 MW CCPP(South)</v>
      </c>
      <c r="D80" s="1291"/>
      <c r="E80" s="1326" t="str">
        <f>Master!BH4</f>
        <v>APSCL</v>
      </c>
      <c r="F80" s="1327" t="str">
        <f>Master!BH6</f>
        <v>1*360</v>
      </c>
      <c r="G80" s="1289">
        <f>Master!BH8</f>
        <v>360</v>
      </c>
      <c r="H80" s="1293">
        <f>YesterdayGen!BH34</f>
        <v>310</v>
      </c>
      <c r="I80" s="1294">
        <f>YesterdayGen!BH31</f>
        <v>5778000</v>
      </c>
      <c r="J80" s="1409" t="str">
        <f>IF(EvReport!L80 = 0, " ",EvReport!L80)</f>
        <v>FGMO</v>
      </c>
      <c r="K80" s="220"/>
    </row>
    <row r="81" spans="2:11" ht="16.5" customHeight="1">
      <c r="B81" s="1285">
        <v>64</v>
      </c>
      <c r="C81" s="1328" t="str">
        <f>Master!BL3</f>
        <v xml:space="preserve">Ashuganj 50 MW PP </v>
      </c>
      <c r="D81" s="1291"/>
      <c r="E81" s="1326" t="str">
        <f>Master!BL4</f>
        <v>APSCL</v>
      </c>
      <c r="F81" s="1327" t="str">
        <f>Master!BL6</f>
        <v>14*3.968</v>
      </c>
      <c r="G81" s="1289">
        <f>Master!BL8</f>
        <v>45</v>
      </c>
      <c r="H81" s="1293">
        <f>YesterdayGen!BL34</f>
        <v>3</v>
      </c>
      <c r="I81" s="1294">
        <f>YesterdayGen!BL31</f>
        <v>159696</v>
      </c>
      <c r="J81" s="1409" t="str">
        <f>IF(EvReport!L81 = 0, " ",EvReport!L81)</f>
        <v>Gas shortage</v>
      </c>
      <c r="K81" s="243"/>
    </row>
    <row r="82" spans="2:11" ht="16.5" customHeight="1">
      <c r="B82" s="1285">
        <v>65</v>
      </c>
      <c r="C82" s="1328" t="str">
        <f>Master!BM3</f>
        <v xml:space="preserve">Ashuganj 55 MW PP  (Precision) </v>
      </c>
      <c r="D82" s="1291"/>
      <c r="E82" s="1295" t="str">
        <f>Master!BM4</f>
        <v xml:space="preserve">RPP </v>
      </c>
      <c r="F82" s="1336" t="str">
        <f>Master!BM6</f>
        <v>15*4</v>
      </c>
      <c r="G82" s="1289">
        <f>Master!BM8</f>
        <v>55</v>
      </c>
      <c r="H82" s="1293">
        <f>YesterdayGen!BM34</f>
        <v>5</v>
      </c>
      <c r="I82" s="1298">
        <f>YesterdayGen!BM31</f>
        <v>149280</v>
      </c>
      <c r="J82" s="1409" t="str">
        <f>IF(EvReport!L82 = 0, " ",EvReport!L82)</f>
        <v>Gas shortage</v>
      </c>
      <c r="K82" s="216"/>
    </row>
    <row r="83" spans="2:11" ht="16.5" customHeight="1">
      <c r="B83" s="1285">
        <v>66</v>
      </c>
      <c r="C83" s="1328" t="str">
        <f>Master!BJ3</f>
        <v xml:space="preserve">Ashuganj 195MW PP (APSCL-United) </v>
      </c>
      <c r="D83" s="1291"/>
      <c r="E83" s="1295" t="str">
        <f>Master!BJ4</f>
        <v>IPP</v>
      </c>
      <c r="F83" s="1336" t="str">
        <f>Master!BJ6</f>
        <v>20*9.73+1*16</v>
      </c>
      <c r="G83" s="1301">
        <f>Master!BJ8</f>
        <v>195</v>
      </c>
      <c r="H83" s="1293">
        <f>YesterdayGen!BJ34</f>
        <v>8</v>
      </c>
      <c r="I83" s="1298">
        <f>YesterdayGen!BJ31</f>
        <v>217454</v>
      </c>
      <c r="J83" s="1409" t="str">
        <f>IF(EvReport!L83 = 0, " ",EvReport!L83)</f>
        <v>Gas shortage</v>
      </c>
      <c r="K83" s="216"/>
    </row>
    <row r="84" spans="2:11" ht="16.5" customHeight="1">
      <c r="B84" s="1285">
        <v>67</v>
      </c>
      <c r="C84" s="1328" t="str">
        <f>Master!BO3</f>
        <v>Ashuganj  51 MW PP (Midland)</v>
      </c>
      <c r="D84" s="1291"/>
      <c r="E84" s="1295" t="str">
        <f>Master!BO4</f>
        <v>IPP</v>
      </c>
      <c r="F84" s="1336" t="str">
        <f>Master!BO6</f>
        <v>6*9.34</v>
      </c>
      <c r="G84" s="1301">
        <f>Master!BO8</f>
        <v>51</v>
      </c>
      <c r="H84" s="1293">
        <f>YesterdayGen!BO34</f>
        <v>51</v>
      </c>
      <c r="I84" s="1298">
        <f>YesterdayGen!BO31</f>
        <v>1255256</v>
      </c>
      <c r="J84" s="1409" t="str">
        <f>IF(EvReport!L84 = 0, " ",EvReport!L84)</f>
        <v xml:space="preserve"> </v>
      </c>
      <c r="K84" s="220"/>
    </row>
    <row r="85" spans="2:11" ht="16.5" customHeight="1">
      <c r="B85" s="1285">
        <v>68</v>
      </c>
      <c r="C85" s="1655" t="str">
        <f>Master!DB3</f>
        <v>Ashuganj 150MW PP (Midland)</v>
      </c>
      <c r="D85" s="1656"/>
      <c r="E85" s="1657" t="str">
        <f>Master!DB4</f>
        <v>IPP</v>
      </c>
      <c r="F85" s="1658" t="str">
        <f>Master!DB6</f>
        <v>23*7.015</v>
      </c>
      <c r="G85" s="1659">
        <f>Master!DB8</f>
        <v>150</v>
      </c>
      <c r="H85" s="1660">
        <f>YesterdayGen!DB34</f>
        <v>142</v>
      </c>
      <c r="I85" s="1661">
        <f>YesterdayGen!DB31</f>
        <v>3400654</v>
      </c>
      <c r="J85" s="1662" t="str">
        <f>IF(EvReport!L85= 0, " ",EvReport!L85)</f>
        <v>Engine problem</v>
      </c>
      <c r="K85" s="220"/>
    </row>
    <row r="86" spans="2:11" ht="16.5" customHeight="1">
      <c r="B86" s="1285">
        <v>69</v>
      </c>
      <c r="C86" s="1328" t="str">
        <f>Master!BQ3</f>
        <v>Titas 50 MW Peaking PP</v>
      </c>
      <c r="D86" s="1291"/>
      <c r="E86" s="1295" t="str">
        <f>Master!BQ4</f>
        <v>PDB</v>
      </c>
      <c r="F86" s="1336" t="str">
        <f>Master!BQ6</f>
        <v>6*8.92</v>
      </c>
      <c r="G86" s="1289">
        <f>Master!BQ8</f>
        <v>52</v>
      </c>
      <c r="H86" s="1293">
        <f>YesterdayGen!BQ34</f>
        <v>0</v>
      </c>
      <c r="I86" s="1298">
        <f>YesterdayGen!BQ31</f>
        <v>88248</v>
      </c>
      <c r="J86" s="1409" t="str">
        <f>IF(EvReport!L86 = 0, " ",EvReport!L86)</f>
        <v>Reserve.</v>
      </c>
      <c r="K86" s="220"/>
    </row>
    <row r="87" spans="2:11" ht="16.5" customHeight="1">
      <c r="B87" s="1285">
        <v>70</v>
      </c>
      <c r="C87" s="1328" t="str">
        <f>Master!BK3</f>
        <v>Chandpur 150 MW CCPP</v>
      </c>
      <c r="D87" s="1291"/>
      <c r="E87" s="1295" t="str">
        <f>Master!BK4</f>
        <v>PDB</v>
      </c>
      <c r="F87" s="1336" t="str">
        <f>Master!BK6</f>
        <v>1*106+1*57</v>
      </c>
      <c r="G87" s="1289">
        <f>Master!BK8</f>
        <v>163</v>
      </c>
      <c r="H87" s="1293">
        <f>YesterdayGen!BK34</f>
        <v>132</v>
      </c>
      <c r="I87" s="1298">
        <f>YesterdayGen!BK31</f>
        <v>3072740</v>
      </c>
      <c r="J87" s="1409" t="str">
        <f>IF(EvReport!L87 = 0, " ",EvReport!L87)</f>
        <v>Engine problem</v>
      </c>
      <c r="K87" s="698"/>
    </row>
    <row r="88" spans="2:11" ht="16.5" customHeight="1">
      <c r="B88" s="1285">
        <v>71</v>
      </c>
      <c r="C88" s="1328" t="str">
        <f>Master!DA3</f>
        <v>Chandpur 200MW (Desh energy)</v>
      </c>
      <c r="D88" s="1291"/>
      <c r="E88" s="1295" t="str">
        <f>Master!DA4</f>
        <v>IPP</v>
      </c>
      <c r="F88" s="1336">
        <f>Master!DA6</f>
        <v>0</v>
      </c>
      <c r="G88" s="1289">
        <f>Master!DA8</f>
        <v>200</v>
      </c>
      <c r="H88" s="1293">
        <f>YesterdayGen!DA34</f>
        <v>100</v>
      </c>
      <c r="I88" s="1298">
        <f>YesterdayGen!DA31</f>
        <v>493440</v>
      </c>
      <c r="J88" s="1409" t="str">
        <f>IF(EvReport!L88= 0, " ",EvReport!L88)</f>
        <v>High Voltage</v>
      </c>
      <c r="K88" s="698"/>
    </row>
    <row r="89" spans="2:11" ht="16.5" customHeight="1">
      <c r="B89" s="1285">
        <v>72</v>
      </c>
      <c r="C89" s="1328" t="str">
        <f>Master!BS3</f>
        <v>Feni  22MW PP (Doreen)</v>
      </c>
      <c r="D89" s="1291"/>
      <c r="E89" s="1295" t="str">
        <f>Master!BS4</f>
        <v>SIPP, PDB</v>
      </c>
      <c r="F89" s="1336" t="str">
        <f>Master!BS6</f>
        <v>8*2.90</v>
      </c>
      <c r="G89" s="1289">
        <f>Master!BS8</f>
        <v>22</v>
      </c>
      <c r="H89" s="1293">
        <f>YesterdayGen!BS34</f>
        <v>20</v>
      </c>
      <c r="I89" s="1298">
        <f>YesterdayGen!BS31</f>
        <v>483408</v>
      </c>
      <c r="J89" s="1409" t="str">
        <f>IF(EvReport!L89 = 0, " ",EvReport!L89)</f>
        <v xml:space="preserve"> </v>
      </c>
      <c r="K89" s="220"/>
    </row>
    <row r="90" spans="2:11" ht="16.5" customHeight="1">
      <c r="B90" s="1285">
        <v>73</v>
      </c>
      <c r="C90" s="1328" t="str">
        <f>Master!BT3</f>
        <v>Feni 11 MW PP  (Doreen)</v>
      </c>
      <c r="D90" s="1291"/>
      <c r="E90" s="1306" t="str">
        <f>Master!BT4</f>
        <v>SIPP, REB</v>
      </c>
      <c r="F90" s="1331" t="str">
        <f>Master!BT6</f>
        <v>4*2.90</v>
      </c>
      <c r="G90" s="1289">
        <f>Master!BT8</f>
        <v>11</v>
      </c>
      <c r="H90" s="1293">
        <f>YesterdayGen!BT34</f>
        <v>11</v>
      </c>
      <c r="I90" s="1298">
        <f>YesterdayGen!BT31</f>
        <v>245340</v>
      </c>
      <c r="J90" s="1409" t="str">
        <f>IF(EvReport!L90 = 0, " ",EvReport!L90)</f>
        <v xml:space="preserve"> </v>
      </c>
      <c r="K90" s="220"/>
    </row>
    <row r="91" spans="2:11" ht="16.5" customHeight="1">
      <c r="B91" s="1285" t="s">
        <v>143</v>
      </c>
      <c r="C91" s="1337" t="str">
        <f>Master!BW3</f>
        <v>Impoprt (Tripura)</v>
      </c>
      <c r="D91" s="1291"/>
      <c r="E91" s="1306" t="str">
        <f>Master!BW4</f>
        <v>Imported power</v>
      </c>
      <c r="F91" s="1331">
        <f>Master!BW6</f>
        <v>0</v>
      </c>
      <c r="G91" s="1289">
        <f>Master!BW8</f>
        <v>160</v>
      </c>
      <c r="H91" s="1293">
        <f>YesterdayGen!BW34</f>
        <v>88</v>
      </c>
      <c r="I91" s="1298">
        <f>YesterdayGen!BW31</f>
        <v>1943040</v>
      </c>
      <c r="J91" s="1409" t="str">
        <f>IF(EvReport!L91 = 0, " ",EvReport!L91)</f>
        <v xml:space="preserve"> </v>
      </c>
      <c r="K91" s="220"/>
    </row>
    <row r="92" spans="2:11" ht="16.5" customHeight="1">
      <c r="B92" s="1285">
        <v>74</v>
      </c>
      <c r="C92" s="1329" t="str">
        <f>Master!BU3</f>
        <v xml:space="preserve">Jangalia 33MW PP (Summit) </v>
      </c>
      <c r="D92" s="1291"/>
      <c r="E92" s="1295" t="str">
        <f>Master!BU4</f>
        <v>SIPP, PDB</v>
      </c>
      <c r="F92" s="1331" t="str">
        <f>Master!BU6</f>
        <v>4*8.73</v>
      </c>
      <c r="G92" s="1289">
        <f>Master!BU8</f>
        <v>33</v>
      </c>
      <c r="H92" s="1293">
        <f>YesterdayGen!BU34</f>
        <v>33</v>
      </c>
      <c r="I92" s="1298">
        <f>YesterdayGen!BU31</f>
        <v>698400</v>
      </c>
      <c r="J92" s="1409" t="str">
        <f>IF(EvReport!L92 = 0, " ",EvReport!L92)</f>
        <v xml:space="preserve"> </v>
      </c>
      <c r="K92" s="220"/>
    </row>
    <row r="93" spans="2:11" ht="16.5" customHeight="1">
      <c r="B93" s="1285">
        <v>75</v>
      </c>
      <c r="C93" s="1329" t="str">
        <f>Master!BR3</f>
        <v>Jangalia 52 MW PP (Lakdanavi)</v>
      </c>
      <c r="D93" s="1338"/>
      <c r="E93" s="1306" t="str">
        <f>Master!BR4</f>
        <v>IPP</v>
      </c>
      <c r="F93" s="1331" t="str">
        <f>Master!BR6</f>
        <v>6*8.92</v>
      </c>
      <c r="G93" s="1289">
        <f>Master!BR8</f>
        <v>52</v>
      </c>
      <c r="H93" s="1293">
        <f>YesterdayGen!BR34</f>
        <v>8</v>
      </c>
      <c r="I93" s="1298">
        <f>YesterdayGen!BR31</f>
        <v>180552</v>
      </c>
      <c r="J93" s="1409" t="str">
        <f>IF(EvReport!L93 = 0, " ",EvReport!L93)</f>
        <v>High Voltage</v>
      </c>
      <c r="K93" s="220"/>
    </row>
    <row r="94" spans="2:11" ht="16.5" customHeight="1">
      <c r="B94" s="1285">
        <v>76</v>
      </c>
      <c r="C94" s="1339" t="str">
        <f>Master!BV3</f>
        <v>Cumilla 25 MW PP (Summit)</v>
      </c>
      <c r="D94" s="1340"/>
      <c r="E94" s="1315" t="str">
        <f>Master!BV4</f>
        <v>SIPP, PDB</v>
      </c>
      <c r="F94" s="1332" t="str">
        <f>Master!BV6</f>
        <v>3*3.67+2*6.97</v>
      </c>
      <c r="G94" s="1315">
        <f>Master!BV8</f>
        <v>25</v>
      </c>
      <c r="H94" s="1319">
        <f>YesterdayGen!BV34</f>
        <v>9</v>
      </c>
      <c r="I94" s="1316">
        <f>YesterdayGen!BV31</f>
        <v>239680</v>
      </c>
      <c r="J94" s="1409" t="str">
        <f>IF(EvReport!L94 = 0, " ",EvReport!L94)</f>
        <v>Engine problem</v>
      </c>
      <c r="K94" s="220"/>
    </row>
    <row r="95" spans="2:11" ht="16.5" customHeight="1">
      <c r="B95" s="1285">
        <v>77</v>
      </c>
      <c r="C95" s="4314" t="str">
        <f>Master!CR3</f>
        <v>Daudkandi 200 MW PP (B.Trac)</v>
      </c>
      <c r="D95" s="4313"/>
      <c r="E95" s="4306" t="str">
        <f>Master!CR4</f>
        <v>IPP</v>
      </c>
      <c r="F95" s="4318" t="str">
        <f>Master!CR6</f>
        <v>154*1.4</v>
      </c>
      <c r="G95" s="4306">
        <f>Master!CR8</f>
        <v>200</v>
      </c>
      <c r="H95" s="4317">
        <f>YesterdayGen!CR34</f>
        <v>0</v>
      </c>
      <c r="I95" s="4316">
        <f>YesterdayGen!CR31</f>
        <v>0</v>
      </c>
      <c r="J95" s="4303" t="str">
        <f>IF(EvReport!L95= 0, " ",EvReport!L95)</f>
        <v>Reserve.</v>
      </c>
      <c r="K95" s="220"/>
    </row>
    <row r="96" spans="2:11" ht="16.5" customHeight="1">
      <c r="B96" s="4315">
        <v>78</v>
      </c>
      <c r="C96" s="4314" t="str">
        <f>Master!DK3</f>
        <v>Feni Lanka Power</v>
      </c>
      <c r="D96" s="4313"/>
      <c r="E96" s="3942" t="str">
        <f>Master!DK4</f>
        <v>IPP</v>
      </c>
      <c r="F96" s="4312" t="str">
        <f>Master!DK6</f>
        <v>7*18.415+1*9.78</v>
      </c>
      <c r="G96" s="3942">
        <f>Master!DK8</f>
        <v>114</v>
      </c>
      <c r="H96" s="4311">
        <f>YesterdayGen!DK34</f>
        <v>17</v>
      </c>
      <c r="I96" s="4310">
        <f>YesterdayGen!DK31</f>
        <v>102600</v>
      </c>
      <c r="J96" s="4309" t="str">
        <f>IF(EvReport!L96= 0, " ",EvReport!L96)</f>
        <v>High Voltage</v>
      </c>
      <c r="K96" s="220"/>
    </row>
    <row r="97" spans="2:11" ht="16.5" customHeight="1">
      <c r="B97" s="4306">
        <v>79</v>
      </c>
      <c r="C97" s="4308" t="str">
        <f>Master!DL3</f>
        <v>Chowmuhani 113 MW</v>
      </c>
      <c r="D97" s="4307"/>
      <c r="E97" s="4306" t="str">
        <f>Master!DL4</f>
        <v>IPP</v>
      </c>
      <c r="F97" s="4306" t="str">
        <f>Master!DL6</f>
        <v>12*9.78+2*3.1</v>
      </c>
      <c r="G97" s="4306">
        <f>Master!DL8</f>
        <v>113</v>
      </c>
      <c r="H97" s="4305">
        <f>YesterdayGen!DL34</f>
        <v>0</v>
      </c>
      <c r="I97" s="4304">
        <f>YesterdayGen!DL31</f>
        <v>373800</v>
      </c>
      <c r="J97" s="4303" t="str">
        <f>IF(EvReport!L97= 0, " ",EvReport!L97)</f>
        <v>Reserve.</v>
      </c>
      <c r="K97" s="220"/>
    </row>
    <row r="98" spans="2:11" ht="16.5" customHeight="1" thickBot="1">
      <c r="B98" s="4300">
        <v>80</v>
      </c>
      <c r="C98" s="4302" t="str">
        <f>Master!DT3</f>
        <v>Bhairob 54.5 MW</v>
      </c>
      <c r="D98" s="4301"/>
      <c r="E98" s="4300" t="str">
        <f>Master!DT4</f>
        <v>IPP</v>
      </c>
      <c r="F98" s="4300" t="str">
        <f>Master!DT6</f>
        <v>3*18.2</v>
      </c>
      <c r="G98" s="4300">
        <f>Master!DT8</f>
        <v>54</v>
      </c>
      <c r="H98" s="4299">
        <f>YesterdayGen!DT34</f>
        <v>17</v>
      </c>
      <c r="I98" s="4298">
        <f>YesterdayGen!DT31</f>
        <v>439920</v>
      </c>
      <c r="J98" s="4297" t="str">
        <f>IF(EvReport!L98= 0, " ",EvReport!L98)</f>
        <v>33 kV feeder O/L</v>
      </c>
      <c r="K98" s="220"/>
    </row>
    <row r="99" spans="2:11" ht="16.5" customHeight="1" thickBot="1">
      <c r="B99" s="1880"/>
      <c r="C99" s="4422" t="str">
        <f>Master!DV3</f>
        <v xml:space="preserve">Chandpur 115(Doreen) </v>
      </c>
      <c r="D99" s="4423"/>
      <c r="E99" s="4794" t="str">
        <f>Master!DV4</f>
        <v>IPP</v>
      </c>
      <c r="F99" s="4795">
        <f>Master!DV6</f>
        <v>115</v>
      </c>
      <c r="G99" s="1880">
        <f>Master!DV8</f>
        <v>0</v>
      </c>
      <c r="H99" s="4425">
        <f>YesterdayGen!DV34</f>
        <v>0</v>
      </c>
      <c r="I99" s="4426">
        <f>YesterdayGen!DV31</f>
        <v>0</v>
      </c>
      <c r="J99" s="1579" t="str">
        <f>IF(EvReport!L99= 0, " ",EvReport!L99)</f>
        <v>On test</v>
      </c>
      <c r="K99" s="220"/>
    </row>
    <row r="100" spans="2:11" ht="16.5" customHeight="1" thickBot="1">
      <c r="B100" s="3941"/>
      <c r="C100" s="1321" t="s">
        <v>915</v>
      </c>
      <c r="D100" s="1321"/>
      <c r="E100" s="1322"/>
      <c r="F100" s="1341"/>
      <c r="G100" s="1323">
        <f>SUM(G75:G99)</f>
        <v>3034</v>
      </c>
      <c r="H100" s="1323">
        <f>SUM(H75:H99)</f>
        <v>1352</v>
      </c>
      <c r="I100" s="1323">
        <f>SUM(I75:I99)</f>
        <v>29084954</v>
      </c>
      <c r="J100" s="1324" t="str">
        <f>IF(EvReport!L100 = 0, " ",EvReport!L100)</f>
        <v xml:space="preserve"> </v>
      </c>
      <c r="K100" s="220"/>
    </row>
    <row r="101" spans="2:11" ht="16.5" customHeight="1">
      <c r="B101" s="1285">
        <v>81</v>
      </c>
      <c r="C101" s="1325" t="str">
        <f>Master!BX3</f>
        <v>RPCL 210MW CCPP</v>
      </c>
      <c r="D101" s="1342"/>
      <c r="E101" s="1285" t="str">
        <f>Master!BX4</f>
        <v>IPP</v>
      </c>
      <c r="F101" s="1285" t="str">
        <f>Master!BX6</f>
        <v>4*35+1*70</v>
      </c>
      <c r="G101" s="1285">
        <f>Master!BX8</f>
        <v>202</v>
      </c>
      <c r="H101" s="1287">
        <f>YesterdayGen!BX34</f>
        <v>50</v>
      </c>
      <c r="I101" s="1343">
        <f>YesterdayGen!BX31</f>
        <v>1186560</v>
      </c>
      <c r="J101" s="1408" t="str">
        <f>IF(EvReport!L101 = 0, " ",EvReport!L101)</f>
        <v>Gas shortage</v>
      </c>
      <c r="K101" s="220"/>
    </row>
    <row r="102" spans="2:11" ht="16.5" customHeight="1">
      <c r="B102" s="1285">
        <v>82</v>
      </c>
      <c r="C102" s="1329" t="str">
        <f>Master!BZ3</f>
        <v>Tangail  22 MW PP (Doreen)</v>
      </c>
      <c r="D102" s="1344"/>
      <c r="E102" s="1311" t="str">
        <f>Master!BZ4</f>
        <v>SIPP, PDB</v>
      </c>
      <c r="F102" s="1311" t="str">
        <f>Master!BZ6</f>
        <v>8*2.90</v>
      </c>
      <c r="G102" s="1315">
        <f>Master!BZ8</f>
        <v>22</v>
      </c>
      <c r="H102" s="1319">
        <f>YesterdayGen!BZ34</f>
        <v>22</v>
      </c>
      <c r="I102" s="1316">
        <f>YesterdayGen!BZ31</f>
        <v>484596</v>
      </c>
      <c r="J102" s="1409" t="str">
        <f>IF(EvReport!L102 = 0, " ",EvReport!L102)</f>
        <v xml:space="preserve"> </v>
      </c>
      <c r="K102" s="220"/>
    </row>
    <row r="103" spans="2:11" ht="16.5" customHeight="1">
      <c r="B103" s="1285">
        <v>83</v>
      </c>
      <c r="C103" s="1328" t="str">
        <f>Master!BY3</f>
        <v>Jamalpur 95 MW PP(Powerpac)</v>
      </c>
      <c r="D103" s="1344"/>
      <c r="E103" s="1345" t="str">
        <f>Master!BY4</f>
        <v>IPP</v>
      </c>
      <c r="F103" s="1311" t="str">
        <f>Master!BY6</f>
        <v>12*8.924</v>
      </c>
      <c r="G103" s="1315">
        <f>Master!BY8</f>
        <v>8</v>
      </c>
      <c r="H103" s="1319">
        <f>YesterdayGen!BY34</f>
        <v>0</v>
      </c>
      <c r="I103" s="1316">
        <f>YesterdayGen!BY31</f>
        <v>0</v>
      </c>
      <c r="J103" s="1409" t="str">
        <f>IF(EvReport!L103 = 0, " ",EvReport!L103)</f>
        <v>Under maint.</v>
      </c>
      <c r="K103" s="220"/>
    </row>
    <row r="104" spans="2:11" ht="16.5" customHeight="1">
      <c r="B104" s="1285">
        <v>84</v>
      </c>
      <c r="C104" s="1339" t="str">
        <f>Master!CA3</f>
        <v>Sarishabari 3 MW Solar Plant</v>
      </c>
      <c r="D104" s="1346"/>
      <c r="E104" s="1347" t="str">
        <f>Master!CA4</f>
        <v>IPP</v>
      </c>
      <c r="F104" s="1347" t="str">
        <f>Master!CA6</f>
        <v>1*3</v>
      </c>
      <c r="G104" s="1348">
        <f>Master!CA8</f>
        <v>3</v>
      </c>
      <c r="H104" s="1349">
        <f>YesterdayGen!CA34</f>
        <v>0</v>
      </c>
      <c r="I104" s="1350">
        <f>YesterdayGen!CA31</f>
        <v>11900</v>
      </c>
      <c r="J104" s="4303" t="str">
        <f>IF(EvReport!L104 = 0, " ",EvReport!L104)</f>
        <v xml:space="preserve"> </v>
      </c>
      <c r="K104" s="220"/>
    </row>
    <row r="105" spans="2:11" ht="16.5" customHeight="1">
      <c r="B105" s="4319">
        <v>85</v>
      </c>
      <c r="C105" s="4314" t="str">
        <f>Master!CV3</f>
        <v xml:space="preserve"> Mymensingh 200 MW PP (United)</v>
      </c>
      <c r="D105" s="4313"/>
      <c r="E105" s="1777" t="str">
        <f>Master!CV4</f>
        <v>IPP</v>
      </c>
      <c r="F105" s="4324">
        <f>Master!CV6</f>
        <v>200</v>
      </c>
      <c r="G105" s="1769">
        <f>Master!CV8</f>
        <v>200</v>
      </c>
      <c r="H105" s="4317">
        <f>YesterdayGen!CV34</f>
        <v>183</v>
      </c>
      <c r="I105" s="4316">
        <f>YesterdayGen!CV31</f>
        <v>4092000</v>
      </c>
      <c r="J105" s="1770" t="str">
        <f>IF(EvReport!L105 = 0, " ",EvReport!L105)</f>
        <v>Engine problem</v>
      </c>
      <c r="K105" s="220"/>
    </row>
    <row r="106" spans="2:11" ht="16.5" customHeight="1">
      <c r="B106" s="4315">
        <v>86</v>
      </c>
      <c r="C106" s="4314" t="str">
        <f>Master!DD3</f>
        <v>Jamalpur 115 MW PP (United)</v>
      </c>
      <c r="D106" s="4313"/>
      <c r="E106" s="1775" t="str">
        <f>Master!DD4</f>
        <v>IPP</v>
      </c>
      <c r="F106" s="4326" t="str">
        <f>Master!DD6</f>
        <v>115 MW</v>
      </c>
      <c r="G106" s="1776">
        <f>Master!DD8</f>
        <v>115</v>
      </c>
      <c r="H106" s="4311">
        <f>YesterdayGen!DD34</f>
        <v>112</v>
      </c>
      <c r="I106" s="4310">
        <f>YesterdayGen!DD31</f>
        <v>913200</v>
      </c>
      <c r="J106" s="4303" t="str">
        <f>IF(EvReport!L106 = 0, " ",EvReport!L106)</f>
        <v>Engine problem</v>
      </c>
      <c r="K106" s="220"/>
    </row>
    <row r="107" spans="2:11" ht="16.5" customHeight="1">
      <c r="B107" s="4306">
        <v>87</v>
      </c>
      <c r="C107" s="4308" t="str">
        <f>Master!DP3</f>
        <v>Sutiakhali 50 MW Solar PP</v>
      </c>
      <c r="D107" s="4307"/>
      <c r="E107" s="4323" t="str">
        <f>Master!DP4</f>
        <v>IPP</v>
      </c>
      <c r="F107" s="4323">
        <f>Master!DP6</f>
        <v>50</v>
      </c>
      <c r="G107" s="4306">
        <f>Master!DP8</f>
        <v>50</v>
      </c>
      <c r="H107" s="4305">
        <f>YesterdayGen!DP34</f>
        <v>0</v>
      </c>
      <c r="I107" s="4304">
        <f>YesterdayGen!DP31</f>
        <v>248960</v>
      </c>
      <c r="J107" s="4303" t="str">
        <f>IF(EvReport!L107 = 0, " ",EvReport!L107)</f>
        <v xml:space="preserve"> </v>
      </c>
      <c r="K107" s="220"/>
    </row>
    <row r="108" spans="2:11" ht="16.5" customHeight="1" thickBot="1">
      <c r="B108" s="4300">
        <v>88</v>
      </c>
      <c r="C108" s="4302" t="str">
        <f>Master!AV3</f>
        <v>Tangail Palli Power Gen 22 MW</v>
      </c>
      <c r="D108" s="4301"/>
      <c r="E108" s="4331" t="str">
        <f>Master!AV4</f>
        <v>IPP</v>
      </c>
      <c r="F108" s="4331" t="str">
        <f>Master!AV6</f>
        <v>4*6.7</v>
      </c>
      <c r="G108" s="4300">
        <f>Master!AV8</f>
        <v>22</v>
      </c>
      <c r="H108" s="4299">
        <f>YesterdayGen!AV34</f>
        <v>22</v>
      </c>
      <c r="I108" s="4298">
        <f>YesterdayGen!AV31</f>
        <v>515040</v>
      </c>
      <c r="J108" s="4303" t="str">
        <f>IF(EvReport!L108 = 0, " ",EvReport!L108)</f>
        <v xml:space="preserve"> </v>
      </c>
      <c r="K108" s="220"/>
    </row>
    <row r="109" spans="2:11" ht="16.5" customHeight="1" thickBot="1">
      <c r="B109" s="1320"/>
      <c r="C109" s="1321" t="s">
        <v>122</v>
      </c>
      <c r="D109" s="1321"/>
      <c r="E109" s="1322"/>
      <c r="F109" s="1341"/>
      <c r="G109" s="1323">
        <f>SUM(G101:G108)</f>
        <v>622</v>
      </c>
      <c r="H109" s="1323">
        <f>SUM(H101:H108)</f>
        <v>389</v>
      </c>
      <c r="I109" s="1323">
        <f>SUM(I101:I108)</f>
        <v>7452256</v>
      </c>
      <c r="J109" s="1324" t="s">
        <v>18</v>
      </c>
      <c r="K109" s="220"/>
    </row>
    <row r="110" spans="2:11" ht="16.5" customHeight="1">
      <c r="B110" s="1285">
        <v>89</v>
      </c>
      <c r="C110" s="1325" t="str">
        <f>Master!CB3</f>
        <v>Fenchugonj CCPP Phase-1</v>
      </c>
      <c r="D110" s="1291"/>
      <c r="E110" s="1326" t="str">
        <f>Master!CB4</f>
        <v>PDB</v>
      </c>
      <c r="F110" s="1335" t="str">
        <f>Master!CB6</f>
        <v>2*32+1*33</v>
      </c>
      <c r="G110" s="1285">
        <f>Master!CB8</f>
        <v>70</v>
      </c>
      <c r="H110" s="1287">
        <f>YesterdayGen!CB34</f>
        <v>43</v>
      </c>
      <c r="I110" s="1343">
        <f>YesterdayGen!CB31</f>
        <v>1013000</v>
      </c>
      <c r="J110" s="1408" t="str">
        <f>IF(EvReport!L110 = 0, " ",EvReport!L110)</f>
        <v>Machine problem</v>
      </c>
      <c r="K110" s="220"/>
    </row>
    <row r="111" spans="2:11" ht="15.75" customHeight="1">
      <c r="B111" s="1285">
        <v>90</v>
      </c>
      <c r="C111" s="1328" t="str">
        <f>Master!CC3</f>
        <v>Fenchugonj CCPP Phase-2</v>
      </c>
      <c r="D111" s="1291"/>
      <c r="E111" s="1295" t="str">
        <f>Master!CC4</f>
        <v>PDB</v>
      </c>
      <c r="F111" s="1336" t="str">
        <f>Master!CC6</f>
        <v>2*35+1*35</v>
      </c>
      <c r="G111" s="1289">
        <f>Master!CC8</f>
        <v>90</v>
      </c>
      <c r="H111" s="1287">
        <f>YesterdayGen!CC34</f>
        <v>0</v>
      </c>
      <c r="I111" s="1298">
        <f>YesterdayGen!CC31</f>
        <v>0</v>
      </c>
      <c r="J111" s="1409" t="str">
        <f>IF(EvReport!L111 = 0, " ",EvReport!L111)</f>
        <v>Machine problem</v>
      </c>
      <c r="K111" s="220"/>
    </row>
    <row r="112" spans="2:11" ht="15.75" customHeight="1">
      <c r="B112" s="1285">
        <v>91</v>
      </c>
      <c r="C112" s="1328" t="str">
        <f>Master!CF3</f>
        <v>Kushiara 163 MW CCPP (KP)</v>
      </c>
      <c r="E112" s="1295" t="str">
        <f>Master!CF4</f>
        <v>IPP</v>
      </c>
      <c r="F112" s="1336" t="str">
        <f>Master!CF6</f>
        <v>1*109+1*54</v>
      </c>
      <c r="G112" s="1289">
        <f>Master!CF8</f>
        <v>163</v>
      </c>
      <c r="H112" s="1287">
        <f>YesterdayGen!CF34</f>
        <v>163</v>
      </c>
      <c r="I112" s="1298">
        <f>YesterdayGen!CF31</f>
        <v>3566045</v>
      </c>
      <c r="J112" s="1409" t="str">
        <f>IF(EvReport!L112 = 0, " ",EvReport!L112)</f>
        <v xml:space="preserve"> </v>
      </c>
      <c r="K112" s="220"/>
    </row>
    <row r="113" spans="2:11" ht="15.75" customHeight="1">
      <c r="B113" s="1285">
        <v>92</v>
      </c>
      <c r="C113" s="1328" t="str">
        <f>Master!CG3</f>
        <v>Shajibazar 330 MW CCPP</v>
      </c>
      <c r="D113" s="1291"/>
      <c r="E113" s="1295" t="str">
        <f>Master!CG4</f>
        <v>PDB</v>
      </c>
      <c r="F113" s="1336" t="str">
        <f>Master!CG6</f>
        <v>3*110</v>
      </c>
      <c r="G113" s="1289">
        <f>Master!CG8</f>
        <v>330</v>
      </c>
      <c r="H113" s="1287">
        <f>YesterdayGen!CG34</f>
        <v>0</v>
      </c>
      <c r="I113" s="1298">
        <f>YesterdayGen!CG31</f>
        <v>0</v>
      </c>
      <c r="J113" s="1409" t="str">
        <f>IF(EvReport!L113 = 0, " ",EvReport!L113)</f>
        <v>Under maint.</v>
      </c>
      <c r="K113" s="220"/>
    </row>
    <row r="114" spans="2:11" ht="16.5" customHeight="1">
      <c r="B114" s="1285">
        <v>93</v>
      </c>
      <c r="C114" s="1329" t="str">
        <f>Master!CD3</f>
        <v xml:space="preserve">Fenchugonj 51 MW PP  (Barakatullah) </v>
      </c>
      <c r="D114" s="1308"/>
      <c r="E114" s="1295" t="str">
        <f>Master!CD4</f>
        <v xml:space="preserve">RPP </v>
      </c>
      <c r="F114" s="1331" t="str">
        <f>Master!CD6</f>
        <v>19*2.90</v>
      </c>
      <c r="G114" s="1289">
        <f>Master!CD8</f>
        <v>51</v>
      </c>
      <c r="H114" s="1293">
        <f>YesterdayGen!CD34</f>
        <v>51</v>
      </c>
      <c r="I114" s="1298">
        <f>YesterdayGen!CD31</f>
        <v>1169400</v>
      </c>
      <c r="J114" s="1409" t="str">
        <f>IF(EvReport!L114 = 0, " ",EvReport!L114)</f>
        <v xml:space="preserve"> </v>
      </c>
      <c r="K114" s="220"/>
    </row>
    <row r="115" spans="2:11" ht="16.5" customHeight="1">
      <c r="B115" s="1285"/>
      <c r="C115" s="1329" t="str">
        <f>Master!CE3</f>
        <v>Fenchuganj  44MW (Energyprima)</v>
      </c>
      <c r="D115" s="1308"/>
      <c r="E115" s="1295" t="str">
        <f>Master!CE4</f>
        <v>RPP</v>
      </c>
      <c r="F115" s="1331" t="str">
        <f>Master!CE6</f>
        <v>12*3.3+5*2</v>
      </c>
      <c r="G115" s="1289">
        <f>Master!CE8</f>
        <v>0</v>
      </c>
      <c r="H115" s="1293">
        <f>YesterdayGen!CE34</f>
        <v>0</v>
      </c>
      <c r="I115" s="1298">
        <f>YesterdayGen!CE31</f>
        <v>0</v>
      </c>
      <c r="J115" s="1409" t="str">
        <f>IF(EvReport!L115 = 0, " ",EvReport!L115)</f>
        <v>Contract Expired</v>
      </c>
      <c r="K115" s="220"/>
    </row>
    <row r="116" spans="2:11" ht="16.5" customHeight="1">
      <c r="B116" s="1285">
        <v>94</v>
      </c>
      <c r="C116" s="1329" t="str">
        <f>Master!CQ3</f>
        <v>Hobiganj  11MW PP Cofidence-E</v>
      </c>
      <c r="D116" s="1308"/>
      <c r="E116" s="1306" t="str">
        <f>Master!CQ4</f>
        <v>SIPP, REB</v>
      </c>
      <c r="F116" s="1331" t="str">
        <f>Master!CQ6</f>
        <v>4*2.90</v>
      </c>
      <c r="G116" s="1289">
        <f>Master!CQ8</f>
        <v>11</v>
      </c>
      <c r="H116" s="1293">
        <f>YesterdayGen!CQ34</f>
        <v>11</v>
      </c>
      <c r="I116" s="1298">
        <f>YesterdayGen!CQ31</f>
        <v>211200</v>
      </c>
      <c r="J116" s="1409" t="str">
        <f>IF(EvReport!L116 = 0, " ",EvReport!L116)</f>
        <v xml:space="preserve"> </v>
      </c>
      <c r="K116" s="220"/>
    </row>
    <row r="117" spans="2:11" ht="16.5" customHeight="1">
      <c r="B117" s="1285">
        <v>95</v>
      </c>
      <c r="C117" s="1328" t="str">
        <f>Master!CH3</f>
        <v xml:space="preserve">Shahjibazar GTPP Unit- 8 &amp; 9 </v>
      </c>
      <c r="D117" s="1291"/>
      <c r="E117" s="1295" t="str">
        <f>Master!CH4</f>
        <v>PDB</v>
      </c>
      <c r="F117" s="1336" t="str">
        <f>Master!CH6</f>
        <v>2*35</v>
      </c>
      <c r="G117" s="1301">
        <f>Master!CH8</f>
        <v>66</v>
      </c>
      <c r="H117" s="1293">
        <f>YesterdayGen!CH34</f>
        <v>70</v>
      </c>
      <c r="I117" s="1294">
        <f>YesterdayGen!CH31</f>
        <v>1520352</v>
      </c>
      <c r="J117" s="1409" t="str">
        <f>IF(EvReport!L117 = 0, " ",EvReport!L117)</f>
        <v xml:space="preserve"> </v>
      </c>
      <c r="K117" s="220"/>
    </row>
    <row r="118" spans="2:11" ht="16.5" customHeight="1">
      <c r="B118" s="1285">
        <v>96</v>
      </c>
      <c r="C118" s="1328" t="str">
        <f>Master!CI3</f>
        <v>Shahjibazar 86MW PP (Shahjibazar)</v>
      </c>
      <c r="D118" s="1291"/>
      <c r="E118" s="1295" t="str">
        <f>Master!CI4</f>
        <v xml:space="preserve">RPP </v>
      </c>
      <c r="F118" s="1336" t="str">
        <f>Master!CI6</f>
        <v>32*2.90</v>
      </c>
      <c r="G118" s="1301">
        <f>Master!CI8</f>
        <v>86</v>
      </c>
      <c r="H118" s="1293">
        <f>YesterdayGen!CI34</f>
        <v>79</v>
      </c>
      <c r="I118" s="1298">
        <f>YesterdayGen!CI31</f>
        <v>1867200</v>
      </c>
      <c r="J118" s="1409" t="str">
        <f>IF(EvReport!L118 = 0, " ",EvReport!L118)</f>
        <v xml:space="preserve"> </v>
      </c>
      <c r="K118" s="220"/>
    </row>
    <row r="119" spans="2:11" ht="16.5" customHeight="1">
      <c r="B119" s="3866">
        <v>97</v>
      </c>
      <c r="C119" s="3867" t="str">
        <f>Master!DS3</f>
        <v>Shahjibazar 100 MW GTPP</v>
      </c>
      <c r="D119" s="3868"/>
      <c r="E119" s="3869" t="str">
        <f>Master!DS4</f>
        <v>PDB</v>
      </c>
      <c r="F119" s="3870" t="str">
        <f>Master!DS6</f>
        <v>1*100</v>
      </c>
      <c r="G119" s="3871">
        <f>Master!DS8</f>
        <v>100</v>
      </c>
      <c r="H119" s="3872">
        <f>YesterdayGen!DS34</f>
        <v>0</v>
      </c>
      <c r="I119" s="3873">
        <f>YesterdayGen!DS31</f>
        <v>0</v>
      </c>
      <c r="J119" s="3874" t="str">
        <f>IF(EvReport!L119= 0, " ",EvReport!L119)</f>
        <v xml:space="preserve"> </v>
      </c>
      <c r="K119" s="220"/>
    </row>
    <row r="120" spans="2:11" ht="16.5" customHeight="1">
      <c r="B120" s="1285">
        <v>98</v>
      </c>
      <c r="C120" s="1329" t="str">
        <f>Master!CK3</f>
        <v>Sylhet 225 MW CCPP</v>
      </c>
      <c r="D120" s="1308"/>
      <c r="E120" s="1295" t="str">
        <f>Master!CK4</f>
        <v>PDB</v>
      </c>
      <c r="F120" s="1331" t="str">
        <f>Master!CK6</f>
        <v>1*142+1*89</v>
      </c>
      <c r="G120" s="1289">
        <f>Master!CK8</f>
        <v>231</v>
      </c>
      <c r="H120" s="1293">
        <f>YesterdayGen!CK34</f>
        <v>190</v>
      </c>
      <c r="I120" s="1298">
        <f>YesterdayGen!CK31</f>
        <v>4518080</v>
      </c>
      <c r="J120" s="1409" t="str">
        <f>IF(EvReport!L120 = 0, " ",EvReport!L120)</f>
        <v>Machine problem</v>
      </c>
      <c r="K120" s="220"/>
    </row>
    <row r="121" spans="2:11" ht="16.5" customHeight="1">
      <c r="B121" s="1285">
        <v>99</v>
      </c>
      <c r="C121" s="1328" t="str">
        <f>Master!CL3</f>
        <v>Sylhet  20 MW GTPP</v>
      </c>
      <c r="D121" s="1291"/>
      <c r="E121" s="1295" t="str">
        <f>Master!CL4</f>
        <v>PDB</v>
      </c>
      <c r="F121" s="1336" t="str">
        <f>Master!CL6</f>
        <v>1*20</v>
      </c>
      <c r="G121" s="1289">
        <f>Master!CL8</f>
        <v>20</v>
      </c>
      <c r="H121" s="1293">
        <f>YesterdayGen!CL34</f>
        <v>18</v>
      </c>
      <c r="I121" s="1302">
        <f>YesterdayGen!CL31</f>
        <v>420000</v>
      </c>
      <c r="J121" s="1409" t="str">
        <f>IF(EvReport!L121 = 0, " ",EvReport!L121)</f>
        <v xml:space="preserve"> </v>
      </c>
      <c r="K121" s="220"/>
    </row>
    <row r="122" spans="2:11" ht="16.5" customHeight="1">
      <c r="B122" s="1285"/>
      <c r="C122" s="1328" t="str">
        <f>Master!CM3</f>
        <v>Sylhet  50MW PP (EPL)</v>
      </c>
      <c r="D122" s="1291"/>
      <c r="E122" s="1295" t="str">
        <f>Master!CM4</f>
        <v xml:space="preserve">RPP </v>
      </c>
      <c r="F122" s="1336" t="str">
        <f>Master!CM6</f>
        <v>27*2</v>
      </c>
      <c r="G122" s="1289">
        <f>Master!CM8</f>
        <v>0</v>
      </c>
      <c r="H122" s="1293">
        <f>YesterdayGen!CM34</f>
        <v>0</v>
      </c>
      <c r="I122" s="1298">
        <f>YesterdayGen!CM31</f>
        <v>0</v>
      </c>
      <c r="J122" s="1409" t="str">
        <f>IF(EvReport!L122 = 0, " ",EvReport!L122)</f>
        <v>Contract Expired</v>
      </c>
      <c r="K122" s="220"/>
    </row>
    <row r="123" spans="2:11" ht="16.5" customHeight="1">
      <c r="B123" s="1285">
        <v>100</v>
      </c>
      <c r="C123" s="1328" t="str">
        <f>Master!CP3</f>
        <v>Shahjahanulla 25 MW PP</v>
      </c>
      <c r="D123" s="1291"/>
      <c r="E123" s="1318" t="str">
        <f>Master!CP4</f>
        <v>SIPP, REB</v>
      </c>
      <c r="F123" s="1331" t="str">
        <f>Master!CP6</f>
        <v>3*9.34</v>
      </c>
      <c r="G123" s="1315">
        <f>Master!CP8</f>
        <v>25</v>
      </c>
      <c r="H123" s="1319">
        <f>YesterdayGen!CP34</f>
        <v>24</v>
      </c>
      <c r="I123" s="1316">
        <f>YesterdayGen!CP31</f>
        <v>523896</v>
      </c>
      <c r="J123" s="1409" t="str">
        <f>IF(EvReport!L123 = 0, " ",EvReport!L123)</f>
        <v xml:space="preserve"> </v>
      </c>
      <c r="K123" s="220"/>
    </row>
    <row r="124" spans="2:11" ht="16.5" customHeight="1">
      <c r="B124" s="1285">
        <v>101</v>
      </c>
      <c r="C124" s="4314" t="str">
        <f>Master!CO3</f>
        <v>Bibiana-II 341 MW CCPP (Summit)</v>
      </c>
      <c r="D124" s="4313"/>
      <c r="E124" s="4306" t="str">
        <f>Master!CO4</f>
        <v>IPP</v>
      </c>
      <c r="F124" s="4324" t="str">
        <f>Master!CO6</f>
        <v>1*222+1*119</v>
      </c>
      <c r="G124" s="4306">
        <f>Master!CO8</f>
        <v>341</v>
      </c>
      <c r="H124" s="4317">
        <f>YesterdayGen!CO34</f>
        <v>300</v>
      </c>
      <c r="I124" s="4316">
        <f>YesterdayGen!CO31</f>
        <v>7324500</v>
      </c>
      <c r="J124" s="1409" t="str">
        <f>IF(EvReport!L124 = 0, " ",EvReport!L124)</f>
        <v>FGMO</v>
      </c>
      <c r="K124" s="220"/>
    </row>
    <row r="125" spans="2:11" ht="16.5" customHeight="1">
      <c r="B125" s="4315">
        <v>102</v>
      </c>
      <c r="C125" s="4314" t="str">
        <f>Master!DC3</f>
        <v>Bibiyana-III     400 MW CCPP</v>
      </c>
      <c r="D125" s="4313"/>
      <c r="E125" s="3942" t="str">
        <f>Master!DC4</f>
        <v>PDB</v>
      </c>
      <c r="F125" s="4326" t="str">
        <f>Master!DC6</f>
        <v>400 MW</v>
      </c>
      <c r="G125" s="3942">
        <f>Master!DC8</f>
        <v>400</v>
      </c>
      <c r="H125" s="4311">
        <f>YesterdayGen!DC34</f>
        <v>0</v>
      </c>
      <c r="I125" s="4310">
        <f>YesterdayGen!DC31</f>
        <v>0</v>
      </c>
      <c r="J125" s="1671" t="str">
        <f>IF(EvReport!L125= 0, " ",EvReport!L125)</f>
        <v>Under maint.</v>
      </c>
      <c r="K125" s="220"/>
    </row>
    <row r="126" spans="2:11" ht="16.5" customHeight="1">
      <c r="B126" s="4306">
        <v>103</v>
      </c>
      <c r="C126" s="4308" t="str">
        <f>Master!CN3</f>
        <v xml:space="preserve">Sylhet 10MW PP (Desh)  </v>
      </c>
      <c r="D126" s="4307"/>
      <c r="E126" s="4306" t="str">
        <f>Master!CN4</f>
        <v xml:space="preserve">RPP </v>
      </c>
      <c r="F126" s="4306" t="str">
        <f>Master!CN6</f>
        <v>6*1.95</v>
      </c>
      <c r="G126" s="4306">
        <f>Master!CN8</f>
        <v>10</v>
      </c>
      <c r="H126" s="4305">
        <f>YesterdayGen!CN34</f>
        <v>10</v>
      </c>
      <c r="I126" s="4304">
        <f>YesterdayGen!CN31</f>
        <v>252540</v>
      </c>
      <c r="J126" s="4303" t="str">
        <f>IF(EvReport!L126 = 0, " ",EvReport!L126)</f>
        <v xml:space="preserve"> </v>
      </c>
      <c r="K126" s="220"/>
    </row>
    <row r="127" spans="2:11" ht="16.5" customHeight="1" thickBot="1">
      <c r="B127" s="4300">
        <v>104</v>
      </c>
      <c r="C127" s="4302" t="str">
        <f>Master!DN3</f>
        <v>Bibiyana South 400 MW</v>
      </c>
      <c r="D127" s="4301"/>
      <c r="E127" s="4300" t="str">
        <f>Master!DN4</f>
        <v>PDB</v>
      </c>
      <c r="F127" s="4300" t="str">
        <f>Master!DN6</f>
        <v>400 MW</v>
      </c>
      <c r="G127" s="4300">
        <f>Master!DN8</f>
        <v>383</v>
      </c>
      <c r="H127" s="4299">
        <f>YesterdayGen!DN34</f>
        <v>200</v>
      </c>
      <c r="I127" s="4298">
        <f>YesterdayGen!DN31</f>
        <v>7415900</v>
      </c>
      <c r="J127" s="4297" t="str">
        <f>IF(EvReport!L127= 0, " ",EvReport!L127)</f>
        <v xml:space="preserve"> </v>
      </c>
      <c r="K127" s="220"/>
    </row>
    <row r="128" spans="2:11" ht="16.5" customHeight="1" thickBot="1">
      <c r="B128" s="1320"/>
      <c r="C128" s="1321" t="s">
        <v>41</v>
      </c>
      <c r="D128" s="1321"/>
      <c r="E128" s="1322"/>
      <c r="F128" s="1341"/>
      <c r="G128" s="1323">
        <f>SUM(G110:G127)</f>
        <v>2377</v>
      </c>
      <c r="H128" s="1323">
        <f>SUM(H110:H127)</f>
        <v>1159</v>
      </c>
      <c r="I128" s="1323">
        <f>SUM(I110:I127)</f>
        <v>29802113</v>
      </c>
      <c r="J128" s="1324" t="s">
        <v>18</v>
      </c>
      <c r="K128" s="220"/>
    </row>
    <row r="129" spans="2:11" ht="16.5" customHeight="1">
      <c r="B129" s="1285">
        <v>105</v>
      </c>
      <c r="C129" s="1325" t="str">
        <f>Master!DZ3</f>
        <v>Bheramara GTPP Unit-3</v>
      </c>
      <c r="D129" s="1342"/>
      <c r="E129" s="1285" t="str">
        <f>Master!DZ4</f>
        <v>PDB</v>
      </c>
      <c r="F129" s="1285" t="str">
        <f>Master!DZ6</f>
        <v>1*20</v>
      </c>
      <c r="G129" s="1285">
        <f>Master!DZ8</f>
        <v>16</v>
      </c>
      <c r="H129" s="1287">
        <f>YesterdayGen!DZ34</f>
        <v>0</v>
      </c>
      <c r="I129" s="1343">
        <f>YesterdayGen!DZ31</f>
        <v>0</v>
      </c>
      <c r="J129" s="1408" t="str">
        <f>IF(EvReport!L129 = 0, " ",EvReport!L129)</f>
        <v>Reserve.</v>
      </c>
      <c r="K129" s="220"/>
    </row>
    <row r="130" spans="2:11" ht="16.5" customHeight="1">
      <c r="B130" s="1285" t="s">
        <v>143</v>
      </c>
      <c r="C130" s="1352" t="str">
        <f>Master!DY3</f>
        <v>Bheramara (HVDC )</v>
      </c>
      <c r="D130" s="1353"/>
      <c r="E130" s="1289" t="str">
        <f>Master!DY4</f>
        <v>Imported power</v>
      </c>
      <c r="F130" s="1289" t="str">
        <f>Master!DY6</f>
        <v>2*500</v>
      </c>
      <c r="G130" s="1289">
        <f>Master!DY8</f>
        <v>1000</v>
      </c>
      <c r="H130" s="1287">
        <f>YesterdayGen!DY34</f>
        <v>658</v>
      </c>
      <c r="I130" s="1298">
        <f>YesterdayGen!DY31</f>
        <v>12730909</v>
      </c>
      <c r="J130" s="1409" t="str">
        <f>IF(EvReport!L130 = 0, " ",EvReport!L130)</f>
        <v xml:space="preserve"> </v>
      </c>
      <c r="K130" s="220"/>
    </row>
    <row r="131" spans="2:11" ht="16.5" customHeight="1">
      <c r="B131" s="1285">
        <v>106</v>
      </c>
      <c r="C131" s="1328" t="str">
        <f>Master!EC3</f>
        <v>Khulna 115 PP MW (KPCL-2)</v>
      </c>
      <c r="D131" s="1353"/>
      <c r="E131" s="1289" t="str">
        <f>Master!EC4</f>
        <v>QRPP</v>
      </c>
      <c r="F131" s="1289" t="str">
        <f>Master!EC6</f>
        <v>7*17</v>
      </c>
      <c r="G131" s="1289">
        <f>Master!EC8</f>
        <v>0</v>
      </c>
      <c r="H131" s="1293">
        <f>YesterdayGen!EC34</f>
        <v>0</v>
      </c>
      <c r="I131" s="1298">
        <f>YesterdayGen!EC31</f>
        <v>0</v>
      </c>
      <c r="J131" s="1409" t="str">
        <f>IF(EvReport!L131 = 0, " ",EvReport!L131)</f>
        <v>Contract Expired</v>
      </c>
      <c r="K131" s="220"/>
    </row>
    <row r="132" spans="2:11" ht="16.5" customHeight="1">
      <c r="B132" s="1285">
        <v>107</v>
      </c>
      <c r="C132" s="1328" t="str">
        <f>Master!EG3</f>
        <v>Faridpur 50 MW Peaking PP</v>
      </c>
      <c r="D132" s="1353"/>
      <c r="E132" s="1289" t="str">
        <f>Master!EG4</f>
        <v>PDB</v>
      </c>
      <c r="F132" s="1289" t="str">
        <f>Master!EG6</f>
        <v>8*6.89</v>
      </c>
      <c r="G132" s="1289">
        <f>Master!EG8</f>
        <v>54</v>
      </c>
      <c r="H132" s="1293">
        <f>YesterdayGen!EG34</f>
        <v>34</v>
      </c>
      <c r="I132" s="1298">
        <f>YesterdayGen!EG31</f>
        <v>107520</v>
      </c>
      <c r="J132" s="1409" t="str">
        <f>IF(EvReport!L132 = 0, " ",EvReport!L132)</f>
        <v xml:space="preserve"> </v>
      </c>
      <c r="K132" s="220"/>
    </row>
    <row r="133" spans="2:11" ht="16.5" customHeight="1">
      <c r="B133" s="1285">
        <v>108</v>
      </c>
      <c r="C133" s="1328" t="str">
        <f>Master!ED3</f>
        <v>Khulna  225 MW CCPP</v>
      </c>
      <c r="D133" s="1353"/>
      <c r="E133" s="1289" t="str">
        <f>Master!ED4</f>
        <v>NWPGCL</v>
      </c>
      <c r="F133" s="1289" t="str">
        <f>Master!ED6</f>
        <v>1*150+1*75</v>
      </c>
      <c r="G133" s="1301">
        <f>Master!ED8</f>
        <v>230</v>
      </c>
      <c r="H133" s="1293">
        <f>YesterdayGen!ED34</f>
        <v>0</v>
      </c>
      <c r="I133" s="1298">
        <f>YesterdayGen!ED31</f>
        <v>0</v>
      </c>
      <c r="J133" s="1409" t="str">
        <f>IF(EvReport!L133 = 0, " ",EvReport!L133)</f>
        <v>Reserve.</v>
      </c>
      <c r="K133" s="220"/>
    </row>
    <row r="134" spans="2:11" ht="16.5" customHeight="1">
      <c r="B134" s="1285">
        <v>109</v>
      </c>
      <c r="C134" s="1328" t="str">
        <f>Master!EH3</f>
        <v>Gopalganj 100 MW Peaking PP</v>
      </c>
      <c r="D134" s="1353"/>
      <c r="E134" s="1289" t="str">
        <f>Master!EH4</f>
        <v>PDB</v>
      </c>
      <c r="F134" s="1289" t="str">
        <f>Master!EH6</f>
        <v>16*6.98</v>
      </c>
      <c r="G134" s="1354">
        <f>Master!EH8</f>
        <v>109</v>
      </c>
      <c r="H134" s="1293">
        <f>YesterdayGen!EH34</f>
        <v>0</v>
      </c>
      <c r="I134" s="1298">
        <f>YesterdayGen!EH31</f>
        <v>0</v>
      </c>
      <c r="J134" s="1409" t="str">
        <f>IF(EvReport!L134 = 0, " ",EvReport!L134)</f>
        <v>Reserve.</v>
      </c>
      <c r="K134" s="220"/>
    </row>
    <row r="135" spans="2:11" ht="16.5" customHeight="1">
      <c r="B135" s="1285">
        <v>110</v>
      </c>
      <c r="C135" s="1355" t="str">
        <f>Master!EA3</f>
        <v>Bheramara 410 MW CCPP</v>
      </c>
      <c r="D135" s="1353"/>
      <c r="E135" s="1289" t="str">
        <f>Master!EA4</f>
        <v>NWPGCL</v>
      </c>
      <c r="F135" s="1289" t="str">
        <f>Master!EA6</f>
        <v>1*278+1*132</v>
      </c>
      <c r="G135" s="1301">
        <f>Master!EA8</f>
        <v>410</v>
      </c>
      <c r="H135" s="1293">
        <f>YesterdayGen!EA34</f>
        <v>0</v>
      </c>
      <c r="I135" s="1298">
        <f>YesterdayGen!EA31</f>
        <v>0</v>
      </c>
      <c r="J135" s="1409" t="str">
        <f>IF(EvReport!L135 = 0, " ",EvReport!L135)</f>
        <v>Gas shortage</v>
      </c>
      <c r="K135" s="220"/>
    </row>
    <row r="136" spans="2:11" ht="16.5" customHeight="1">
      <c r="B136" s="1285"/>
      <c r="C136" s="4314" t="str">
        <f>Master!EI3</f>
        <v>Noapara 40 MW PP (Khanjahan Ali)</v>
      </c>
      <c r="D136" s="4313"/>
      <c r="E136" s="4306" t="str">
        <f>Master!EI4</f>
        <v>QRPP</v>
      </c>
      <c r="F136" s="4318" t="str">
        <f>Master!EI6</f>
        <v>5*8.5</v>
      </c>
      <c r="G136" s="4332">
        <f>Master!EI8</f>
        <v>0</v>
      </c>
      <c r="H136" s="4317">
        <f>YesterdayGen!EI34</f>
        <v>0</v>
      </c>
      <c r="I136" s="4316">
        <f>YesterdayGen!EI31</f>
        <v>0</v>
      </c>
      <c r="J136" s="1409" t="str">
        <f>IF(EvReport!L136 = 0, " ",EvReport!L136)</f>
        <v>Contract Expired</v>
      </c>
      <c r="K136" s="220"/>
    </row>
    <row r="137" spans="2:11" ht="16.5" customHeight="1">
      <c r="B137" s="4315">
        <v>111</v>
      </c>
      <c r="C137" s="4314" t="str">
        <f>Master!FK3</f>
        <v xml:space="preserve"> Noapara 100 MW PP (Bangla Trac)</v>
      </c>
      <c r="D137" s="4313"/>
      <c r="E137" s="3942" t="str">
        <f>Master!FK4</f>
        <v>IPP</v>
      </c>
      <c r="F137" s="4312" t="str">
        <f>Master!FK6</f>
        <v>70*1.4</v>
      </c>
      <c r="G137" s="4333">
        <f>Master!FK8</f>
        <v>100</v>
      </c>
      <c r="H137" s="4311">
        <f>YesterdayGen!FK34</f>
        <v>0</v>
      </c>
      <c r="I137" s="4310">
        <f>YesterdayGen!FK31</f>
        <v>28800</v>
      </c>
      <c r="J137" s="4309" t="str">
        <f>IF(EvReport!L137= 0, " ",EvReport!L137)</f>
        <v>Reserve.</v>
      </c>
      <c r="K137" s="220"/>
    </row>
    <row r="138" spans="2:11" ht="16.5" customHeight="1">
      <c r="B138" s="4306">
        <v>112</v>
      </c>
      <c r="C138" s="4308" t="str">
        <f>Master!FO3</f>
        <v>Rupsha 105 MW PP (Orion rupsha)</v>
      </c>
      <c r="D138" s="4307"/>
      <c r="E138" s="4306" t="str">
        <f>Master!FO4</f>
        <v>IPP</v>
      </c>
      <c r="F138" s="4306" t="str">
        <f>Master!FO6</f>
        <v>6*18.445</v>
      </c>
      <c r="G138" s="4332">
        <f>Master!FO8</f>
        <v>105</v>
      </c>
      <c r="H138" s="4305">
        <f>YesterdayGen!FO34</f>
        <v>105</v>
      </c>
      <c r="I138" s="4304">
        <f>YesterdayGen!FO31</f>
        <v>791040</v>
      </c>
      <c r="J138" s="4303" t="str">
        <f>IF(EvReport!L138= 0, " ",EvReport!L138)</f>
        <v xml:space="preserve"> </v>
      </c>
      <c r="K138" s="220"/>
    </row>
    <row r="139" spans="2:11" ht="16.5" customHeight="1" thickBot="1">
      <c r="B139" s="4300">
        <v>113</v>
      </c>
      <c r="C139" s="4302" t="str">
        <f>Master!FR3</f>
        <v>Madhumati 100 MW PP</v>
      </c>
      <c r="D139" s="4301"/>
      <c r="E139" s="4300" t="str">
        <f>Master!FR4</f>
        <v>NWPGCL</v>
      </c>
      <c r="F139" s="4300" t="str">
        <f>Master!FR6</f>
        <v>100 MW</v>
      </c>
      <c r="G139" s="4334">
        <f>Master!FR8</f>
        <v>105</v>
      </c>
      <c r="H139" s="4299">
        <f>YesterdayGen!FR34</f>
        <v>0</v>
      </c>
      <c r="I139" s="4298">
        <f>YesterdayGen!FR31</f>
        <v>44928</v>
      </c>
      <c r="J139" s="4297" t="str">
        <f>IF(EvReport!L139= 0, " ",EvReport!L139)</f>
        <v>Reserve.</v>
      </c>
      <c r="K139" s="220"/>
    </row>
    <row r="140" spans="2:11" ht="16.5" customHeight="1" thickBot="1">
      <c r="B140" s="4913"/>
      <c r="C140" s="4914" t="str">
        <f>Master!GB3</f>
        <v>Mongla Orion 100 MW Solar PP</v>
      </c>
      <c r="D140" s="4915"/>
      <c r="E140" s="4913" t="str">
        <f>Master!GB4</f>
        <v>IPP</v>
      </c>
      <c r="F140" s="4908">
        <f>Master!GB6</f>
        <v>100</v>
      </c>
      <c r="G140" s="4909">
        <f>Master!GB8</f>
        <v>0</v>
      </c>
      <c r="H140" s="4910">
        <f>YesterdayGen!GB34</f>
        <v>0</v>
      </c>
      <c r="I140" s="4911">
        <f>YesterdayGen!GB31</f>
        <v>445680</v>
      </c>
      <c r="J140" s="4912" t="str">
        <f>IF(EvReport!L140= 0, " ",EvReport!L140)</f>
        <v>On test</v>
      </c>
      <c r="K140" s="220"/>
    </row>
    <row r="141" spans="2:11" ht="16.5" customHeight="1" thickBot="1">
      <c r="B141" s="1320"/>
      <c r="C141" s="1321" t="s">
        <v>42</v>
      </c>
      <c r="D141" s="1321"/>
      <c r="E141" s="1322"/>
      <c r="F141" s="1322"/>
      <c r="G141" s="1323">
        <f>SUM(G129:G140)</f>
        <v>2129</v>
      </c>
      <c r="H141" s="1323">
        <f>SUM(H129:H140)</f>
        <v>797</v>
      </c>
      <c r="I141" s="1323">
        <f>SUM(I129:I140)</f>
        <v>14148877</v>
      </c>
      <c r="J141" s="1324" t="s">
        <v>18</v>
      </c>
      <c r="K141" s="220"/>
    </row>
    <row r="142" spans="2:11" ht="16.5" customHeight="1">
      <c r="B142" s="1285">
        <v>114</v>
      </c>
      <c r="C142" s="1325" t="str">
        <f>Master!EL3</f>
        <v>Barisal 110 MW PP (Summit )</v>
      </c>
      <c r="D142" s="1356"/>
      <c r="E142" s="1326" t="str">
        <f>Master!EL4</f>
        <v>IPP</v>
      </c>
      <c r="F142" s="1327" t="str">
        <f>Master!EL6</f>
        <v>7*17.076</v>
      </c>
      <c r="G142" s="1285">
        <f>Master!EL8</f>
        <v>110</v>
      </c>
      <c r="H142" s="1357">
        <f>YesterdayGen!EL34</f>
        <v>0</v>
      </c>
      <c r="I142" s="1411">
        <f>YesterdayGen!EL31</f>
        <v>68640</v>
      </c>
      <c r="J142" s="1408" t="str">
        <f>IF(EvReport!L142 = 0, " ",EvReport!L142)</f>
        <v>High Voltage</v>
      </c>
      <c r="K142" s="220"/>
    </row>
    <row r="143" spans="2:11" ht="16.5" customHeight="1">
      <c r="B143" s="1285">
        <v>115</v>
      </c>
      <c r="C143" s="1328" t="str">
        <f>Master!EK3</f>
        <v>Bhola  33 MW PP (Venture)</v>
      </c>
      <c r="D143" s="1312"/>
      <c r="E143" s="1318" t="str">
        <f>Master!EK4</f>
        <v>RPP</v>
      </c>
      <c r="F143" s="1351" t="str">
        <f>Master!EK6</f>
        <v>1*34.50</v>
      </c>
      <c r="G143" s="1315">
        <f>Master!EK8</f>
        <v>33</v>
      </c>
      <c r="H143" s="1359">
        <f>YesterdayGen!EK34</f>
        <v>20</v>
      </c>
      <c r="I143" s="1412">
        <f>YesterdayGen!EK31</f>
        <v>386400</v>
      </c>
      <c r="J143" s="1409" t="str">
        <f>IF(EvReport!L143 = 0, " ",EvReport!L143)</f>
        <v>Engine problem</v>
      </c>
      <c r="K143" s="220"/>
    </row>
    <row r="144" spans="2:11" ht="16.5" customHeight="1">
      <c r="B144" s="1285">
        <v>116</v>
      </c>
      <c r="C144" s="1339" t="str">
        <f>Master!EJ3</f>
        <v>Bhola 225 MW  CCPP</v>
      </c>
      <c r="D144" s="1312"/>
      <c r="E144" s="1318" t="str">
        <f>Master!EJ4</f>
        <v>PDB</v>
      </c>
      <c r="F144" s="1351" t="str">
        <f>Master!EJ6</f>
        <v>2*63+1*68</v>
      </c>
      <c r="G144" s="1315">
        <f>Master!EJ8</f>
        <v>194</v>
      </c>
      <c r="H144" s="1359">
        <f>YesterdayGen!EJ34</f>
        <v>91</v>
      </c>
      <c r="I144" s="1412">
        <f>YesterdayGen!EJ31</f>
        <v>2213104</v>
      </c>
      <c r="J144" s="1409" t="str">
        <f>IF(EvReport!L144 = 0, " ",EvReport!L144)</f>
        <v>Machine problem</v>
      </c>
      <c r="K144" s="220"/>
    </row>
    <row r="145" spans="2:11" ht="16.5" customHeight="1">
      <c r="B145" s="1285">
        <v>117</v>
      </c>
      <c r="C145" s="4314" t="str">
        <f>Master!FJ3</f>
        <v>Bhola 95 MW PP (Aggreko)</v>
      </c>
      <c r="D145" s="4313"/>
      <c r="E145" s="4306" t="str">
        <f>Master!FJ4</f>
        <v>QRPP</v>
      </c>
      <c r="F145" s="4318" t="str">
        <f>Master!FJ6</f>
        <v>96*1.10</v>
      </c>
      <c r="G145" s="4306">
        <f>Master!FJ8</f>
        <v>95</v>
      </c>
      <c r="H145" s="4317">
        <f>YesterdayGen!FJ34</f>
        <v>11</v>
      </c>
      <c r="I145" s="4316">
        <f>YesterdayGen!FJ31</f>
        <v>272637</v>
      </c>
      <c r="J145" s="4303" t="str">
        <f>IF(EvReport!L145= 0, " ",EvReport!L145)</f>
        <v>Gas shortage</v>
      </c>
      <c r="K145" s="220"/>
    </row>
    <row r="146" spans="2:11" ht="16.5" customHeight="1">
      <c r="B146" s="4315">
        <v>118</v>
      </c>
      <c r="C146" s="4314" t="str">
        <f>Master!FW3</f>
        <v>Payra 1320 MW</v>
      </c>
      <c r="D146" s="4313"/>
      <c r="E146" s="3942" t="str">
        <f>Master!FW4</f>
        <v>BCPCL</v>
      </c>
      <c r="F146" s="4312" t="str">
        <f>Master!FW6</f>
        <v>2*622</v>
      </c>
      <c r="G146" s="3942">
        <f>Master!FW8</f>
        <v>1244</v>
      </c>
      <c r="H146" s="4311">
        <f>YesterdayGen!FW34</f>
        <v>190</v>
      </c>
      <c r="I146" s="4310">
        <f>YesterdayGen!FW31</f>
        <v>1840000</v>
      </c>
      <c r="J146" s="4309" t="str">
        <f>IF(EvReport!L146= 0, " ",EvReport!L146)</f>
        <v>Development work</v>
      </c>
      <c r="K146" s="220"/>
    </row>
    <row r="147" spans="2:11" ht="16.5" customHeight="1">
      <c r="B147" s="4306">
        <v>119</v>
      </c>
      <c r="C147" s="4335" t="s">
        <v>1284</v>
      </c>
      <c r="D147" s="4307"/>
      <c r="E147" s="4306" t="str">
        <f>Master!FX4</f>
        <v>IPP</v>
      </c>
      <c r="F147" s="4306">
        <f>Master!FX6</f>
        <v>220</v>
      </c>
      <c r="G147" s="4306">
        <f>Master!FX8</f>
        <v>220</v>
      </c>
      <c r="H147" s="4305">
        <f>YesterdayGen!FX34</f>
        <v>221</v>
      </c>
      <c r="I147" s="4304">
        <f>YesterdayGen!FX31</f>
        <v>5271224</v>
      </c>
      <c r="J147" s="4303" t="str">
        <f>IF(EvReport!L147= 0, " ",EvReport!L147)</f>
        <v xml:space="preserve"> </v>
      </c>
      <c r="K147" s="220"/>
    </row>
    <row r="148" spans="2:11" ht="16.5" customHeight="1" thickBot="1">
      <c r="B148" s="4300">
        <v>120</v>
      </c>
      <c r="C148" s="4336" t="str">
        <f>Master!FZ3</f>
        <v>United Payra Power Ltd.</v>
      </c>
      <c r="D148" s="4301"/>
      <c r="E148" s="4300" t="str">
        <f>Master!FZ4</f>
        <v>IPP</v>
      </c>
      <c r="F148" s="4300" t="str">
        <f>Master!FZ6</f>
        <v>8*18.5+1*9.5</v>
      </c>
      <c r="G148" s="4300">
        <f>Master!FZ8</f>
        <v>150</v>
      </c>
      <c r="H148" s="4299">
        <f>YesterdayGen!FZ34</f>
        <v>0</v>
      </c>
      <c r="I148" s="4298">
        <f>YesterdayGen!FZ31</f>
        <v>42000</v>
      </c>
      <c r="J148" s="4297" t="str">
        <f>IF(EvReport!L148= 0, " ",EvReport!L148)</f>
        <v>Reserve.</v>
      </c>
      <c r="K148" s="220"/>
    </row>
    <row r="149" spans="2:11" ht="16.5" customHeight="1" thickBot="1">
      <c r="B149" s="1320"/>
      <c r="C149" s="1321" t="s">
        <v>43</v>
      </c>
      <c r="D149" s="1321"/>
      <c r="E149" s="1322"/>
      <c r="F149" s="1322"/>
      <c r="G149" s="1323">
        <f>SUM(G142:G148)</f>
        <v>2046</v>
      </c>
      <c r="H149" s="1323">
        <f>SUM(H142:H148)</f>
        <v>533</v>
      </c>
      <c r="I149" s="1323">
        <f>SUM(I142:I148)</f>
        <v>10094005</v>
      </c>
      <c r="J149" s="1324" t="s">
        <v>18</v>
      </c>
      <c r="K149" s="220"/>
    </row>
    <row r="150" spans="2:11" ht="16.5" customHeight="1">
      <c r="B150" s="1285">
        <v>121</v>
      </c>
      <c r="C150" s="1325" t="str">
        <f>Master!EO3</f>
        <v>Baghabari 71 MW GTPP</v>
      </c>
      <c r="D150" s="1286"/>
      <c r="E150" s="1326" t="str">
        <f>Master!EO4</f>
        <v>PDB</v>
      </c>
      <c r="F150" s="1327" t="str">
        <f>Master!EO6</f>
        <v>1*71</v>
      </c>
      <c r="G150" s="1285">
        <f>Master!EO8</f>
        <v>71</v>
      </c>
      <c r="H150" s="1358">
        <f>YesterdayGen!EO34</f>
        <v>0</v>
      </c>
      <c r="I150" s="1343">
        <f>YesterdayGen!EO31</f>
        <v>0</v>
      </c>
      <c r="J150" s="1408" t="str">
        <f>IF(EvReport!L150 = 0, " ",EvReport!L150)</f>
        <v>Gas shortage</v>
      </c>
      <c r="K150" s="220"/>
    </row>
    <row r="151" spans="2:11" ht="16.5" customHeight="1">
      <c r="B151" s="1285"/>
      <c r="C151" s="1328" t="str">
        <f>Master!EN3</f>
        <v>Baghabari  100 MW GTPP</v>
      </c>
      <c r="D151" s="1291"/>
      <c r="E151" s="1295" t="str">
        <f>Master!EN4</f>
        <v>PDB</v>
      </c>
      <c r="F151" s="1336" t="str">
        <f>Master!EN6</f>
        <v>1*100</v>
      </c>
      <c r="G151" s="1289">
        <f>Master!EN8</f>
        <v>100</v>
      </c>
      <c r="H151" s="1360">
        <f>YesterdayGen!EN34</f>
        <v>0</v>
      </c>
      <c r="I151" s="1298">
        <f>YesterdayGen!EN31</f>
        <v>0</v>
      </c>
      <c r="J151" s="1409" t="str">
        <f>IF(EvReport!L151 = 0, " ",EvReport!L151)</f>
        <v>Gas shortage</v>
      </c>
      <c r="K151" s="220"/>
    </row>
    <row r="152" spans="2:11" ht="15.75" customHeight="1">
      <c r="B152" s="1285">
        <v>122</v>
      </c>
      <c r="C152" s="1328" t="str">
        <f>Master!EP3</f>
        <v>Baghabari  50 MW Peaking PP</v>
      </c>
      <c r="D152" s="1291"/>
      <c r="E152" s="1295" t="str">
        <f>Master!EP4</f>
        <v>PDB</v>
      </c>
      <c r="F152" s="1336" t="str">
        <f>Master!EP6</f>
        <v>6*8.9</v>
      </c>
      <c r="G152" s="1289">
        <f>Master!EP8</f>
        <v>52</v>
      </c>
      <c r="H152" s="1360">
        <f>YesterdayGen!EP34</f>
        <v>50</v>
      </c>
      <c r="I152" s="1298">
        <f>YesterdayGen!EP31</f>
        <v>178080</v>
      </c>
      <c r="J152" s="1409" t="str">
        <f>IF(EvReport!L152 = 0, " ",EvReport!L152)</f>
        <v xml:space="preserve"> </v>
      </c>
      <c r="K152" s="220"/>
    </row>
    <row r="153" spans="2:11" ht="15.75" customHeight="1">
      <c r="B153" s="1285">
        <v>123</v>
      </c>
      <c r="C153" s="1328" t="str">
        <f>Master!EQ3</f>
        <v>Bera 70 MW Peaking PP</v>
      </c>
      <c r="D153" s="1312"/>
      <c r="E153" s="1318" t="str">
        <f>Master!EQ4</f>
        <v>PDB</v>
      </c>
      <c r="F153" s="1351" t="str">
        <f>Master!EQ6</f>
        <v>9*8.29</v>
      </c>
      <c r="G153" s="1315">
        <f>Master!EQ8</f>
        <v>71</v>
      </c>
      <c r="H153" s="1360">
        <f>YesterdayGen!EQ34</f>
        <v>25</v>
      </c>
      <c r="I153" s="1316">
        <f>YesterdayGen!EQ31</f>
        <v>29235</v>
      </c>
      <c r="J153" s="1409" t="str">
        <f>IF(EvReport!L153 = 0, " ",EvReport!L153)</f>
        <v>Engine problem</v>
      </c>
      <c r="K153" s="220"/>
    </row>
    <row r="154" spans="2:11" ht="16.5" customHeight="1">
      <c r="B154" s="1285">
        <v>124</v>
      </c>
      <c r="C154" s="1328" t="str">
        <f>Master!ES3</f>
        <v>Amnura 50 MW PP(Sinha)</v>
      </c>
      <c r="D154" s="1312"/>
      <c r="E154" s="1318" t="str">
        <f>Master!ES4</f>
        <v>QRPP</v>
      </c>
      <c r="F154" s="1351" t="str">
        <f>Master!ES6</f>
        <v>7*7.79</v>
      </c>
      <c r="G154" s="1361">
        <f>Master!ES8</f>
        <v>50</v>
      </c>
      <c r="H154" s="1360">
        <f>YesterdayGen!ES34</f>
        <v>0</v>
      </c>
      <c r="I154" s="1316">
        <f>YesterdayGen!ES31</f>
        <v>0</v>
      </c>
      <c r="J154" s="1409" t="str">
        <f>IF(EvReport!L154 = 0, " ",EvReport!L154)</f>
        <v>Fuel shortage</v>
      </c>
      <c r="K154" s="220"/>
    </row>
    <row r="155" spans="2:11" ht="16.5" customHeight="1">
      <c r="B155" s="1285">
        <v>125</v>
      </c>
      <c r="C155" s="1328" t="str">
        <f>Master!ET3</f>
        <v>Katakhali 50 MW PP (Northern)</v>
      </c>
      <c r="D155" s="1312"/>
      <c r="E155" s="1318" t="str">
        <f>Master!ET4</f>
        <v>QRPP</v>
      </c>
      <c r="F155" s="1351" t="str">
        <f>Master!ET6</f>
        <v>6*8.9</v>
      </c>
      <c r="G155" s="1361">
        <f>Master!ET8</f>
        <v>50</v>
      </c>
      <c r="H155" s="1360">
        <f>YesterdayGen!ET34</f>
        <v>34</v>
      </c>
      <c r="I155" s="1316">
        <f>YesterdayGen!ET31</f>
        <v>117683</v>
      </c>
      <c r="J155" s="1409" t="str">
        <f>IF(EvReport!L155 = 0, " ",EvReport!L155)</f>
        <v>Engine problem</v>
      </c>
      <c r="K155" s="220"/>
    </row>
    <row r="156" spans="2:11" ht="16.5" customHeight="1">
      <c r="B156" s="1285">
        <v>126</v>
      </c>
      <c r="C156" s="1328" t="str">
        <f>Master!EU3</f>
        <v>Katakhali 50 MW Peaking PP</v>
      </c>
      <c r="D156" s="1312"/>
      <c r="E156" s="1318" t="str">
        <f>Master!EU4</f>
        <v>PDB</v>
      </c>
      <c r="F156" s="1351" t="str">
        <f>Master!EU6</f>
        <v>6*8.7</v>
      </c>
      <c r="G156" s="1361">
        <f>Master!EU8</f>
        <v>50</v>
      </c>
      <c r="H156" s="1360">
        <f>YesterdayGen!EU34</f>
        <v>32</v>
      </c>
      <c r="I156" s="1316">
        <f>YesterdayGen!EU31</f>
        <v>87795</v>
      </c>
      <c r="J156" s="1409" t="str">
        <f>IF(EvReport!L156 = 0, " ",EvReport!L156)</f>
        <v>Engine problem</v>
      </c>
      <c r="K156" s="220"/>
    </row>
    <row r="157" spans="2:11" ht="16.5" customHeight="1">
      <c r="B157" s="1285">
        <v>127</v>
      </c>
      <c r="C157" s="1328" t="s">
        <v>861</v>
      </c>
      <c r="D157" s="1312"/>
      <c r="E157" s="1318" t="str">
        <f>Master!FF4</f>
        <v>NWPGCL</v>
      </c>
      <c r="F157" s="1351" t="str">
        <f>Master!FF6</f>
        <v>1*150+1*75</v>
      </c>
      <c r="G157" s="1361">
        <f>Master!FF8</f>
        <v>210</v>
      </c>
      <c r="H157" s="1360">
        <f>YesterdayGen!FF34+YesterdayGen!FG34</f>
        <v>0</v>
      </c>
      <c r="I157" s="1316">
        <f>YesterdayGen!FF31</f>
        <v>0</v>
      </c>
      <c r="J157" s="1409" t="str">
        <f>IF(EvReport!L157 = 0, " ",EvReport!L157)</f>
        <v>Gas shortage</v>
      </c>
      <c r="K157" s="220"/>
    </row>
    <row r="158" spans="2:11" ht="16.5" customHeight="1">
      <c r="B158" s="1285">
        <v>128</v>
      </c>
      <c r="C158" s="1328" t="s">
        <v>862</v>
      </c>
      <c r="D158" s="1312"/>
      <c r="E158" s="1318" t="str">
        <f>Master!FH4</f>
        <v>NWPGCL</v>
      </c>
      <c r="F158" s="1351" t="str">
        <f>Master!FH6</f>
        <v>1*150+1*75</v>
      </c>
      <c r="G158" s="1361">
        <f>Master!FH8</f>
        <v>220</v>
      </c>
      <c r="H158" s="1360">
        <f>YesterdayGen!FH34+YesterdayGen!FI34</f>
        <v>0</v>
      </c>
      <c r="I158" s="1316">
        <f>YesterdayGen!FH31</f>
        <v>0</v>
      </c>
      <c r="J158" s="1409" t="str">
        <f>IF(EvReport!L158 = 0, " ",EvReport!L158)</f>
        <v>Gas shortage</v>
      </c>
      <c r="K158" s="220"/>
    </row>
    <row r="159" spans="2:11" ht="16.5" customHeight="1">
      <c r="B159" s="1285">
        <v>129</v>
      </c>
      <c r="C159" s="1328" t="s">
        <v>884</v>
      </c>
      <c r="D159" s="1312"/>
      <c r="E159" s="1318" t="str">
        <f>Master!FL4</f>
        <v>NWPGCL</v>
      </c>
      <c r="F159" s="1351" t="str">
        <f>Master!FL6</f>
        <v>1*141</v>
      </c>
      <c r="G159" s="1361">
        <f>Master!FL8</f>
        <v>220</v>
      </c>
      <c r="H159" s="1360">
        <f>YesterdayGen!FL34+YesterdayGen!FM34</f>
        <v>185</v>
      </c>
      <c r="I159" s="1316">
        <f>YesterdayGen!FL31</f>
        <v>4567509</v>
      </c>
      <c r="J159" s="1409" t="str">
        <f>IF(EvReport!L159= 0, " ",EvReport!L159)</f>
        <v>Gas shortage</v>
      </c>
      <c r="K159" s="220"/>
    </row>
    <row r="160" spans="2:11" ht="16.5" customHeight="1">
      <c r="B160" s="1285">
        <v>130</v>
      </c>
      <c r="C160" s="1328" t="str">
        <f>Master!FN3</f>
        <v>Sirajgonj 400 MW CCPP Unit-4</v>
      </c>
      <c r="D160" s="1312"/>
      <c r="E160" s="1318" t="str">
        <f>Master!FN4</f>
        <v>SNWPGCL</v>
      </c>
      <c r="F160" s="1351" t="str">
        <f>Master!FN6</f>
        <v>1*282+1*132</v>
      </c>
      <c r="G160" s="1361">
        <f>Master!FN8</f>
        <v>414</v>
      </c>
      <c r="H160" s="1360">
        <f>YesterdayGen!FN34+YesterdayGen!FT34</f>
        <v>409</v>
      </c>
      <c r="I160" s="1316">
        <f>YesterdayGen!FN31</f>
        <v>8896400</v>
      </c>
      <c r="J160" s="1409" t="str">
        <f>IF(EvReport!L160= 0, " ",EvReport!L160)</f>
        <v>FGMO</v>
      </c>
      <c r="K160" s="220"/>
    </row>
    <row r="161" spans="2:11" ht="16.5" customHeight="1">
      <c r="B161" s="1285">
        <v>131</v>
      </c>
      <c r="C161" s="1328" t="str">
        <f>Master!EW3</f>
        <v>Santahar  50 MW Peaking PP</v>
      </c>
      <c r="D161" s="1312"/>
      <c r="E161" s="1318" t="str">
        <f>Master!EW4</f>
        <v>PDB</v>
      </c>
      <c r="F161" s="1351" t="str">
        <f>Master!EW6</f>
        <v>6*8.7</v>
      </c>
      <c r="G161" s="1361">
        <f>Master!EW8</f>
        <v>50</v>
      </c>
      <c r="H161" s="1360">
        <f>YesterdayGen!EW34</f>
        <v>0</v>
      </c>
      <c r="I161" s="1316">
        <f>YesterdayGen!EW31</f>
        <v>0</v>
      </c>
      <c r="J161" s="1409" t="str">
        <f>IF(EvReport!L161 = 0, " ",EvReport!L161)</f>
        <v>Engine problem</v>
      </c>
      <c r="K161" s="220"/>
    </row>
    <row r="162" spans="2:11" ht="16.5" customHeight="1">
      <c r="B162" s="1285">
        <v>132</v>
      </c>
      <c r="C162" s="1362" t="str">
        <f>Master!EX3</f>
        <v>Bogra 22 MW PP (GBB)</v>
      </c>
      <c r="D162" s="1312"/>
      <c r="E162" s="1318" t="str">
        <f>Master!EX4</f>
        <v xml:space="preserve">RPP </v>
      </c>
      <c r="F162" s="1351" t="str">
        <f>Master!EX6</f>
        <v>6*4</v>
      </c>
      <c r="G162" s="1361">
        <f>Master!EX8</f>
        <v>22</v>
      </c>
      <c r="H162" s="1360">
        <f>YesterdayGen!EX34</f>
        <v>22</v>
      </c>
      <c r="I162" s="1316">
        <f>YesterdayGen!EX31</f>
        <v>519600</v>
      </c>
      <c r="J162" s="1409" t="str">
        <f>IF(EvReport!L162 = 0, " ",EvReport!L162)</f>
        <v xml:space="preserve"> </v>
      </c>
      <c r="K162" s="250"/>
    </row>
    <row r="163" spans="2:11" ht="16.5" customHeight="1">
      <c r="B163" s="1285">
        <v>133</v>
      </c>
      <c r="C163" s="1362" t="str">
        <f>Master!EY3</f>
        <v>Bogura 20 MW PP (Energyprima)</v>
      </c>
      <c r="D163" s="1312"/>
      <c r="E163" s="1318" t="str">
        <f>Master!EY4</f>
        <v xml:space="preserve">RPP </v>
      </c>
      <c r="F163" s="1351" t="str">
        <f>Master!EY6</f>
        <v>5*3.3+5*2</v>
      </c>
      <c r="G163" s="1315">
        <f>Master!EY8</f>
        <v>0</v>
      </c>
      <c r="H163" s="1359">
        <f>YesterdayGen!EY34</f>
        <v>0</v>
      </c>
      <c r="I163" s="1316">
        <f>YesterdayGen!EY31</f>
        <v>0</v>
      </c>
      <c r="J163" s="1409" t="str">
        <f>IF(EvReport!L163 = 0, " ",EvReport!L163)</f>
        <v>Contract Expired</v>
      </c>
      <c r="K163" s="250"/>
    </row>
    <row r="164" spans="2:11" ht="16.5" customHeight="1">
      <c r="B164" s="1285">
        <v>134</v>
      </c>
      <c r="C164" s="1328" t="str">
        <f>Master!EZ3</f>
        <v>Ullapara 11 MW PP  (Summit)</v>
      </c>
      <c r="D164" s="1312"/>
      <c r="E164" s="1318" t="str">
        <f>Master!EZ4</f>
        <v>SIPP, REB</v>
      </c>
      <c r="F164" s="1351" t="str">
        <f>Master!EZ6</f>
        <v>4*2.90</v>
      </c>
      <c r="G164" s="1315">
        <f>Master!EZ8</f>
        <v>11</v>
      </c>
      <c r="H164" s="1359">
        <f>YesterdayGen!EZ34</f>
        <v>8</v>
      </c>
      <c r="I164" s="1316">
        <f>YesterdayGen!EZ31</f>
        <v>189126</v>
      </c>
      <c r="J164" s="1409" t="str">
        <f>IF(EvReport!L164 = 0, " ",EvReport!L164)</f>
        <v xml:space="preserve"> </v>
      </c>
      <c r="K164" s="250"/>
    </row>
    <row r="165" spans="2:11" ht="16.5" customHeight="1">
      <c r="B165" s="1285">
        <v>135</v>
      </c>
      <c r="C165" s="1328" t="str">
        <f>Master!EV3</f>
        <v xml:space="preserve">Natore 52 MW PP (Rajlanka) </v>
      </c>
      <c r="D165" s="1312"/>
      <c r="E165" s="1314" t="str">
        <f>Master!EV4</f>
        <v>IPP</v>
      </c>
      <c r="F165" s="1332" t="str">
        <f>Master!EV6</f>
        <v>6*8.92</v>
      </c>
      <c r="G165" s="1315">
        <f>Master!EV8</f>
        <v>52</v>
      </c>
      <c r="H165" s="1359">
        <f>YesterdayGen!EV34</f>
        <v>43</v>
      </c>
      <c r="I165" s="1316">
        <f>YesterdayGen!EV31</f>
        <v>1150560</v>
      </c>
      <c r="J165" s="1409" t="str">
        <f>IF(EvReport!L165 = 0, " ",EvReport!L165)</f>
        <v>Engine problem</v>
      </c>
      <c r="K165" s="250"/>
    </row>
    <row r="166" spans="2:11" ht="16.5" customHeight="1">
      <c r="B166" s="1285">
        <v>136</v>
      </c>
      <c r="C166" s="4314" t="str">
        <f>Master!ER3</f>
        <v>Chapainawabganj 100 MW Peaking PP</v>
      </c>
      <c r="D166" s="4313"/>
      <c r="E166" s="4323" t="str">
        <f>Master!ER4</f>
        <v>PDB</v>
      </c>
      <c r="F166" s="4324" t="str">
        <f>Master!ER6</f>
        <v>12*8.924</v>
      </c>
      <c r="G166" s="4306">
        <f>Master!ER8</f>
        <v>104</v>
      </c>
      <c r="H166" s="4317">
        <f>YesterdayGen!ER34</f>
        <v>100</v>
      </c>
      <c r="I166" s="4316">
        <f>YesterdayGen!ER31</f>
        <v>508540</v>
      </c>
      <c r="J166" s="4303" t="str">
        <f>IF(EvReport!L166 = 0, " ",EvReport!L166)</f>
        <v xml:space="preserve"> </v>
      </c>
      <c r="K166" s="250"/>
    </row>
    <row r="167" spans="2:11" ht="16.5" customHeight="1">
      <c r="B167" s="4315">
        <v>137</v>
      </c>
      <c r="C167" s="4314" t="str">
        <f>Master!FP3</f>
        <v>Baghabari 200 MW PP (Paramount)</v>
      </c>
      <c r="D167" s="4313"/>
      <c r="E167" s="4325" t="str">
        <f>Master!FP4</f>
        <v>IPP</v>
      </c>
      <c r="F167" s="4326" t="str">
        <f>Master!FP6</f>
        <v>200 MW</v>
      </c>
      <c r="G167" s="3942">
        <f>Master!FP8</f>
        <v>200</v>
      </c>
      <c r="H167" s="4311">
        <f>YesterdayGen!FP34</f>
        <v>0</v>
      </c>
      <c r="I167" s="4310">
        <f>YesterdayGen!FP31</f>
        <v>0</v>
      </c>
      <c r="J167" s="4309" t="str">
        <f>IF(EvReport!L167= 0, " ",EvReport!L167)</f>
        <v>Reserve.</v>
      </c>
      <c r="K167" s="250"/>
    </row>
    <row r="168" spans="2:11" ht="16.5" customHeight="1">
      <c r="B168" s="4306">
        <v>138</v>
      </c>
      <c r="C168" s="4308" t="str">
        <f>Master!FQ3</f>
        <v>Bagura 113 MW PP (Confidence)-2</v>
      </c>
      <c r="D168" s="4307"/>
      <c r="E168" s="4323" t="str">
        <f>Master!FQ4</f>
        <v>IPP</v>
      </c>
      <c r="F168" s="4323" t="str">
        <f>Master!FQ6</f>
        <v>113 MW</v>
      </c>
      <c r="G168" s="4306">
        <f>Master!FQ8</f>
        <v>113</v>
      </c>
      <c r="H168" s="4305">
        <f>YesterdayGen!FQ34</f>
        <v>113</v>
      </c>
      <c r="I168" s="4304">
        <f>YesterdayGen!FQ31</f>
        <v>1517856</v>
      </c>
      <c r="J168" s="4303" t="str">
        <f>IF(EvReport!L168= 0, " ",EvReport!L168)</f>
        <v xml:space="preserve"> </v>
      </c>
      <c r="K168" s="250"/>
    </row>
    <row r="169" spans="2:11" ht="16.5" customHeight="1" thickBot="1">
      <c r="B169" s="4300">
        <v>139</v>
      </c>
      <c r="C169" s="4302" t="str">
        <f>Master!FV3</f>
        <v>Confidence Power Bogura Unit-1 113 MW</v>
      </c>
      <c r="D169" s="4301"/>
      <c r="E169" s="4331" t="str">
        <f>Master!FV4</f>
        <v>IPP</v>
      </c>
      <c r="F169" s="4331" t="str">
        <f>Master!FV6</f>
        <v>6*18.55</v>
      </c>
      <c r="G169" s="4300">
        <f>Master!FV8</f>
        <v>113</v>
      </c>
      <c r="H169" s="4299">
        <f>YesterdayGen!FV34</f>
        <v>113</v>
      </c>
      <c r="I169" s="4298">
        <f>YesterdayGen!FV31</f>
        <v>1937376</v>
      </c>
      <c r="J169" s="4297" t="str">
        <f>IF(EvReport!L169= 0, " ",EvReport!L169)</f>
        <v xml:space="preserve"> </v>
      </c>
      <c r="K169" s="250"/>
    </row>
    <row r="170" spans="2:11" ht="16.5" customHeight="1" thickBot="1">
      <c r="B170" s="4421">
        <v>140</v>
      </c>
      <c r="C170" s="4422" t="str">
        <f>Master!GA3</f>
        <v xml:space="preserve"> Sirajgonj 6.55 MW Solar</v>
      </c>
      <c r="D170" s="4423"/>
      <c r="E170" s="4424" t="str">
        <f>Master!GA4</f>
        <v>NWPGCL</v>
      </c>
      <c r="F170" s="4424" t="str">
        <f>Master!GA6</f>
        <v>1*6</v>
      </c>
      <c r="G170" s="1880">
        <f>Master!GA8</f>
        <v>6</v>
      </c>
      <c r="H170" s="4425">
        <f>YesterdayGen!GA34</f>
        <v>0</v>
      </c>
      <c r="I170" s="4426">
        <f>YesterdayGen!GA31</f>
        <v>26700</v>
      </c>
      <c r="J170" s="1579" t="str">
        <f>IF(EvReport!L170= 0, " ",EvReport!L170)</f>
        <v xml:space="preserve"> </v>
      </c>
      <c r="K170" s="250"/>
    </row>
    <row r="171" spans="2:11" ht="16.5" customHeight="1" thickBot="1">
      <c r="B171" s="1320"/>
      <c r="C171" s="1321" t="s">
        <v>44</v>
      </c>
      <c r="D171" s="1321"/>
      <c r="E171" s="1322"/>
      <c r="F171" s="1322"/>
      <c r="G171" s="1323">
        <f>SUM(G150:G170)</f>
        <v>2179</v>
      </c>
      <c r="H171" s="1323">
        <f>SUM(H150:H170)</f>
        <v>1134</v>
      </c>
      <c r="I171" s="1323">
        <f>SUM(I150:I170)</f>
        <v>19726460</v>
      </c>
      <c r="J171" s="1324" t="s">
        <v>18</v>
      </c>
      <c r="K171" s="250"/>
    </row>
    <row r="172" spans="2:11" ht="16.5" customHeight="1">
      <c r="B172" s="1285">
        <v>141</v>
      </c>
      <c r="C172" s="1363" t="str">
        <f>Master!FA3</f>
        <v xml:space="preserve">Barapukuria TPP Unit-1 </v>
      </c>
      <c r="D172" s="1364"/>
      <c r="E172" s="1365" t="str">
        <f>Master!FA4</f>
        <v>PDB</v>
      </c>
      <c r="F172" s="1366" t="str">
        <f>Master!FA6</f>
        <v>1*125</v>
      </c>
      <c r="G172" s="1367">
        <f>Master!FA8</f>
        <v>85</v>
      </c>
      <c r="H172" s="1368">
        <f>YesterdayGen!FA34</f>
        <v>0</v>
      </c>
      <c r="I172" s="1369">
        <f>YesterdayGen!FA31</f>
        <v>0</v>
      </c>
      <c r="J172" s="1408" t="str">
        <f>IF(EvReport!L172 = 0, " ",EvReport!L172)</f>
        <v>Under maint.</v>
      </c>
      <c r="K172" s="250"/>
    </row>
    <row r="173" spans="2:11" ht="16.5" customHeight="1">
      <c r="B173" s="1285"/>
      <c r="C173" s="1362" t="str">
        <f>Master!FB3</f>
        <v>Barapukuria TPP  Unit-2</v>
      </c>
      <c r="D173" s="1370"/>
      <c r="E173" s="1371" t="str">
        <f>Master!FB4</f>
        <v>PDB</v>
      </c>
      <c r="F173" s="1372" t="str">
        <f>Master!FB6</f>
        <v>1*125</v>
      </c>
      <c r="G173" s="1373">
        <f>Master!FB8</f>
        <v>85</v>
      </c>
      <c r="H173" s="1374">
        <f>YesterdayGen!FB34</f>
        <v>0</v>
      </c>
      <c r="I173" s="1375">
        <f>YesterdayGen!FB31</f>
        <v>0</v>
      </c>
      <c r="J173" s="1409" t="str">
        <f>IF(EvReport!L173 = 0, " ",EvReport!L173)</f>
        <v>Under maint.</v>
      </c>
      <c r="K173" s="250"/>
    </row>
    <row r="174" spans="2:11" ht="16.5" customHeight="1">
      <c r="B174" s="1285">
        <v>142</v>
      </c>
      <c r="C174" s="1362" t="str">
        <f>Master!FC3</f>
        <v>Barapukuria 275 MW TPP Unit-3</v>
      </c>
      <c r="D174" s="1286"/>
      <c r="E174" s="1326" t="str">
        <f>Master!FC4</f>
        <v>PDB</v>
      </c>
      <c r="F174" s="1327" t="str">
        <f>Master!FC6</f>
        <v>1*275</v>
      </c>
      <c r="G174" s="1285">
        <f>Master!FC8</f>
        <v>274</v>
      </c>
      <c r="H174" s="1358">
        <f>YesterdayGen!FC34</f>
        <v>199</v>
      </c>
      <c r="I174" s="1343">
        <f>YesterdayGen!FC31</f>
        <v>4844700</v>
      </c>
      <c r="J174" s="1409" t="str">
        <f>IF(EvReport!L174 = 0, " ",EvReport!L174)</f>
        <v xml:space="preserve"> </v>
      </c>
      <c r="K174" s="253"/>
    </row>
    <row r="175" spans="2:11" ht="16.5" customHeight="1">
      <c r="B175" s="1285">
        <v>143</v>
      </c>
      <c r="C175" s="1362" t="str">
        <f>Master!FD3</f>
        <v>Rangpur 20 MW  GTPP</v>
      </c>
      <c r="D175" s="2010"/>
      <c r="E175" s="1326" t="str">
        <f>Master!FD4</f>
        <v>PDB</v>
      </c>
      <c r="F175" s="1327" t="str">
        <f>Master!FD6</f>
        <v>1*20</v>
      </c>
      <c r="G175" s="1285">
        <f>Master!FD8</f>
        <v>20</v>
      </c>
      <c r="H175" s="1358">
        <f>YesterdayGen!FD34</f>
        <v>0</v>
      </c>
      <c r="I175" s="1343">
        <f>YesterdayGen!FD31</f>
        <v>0</v>
      </c>
      <c r="J175" s="1409" t="str">
        <f>IF(EvReport!L175 = 0, " ",EvReport!L175)</f>
        <v xml:space="preserve"> </v>
      </c>
      <c r="K175" s="254"/>
    </row>
    <row r="176" spans="2:11" ht="16.5" customHeight="1">
      <c r="B176" s="1285">
        <v>144</v>
      </c>
      <c r="C176" s="2009" t="str">
        <f>Master!FE3</f>
        <v>Saidpur 20 MW GTPP</v>
      </c>
      <c r="D176" s="2008"/>
      <c r="E176" s="2007" t="str">
        <f>Master!FE4</f>
        <v>PDB</v>
      </c>
      <c r="F176" s="2006" t="str">
        <f>Master!FE6</f>
        <v>1*20</v>
      </c>
      <c r="G176" s="2005">
        <f>Master!FE8</f>
        <v>20</v>
      </c>
      <c r="H176" s="2004">
        <f>YesterdayGen!FE34</f>
        <v>0</v>
      </c>
      <c r="I176" s="2003">
        <f>YesterdayGen!FE31</f>
        <v>0</v>
      </c>
      <c r="J176" s="2002" t="str">
        <f>IF(EvReport!L176 = 0, " ",EvReport!L176)</f>
        <v xml:space="preserve"> </v>
      </c>
      <c r="K176" s="254"/>
    </row>
    <row r="177" spans="1:11" ht="16.5" customHeight="1" thickBot="1">
      <c r="B177" s="1285">
        <v>145</v>
      </c>
      <c r="C177" s="2001" t="str">
        <f>Master!FS3</f>
        <v xml:space="preserve">Rangpur 113 MW PP (Confidence)  </v>
      </c>
      <c r="D177" s="2000"/>
      <c r="E177" s="1999" t="str">
        <f>Master!FS4</f>
        <v>IPP</v>
      </c>
      <c r="F177" s="1998" t="str">
        <f>Master!FS6</f>
        <v>113 MW</v>
      </c>
      <c r="G177" s="1997">
        <f>Master!FS8</f>
        <v>113</v>
      </c>
      <c r="H177" s="1996">
        <f>YesterdayGen!FS34</f>
        <v>112</v>
      </c>
      <c r="I177" s="1995">
        <f>YesterdayGen!FS31</f>
        <v>2196240</v>
      </c>
      <c r="J177" s="1994" t="str">
        <f>IF(EvReport!L177= 0, " ",EvReport!L177)</f>
        <v xml:space="preserve"> </v>
      </c>
      <c r="K177" s="254"/>
    </row>
    <row r="178" spans="1:11" ht="16.5" customHeight="1" thickBot="1">
      <c r="B178" s="1335">
        <v>146</v>
      </c>
      <c r="C178" s="1993" t="str">
        <f>Master!FU3</f>
        <v>Sympa Solar Power 8MW</v>
      </c>
      <c r="D178" s="1879"/>
      <c r="E178" s="1880" t="str">
        <f>Master!FU4</f>
        <v>IPP</v>
      </c>
      <c r="F178" s="1880" t="str">
        <f>Master!FU6</f>
        <v>8 MW</v>
      </c>
      <c r="G178" s="1317">
        <f>Master!FU8</f>
        <v>8</v>
      </c>
      <c r="H178" s="1069">
        <f>YesterdayGen!FU34</f>
        <v>0</v>
      </c>
      <c r="I178" s="1867">
        <f>YesterdayGen!FU31</f>
        <v>14577</v>
      </c>
      <c r="J178" s="1878" t="str">
        <f>IF(EvReport!L178= 0, " ",EvReport!L178)</f>
        <v xml:space="preserve"> </v>
      </c>
      <c r="K178" s="254"/>
    </row>
    <row r="179" spans="1:11" ht="16.5" customHeight="1" thickBot="1">
      <c r="B179" s="1335"/>
      <c r="C179" s="4992" t="str">
        <f>Master!GC3</f>
        <v>Energypac Power Venture Thakurgaon Ltd.</v>
      </c>
      <c r="D179" s="4993"/>
      <c r="E179" s="4994" t="str">
        <f>Master!GC4</f>
        <v>IPP</v>
      </c>
      <c r="F179" s="4994">
        <f>Master!GC6</f>
        <v>115</v>
      </c>
      <c r="G179" s="1317">
        <f>Master!GC8</f>
        <v>0</v>
      </c>
      <c r="H179" s="1069">
        <f>YesterdayGen!GC34</f>
        <v>0</v>
      </c>
      <c r="I179" s="1867">
        <f>YesterdayGen!GC31</f>
        <v>0</v>
      </c>
      <c r="J179" s="1878" t="str">
        <f>IF(EvReport!L179= 0, " ",EvReport!L179)</f>
        <v>On test</v>
      </c>
      <c r="K179" s="254"/>
    </row>
    <row r="180" spans="1:11" ht="16.5" customHeight="1" thickBot="1">
      <c r="B180" s="1320"/>
      <c r="C180" s="1376" t="s">
        <v>46</v>
      </c>
      <c r="D180" s="1376"/>
      <c r="E180" s="1377"/>
      <c r="F180" s="1377"/>
      <c r="G180" s="1378">
        <f>SUM(G172:G179)</f>
        <v>605</v>
      </c>
      <c r="H180" s="1407">
        <f>SUM(H172:H179)</f>
        <v>311</v>
      </c>
      <c r="I180" s="1407">
        <f>SUM(I172:I179)</f>
        <v>7055517</v>
      </c>
      <c r="J180" s="1379"/>
      <c r="K180" s="255"/>
    </row>
    <row r="181" spans="1:11" ht="16.5" customHeight="1" thickBot="1">
      <c r="B181" s="1320"/>
      <c r="C181" s="1321" t="s">
        <v>47</v>
      </c>
      <c r="D181" s="1321"/>
      <c r="E181" s="1322"/>
      <c r="F181" s="1322"/>
      <c r="G181" s="1323">
        <f>G51+G74+G100+G109+G128+G141+G149+G171+G180</f>
        <v>20934</v>
      </c>
      <c r="H181" s="1323">
        <f>H51+H74+H100+H109+H128+H141+H149+H171+H180</f>
        <v>8218</v>
      </c>
      <c r="I181" s="1323">
        <f>I51+I74+I100+I109+I128+I141+I149+I171+I180</f>
        <v>166233896</v>
      </c>
      <c r="J181" s="1380"/>
      <c r="K181" s="256"/>
    </row>
    <row r="182" spans="1:11" s="286" customFormat="1" ht="16.5" customHeight="1" thickBot="1">
      <c r="A182" s="455"/>
      <c r="B182" s="1381"/>
      <c r="C182" s="1382" t="s">
        <v>500</v>
      </c>
      <c r="D182" s="1382"/>
      <c r="E182" s="1382"/>
      <c r="F182" s="1382"/>
      <c r="G182" s="1382"/>
      <c r="H182" s="1382"/>
      <c r="I182" s="1382"/>
      <c r="J182" s="1383"/>
      <c r="K182" s="285"/>
    </row>
    <row r="183" spans="1:11" ht="16.5" customHeight="1" thickBot="1">
      <c r="A183" s="455"/>
      <c r="B183" s="1384"/>
      <c r="C183" s="1385" t="s">
        <v>501</v>
      </c>
      <c r="D183" s="1385"/>
      <c r="E183" s="1385"/>
      <c r="F183" s="1385"/>
      <c r="G183" s="1386">
        <f>G51+G74+G100+G109+G128</f>
        <v>13975</v>
      </c>
      <c r="H183" s="1386">
        <f>H51+H74+H100+H109+H128</f>
        <v>5443</v>
      </c>
      <c r="I183" s="1386">
        <f>I51+I74+I100+I109+I128</f>
        <v>115209037</v>
      </c>
      <c r="J183" s="1387"/>
      <c r="K183" s="280"/>
    </row>
    <row r="184" spans="1:11" ht="21.95" customHeight="1" thickBot="1">
      <c r="A184" s="455"/>
      <c r="B184" s="1384"/>
      <c r="C184" s="1385" t="s">
        <v>502</v>
      </c>
      <c r="D184" s="1385"/>
      <c r="E184" s="1385"/>
      <c r="F184" s="1385"/>
      <c r="G184" s="1386">
        <f>G141+G149+G171+G180</f>
        <v>6959</v>
      </c>
      <c r="H184" s="1386">
        <f>H141+H149+H171+H180</f>
        <v>2775</v>
      </c>
      <c r="I184" s="1386">
        <f>I141+I149+I171+I180</f>
        <v>51024859</v>
      </c>
      <c r="J184" s="1387"/>
      <c r="K184" s="306"/>
    </row>
    <row r="185" spans="1:11" ht="21.95" customHeight="1" thickBot="1">
      <c r="A185" s="699"/>
      <c r="B185" s="1384"/>
      <c r="C185" s="1385" t="s">
        <v>503</v>
      </c>
      <c r="D185" s="1385"/>
      <c r="E185" s="1385"/>
      <c r="F185" s="1385"/>
      <c r="G185" s="1386">
        <f>G183+G184</f>
        <v>20934</v>
      </c>
      <c r="H185" s="1386">
        <f>H183+H184</f>
        <v>8218</v>
      </c>
      <c r="I185" s="1386">
        <f>I183+I184</f>
        <v>166233896</v>
      </c>
      <c r="J185" s="1387"/>
      <c r="K185" s="280"/>
    </row>
    <row r="186" spans="1:11" ht="21.95" customHeight="1">
      <c r="A186" s="257"/>
      <c r="B186" s="1548"/>
      <c r="C186" s="456"/>
      <c r="D186" s="456"/>
      <c r="E186" s="457"/>
      <c r="F186" s="458"/>
      <c r="G186" s="458"/>
      <c r="H186" s="459"/>
      <c r="I186" s="460"/>
      <c r="J186" s="1549"/>
      <c r="K186" s="280"/>
    </row>
    <row r="187" spans="1:11" ht="21.95" customHeight="1">
      <c r="A187" s="257"/>
      <c r="B187" s="1550" t="s">
        <v>504</v>
      </c>
      <c r="C187" s="454"/>
      <c r="D187" s="454"/>
      <c r="E187" s="453"/>
      <c r="F187" s="452"/>
      <c r="G187" s="462"/>
      <c r="H187" s="463"/>
      <c r="I187" s="460" t="s">
        <v>18</v>
      </c>
      <c r="J187" s="1549"/>
      <c r="K187" s="309"/>
    </row>
    <row r="188" spans="1:11" ht="21.95" customHeight="1">
      <c r="B188" s="1551"/>
      <c r="C188" s="1132"/>
      <c r="D188" s="1132"/>
      <c r="E188" s="1132"/>
      <c r="F188" s="1132"/>
      <c r="G188" s="1132"/>
      <c r="H188" s="768"/>
      <c r="I188" s="1132"/>
      <c r="J188" s="1552"/>
      <c r="K188" s="309"/>
    </row>
    <row r="189" spans="1:11" ht="21.95" customHeight="1">
      <c r="B189" s="1551"/>
      <c r="C189" s="1132"/>
      <c r="D189" s="1132"/>
      <c r="E189" s="1132"/>
      <c r="F189" s="1132"/>
      <c r="G189" s="1132"/>
      <c r="H189" s="1388"/>
      <c r="I189" s="1389" t="s">
        <v>378</v>
      </c>
      <c r="J189" s="1552"/>
      <c r="K189" s="309"/>
    </row>
    <row r="190" spans="1:11" ht="21.95" customHeight="1" thickBot="1">
      <c r="B190" s="1553"/>
      <c r="C190" s="1554"/>
      <c r="D190" s="1554"/>
      <c r="E190" s="1554"/>
      <c r="F190" s="1554"/>
      <c r="G190" s="1554"/>
      <c r="H190" s="1555"/>
      <c r="I190" s="1556" t="s">
        <v>380</v>
      </c>
      <c r="J190" s="1743"/>
      <c r="K190" s="309"/>
    </row>
    <row r="191" spans="1:11" ht="21.95" customHeight="1">
      <c r="H191" s="308"/>
      <c r="K191" s="309"/>
    </row>
    <row r="192" spans="1:11" ht="21.95" customHeight="1">
      <c r="H192" s="308"/>
      <c r="J192" s="1744" t="s">
        <v>938</v>
      </c>
      <c r="K192" s="309"/>
    </row>
    <row r="193" spans="8:11" ht="21.95" customHeight="1">
      <c r="H193" s="308"/>
      <c r="K193" s="309"/>
    </row>
    <row r="194" spans="8:11" ht="21.95" customHeight="1">
      <c r="H194" s="308"/>
    </row>
    <row r="195" spans="8:11" ht="21.95" customHeight="1">
      <c r="H195" s="308"/>
    </row>
    <row r="196" spans="8:11" ht="21.95" customHeight="1"/>
    <row r="197" spans="8:11" ht="21.95" customHeight="1"/>
    <row r="198" spans="8:11" ht="21.95" customHeight="1"/>
    <row r="199" spans="8:11" ht="21.95" customHeight="1"/>
    <row r="200" spans="8:11" ht="21.95" customHeight="1"/>
    <row r="201" spans="8:11" ht="21.95" customHeight="1"/>
    <row r="202" spans="8:11" ht="21.95" customHeight="1"/>
    <row r="203" spans="8:11" ht="21.95" customHeight="1"/>
    <row r="204" spans="8:11" ht="21.95" customHeight="1"/>
    <row r="205" spans="8:11" ht="21.95" customHeight="1"/>
    <row r="206" spans="8:11" ht="21.95" customHeight="1"/>
    <row r="207" spans="8:11" ht="21.95" customHeight="1"/>
    <row r="208" spans="8:11" ht="21.95" customHeight="1"/>
    <row r="209" spans="2:2" ht="21.95" customHeight="1"/>
    <row r="210" spans="2:2" ht="21.95" customHeight="1"/>
    <row r="211" spans="2:2" ht="21.95" customHeight="1"/>
    <row r="212" spans="2:2" ht="21.95" customHeight="1"/>
    <row r="213" spans="2:2" ht="21.95" customHeight="1"/>
    <row r="214" spans="2:2">
      <c r="B214" s="180" t="str">
        <f>IF(EvReport!L214= 0, " ",EvReport!L214)</f>
        <v xml:space="preserve"> </v>
      </c>
    </row>
    <row r="231" spans="2:2">
      <c r="B231" s="180" t="str">
        <f>IF(EvReport!L231= 0, " ",EvReport!L231)</f>
        <v xml:space="preserve"> </v>
      </c>
    </row>
  </sheetData>
  <customSheetViews>
    <customSheetView guid="{7C71EF2A-5ADA-494C-8F58-DDA71753DD90}" showPageBreaks="1" printArea="1">
      <pane xSplit="4" ySplit="7" topLeftCell="E36" activePane="bottomRight" state="frozen"/>
      <selection pane="bottomRight" activeCell="B32" sqref="B32"/>
      <rowBreaks count="1" manualBreakCount="1">
        <brk id="100" min="1" max="9" man="1"/>
      </rowBreaks>
      <pageMargins left="0.21" right="0.33" top="0.16" bottom="0.16" header="0.16" footer="0.16"/>
      <printOptions horizontalCentered="1"/>
      <pageSetup paperSize="9" scale="47" orientation="portrait" horizontalDpi="4294967295" verticalDpi="4294967295" r:id="rId1"/>
    </customSheetView>
    <customSheetView guid="{B91C2E87-5EDA-40AE-AC27-0E2C17E803CE}" scale="85" showPageBreaks="1" printArea="1">
      <selection activeCell="K18" sqref="K18"/>
      <rowBreaks count="1" manualBreakCount="1">
        <brk id="100" max="9" man="1"/>
      </rowBreaks>
      <pageMargins left="0.21" right="0.33" top="0.16" bottom="0.16" header="0.16" footer="0.16"/>
      <printOptions horizontalCentered="1"/>
      <pageSetup paperSize="9" scale="46" orientation="portrait" r:id="rId2"/>
    </customSheetView>
    <customSheetView guid="{23F4DC00-BC97-4745-AA5C-F05D469CB1EF}" showPageBreaks="1" printArea="1" topLeftCell="A2">
      <selection activeCell="A137" sqref="A137:XFD137"/>
      <rowBreaks count="1" manualBreakCount="1">
        <brk id="108" min="1" max="9" man="1"/>
      </rowBreaks>
      <pageMargins left="0.21" right="0.21" top="0.16" bottom="0.16" header="0.16" footer="0.16"/>
      <printOptions horizontalCentered="1"/>
      <pageSetup paperSize="9" scale="43" orientation="portrait" r:id="rId3"/>
    </customSheetView>
    <customSheetView guid="{4593F3EE-0998-4E0E-994A-E02D6BAF3A4B}" scale="85" showPageBreaks="1" printArea="1">
      <selection activeCell="H144" sqref="H144"/>
      <rowBreaks count="1" manualBreakCount="1">
        <brk id="99" min="1" max="9" man="1"/>
      </rowBreaks>
      <pageMargins left="0.21" right="0.33" top="0.16" bottom="0.16" header="0.16" footer="0.16"/>
      <printOptions horizontalCentered="1"/>
      <pageSetup paperSize="9" scale="47" orientation="portrait" r:id="rId4"/>
    </customSheetView>
    <customSheetView guid="{917057C8-5E5F-4164-B84C-85103677A2E5}" scale="85">
      <pane ySplit="5" topLeftCell="A51" activePane="bottomLeft" state="frozen"/>
      <selection pane="bottomLeft" sqref="A1:J181"/>
      <rowBreaks count="1" manualBreakCount="1">
        <brk id="102" min="1" max="9" man="1"/>
      </rowBreaks>
      <pageMargins left="0.21" right="0.33" top="0.16" bottom="0.16" header="0.16" footer="0.16"/>
      <printOptions horizontalCentered="1"/>
      <pageSetup paperSize="9" scale="47" orientation="portrait" r:id="rId5"/>
    </customSheetView>
    <customSheetView guid="{5A803268-F6C5-4035-B3E1-A94CB9AA8994}" showPageBreaks="1" printArea="1" topLeftCell="A2">
      <selection activeCell="A70" sqref="A70:XFD70"/>
      <rowBreaks count="1" manualBreakCount="1">
        <brk id="109" min="1" max="9" man="1"/>
      </rowBreaks>
      <pageMargins left="0.21" right="0.21" top="0.16" bottom="0.16" header="0.16" footer="0.16"/>
      <printOptions horizontalCentered="1"/>
      <pageSetup paperSize="9" scale="43" orientation="portrait" r:id="rId6"/>
    </customSheetView>
    <customSheetView guid="{751D391F-C74F-4B53-B5B5-25E01AC12EA4}" scale="85">
      <pane xSplit="3" ySplit="6" topLeftCell="D7" activePane="bottomRight" state="frozen"/>
      <selection pane="bottomRight" sqref="A1:J190"/>
      <rowBreaks count="1" manualBreakCount="1">
        <brk id="108" min="1" max="9" man="1"/>
      </rowBreaks>
      <pageMargins left="0.21" right="0.33" top="0.16" bottom="0.16" header="0.16" footer="0.16"/>
      <printOptions horizontalCentered="1"/>
      <pageSetup paperSize="9" scale="44" orientation="portrait" horizontalDpi="4294967295" verticalDpi="4294967295" r:id="rId7"/>
    </customSheetView>
    <customSheetView guid="{D1D1E152-95AB-45D3-AC07-4EC0834D3E0C}" scale="85" showPageBreaks="1" printArea="1">
      <pane xSplit="3" ySplit="6" topLeftCell="D156" activePane="bottomRight" state="frozen"/>
      <selection pane="bottomRight" activeCell="Q182" sqref="Q182"/>
      <rowBreaks count="1" manualBreakCount="1">
        <brk id="108" min="1" max="9" man="1"/>
      </rowBreaks>
      <pageMargins left="0.21" right="0.33" top="0.16" bottom="0.16" header="0.16" footer="0.16"/>
      <printOptions horizontalCentered="1"/>
      <pageSetup paperSize="9" scale="44" orientation="portrait" horizontalDpi="4294967295" verticalDpi="4294967295" r:id="rId8"/>
    </customSheetView>
    <customSheetView guid="{4DB6C640-CE65-4513-9E5A-F6CDD1F4B8AF}" scale="85" showPageBreaks="1">
      <pane xSplit="3" ySplit="6" topLeftCell="D7" activePane="bottomRight" state="frozen"/>
      <selection pane="bottomRight" activeCell="A140" sqref="A140:XFD140"/>
      <rowBreaks count="1" manualBreakCount="1">
        <brk id="109" min="1" max="9" man="1"/>
      </rowBreaks>
      <pageMargins left="0.21" right="0.33" top="0.16" bottom="0.16" header="0.16" footer="0.16"/>
      <printOptions horizontalCentered="1"/>
      <pageSetup paperSize="9" scale="44" orientation="portrait" horizontalDpi="4294967295" verticalDpi="4294967295" r:id="rId9"/>
    </customSheetView>
    <customSheetView guid="{C3348F62-02F2-4500-9BF2-19F2DEA57A8D}" scale="85" showPageBreaks="1" printArea="1">
      <pane xSplit="3" ySplit="6" topLeftCell="D7" activePane="bottomRight" state="frozen"/>
      <selection pane="bottomRight" sqref="A1:J192"/>
      <rowBreaks count="1" manualBreakCount="1">
        <brk id="108" min="1" max="9" man="1"/>
      </rowBreaks>
      <pageMargins left="0.21" right="0.33" top="0.16" bottom="0.16" header="0.16" footer="0.16"/>
      <printOptions horizontalCentered="1"/>
      <pageSetup paperSize="9" scale="44" orientation="portrait" horizontalDpi="4294967295" verticalDpi="4294967295" r:id="rId10"/>
    </customSheetView>
  </customSheetViews>
  <printOptions horizontalCentered="1"/>
  <pageMargins left="0.21" right="0.33" top="0.16" bottom="0.16" header="0.16" footer="0.16"/>
  <pageSetup paperSize="9" scale="44" orientation="portrait" horizontalDpi="4294967295" verticalDpi="4294967295" r:id="rId11"/>
  <rowBreaks count="1" manualBreakCount="1">
    <brk id="108" min="1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>
    <tabColor theme="9" tint="-0.499984740745262"/>
  </sheetPr>
  <dimension ref="A1:U91"/>
  <sheetViews>
    <sheetView workbookViewId="0">
      <selection sqref="A1:J73"/>
    </sheetView>
  </sheetViews>
  <sheetFormatPr defaultRowHeight="15"/>
  <cols>
    <col min="1" max="1" width="9.28515625" style="6" bestFit="1" customWidth="1"/>
    <col min="2" max="2" width="17.85546875" style="6" customWidth="1"/>
    <col min="3" max="3" width="13.28515625" style="6" customWidth="1"/>
    <col min="4" max="4" width="15" style="6" customWidth="1"/>
    <col min="5" max="5" width="16.140625" style="6" customWidth="1"/>
    <col min="6" max="6" width="13.7109375" style="6" customWidth="1"/>
    <col min="7" max="7" width="15.42578125" style="6" customWidth="1"/>
    <col min="8" max="8" width="15.140625" style="6" customWidth="1"/>
    <col min="9" max="9" width="12.7109375" style="6" customWidth="1"/>
    <col min="10" max="10" width="13.42578125" style="6" customWidth="1"/>
    <col min="11" max="17" width="9.140625" style="6"/>
    <col min="18" max="18" width="9.42578125" style="6" bestFit="1" customWidth="1"/>
    <col min="19" max="16384" width="9.140625" style="6"/>
  </cols>
  <sheetData>
    <row r="1" spans="1:13" ht="30.75">
      <c r="B1" s="134"/>
      <c r="C1" s="4042"/>
      <c r="D1" s="4043"/>
      <c r="E1" s="4044" t="s">
        <v>1303</v>
      </c>
      <c r="F1" s="4045"/>
      <c r="G1" s="4046"/>
      <c r="H1" s="180"/>
      <c r="I1" s="143"/>
      <c r="J1" s="143"/>
    </row>
    <row r="2" spans="1:13" ht="18.75" customHeight="1">
      <c r="B2" s="467"/>
      <c r="C2" s="3933"/>
      <c r="D2" s="3934"/>
      <c r="E2" s="3943" t="s">
        <v>436</v>
      </c>
      <c r="F2" s="3935"/>
      <c r="G2" s="467"/>
      <c r="H2" s="467"/>
      <c r="I2" s="467"/>
      <c r="J2" s="467"/>
    </row>
    <row r="3" spans="1:13" ht="30.75">
      <c r="B3" s="451"/>
      <c r="C3" s="3939" t="s">
        <v>1304</v>
      </c>
      <c r="D3" s="3936"/>
      <c r="E3" s="3937"/>
      <c r="F3" s="3938"/>
      <c r="G3" s="468"/>
      <c r="H3" s="469"/>
      <c r="I3" s="143"/>
      <c r="J3" s="143"/>
    </row>
    <row r="4" spans="1:13" ht="18">
      <c r="B4" s="3928"/>
      <c r="C4" s="3932"/>
      <c r="D4" s="3931"/>
      <c r="E4" s="470"/>
      <c r="F4" s="470"/>
      <c r="G4" s="470"/>
      <c r="H4" s="3929"/>
      <c r="I4" s="2133"/>
      <c r="J4" s="2100" t="s">
        <v>1148</v>
      </c>
    </row>
    <row r="5" spans="1:13" ht="15.75">
      <c r="B5" s="472" t="s">
        <v>150</v>
      </c>
      <c r="C5" s="473">
        <f>YesterdayGen!A2</f>
        <v>43106</v>
      </c>
      <c r="D5" s="451"/>
      <c r="E5" s="451"/>
      <c r="F5" s="451"/>
      <c r="G5" s="451"/>
      <c r="H5" s="471"/>
      <c r="I5" s="143"/>
      <c r="J5" s="143"/>
    </row>
    <row r="6" spans="1:13" ht="15.75" thickBot="1">
      <c r="B6" s="451"/>
      <c r="C6" s="451"/>
      <c r="D6" s="451"/>
      <c r="E6" s="451"/>
      <c r="F6" s="451"/>
      <c r="G6" s="451"/>
      <c r="H6" s="451"/>
      <c r="I6" s="143"/>
      <c r="J6" s="143"/>
      <c r="M6" s="3930"/>
    </row>
    <row r="7" spans="1:13" ht="15.75" thickBot="1">
      <c r="B7" s="475" t="s">
        <v>505</v>
      </c>
      <c r="C7" s="476"/>
      <c r="D7" s="1869">
        <f>D8+D9+D10+D11+D12</f>
        <v>5319</v>
      </c>
      <c r="E7" s="478" t="s">
        <v>36</v>
      </c>
      <c r="F7" s="477" t="s">
        <v>506</v>
      </c>
      <c r="G7" s="476"/>
      <c r="H7" s="966">
        <f>H8+H9+H10+H11</f>
        <v>2682</v>
      </c>
      <c r="I7" s="479" t="s">
        <v>36</v>
      </c>
      <c r="J7" s="143"/>
    </row>
    <row r="8" spans="1:13">
      <c r="B8" s="480" t="s">
        <v>507</v>
      </c>
      <c r="C8" s="212"/>
      <c r="D8" s="1868">
        <f>Forecast!L192</f>
        <v>2722</v>
      </c>
      <c r="E8" s="481" t="s">
        <v>36</v>
      </c>
      <c r="F8" s="452" t="s">
        <v>508</v>
      </c>
      <c r="G8" s="482"/>
      <c r="H8" s="967">
        <f>Forecast!L194</f>
        <v>1015</v>
      </c>
      <c r="I8" s="483" t="s">
        <v>36</v>
      </c>
      <c r="J8" s="143"/>
    </row>
    <row r="9" spans="1:13">
      <c r="B9" s="484" t="s">
        <v>509</v>
      </c>
      <c r="C9" s="485"/>
      <c r="D9" s="1870">
        <f>Forecast!L193</f>
        <v>842</v>
      </c>
      <c r="E9" s="487" t="s">
        <v>36</v>
      </c>
      <c r="F9" s="486" t="s">
        <v>510</v>
      </c>
      <c r="G9" s="488"/>
      <c r="H9" s="968">
        <f>Forecast!L195</f>
        <v>858</v>
      </c>
      <c r="I9" s="483" t="s">
        <v>36</v>
      </c>
      <c r="J9" s="143"/>
    </row>
    <row r="10" spans="1:13">
      <c r="B10" s="489" t="s">
        <v>511</v>
      </c>
      <c r="C10" s="490"/>
      <c r="D10" s="1885">
        <f>Forecast!L196</f>
        <v>700</v>
      </c>
      <c r="E10" s="491" t="s">
        <v>36</v>
      </c>
      <c r="F10" s="490" t="s">
        <v>512</v>
      </c>
      <c r="G10" s="490"/>
      <c r="H10" s="969">
        <f>Forecast!L199</f>
        <v>234</v>
      </c>
      <c r="I10" s="492" t="s">
        <v>36</v>
      </c>
      <c r="J10" s="143"/>
    </row>
    <row r="11" spans="1:13">
      <c r="B11" s="489" t="s">
        <v>513</v>
      </c>
      <c r="C11" s="490"/>
      <c r="D11" s="4047">
        <f>Forecast!L197</f>
        <v>742</v>
      </c>
      <c r="E11" s="491" t="s">
        <v>36</v>
      </c>
      <c r="F11" s="490" t="s">
        <v>514</v>
      </c>
      <c r="G11" s="490"/>
      <c r="H11" s="969">
        <f>Forecast!L200</f>
        <v>575</v>
      </c>
      <c r="I11" s="492" t="s">
        <v>36</v>
      </c>
      <c r="J11" s="143"/>
    </row>
    <row r="12" spans="1:13" ht="15.75" thickBot="1">
      <c r="B12" s="493" t="s">
        <v>515</v>
      </c>
      <c r="C12" s="494"/>
      <c r="D12" s="216">
        <f>Forecast!L198</f>
        <v>313</v>
      </c>
      <c r="E12" s="495" t="s">
        <v>36</v>
      </c>
      <c r="F12" s="494"/>
      <c r="G12" s="494"/>
      <c r="H12" s="496"/>
      <c r="I12" s="497"/>
      <c r="J12" s="143"/>
    </row>
    <row r="13" spans="1:13" ht="16.5" thickBot="1">
      <c r="B13" s="498"/>
      <c r="C13" s="499" t="s">
        <v>516</v>
      </c>
      <c r="D13" s="499"/>
      <c r="E13" s="500">
        <f>D7+H7</f>
        <v>8001</v>
      </c>
      <c r="F13" s="476" t="s">
        <v>36</v>
      </c>
      <c r="G13" s="499"/>
      <c r="H13" s="499"/>
      <c r="I13" s="501"/>
      <c r="J13" s="143"/>
    </row>
    <row r="14" spans="1:13">
      <c r="B14" s="257"/>
      <c r="C14" s="502" t="s">
        <v>517</v>
      </c>
      <c r="D14" s="257"/>
      <c r="E14" s="257"/>
      <c r="F14" s="257"/>
      <c r="G14" s="257"/>
      <c r="H14" s="257"/>
      <c r="I14" s="143"/>
      <c r="J14" s="143"/>
    </row>
    <row r="15" spans="1:13" ht="15.75" thickBot="1">
      <c r="B15" s="134"/>
      <c r="C15" s="134"/>
      <c r="D15" s="257"/>
      <c r="E15" s="134"/>
      <c r="F15" s="134"/>
      <c r="G15" s="134"/>
      <c r="H15" s="134"/>
      <c r="I15" s="143"/>
      <c r="J15" s="143"/>
    </row>
    <row r="16" spans="1:13" ht="18" customHeight="1" thickTop="1" thickBot="1">
      <c r="A16" s="2962"/>
      <c r="B16" s="5113" t="s">
        <v>518</v>
      </c>
      <c r="C16" s="5114" t="s">
        <v>519</v>
      </c>
      <c r="D16" s="5114" t="s">
        <v>520</v>
      </c>
      <c r="E16" s="5113" t="s">
        <v>518</v>
      </c>
      <c r="F16" s="5114" t="s">
        <v>519</v>
      </c>
      <c r="G16" s="5114" t="s">
        <v>520</v>
      </c>
      <c r="H16" s="5113" t="s">
        <v>518</v>
      </c>
      <c r="I16" s="5114" t="s">
        <v>519</v>
      </c>
      <c r="J16" s="5114" t="s">
        <v>520</v>
      </c>
    </row>
    <row r="17" spans="1:21" ht="18" customHeight="1" thickTop="1" thickBot="1">
      <c r="A17" s="4863"/>
      <c r="B17" s="5115" t="s">
        <v>1291</v>
      </c>
      <c r="C17" s="5116">
        <v>10.09</v>
      </c>
      <c r="D17" s="5117" t="s">
        <v>1639</v>
      </c>
      <c r="E17" s="5115" t="s">
        <v>1640</v>
      </c>
      <c r="F17" s="5118">
        <v>70</v>
      </c>
      <c r="G17" s="5119" t="s">
        <v>1639</v>
      </c>
      <c r="H17" s="5115" t="s">
        <v>1220</v>
      </c>
      <c r="I17" s="5120">
        <v>80</v>
      </c>
      <c r="J17" s="5117" t="s">
        <v>1641</v>
      </c>
      <c r="K17" s="1842"/>
    </row>
    <row r="18" spans="1:21" ht="18" customHeight="1" thickTop="1" thickBot="1">
      <c r="A18" s="4863"/>
      <c r="B18" s="5115" t="s">
        <v>587</v>
      </c>
      <c r="C18" s="5121">
        <v>45</v>
      </c>
      <c r="D18" s="5122" t="s">
        <v>1639</v>
      </c>
      <c r="E18" s="5115" t="s">
        <v>1368</v>
      </c>
      <c r="F18" s="5121">
        <v>76</v>
      </c>
      <c r="G18" s="5122" t="s">
        <v>1551</v>
      </c>
      <c r="H18" s="5115" t="s">
        <v>55</v>
      </c>
      <c r="I18" s="5121">
        <v>97</v>
      </c>
      <c r="J18" s="5122" t="s">
        <v>1548</v>
      </c>
      <c r="K18" s="1842"/>
    </row>
    <row r="19" spans="1:21" ht="18" customHeight="1" thickTop="1" thickBot="1">
      <c r="A19" s="2963"/>
      <c r="B19" s="5115" t="s">
        <v>1363</v>
      </c>
      <c r="C19" s="5118">
        <v>44</v>
      </c>
      <c r="D19" s="5119" t="s">
        <v>1548</v>
      </c>
      <c r="E19" s="5115" t="s">
        <v>1642</v>
      </c>
      <c r="F19" s="5118">
        <v>89</v>
      </c>
      <c r="G19" s="5119" t="s">
        <v>1548</v>
      </c>
      <c r="H19" s="5115" t="s">
        <v>55</v>
      </c>
      <c r="I19" s="5118">
        <v>14</v>
      </c>
      <c r="J19" s="5119" t="s">
        <v>1555</v>
      </c>
      <c r="K19" s="1842"/>
    </row>
    <row r="20" spans="1:21" ht="18" customHeight="1" thickTop="1" thickBot="1">
      <c r="A20" s="2963"/>
      <c r="B20" s="5115" t="s">
        <v>1643</v>
      </c>
      <c r="C20" s="5121">
        <v>0</v>
      </c>
      <c r="D20" s="5122" t="s">
        <v>1709</v>
      </c>
      <c r="E20" s="5115" t="s">
        <v>586</v>
      </c>
      <c r="F20" s="5121">
        <v>43</v>
      </c>
      <c r="G20" s="5122" t="s">
        <v>1555</v>
      </c>
      <c r="H20" s="5115" t="s">
        <v>887</v>
      </c>
      <c r="I20" s="5121">
        <v>52</v>
      </c>
      <c r="J20" s="5122" t="s">
        <v>1548</v>
      </c>
      <c r="K20" s="1842"/>
    </row>
    <row r="21" spans="1:21" ht="18" customHeight="1" thickTop="1" thickBot="1">
      <c r="A21" s="2963"/>
      <c r="B21" s="5115" t="s">
        <v>704</v>
      </c>
      <c r="C21" s="5118">
        <v>80</v>
      </c>
      <c r="D21" s="5119" t="s">
        <v>1641</v>
      </c>
      <c r="E21" s="5115" t="s">
        <v>1645</v>
      </c>
      <c r="F21" s="5118">
        <v>17</v>
      </c>
      <c r="G21" s="5119" t="s">
        <v>1646</v>
      </c>
      <c r="H21" s="5115" t="s">
        <v>912</v>
      </c>
      <c r="I21" s="5118">
        <v>10</v>
      </c>
      <c r="J21" s="5119" t="s">
        <v>1551</v>
      </c>
      <c r="K21" s="1842"/>
    </row>
    <row r="22" spans="1:21" ht="18" customHeight="1" thickTop="1" thickBot="1">
      <c r="A22" s="2963"/>
      <c r="B22" s="5115" t="s">
        <v>499</v>
      </c>
      <c r="C22" s="5121">
        <v>40</v>
      </c>
      <c r="D22" s="5122" t="s">
        <v>1551</v>
      </c>
      <c r="E22" s="5115" t="s">
        <v>595</v>
      </c>
      <c r="F22" s="5121">
        <v>89</v>
      </c>
      <c r="G22" s="5122" t="s">
        <v>1549</v>
      </c>
      <c r="H22" s="5115" t="s">
        <v>6</v>
      </c>
      <c r="I22" s="5121">
        <v>87</v>
      </c>
      <c r="J22" s="5122" t="s">
        <v>1551</v>
      </c>
      <c r="K22" s="1842"/>
      <c r="M22" s="505"/>
    </row>
    <row r="23" spans="1:21" ht="18" customHeight="1" thickTop="1" thickBot="1">
      <c r="A23" s="3394"/>
      <c r="B23" s="5115" t="s">
        <v>539</v>
      </c>
      <c r="C23" s="5118">
        <v>74</v>
      </c>
      <c r="D23" s="5119" t="s">
        <v>1555</v>
      </c>
      <c r="E23" s="5115" t="s">
        <v>1425</v>
      </c>
      <c r="F23" s="5118">
        <v>34</v>
      </c>
      <c r="G23" s="5119" t="s">
        <v>1548</v>
      </c>
      <c r="H23" s="5115" t="s">
        <v>1647</v>
      </c>
      <c r="I23" s="5118">
        <v>2.8</v>
      </c>
      <c r="J23" s="5119" t="s">
        <v>1648</v>
      </c>
      <c r="K23" s="1842"/>
    </row>
    <row r="24" spans="1:21" ht="18" customHeight="1" thickTop="1" thickBot="1">
      <c r="A24" s="3394"/>
      <c r="B24" s="5115" t="s">
        <v>590</v>
      </c>
      <c r="C24" s="5121">
        <v>65</v>
      </c>
      <c r="D24" s="5122" t="s">
        <v>1548</v>
      </c>
      <c r="E24" s="5115" t="s">
        <v>1649</v>
      </c>
      <c r="F24" s="5121">
        <v>63</v>
      </c>
      <c r="G24" s="5122" t="s">
        <v>1639</v>
      </c>
      <c r="H24" s="5115" t="s">
        <v>594</v>
      </c>
      <c r="I24" s="5121">
        <v>67</v>
      </c>
      <c r="J24" s="5122" t="s">
        <v>1551</v>
      </c>
      <c r="K24" s="1842"/>
    </row>
    <row r="25" spans="1:21" ht="18" customHeight="1" thickTop="1" thickBot="1">
      <c r="A25" s="3394"/>
      <c r="B25" s="5115" t="s">
        <v>1387</v>
      </c>
      <c r="C25" s="5118">
        <v>34</v>
      </c>
      <c r="D25" s="5119" t="s">
        <v>1551</v>
      </c>
      <c r="E25" s="5115" t="s">
        <v>1650</v>
      </c>
      <c r="F25" s="5118" t="s">
        <v>1651</v>
      </c>
      <c r="G25" s="5119" t="s">
        <v>1651</v>
      </c>
      <c r="H25" s="5115" t="s">
        <v>544</v>
      </c>
      <c r="I25" s="5118">
        <v>72</v>
      </c>
      <c r="J25" s="5119" t="s">
        <v>1652</v>
      </c>
      <c r="K25" s="1842"/>
    </row>
    <row r="26" spans="1:21" ht="18" customHeight="1" thickTop="1" thickBot="1">
      <c r="A26" s="3394"/>
      <c r="B26" s="5115" t="s">
        <v>559</v>
      </c>
      <c r="C26" s="5121">
        <v>4</v>
      </c>
      <c r="D26" s="5122" t="s">
        <v>1709</v>
      </c>
      <c r="E26" s="5115" t="s">
        <v>580</v>
      </c>
      <c r="F26" s="5121">
        <v>42</v>
      </c>
      <c r="G26" s="5122" t="s">
        <v>1639</v>
      </c>
      <c r="H26" s="5115" t="s">
        <v>1653</v>
      </c>
      <c r="I26" s="5121">
        <v>69</v>
      </c>
      <c r="J26" s="5122" t="s">
        <v>1639</v>
      </c>
      <c r="K26" s="1842"/>
    </row>
    <row r="27" spans="1:21" ht="18" customHeight="1" thickTop="1" thickBot="1">
      <c r="A27" s="2963"/>
      <c r="B27" s="5115" t="s">
        <v>602</v>
      </c>
      <c r="C27" s="5118">
        <v>37</v>
      </c>
      <c r="D27" s="5119" t="s">
        <v>1555</v>
      </c>
      <c r="E27" s="5115" t="s">
        <v>1350</v>
      </c>
      <c r="F27" s="5118">
        <v>52</v>
      </c>
      <c r="G27" s="5119" t="s">
        <v>1549</v>
      </c>
      <c r="H27" s="5115" t="s">
        <v>582</v>
      </c>
      <c r="I27" s="5118">
        <v>87</v>
      </c>
      <c r="J27" s="5119" t="s">
        <v>1551</v>
      </c>
      <c r="K27" s="1846"/>
      <c r="L27" s="503"/>
      <c r="M27" s="373"/>
    </row>
    <row r="28" spans="1:21" ht="18" customHeight="1" thickTop="1" thickBot="1">
      <c r="A28" s="3394"/>
      <c r="B28" s="5115" t="s">
        <v>1654</v>
      </c>
      <c r="C28" s="5121">
        <v>12</v>
      </c>
      <c r="D28" s="5122" t="s">
        <v>1555</v>
      </c>
      <c r="E28" s="5115" t="s">
        <v>1655</v>
      </c>
      <c r="F28" s="5121">
        <v>26</v>
      </c>
      <c r="G28" s="5122" t="s">
        <v>1639</v>
      </c>
      <c r="H28" s="5115" t="s">
        <v>579</v>
      </c>
      <c r="I28" s="5121">
        <v>62</v>
      </c>
      <c r="J28" s="5122" t="s">
        <v>1656</v>
      </c>
      <c r="K28" s="1842"/>
    </row>
    <row r="29" spans="1:21" ht="18" customHeight="1" thickTop="1" thickBot="1">
      <c r="A29" s="3394"/>
      <c r="B29" s="5115" t="s">
        <v>1301</v>
      </c>
      <c r="C29" s="5118">
        <v>68</v>
      </c>
      <c r="D29" s="5119" t="s">
        <v>1548</v>
      </c>
      <c r="E29" s="5115" t="s">
        <v>1657</v>
      </c>
      <c r="F29" s="5123">
        <v>20</v>
      </c>
      <c r="G29" s="5123" t="s">
        <v>1550</v>
      </c>
      <c r="H29" s="5115" t="s">
        <v>533</v>
      </c>
      <c r="I29" s="5118">
        <v>76</v>
      </c>
      <c r="J29" s="5119" t="s">
        <v>1555</v>
      </c>
      <c r="K29" s="1842"/>
    </row>
    <row r="30" spans="1:21" ht="18" customHeight="1" thickTop="1" thickBot="1">
      <c r="A30" s="2963"/>
      <c r="B30" s="5115" t="s">
        <v>1301</v>
      </c>
      <c r="C30" s="5121">
        <v>24</v>
      </c>
      <c r="D30" s="5122" t="s">
        <v>1641</v>
      </c>
      <c r="E30" s="5115" t="s">
        <v>5</v>
      </c>
      <c r="F30" s="5121">
        <v>50</v>
      </c>
      <c r="G30" s="5122" t="s">
        <v>1555</v>
      </c>
      <c r="H30" s="5115" t="s">
        <v>599</v>
      </c>
      <c r="I30" s="5121">
        <v>18</v>
      </c>
      <c r="J30" s="5122" t="s">
        <v>1656</v>
      </c>
      <c r="K30" s="1843"/>
      <c r="U30" s="6">
        <f>3535+3150+900</f>
        <v>7585</v>
      </c>
    </row>
    <row r="31" spans="1:21" ht="18" customHeight="1" thickTop="1" thickBot="1">
      <c r="A31" s="2963"/>
      <c r="B31" s="5115" t="s">
        <v>1658</v>
      </c>
      <c r="C31" s="5118">
        <v>38</v>
      </c>
      <c r="D31" s="5119" t="s">
        <v>1644</v>
      </c>
      <c r="E31" s="5115" t="s">
        <v>570</v>
      </c>
      <c r="F31" s="5118">
        <v>134</v>
      </c>
      <c r="G31" s="5119" t="s">
        <v>1551</v>
      </c>
      <c r="H31" s="5115" t="s">
        <v>1659</v>
      </c>
      <c r="I31" s="5118">
        <v>42</v>
      </c>
      <c r="J31" s="5119" t="s">
        <v>1548</v>
      </c>
      <c r="K31" s="1843"/>
      <c r="L31" s="1874"/>
    </row>
    <row r="32" spans="1:21" ht="18" customHeight="1" thickTop="1" thickBot="1">
      <c r="A32" s="2963"/>
      <c r="B32" s="5115" t="s">
        <v>1660</v>
      </c>
      <c r="C32" s="5121">
        <v>30</v>
      </c>
      <c r="D32" s="5122" t="s">
        <v>1555</v>
      </c>
      <c r="E32" s="5115" t="s">
        <v>1367</v>
      </c>
      <c r="F32" s="5121">
        <v>94</v>
      </c>
      <c r="G32" s="5122" t="s">
        <v>1548</v>
      </c>
      <c r="H32" s="5115" t="s">
        <v>528</v>
      </c>
      <c r="I32" s="5121">
        <v>108</v>
      </c>
      <c r="J32" s="5122" t="s">
        <v>1550</v>
      </c>
      <c r="K32" s="1843"/>
    </row>
    <row r="33" spans="1:20" ht="18" customHeight="1" thickTop="1" thickBot="1">
      <c r="A33" s="2963"/>
      <c r="B33" s="5115" t="s">
        <v>1661</v>
      </c>
      <c r="C33" s="5118">
        <v>83</v>
      </c>
      <c r="D33" s="5119" t="s">
        <v>1549</v>
      </c>
      <c r="E33" s="5115" t="s">
        <v>720</v>
      </c>
      <c r="F33" s="5118">
        <v>158</v>
      </c>
      <c r="G33" s="5119" t="s">
        <v>1646</v>
      </c>
      <c r="H33" s="5115" t="s">
        <v>535</v>
      </c>
      <c r="I33" s="5118">
        <v>56</v>
      </c>
      <c r="J33" s="5119" t="s">
        <v>1549</v>
      </c>
      <c r="K33" s="1843"/>
      <c r="S33" s="3396" t="s">
        <v>1235</v>
      </c>
      <c r="T33" s="3396"/>
    </row>
    <row r="34" spans="1:20" ht="18" customHeight="1" thickTop="1" thickBot="1">
      <c r="A34" s="2963"/>
      <c r="B34" s="5115" t="s">
        <v>1662</v>
      </c>
      <c r="C34" s="5121">
        <v>38</v>
      </c>
      <c r="D34" s="5122" t="s">
        <v>1555</v>
      </c>
      <c r="E34" s="5115" t="s">
        <v>1663</v>
      </c>
      <c r="F34" s="5121">
        <v>65.5</v>
      </c>
      <c r="G34" s="5122" t="s">
        <v>1632</v>
      </c>
      <c r="H34" s="5115" t="s">
        <v>1664</v>
      </c>
      <c r="I34" s="5121" t="s">
        <v>1651</v>
      </c>
      <c r="J34" s="5122" t="s">
        <v>1651</v>
      </c>
      <c r="K34" s="1843"/>
      <c r="S34" s="3395" t="s">
        <v>1234</v>
      </c>
      <c r="T34" s="3395"/>
    </row>
    <row r="35" spans="1:20" ht="18" customHeight="1" thickTop="1" thickBot="1">
      <c r="A35" s="2963"/>
      <c r="B35" s="5115" t="s">
        <v>1665</v>
      </c>
      <c r="C35" s="5118">
        <v>36</v>
      </c>
      <c r="D35" s="5119" t="s">
        <v>1656</v>
      </c>
      <c r="E35" s="5115" t="s">
        <v>1666</v>
      </c>
      <c r="F35" s="5118">
        <v>26</v>
      </c>
      <c r="G35" s="5119" t="s">
        <v>1555</v>
      </c>
      <c r="H35" s="5115" t="s">
        <v>527</v>
      </c>
      <c r="I35" s="5118">
        <v>132</v>
      </c>
      <c r="J35" s="5119" t="s">
        <v>1667</v>
      </c>
      <c r="K35" s="1843"/>
      <c r="S35" s="3395" t="s">
        <v>1231</v>
      </c>
      <c r="T35" s="3395"/>
    </row>
    <row r="36" spans="1:20" ht="18" customHeight="1" thickTop="1" thickBot="1">
      <c r="A36" s="2963"/>
      <c r="B36" s="5115" t="s">
        <v>1668</v>
      </c>
      <c r="C36" s="5121">
        <v>72</v>
      </c>
      <c r="D36" s="5122" t="s">
        <v>1551</v>
      </c>
      <c r="E36" s="5115" t="s">
        <v>1146</v>
      </c>
      <c r="F36" s="5121">
        <v>49</v>
      </c>
      <c r="G36" s="5122" t="s">
        <v>1550</v>
      </c>
      <c r="H36" s="5115" t="s">
        <v>2</v>
      </c>
      <c r="I36" s="5121">
        <v>72</v>
      </c>
      <c r="J36" s="5122" t="s">
        <v>1632</v>
      </c>
      <c r="K36" s="1843"/>
      <c r="S36" s="3395" t="s">
        <v>1232</v>
      </c>
      <c r="T36" s="3395"/>
    </row>
    <row r="37" spans="1:20" ht="18" customHeight="1" thickTop="1" thickBot="1">
      <c r="A37" s="2963"/>
      <c r="B37" s="5115" t="s">
        <v>558</v>
      </c>
      <c r="C37" s="5118">
        <v>38</v>
      </c>
      <c r="D37" s="5119" t="s">
        <v>1548</v>
      </c>
      <c r="E37" s="5115" t="s">
        <v>1670</v>
      </c>
      <c r="F37" s="5118">
        <v>78</v>
      </c>
      <c r="G37" s="5119" t="s">
        <v>1551</v>
      </c>
      <c r="H37" s="5115" t="s">
        <v>1671</v>
      </c>
      <c r="I37" s="5118">
        <v>50</v>
      </c>
      <c r="J37" s="5119" t="s">
        <v>1551</v>
      </c>
      <c r="K37" s="1843"/>
      <c r="S37" s="3395" t="s">
        <v>1233</v>
      </c>
      <c r="T37" s="3395"/>
    </row>
    <row r="38" spans="1:20" ht="18" customHeight="1" thickTop="1" thickBot="1">
      <c r="A38" s="2963"/>
      <c r="B38" s="5115" t="s">
        <v>1349</v>
      </c>
      <c r="C38" s="5121">
        <v>16</v>
      </c>
      <c r="D38" s="5122" t="s">
        <v>1656</v>
      </c>
      <c r="E38" s="5115" t="s">
        <v>566</v>
      </c>
      <c r="F38" s="5121">
        <v>54</v>
      </c>
      <c r="G38" s="5122" t="s">
        <v>1632</v>
      </c>
      <c r="H38" s="5115" t="s">
        <v>891</v>
      </c>
      <c r="I38" s="5121">
        <v>49</v>
      </c>
      <c r="J38" s="5122" t="s">
        <v>1667</v>
      </c>
      <c r="K38" s="1844"/>
      <c r="L38" s="373"/>
      <c r="M38" s="373"/>
      <c r="S38" s="6" t="s">
        <v>1488</v>
      </c>
    </row>
    <row r="39" spans="1:20" ht="18" customHeight="1" thickTop="1" thickBot="1">
      <c r="A39" s="2963"/>
      <c r="B39" s="5115" t="s">
        <v>1672</v>
      </c>
      <c r="C39" s="5118">
        <v>0</v>
      </c>
      <c r="D39" s="5119" t="s">
        <v>1554</v>
      </c>
      <c r="E39" s="5115" t="s">
        <v>591</v>
      </c>
      <c r="F39" s="5118">
        <v>26</v>
      </c>
      <c r="G39" s="5119" t="s">
        <v>1656</v>
      </c>
      <c r="H39" s="5115" t="s">
        <v>1673</v>
      </c>
      <c r="I39" s="5118">
        <v>34</v>
      </c>
      <c r="J39" s="5119" t="s">
        <v>1656</v>
      </c>
      <c r="K39" s="1844"/>
      <c r="L39" s="373"/>
      <c r="M39" s="373"/>
      <c r="S39" s="6" t="s">
        <v>1489</v>
      </c>
    </row>
    <row r="40" spans="1:20" ht="18" customHeight="1" thickTop="1" thickBot="1">
      <c r="A40" s="2963"/>
      <c r="B40" s="5115" t="s">
        <v>1674</v>
      </c>
      <c r="C40" s="5121">
        <v>34.94</v>
      </c>
      <c r="D40" s="5122" t="s">
        <v>1555</v>
      </c>
      <c r="E40" s="5115" t="s">
        <v>532</v>
      </c>
      <c r="F40" s="5121">
        <v>76</v>
      </c>
      <c r="G40" s="5122" t="s">
        <v>1632</v>
      </c>
      <c r="H40" s="5115" t="s">
        <v>1675</v>
      </c>
      <c r="I40" s="5121">
        <v>25.7</v>
      </c>
      <c r="J40" s="5122" t="s">
        <v>1548</v>
      </c>
      <c r="K40" s="1845"/>
      <c r="L40" s="503"/>
      <c r="M40" s="373"/>
    </row>
    <row r="41" spans="1:20" ht="18" customHeight="1" thickTop="1" thickBot="1">
      <c r="A41" s="2963"/>
      <c r="B41" s="5115" t="s">
        <v>529</v>
      </c>
      <c r="C41" s="5118">
        <v>84</v>
      </c>
      <c r="D41" s="5119" t="s">
        <v>1676</v>
      </c>
      <c r="E41" s="5115" t="s">
        <v>534</v>
      </c>
      <c r="F41" s="5118">
        <v>64</v>
      </c>
      <c r="G41" s="5119" t="s">
        <v>1555</v>
      </c>
      <c r="H41" s="5115" t="s">
        <v>869</v>
      </c>
      <c r="I41" s="5118">
        <v>30</v>
      </c>
      <c r="J41" s="5119" t="s">
        <v>1555</v>
      </c>
      <c r="K41" s="1844"/>
      <c r="L41" s="373"/>
      <c r="M41" s="373"/>
    </row>
    <row r="42" spans="1:20" ht="18" customHeight="1" thickTop="1" thickBot="1">
      <c r="A42" s="2963"/>
      <c r="B42" s="5115" t="s">
        <v>1677</v>
      </c>
      <c r="C42" s="5121">
        <v>44</v>
      </c>
      <c r="D42" s="5122" t="s">
        <v>1656</v>
      </c>
      <c r="E42" s="5115" t="s">
        <v>569</v>
      </c>
      <c r="F42" s="5121">
        <v>45</v>
      </c>
      <c r="G42" s="5122" t="s">
        <v>1639</v>
      </c>
      <c r="H42" s="5115" t="s">
        <v>4</v>
      </c>
      <c r="I42" s="5121">
        <v>79</v>
      </c>
      <c r="J42" s="5122" t="s">
        <v>1551</v>
      </c>
      <c r="K42" s="1844"/>
      <c r="L42" s="373"/>
      <c r="M42" s="373"/>
    </row>
    <row r="43" spans="1:20" ht="18" customHeight="1" thickTop="1" thickBot="1">
      <c r="A43" s="2963"/>
      <c r="B43" s="5115" t="s">
        <v>1678</v>
      </c>
      <c r="C43" s="5118">
        <v>91</v>
      </c>
      <c r="D43" s="5119" t="s">
        <v>1551</v>
      </c>
      <c r="E43" s="5115" t="s">
        <v>1252</v>
      </c>
      <c r="F43" s="5118">
        <v>30</v>
      </c>
      <c r="G43" s="5119" t="s">
        <v>1709</v>
      </c>
      <c r="H43" s="5115" t="s">
        <v>606</v>
      </c>
      <c r="I43" s="5118">
        <v>139</v>
      </c>
      <c r="J43" s="5119" t="s">
        <v>1652</v>
      </c>
      <c r="K43" s="1844"/>
      <c r="L43" s="373"/>
      <c r="M43" s="373"/>
    </row>
    <row r="44" spans="1:20" ht="18" customHeight="1" thickTop="1" thickBot="1">
      <c r="A44" s="3394"/>
      <c r="B44" s="5115" t="s">
        <v>1679</v>
      </c>
      <c r="C44" s="5121">
        <v>90</v>
      </c>
      <c r="D44" s="5122" t="s">
        <v>1548</v>
      </c>
      <c r="E44" s="5115" t="s">
        <v>548</v>
      </c>
      <c r="F44" s="5121">
        <v>38</v>
      </c>
      <c r="G44" s="5122" t="s">
        <v>1652</v>
      </c>
      <c r="H44" s="5115" t="s">
        <v>598</v>
      </c>
      <c r="I44" s="5121">
        <v>65</v>
      </c>
      <c r="J44" s="5122" t="s">
        <v>1656</v>
      </c>
      <c r="K44" s="1844"/>
      <c r="L44" s="373"/>
      <c r="M44" s="373"/>
    </row>
    <row r="45" spans="1:20" ht="18" customHeight="1" thickTop="1" thickBot="1">
      <c r="A45" s="3394"/>
      <c r="B45" s="5115" t="s">
        <v>604</v>
      </c>
      <c r="C45" s="5118">
        <v>161</v>
      </c>
      <c r="D45" s="5119" t="s">
        <v>1553</v>
      </c>
      <c r="E45" s="5115" t="s">
        <v>1680</v>
      </c>
      <c r="F45" s="5118">
        <v>40</v>
      </c>
      <c r="G45" s="5119" t="s">
        <v>1652</v>
      </c>
      <c r="H45" s="5115" t="s">
        <v>1681</v>
      </c>
      <c r="I45" s="5118">
        <v>18</v>
      </c>
      <c r="J45" s="5119" t="s">
        <v>1555</v>
      </c>
      <c r="K45" s="1843"/>
    </row>
    <row r="46" spans="1:20" ht="18" customHeight="1" thickTop="1" thickBot="1">
      <c r="A46" s="3394"/>
      <c r="B46" s="5115" t="s">
        <v>1682</v>
      </c>
      <c r="C46" s="5121">
        <v>90</v>
      </c>
      <c r="D46" s="5122" t="s">
        <v>1683</v>
      </c>
      <c r="E46" s="5115" t="s">
        <v>1684</v>
      </c>
      <c r="F46" s="5121">
        <v>55</v>
      </c>
      <c r="G46" s="5122" t="s">
        <v>1548</v>
      </c>
      <c r="H46" s="5115" t="s">
        <v>592</v>
      </c>
      <c r="I46" s="5121">
        <v>83</v>
      </c>
      <c r="J46" s="5122" t="s">
        <v>1549</v>
      </c>
      <c r="K46" s="1843"/>
    </row>
    <row r="47" spans="1:20" ht="18" customHeight="1" thickTop="1" thickBot="1">
      <c r="A47" s="2963"/>
      <c r="B47" s="5115" t="s">
        <v>549</v>
      </c>
      <c r="C47" s="5124">
        <v>43</v>
      </c>
      <c r="D47" s="5125" t="s">
        <v>1548</v>
      </c>
      <c r="E47" s="5115" t="s">
        <v>556</v>
      </c>
      <c r="F47" s="5118">
        <v>50</v>
      </c>
      <c r="G47" s="5119" t="s">
        <v>1685</v>
      </c>
      <c r="H47" s="5115" t="s">
        <v>1315</v>
      </c>
      <c r="I47" s="5118">
        <v>42</v>
      </c>
      <c r="J47" s="5119" t="s">
        <v>1549</v>
      </c>
      <c r="K47" s="1843"/>
    </row>
    <row r="48" spans="1:20" ht="18" customHeight="1" thickTop="1" thickBot="1">
      <c r="A48" s="2963"/>
      <c r="B48" s="5115" t="s">
        <v>583</v>
      </c>
      <c r="C48" s="5126">
        <v>18</v>
      </c>
      <c r="D48" s="5127" t="s">
        <v>1548</v>
      </c>
      <c r="E48" s="5115" t="s">
        <v>898</v>
      </c>
      <c r="F48" s="5121" t="s">
        <v>1651</v>
      </c>
      <c r="G48" s="5122" t="s">
        <v>1651</v>
      </c>
      <c r="H48" s="5115" t="s">
        <v>577</v>
      </c>
      <c r="I48" s="5121">
        <v>37</v>
      </c>
      <c r="J48" s="5122" t="s">
        <v>1639</v>
      </c>
      <c r="K48" s="1843"/>
    </row>
    <row r="49" spans="1:20" ht="18" customHeight="1" thickTop="1" thickBot="1">
      <c r="A49" s="2963"/>
      <c r="B49" s="5115" t="s">
        <v>1686</v>
      </c>
      <c r="C49" s="5128">
        <v>42</v>
      </c>
      <c r="D49" s="5125" t="s">
        <v>1551</v>
      </c>
      <c r="E49" s="5115" t="s">
        <v>540</v>
      </c>
      <c r="F49" s="5118">
        <v>42</v>
      </c>
      <c r="G49" s="5119" t="s">
        <v>1632</v>
      </c>
      <c r="H49" s="5115" t="s">
        <v>1687</v>
      </c>
      <c r="I49" s="5118">
        <v>20</v>
      </c>
      <c r="J49" s="5119" t="s">
        <v>1639</v>
      </c>
      <c r="K49" s="1843"/>
      <c r="T49" s="6">
        <v>140</v>
      </c>
    </row>
    <row r="50" spans="1:20" ht="18" customHeight="1" thickTop="1" thickBot="1">
      <c r="A50" s="2963"/>
      <c r="B50" s="5115" t="s">
        <v>1688</v>
      </c>
      <c r="C50" s="5126">
        <v>30</v>
      </c>
      <c r="D50" s="5127" t="s">
        <v>1548</v>
      </c>
      <c r="E50" s="5115" t="s">
        <v>1689</v>
      </c>
      <c r="F50" s="5121">
        <v>26</v>
      </c>
      <c r="G50" s="5122" t="s">
        <v>1632</v>
      </c>
      <c r="H50" s="5115" t="s">
        <v>1690</v>
      </c>
      <c r="I50" s="5121">
        <v>13</v>
      </c>
      <c r="J50" s="5122" t="s">
        <v>1548</v>
      </c>
      <c r="K50" s="1843"/>
    </row>
    <row r="51" spans="1:20" ht="18" customHeight="1" thickTop="1" thickBot="1">
      <c r="A51" s="2963"/>
      <c r="B51" s="5115" t="s">
        <v>1691</v>
      </c>
      <c r="C51" s="5128">
        <v>18</v>
      </c>
      <c r="D51" s="5125" t="s">
        <v>1555</v>
      </c>
      <c r="E51" s="5115" t="s">
        <v>571</v>
      </c>
      <c r="F51" s="5118">
        <v>74</v>
      </c>
      <c r="G51" s="5119" t="s">
        <v>1639</v>
      </c>
      <c r="H51" s="5115"/>
      <c r="I51" s="5118"/>
      <c r="J51" s="5119"/>
      <c r="K51" s="1842"/>
    </row>
    <row r="52" spans="1:20" ht="18" customHeight="1" thickTop="1" thickBot="1">
      <c r="A52" s="2963"/>
      <c r="B52" s="5115" t="s">
        <v>554</v>
      </c>
      <c r="C52" s="5126">
        <v>130</v>
      </c>
      <c r="D52" s="5127" t="s">
        <v>1548</v>
      </c>
      <c r="E52" s="5115" t="s">
        <v>1692</v>
      </c>
      <c r="F52" s="5121" t="s">
        <v>1651</v>
      </c>
      <c r="G52" s="5122" t="s">
        <v>1651</v>
      </c>
      <c r="H52" s="5115"/>
      <c r="I52" s="5121"/>
      <c r="J52" s="5122"/>
      <c r="K52" s="1842"/>
    </row>
    <row r="53" spans="1:20" ht="18" customHeight="1" thickTop="1" thickBot="1">
      <c r="A53" s="3394"/>
      <c r="B53" s="5115" t="s">
        <v>550</v>
      </c>
      <c r="C53" s="5128">
        <v>65</v>
      </c>
      <c r="D53" s="5125" t="s">
        <v>1551</v>
      </c>
      <c r="E53" s="5115" t="s">
        <v>1325</v>
      </c>
      <c r="F53" s="5118">
        <v>31</v>
      </c>
      <c r="G53" s="5119" t="s">
        <v>1551</v>
      </c>
      <c r="H53" s="5115"/>
      <c r="I53" s="5118"/>
      <c r="J53" s="5119"/>
      <c r="K53" s="1842"/>
    </row>
    <row r="54" spans="1:20" ht="18" customHeight="1" thickTop="1" thickBot="1">
      <c r="A54" s="2963"/>
      <c r="B54" s="5115" t="s">
        <v>1693</v>
      </c>
      <c r="C54" s="5126">
        <v>73</v>
      </c>
      <c r="D54" s="5127" t="s">
        <v>1639</v>
      </c>
      <c r="E54" s="5115" t="s">
        <v>1694</v>
      </c>
      <c r="F54" s="5121">
        <v>0</v>
      </c>
      <c r="G54" s="5122" t="s">
        <v>1709</v>
      </c>
      <c r="H54" s="5115"/>
      <c r="I54" s="5121"/>
      <c r="J54" s="5122"/>
      <c r="K54" s="1842"/>
    </row>
    <row r="55" spans="1:20" ht="18" customHeight="1" thickTop="1" thickBot="1">
      <c r="A55" s="2963"/>
      <c r="B55" s="5115" t="s">
        <v>1695</v>
      </c>
      <c r="C55" s="5128">
        <v>58</v>
      </c>
      <c r="D55" s="5125" t="s">
        <v>1639</v>
      </c>
      <c r="E55" s="5115" t="s">
        <v>1696</v>
      </c>
      <c r="F55" s="5118">
        <v>57</v>
      </c>
      <c r="G55" s="5119" t="s">
        <v>1550</v>
      </c>
      <c r="H55" s="5115"/>
      <c r="I55" s="5118"/>
      <c r="J55" s="5119"/>
      <c r="K55" s="1842"/>
    </row>
    <row r="56" spans="1:20" ht="18" customHeight="1" thickTop="1" thickBot="1">
      <c r="A56" s="2963"/>
      <c r="B56" s="5115" t="s">
        <v>1697</v>
      </c>
      <c r="C56" s="5126">
        <v>88</v>
      </c>
      <c r="D56" s="5127" t="s">
        <v>1652</v>
      </c>
      <c r="E56" s="5115" t="s">
        <v>541</v>
      </c>
      <c r="F56" s="5121">
        <v>26</v>
      </c>
      <c r="G56" s="5122" t="s">
        <v>1709</v>
      </c>
      <c r="H56" s="5115"/>
      <c r="I56" s="5121"/>
      <c r="J56" s="5122"/>
      <c r="K56" s="1842"/>
    </row>
    <row r="57" spans="1:20" ht="18" customHeight="1" thickTop="1" thickBot="1">
      <c r="A57" s="2963"/>
      <c r="B57" s="5115" t="s">
        <v>560</v>
      </c>
      <c r="C57" s="5118">
        <v>132</v>
      </c>
      <c r="D57" s="5119" t="s">
        <v>1683</v>
      </c>
      <c r="E57" s="5115" t="s">
        <v>1355</v>
      </c>
      <c r="F57" s="5118">
        <v>40</v>
      </c>
      <c r="G57" s="5119" t="s">
        <v>1639</v>
      </c>
      <c r="H57" s="5115"/>
      <c r="I57" s="5118"/>
      <c r="J57" s="5119"/>
      <c r="K57" s="1842"/>
    </row>
    <row r="58" spans="1:20" ht="18" customHeight="1" thickTop="1" thickBot="1">
      <c r="A58" s="2963"/>
      <c r="B58" s="5115" t="s">
        <v>10</v>
      </c>
      <c r="C58" s="5121">
        <v>12</v>
      </c>
      <c r="D58" s="5122" t="s">
        <v>1549</v>
      </c>
      <c r="E58" s="5115" t="s">
        <v>1698</v>
      </c>
      <c r="F58" s="5121">
        <v>24</v>
      </c>
      <c r="G58" s="5122" t="s">
        <v>1639</v>
      </c>
      <c r="H58" s="5115"/>
      <c r="I58" s="5121"/>
      <c r="J58" s="5122"/>
      <c r="K58" s="1842"/>
    </row>
    <row r="59" spans="1:20" ht="18" customHeight="1" thickTop="1" thickBot="1">
      <c r="A59" s="2963"/>
      <c r="B59" s="5115" t="s">
        <v>564</v>
      </c>
      <c r="C59" s="5118">
        <v>85</v>
      </c>
      <c r="D59" s="5125" t="s">
        <v>1639</v>
      </c>
      <c r="E59" s="5115" t="s">
        <v>106</v>
      </c>
      <c r="F59" s="5118">
        <v>156</v>
      </c>
      <c r="G59" s="5119" t="s">
        <v>1656</v>
      </c>
      <c r="H59" s="5115"/>
      <c r="I59" s="5118"/>
      <c r="J59" s="5119"/>
      <c r="K59" s="1842"/>
    </row>
    <row r="60" spans="1:20" ht="17.25" thickTop="1" thickBot="1">
      <c r="A60" s="2964"/>
      <c r="B60" s="5115" t="s">
        <v>578</v>
      </c>
      <c r="C60" s="5121">
        <v>64</v>
      </c>
      <c r="D60" s="5127" t="s">
        <v>1555</v>
      </c>
      <c r="E60" s="5115" t="s">
        <v>1699</v>
      </c>
      <c r="F60" s="5121">
        <v>79</v>
      </c>
      <c r="G60" s="5122" t="s">
        <v>1555</v>
      </c>
      <c r="H60" s="5115"/>
      <c r="I60" s="5121"/>
      <c r="J60" s="5122"/>
      <c r="K60" s="1842"/>
    </row>
    <row r="61" spans="1:20" ht="17.25" thickTop="1" thickBot="1">
      <c r="A61" s="2963"/>
      <c r="B61" s="5115" t="s">
        <v>1700</v>
      </c>
      <c r="C61" s="5118" t="s">
        <v>1651</v>
      </c>
      <c r="D61" s="5125" t="s">
        <v>1651</v>
      </c>
      <c r="E61" s="5115" t="s">
        <v>1311</v>
      </c>
      <c r="F61" s="5118">
        <v>35</v>
      </c>
      <c r="G61" s="5119" t="s">
        <v>1551</v>
      </c>
      <c r="H61" s="5115"/>
      <c r="I61" s="5118"/>
      <c r="J61" s="5119"/>
      <c r="K61" s="1842"/>
    </row>
    <row r="62" spans="1:20" ht="17.25" thickTop="1" thickBot="1">
      <c r="A62" s="2964"/>
      <c r="B62" s="5115" t="s">
        <v>531</v>
      </c>
      <c r="C62" s="5121">
        <v>92</v>
      </c>
      <c r="D62" s="5127" t="s">
        <v>1555</v>
      </c>
      <c r="E62" s="5115" t="s">
        <v>561</v>
      </c>
      <c r="F62" s="5121">
        <v>28</v>
      </c>
      <c r="G62" s="5122" t="s">
        <v>1639</v>
      </c>
      <c r="H62" s="5115"/>
      <c r="I62" s="5121"/>
      <c r="J62" s="5122"/>
      <c r="K62" s="1842"/>
    </row>
    <row r="63" spans="1:20" ht="17.25" thickTop="1" thickBot="1">
      <c r="A63" s="373"/>
      <c r="B63" s="5115" t="s">
        <v>1251</v>
      </c>
      <c r="C63" s="5118">
        <v>38</v>
      </c>
      <c r="D63" s="5125" t="s">
        <v>1632</v>
      </c>
      <c r="E63" s="5115" t="s">
        <v>1701</v>
      </c>
      <c r="F63" s="5118">
        <v>103</v>
      </c>
      <c r="G63" s="5119" t="s">
        <v>1548</v>
      </c>
      <c r="H63" s="5115"/>
      <c r="I63" s="5118"/>
      <c r="J63" s="5119"/>
    </row>
    <row r="64" spans="1:20" ht="17.25" thickTop="1" thickBot="1">
      <c r="A64" s="373"/>
      <c r="B64" s="5115" t="s">
        <v>536</v>
      </c>
      <c r="C64" s="5121">
        <v>25</v>
      </c>
      <c r="D64" s="5127" t="s">
        <v>1555</v>
      </c>
      <c r="E64" s="5115" t="s">
        <v>563</v>
      </c>
      <c r="F64" s="5121">
        <v>84</v>
      </c>
      <c r="G64" s="5122" t="s">
        <v>1652</v>
      </c>
      <c r="H64" s="5115"/>
      <c r="I64" s="5121"/>
      <c r="J64" s="5122"/>
    </row>
    <row r="65" spans="1:10" ht="17.25" thickTop="1" thickBot="1">
      <c r="A65" s="373"/>
      <c r="B65" s="5115" t="s">
        <v>552</v>
      </c>
      <c r="C65" s="5129">
        <v>74</v>
      </c>
      <c r="D65" s="5125" t="s">
        <v>1548</v>
      </c>
      <c r="E65" s="5115" t="s">
        <v>1324</v>
      </c>
      <c r="F65" s="5118">
        <v>31.2</v>
      </c>
      <c r="G65" s="5119" t="s">
        <v>1548</v>
      </c>
      <c r="H65" s="5115"/>
      <c r="I65" s="5118"/>
      <c r="J65" s="5119"/>
    </row>
    <row r="66" spans="1:10" ht="17.25" thickTop="1" thickBot="1">
      <c r="A66" s="373"/>
      <c r="B66" s="5115" t="s">
        <v>1254</v>
      </c>
      <c r="C66" s="5121">
        <v>22</v>
      </c>
      <c r="D66" s="5122" t="s">
        <v>1639</v>
      </c>
      <c r="E66" s="5115" t="s">
        <v>1702</v>
      </c>
      <c r="F66" s="5121">
        <v>98</v>
      </c>
      <c r="G66" s="5122" t="s">
        <v>1656</v>
      </c>
      <c r="H66" s="5115"/>
      <c r="I66" s="5121"/>
      <c r="J66" s="5122"/>
    </row>
    <row r="67" spans="1:10" ht="17.25" thickTop="1" thickBot="1">
      <c r="A67" s="373"/>
      <c r="B67" s="5115" t="s">
        <v>1703</v>
      </c>
      <c r="C67" s="5129">
        <v>44</v>
      </c>
      <c r="D67" s="5125" t="s">
        <v>1639</v>
      </c>
      <c r="E67" s="5115" t="s">
        <v>1704</v>
      </c>
      <c r="F67" s="5118">
        <v>54.2</v>
      </c>
      <c r="G67" s="5119" t="s">
        <v>1548</v>
      </c>
      <c r="H67" s="5115"/>
      <c r="I67" s="5129"/>
      <c r="J67" s="5125"/>
    </row>
    <row r="68" spans="1:10" ht="17.25" thickTop="1" thickBot="1">
      <c r="A68" s="373"/>
      <c r="B68" s="5115" t="s">
        <v>537</v>
      </c>
      <c r="C68" s="5121">
        <v>66</v>
      </c>
      <c r="D68" s="5122" t="s">
        <v>1652</v>
      </c>
      <c r="E68" s="5115" t="s">
        <v>1705</v>
      </c>
      <c r="F68" s="5121">
        <v>57</v>
      </c>
      <c r="G68" s="5122" t="s">
        <v>1652</v>
      </c>
      <c r="H68" s="5115"/>
      <c r="I68" s="5121"/>
      <c r="J68" s="5122"/>
    </row>
    <row r="69" spans="1:10" ht="17.25" thickTop="1" thickBot="1">
      <c r="A69" s="373"/>
      <c r="B69" s="5115" t="s">
        <v>1161</v>
      </c>
      <c r="C69" s="5129">
        <v>12</v>
      </c>
      <c r="D69" s="5125" t="s">
        <v>1669</v>
      </c>
      <c r="E69" s="5115" t="s">
        <v>607</v>
      </c>
      <c r="F69" s="5129">
        <v>33</v>
      </c>
      <c r="G69" s="5125" t="s">
        <v>1551</v>
      </c>
      <c r="H69" s="5115"/>
      <c r="I69" s="5129"/>
      <c r="J69" s="5125"/>
    </row>
    <row r="70" spans="1:10" ht="17.25" thickTop="1" thickBot="1">
      <c r="A70" s="373"/>
      <c r="B70" s="5115" t="s">
        <v>575</v>
      </c>
      <c r="C70" s="5121">
        <v>62</v>
      </c>
      <c r="D70" s="5122" t="s">
        <v>1639</v>
      </c>
      <c r="E70" s="5115" t="s">
        <v>576</v>
      </c>
      <c r="F70" s="5121">
        <v>58</v>
      </c>
      <c r="G70" s="5122" t="s">
        <v>1652</v>
      </c>
      <c r="H70" s="5115"/>
      <c r="I70" s="5121"/>
      <c r="J70" s="5122"/>
    </row>
    <row r="71" spans="1:10" ht="17.25" thickTop="1" thickBot="1">
      <c r="B71" s="5115" t="s">
        <v>572</v>
      </c>
      <c r="C71" s="5129">
        <v>50</v>
      </c>
      <c r="D71" s="5125" t="s">
        <v>1548</v>
      </c>
      <c r="E71" s="5115" t="s">
        <v>600</v>
      </c>
      <c r="F71" s="5129">
        <v>67</v>
      </c>
      <c r="G71" s="5125" t="s">
        <v>1551</v>
      </c>
      <c r="H71" s="5115"/>
      <c r="I71" s="5129"/>
      <c r="J71" s="5125"/>
    </row>
    <row r="72" spans="1:10" ht="17.25" thickTop="1" thickBot="1">
      <c r="B72" s="5115" t="s">
        <v>551</v>
      </c>
      <c r="C72" s="5121" t="s">
        <v>1651</v>
      </c>
      <c r="D72" s="5122" t="s">
        <v>1651</v>
      </c>
      <c r="E72" s="5115" t="s">
        <v>1706</v>
      </c>
      <c r="F72" s="5121">
        <v>43</v>
      </c>
      <c r="G72" s="5122" t="s">
        <v>1551</v>
      </c>
      <c r="H72" s="5115"/>
      <c r="I72" s="5121"/>
      <c r="J72" s="5122"/>
    </row>
    <row r="73" spans="1:10" ht="17.25" thickTop="1" thickBot="1">
      <c r="B73" s="5115" t="s">
        <v>567</v>
      </c>
      <c r="C73" s="5129">
        <v>61</v>
      </c>
      <c r="D73" s="5125" t="s">
        <v>1639</v>
      </c>
      <c r="E73" s="5115" t="s">
        <v>555</v>
      </c>
      <c r="F73" s="5129">
        <v>51.9</v>
      </c>
      <c r="G73" s="5125" t="s">
        <v>1555</v>
      </c>
      <c r="H73" s="5115"/>
      <c r="I73" s="5129"/>
      <c r="J73" s="5125"/>
    </row>
    <row r="74" spans="1:10" ht="17.25" thickTop="1" thickBot="1">
      <c r="B74" s="5115" t="s">
        <v>103</v>
      </c>
      <c r="C74" s="5121">
        <v>42</v>
      </c>
      <c r="D74" s="5122" t="s">
        <v>1639</v>
      </c>
      <c r="E74" s="5115" t="s">
        <v>1391</v>
      </c>
      <c r="F74" s="5121">
        <v>10</v>
      </c>
      <c r="G74" s="5122" t="s">
        <v>1641</v>
      </c>
      <c r="H74" s="5115"/>
      <c r="I74" s="5121"/>
      <c r="J74" s="5122"/>
    </row>
    <row r="75" spans="1:10" ht="17.25" thickTop="1" thickBot="1">
      <c r="B75" s="5115" t="s">
        <v>1707</v>
      </c>
      <c r="C75" s="5129">
        <v>43</v>
      </c>
      <c r="D75" s="5125" t="s">
        <v>1656</v>
      </c>
      <c r="E75" s="5115" t="s">
        <v>596</v>
      </c>
      <c r="F75" s="5129">
        <v>88</v>
      </c>
      <c r="G75" s="5125" t="s">
        <v>1639</v>
      </c>
      <c r="H75" s="5115"/>
      <c r="I75" s="5129"/>
      <c r="J75" s="5125"/>
    </row>
    <row r="76" spans="1:10" ht="17.25" thickTop="1" thickBot="1">
      <c r="B76" s="5115" t="s">
        <v>127</v>
      </c>
      <c r="C76" s="5121">
        <v>96</v>
      </c>
      <c r="D76" s="5122" t="s">
        <v>1551</v>
      </c>
      <c r="E76" s="5115" t="s">
        <v>1364</v>
      </c>
      <c r="F76" s="5121">
        <v>38</v>
      </c>
      <c r="G76" s="5122" t="s">
        <v>1551</v>
      </c>
      <c r="H76" s="5115"/>
      <c r="I76" s="5121"/>
      <c r="J76" s="5122"/>
    </row>
    <row r="77" spans="1:10" ht="15.75" thickTop="1"/>
    <row r="78" spans="1:10">
      <c r="B78" s="363" t="s">
        <v>608</v>
      </c>
      <c r="C78" s="508"/>
      <c r="D78" s="1872"/>
      <c r="E78" s="1873" t="s">
        <v>378</v>
      </c>
      <c r="F78" s="508"/>
      <c r="G78" s="509" t="s">
        <v>609</v>
      </c>
      <c r="H78" s="451"/>
      <c r="I78" s="143"/>
      <c r="J78" s="143"/>
    </row>
    <row r="79" spans="1:10">
      <c r="B79" s="322" t="s">
        <v>380</v>
      </c>
      <c r="C79" s="474"/>
      <c r="D79" s="474"/>
      <c r="E79" s="1871" t="s">
        <v>380</v>
      </c>
      <c r="F79" s="474"/>
      <c r="G79" s="474" t="s">
        <v>610</v>
      </c>
      <c r="H79" s="451"/>
      <c r="I79" s="143"/>
      <c r="J79" s="143"/>
    </row>
    <row r="80" spans="1:10">
      <c r="I80" s="143"/>
      <c r="J80" s="143"/>
    </row>
    <row r="81" spans="2:10">
      <c r="B81" s="195" t="s">
        <v>611</v>
      </c>
      <c r="C81" s="464"/>
      <c r="D81" s="464" t="s">
        <v>18</v>
      </c>
      <c r="E81" s="464" t="s">
        <v>612</v>
      </c>
      <c r="F81" s="464"/>
      <c r="G81" s="195" t="s">
        <v>613</v>
      </c>
      <c r="H81" s="464"/>
      <c r="I81" s="143"/>
      <c r="J81" s="143"/>
    </row>
    <row r="82" spans="2:10">
      <c r="B82" s="195" t="s">
        <v>614</v>
      </c>
      <c r="C82" s="464"/>
      <c r="D82" s="451"/>
      <c r="E82" s="464" t="s">
        <v>615</v>
      </c>
      <c r="F82" s="464"/>
      <c r="G82" s="195" t="s">
        <v>616</v>
      </c>
      <c r="H82" s="464"/>
      <c r="I82" s="143"/>
      <c r="J82" s="143"/>
    </row>
    <row r="83" spans="2:10">
      <c r="B83" s="195" t="s">
        <v>617</v>
      </c>
      <c r="C83" s="464"/>
      <c r="D83" s="464"/>
      <c r="E83" t="s">
        <v>618</v>
      </c>
      <c r="F83" s="464"/>
      <c r="G83" s="195" t="s">
        <v>619</v>
      </c>
      <c r="H83" s="464"/>
      <c r="I83" s="143"/>
    </row>
    <row r="84" spans="2:10">
      <c r="B84" s="464" t="s">
        <v>620</v>
      </c>
      <c r="C84" s="464"/>
      <c r="D84" s="464"/>
      <c r="E84" s="464" t="s">
        <v>621</v>
      </c>
      <c r="F84" s="464"/>
      <c r="G84" s="464" t="s">
        <v>622</v>
      </c>
      <c r="H84" s="464"/>
      <c r="I84" s="143"/>
    </row>
    <row r="85" spans="2:10">
      <c r="B85" s="464" t="s">
        <v>623</v>
      </c>
      <c r="C85" s="464"/>
      <c r="D85" s="464"/>
      <c r="E85" t="s">
        <v>624</v>
      </c>
      <c r="F85" s="464"/>
      <c r="G85" s="461" t="s">
        <v>625</v>
      </c>
      <c r="H85" s="464"/>
    </row>
    <row r="86" spans="2:10">
      <c r="B86" s="464" t="s">
        <v>626</v>
      </c>
      <c r="C86" s="464"/>
      <c r="D86" s="464"/>
      <c r="E86" t="s">
        <v>627</v>
      </c>
      <c r="F86" s="464"/>
      <c r="G86" s="464" t="s">
        <v>628</v>
      </c>
      <c r="H86" s="195"/>
    </row>
    <row r="87" spans="2:10">
      <c r="B87" s="464" t="s">
        <v>629</v>
      </c>
      <c r="C87" s="464"/>
      <c r="D87" s="464"/>
      <c r="E87" s="464" t="s">
        <v>630</v>
      </c>
      <c r="F87" s="464"/>
      <c r="G87" s="461" t="s">
        <v>631</v>
      </c>
      <c r="H87" s="195"/>
    </row>
    <row r="88" spans="2:10">
      <c r="B88" s="464" t="s">
        <v>632</v>
      </c>
      <c r="C88" s="195"/>
      <c r="D88" s="195"/>
      <c r="E88" t="s">
        <v>633</v>
      </c>
      <c r="F88"/>
      <c r="G88" s="461" t="s">
        <v>634</v>
      </c>
      <c r="H88" s="195"/>
    </row>
    <row r="89" spans="2:10">
      <c r="B89" s="464" t="s">
        <v>635</v>
      </c>
      <c r="C89" s="195"/>
      <c r="D89" s="195"/>
      <c r="E89" t="s">
        <v>636</v>
      </c>
      <c r="F89" s="195"/>
      <c r="G89" s="461" t="s">
        <v>637</v>
      </c>
      <c r="H89" s="195"/>
    </row>
    <row r="90" spans="2:10" ht="15.75">
      <c r="B90" s="464" t="s">
        <v>638</v>
      </c>
      <c r="C90" s="195"/>
      <c r="D90" s="195"/>
      <c r="E90" t="s">
        <v>639</v>
      </c>
      <c r="F90" s="195"/>
      <c r="G90" s="461" t="s">
        <v>640</v>
      </c>
      <c r="H90" s="465"/>
    </row>
    <row r="91" spans="2:10">
      <c r="B91" s="464" t="s">
        <v>641</v>
      </c>
      <c r="C91" s="195"/>
      <c r="D91" s="195"/>
      <c r="E91" t="s">
        <v>642</v>
      </c>
      <c r="F91" s="195"/>
      <c r="G91" s="195"/>
      <c r="H91" s="143"/>
    </row>
  </sheetData>
  <customSheetViews>
    <customSheetView guid="{7C71EF2A-5ADA-494C-8F58-DDA71753DD90}" scale="120" showPageBreaks="1" printArea="1" topLeftCell="A30">
      <selection activeCell="B32" sqref="B32"/>
      <pageMargins left="0.8" right="0.12" top="0.17" bottom="0.15" header="0.19" footer="0.15"/>
      <pageSetup scale="57" orientation="portrait" horizontalDpi="4294967295" verticalDpi="4294967295" r:id="rId1"/>
    </customSheetView>
    <customSheetView guid="{B91C2E87-5EDA-40AE-AC27-0E2C17E803CE}" showPageBreaks="1" printArea="1">
      <selection sqref="A1:J73"/>
      <pageMargins left="0.55000000000000004" right="0.12" top="0.17" bottom="0.15" header="0.19" footer="0.15"/>
      <pageSetup scale="58" orientation="portrait" r:id="rId2"/>
    </customSheetView>
    <customSheetView guid="{23F4DC00-BC97-4745-AA5C-F05D469CB1EF}" showPageBreaks="1" printArea="1">
      <selection sqref="A1:J73"/>
      <pageMargins left="0.55000000000000004" right="0.12" top="0.17" bottom="0.15" header="0.19" footer="0.15"/>
      <pageSetup scale="63" orientation="portrait" r:id="rId3"/>
    </customSheetView>
    <customSheetView guid="{4593F3EE-0998-4E0E-994A-E02D6BAF3A4B}" showPageBreaks="1" printArea="1" topLeftCell="A43">
      <selection activeCell="H17" sqref="H17:I55"/>
      <pageMargins left="0.55000000000000004" right="0.12" top="0.17" bottom="0.15" header="0.19" footer="0.15"/>
      <pageSetup scale="62" orientation="portrait" r:id="rId4"/>
    </customSheetView>
    <customSheetView guid="{917057C8-5E5F-4164-B84C-85103677A2E5}">
      <selection sqref="A1:J73"/>
      <pageMargins left="0.55000000000000004" right="0.12" top="0.17" bottom="0.15" header="0.19" footer="0.15"/>
      <pageSetup scale="62" orientation="portrait" r:id="rId5"/>
    </customSheetView>
    <customSheetView guid="{5A803268-F6C5-4035-B3E1-A94CB9AA8994}" showPageBreaks="1" printArea="1">
      <selection sqref="A1:J73"/>
      <pageMargins left="0.55000000000000004" right="0.12" top="0.17" bottom="0.15" header="0.19" footer="0.15"/>
      <pageSetup scale="63" orientation="portrait" r:id="rId6"/>
    </customSheetView>
    <customSheetView guid="{751D391F-C74F-4B53-B5B5-25E01AC12EA4}" topLeftCell="A7">
      <selection sqref="A1:J73"/>
      <pageMargins left="0.8" right="0.12" top="0.17" bottom="0.15" header="0.19" footer="0.15"/>
      <pageSetup scale="53" orientation="portrait" horizontalDpi="4294967295" verticalDpi="4294967295" r:id="rId7"/>
    </customSheetView>
    <customSheetView guid="{D1D1E152-95AB-45D3-AC07-4EC0834D3E0C}" showPageBreaks="1" printArea="1" topLeftCell="A13">
      <selection sqref="A1:J73"/>
      <pageMargins left="0.8" right="0.12" top="0.17" bottom="0.15" header="0.19" footer="0.15"/>
      <pageSetup scale="53" orientation="portrait" horizontalDpi="4294967295" verticalDpi="4294967295" r:id="rId8"/>
    </customSheetView>
    <customSheetView guid="{4DB6C640-CE65-4513-9E5A-F6CDD1F4B8AF}" showPageBreaks="1" topLeftCell="A46">
      <selection activeCell="C17" sqref="C17:J66"/>
      <pageMargins left="0.8" right="0.12" top="0.17" bottom="0.15" header="0.19" footer="0.15"/>
      <pageSetup scale="54" orientation="portrait" horizontalDpi="4294967295" verticalDpi="4294967295" r:id="rId9"/>
    </customSheetView>
    <customSheetView guid="{C3348F62-02F2-4500-9BF2-19F2DEA57A8D}" showPageBreaks="1" printArea="1">
      <selection sqref="A1:J73"/>
      <pageMargins left="0.8" right="0.12" top="0.17" bottom="0.15" header="0.19" footer="0.15"/>
      <pageSetup scale="50" orientation="portrait" horizontalDpi="4294967295" verticalDpi="4294967295" r:id="rId10"/>
    </customSheetView>
  </customSheetViews>
  <pageMargins left="0.8" right="0.12" top="0.17" bottom="0.15" header="0.19" footer="0.15"/>
  <pageSetup scale="50" orientation="portrait" horizontalDpi="4294967295" verticalDpi="4294967295" r:id="rId1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0">
    <tabColor rgb="FFFF33CC"/>
  </sheetPr>
  <dimension ref="A1:BA115"/>
  <sheetViews>
    <sheetView zoomScale="80" zoomScaleNormal="85" workbookViewId="0">
      <selection sqref="A1:L108"/>
    </sheetView>
  </sheetViews>
  <sheetFormatPr defaultRowHeight="15"/>
  <cols>
    <col min="1" max="1" width="1.85546875" style="6" customWidth="1"/>
    <col min="2" max="2" width="23.5703125" style="602" customWidth="1"/>
    <col min="3" max="6" width="17.28515625" style="6" customWidth="1"/>
    <col min="7" max="7" width="21.42578125" style="602" customWidth="1"/>
    <col min="8" max="11" width="17.5703125" style="6" customWidth="1"/>
    <col min="12" max="12" width="8.85546875" style="6"/>
    <col min="13" max="13" width="13.28515625" style="6" customWidth="1"/>
    <col min="14" max="14" width="12.7109375" style="6" customWidth="1"/>
    <col min="15" max="15" width="10.7109375" style="6" customWidth="1"/>
    <col min="16" max="16" width="10.140625" style="6" customWidth="1"/>
    <col min="17" max="17" width="9.7109375" style="6" customWidth="1"/>
    <col min="18" max="18" width="9.85546875" style="6" customWidth="1"/>
    <col min="19" max="19" width="8" style="6" customWidth="1"/>
    <col min="20" max="20" width="9.85546875" style="6" customWidth="1"/>
    <col min="21" max="22" width="8.7109375" style="6" customWidth="1"/>
    <col min="23" max="23" width="9.28515625" style="6" customWidth="1"/>
    <col min="24" max="24" width="8.42578125" style="6" customWidth="1"/>
    <col min="25" max="25" width="13.140625" style="6" bestFit="1" customWidth="1"/>
    <col min="26" max="26" width="8.140625" style="6" customWidth="1"/>
    <col min="27" max="27" width="8.7109375" style="6" customWidth="1"/>
    <col min="28" max="29" width="8.28515625" style="6" customWidth="1"/>
    <col min="30" max="30" width="13.140625" style="6" bestFit="1" customWidth="1"/>
    <col min="31" max="31" width="9.5703125" style="6" customWidth="1"/>
    <col min="32" max="32" width="13" style="6" bestFit="1" customWidth="1"/>
    <col min="33" max="34" width="13.140625" style="6" bestFit="1" customWidth="1"/>
    <col min="35" max="35" width="8.7109375" style="6" customWidth="1"/>
    <col min="36" max="37" width="7.7109375" style="6" customWidth="1"/>
    <col min="38" max="41" width="10.5703125" style="6" bestFit="1" customWidth="1"/>
    <col min="42" max="43" width="10.28515625" style="6" customWidth="1"/>
    <col min="44" max="44" width="11.42578125" style="6" customWidth="1"/>
    <col min="45" max="45" width="11.140625" style="6" customWidth="1"/>
    <col min="46" max="46" width="10.7109375" style="6" customWidth="1"/>
    <col min="47" max="52" width="10.5703125" style="6" bestFit="1" customWidth="1"/>
    <col min="53" max="53" width="9.28515625" style="6" bestFit="1" customWidth="1"/>
    <col min="54" max="16384" width="9.140625" style="6"/>
  </cols>
  <sheetData>
    <row r="1" spans="1:53" ht="12" customHeight="1">
      <c r="A1" s="6" t="s">
        <v>1238</v>
      </c>
      <c r="B1" s="3090"/>
      <c r="D1" s="3091"/>
      <c r="E1" s="3091"/>
      <c r="F1" s="3091"/>
      <c r="G1" s="3091"/>
      <c r="H1" s="3091"/>
      <c r="I1" s="3091"/>
      <c r="J1" s="3090"/>
      <c r="K1" s="3090"/>
      <c r="L1" s="506"/>
    </row>
    <row r="2" spans="1:53" ht="22.9" customHeight="1">
      <c r="A2" s="373"/>
      <c r="B2" s="3092"/>
      <c r="C2" s="3553" t="s">
        <v>893</v>
      </c>
      <c r="D2" s="3092"/>
      <c r="E2" s="3092"/>
      <c r="F2" s="3092"/>
      <c r="G2" s="3092"/>
      <c r="H2" s="3092"/>
      <c r="I2" s="3092"/>
      <c r="J2" s="3805"/>
      <c r="K2" s="3805"/>
      <c r="L2" s="506"/>
      <c r="AR2" s="6">
        <v>219</v>
      </c>
    </row>
    <row r="3" spans="1:53" ht="21.6" customHeight="1">
      <c r="B3" s="3806" t="s">
        <v>150</v>
      </c>
      <c r="C3" s="3900">
        <f>'En-Curve'!S7</f>
        <v>43106</v>
      </c>
      <c r="D3" s="3807"/>
      <c r="E3" s="3807"/>
      <c r="F3" s="3807"/>
      <c r="G3" s="3807"/>
      <c r="H3" s="3807"/>
      <c r="I3" s="3807"/>
      <c r="J3" s="3807"/>
      <c r="K3" s="3808" t="s">
        <v>1389</v>
      </c>
      <c r="L3" s="506"/>
      <c r="M3" s="596"/>
    </row>
    <row r="4" spans="1:53" ht="16.899999999999999" customHeight="1" thickBot="1">
      <c r="B4" s="3806"/>
      <c r="C4" s="3809"/>
      <c r="D4" s="3807"/>
      <c r="E4" s="3807"/>
      <c r="F4" s="3807"/>
      <c r="G4" s="3807"/>
      <c r="H4" s="3807"/>
      <c r="I4" s="3807"/>
      <c r="J4" s="3807"/>
      <c r="K4" s="3807"/>
      <c r="L4" s="506"/>
      <c r="M4" s="596"/>
    </row>
    <row r="5" spans="1:53" s="2979" customFormat="1" ht="15.75" customHeight="1">
      <c r="A5" s="2977"/>
      <c r="B5" s="3022" t="s">
        <v>684</v>
      </c>
      <c r="C5" s="3023" t="s">
        <v>951</v>
      </c>
      <c r="D5" s="3024" t="s">
        <v>520</v>
      </c>
      <c r="E5" s="3024" t="s">
        <v>952</v>
      </c>
      <c r="F5" s="3025" t="s">
        <v>520</v>
      </c>
      <c r="G5" s="3026" t="s">
        <v>684</v>
      </c>
      <c r="H5" s="3027" t="s">
        <v>685</v>
      </c>
      <c r="I5" s="3024" t="s">
        <v>520</v>
      </c>
      <c r="J5" s="3024" t="s">
        <v>952</v>
      </c>
      <c r="K5" s="3025" t="s">
        <v>520</v>
      </c>
      <c r="L5" s="2978"/>
    </row>
    <row r="6" spans="1:53" s="2979" customFormat="1" ht="15.75" customHeight="1" thickBot="1">
      <c r="A6" s="2980"/>
      <c r="B6" s="3028"/>
      <c r="C6" s="3029"/>
      <c r="D6" s="3029"/>
      <c r="E6" s="3029" t="s">
        <v>686</v>
      </c>
      <c r="F6" s="3030"/>
      <c r="G6" s="3031"/>
      <c r="H6" s="3029" t="s">
        <v>686</v>
      </c>
      <c r="I6" s="3029"/>
      <c r="J6" s="3029" t="s">
        <v>686</v>
      </c>
      <c r="K6" s="3030"/>
      <c r="L6" s="2978"/>
      <c r="AA6" s="2981"/>
      <c r="AB6" s="2981"/>
      <c r="AC6" s="2982"/>
    </row>
    <row r="7" spans="1:53" s="2979" customFormat="1" ht="15.75" customHeight="1" thickTop="1" thickBot="1">
      <c r="A7" s="3093"/>
      <c r="B7" s="3032" t="s">
        <v>687</v>
      </c>
      <c r="C7" s="3033" t="s">
        <v>688</v>
      </c>
      <c r="D7" s="3033" t="s">
        <v>520</v>
      </c>
      <c r="E7" s="3033" t="s">
        <v>688</v>
      </c>
      <c r="F7" s="3033"/>
      <c r="G7" s="3032"/>
      <c r="H7" s="3033" t="s">
        <v>688</v>
      </c>
      <c r="I7" s="3033"/>
      <c r="J7" s="3033" t="s">
        <v>688</v>
      </c>
      <c r="K7" s="3033"/>
      <c r="L7" s="2978"/>
    </row>
    <row r="8" spans="1:53" s="2979" customFormat="1" ht="15.75" customHeight="1" thickBot="1">
      <c r="A8" s="2983"/>
      <c r="B8" s="4216" t="s">
        <v>689</v>
      </c>
      <c r="C8" s="3036">
        <f>AT13</f>
        <v>420</v>
      </c>
      <c r="D8" s="3423">
        <f>AU14</f>
        <v>0.54166666666666696</v>
      </c>
      <c r="E8" s="3036">
        <f>AT15</f>
        <v>411</v>
      </c>
      <c r="F8" s="3423">
        <f>AT16</f>
        <v>0.375</v>
      </c>
      <c r="G8" s="4216" t="s">
        <v>690</v>
      </c>
      <c r="H8" s="3034">
        <f>AW13</f>
        <v>418</v>
      </c>
      <c r="I8" s="3037">
        <f>AX14</f>
        <v>0.79166666666666696</v>
      </c>
      <c r="J8" s="4527">
        <f>AW15</f>
        <v>412</v>
      </c>
      <c r="K8" s="3035">
        <f>AW16</f>
        <v>0.95833333333333404</v>
      </c>
      <c r="L8" s="2978"/>
      <c r="N8" s="2982"/>
      <c r="O8" s="2982"/>
      <c r="P8" s="2982"/>
      <c r="Q8" s="2982"/>
      <c r="R8" s="2982"/>
      <c r="S8" s="2982"/>
      <c r="T8" s="2982"/>
      <c r="U8" s="2982"/>
      <c r="V8" s="2982"/>
      <c r="W8" s="2982"/>
      <c r="X8" s="2982"/>
      <c r="Y8" s="2982"/>
      <c r="Z8" s="2982"/>
      <c r="AA8" s="2982"/>
      <c r="AB8" s="2981"/>
      <c r="AC8" s="2984"/>
      <c r="AD8" s="2985"/>
      <c r="AE8" s="2982"/>
      <c r="AF8" s="2982"/>
      <c r="AG8" s="2982"/>
      <c r="AH8" s="2982"/>
      <c r="AI8" s="2982"/>
      <c r="AJ8" s="2982"/>
      <c r="AK8" s="2982"/>
      <c r="AL8" s="2982"/>
      <c r="AM8" s="2982"/>
      <c r="AN8" s="2982"/>
      <c r="AO8" s="2982"/>
      <c r="AP8" s="2982"/>
      <c r="AQ8" s="2982"/>
      <c r="AR8" s="2981"/>
      <c r="AS8" s="3233" t="s">
        <v>691</v>
      </c>
      <c r="AT8" s="3233" t="s">
        <v>689</v>
      </c>
      <c r="AU8" s="3234" t="s">
        <v>529</v>
      </c>
      <c r="AV8" s="3235" t="s">
        <v>896</v>
      </c>
      <c r="AW8" s="3236" t="s">
        <v>690</v>
      </c>
      <c r="AX8" s="3236" t="s">
        <v>537</v>
      </c>
      <c r="AY8" s="3236" t="s">
        <v>1210</v>
      </c>
    </row>
    <row r="9" spans="1:53" s="2979" customFormat="1" ht="15.75" customHeight="1">
      <c r="A9" s="2986"/>
      <c r="B9" s="4216" t="s">
        <v>691</v>
      </c>
      <c r="C9" s="3051">
        <f>AS13</f>
        <v>408</v>
      </c>
      <c r="D9" s="3424">
        <f>AT14</f>
        <v>0.77083333333333337</v>
      </c>
      <c r="E9" s="3039">
        <f>AS15</f>
        <v>394</v>
      </c>
      <c r="F9" s="3424">
        <f>AS16</f>
        <v>0.75</v>
      </c>
      <c r="G9" s="4217" t="s">
        <v>529</v>
      </c>
      <c r="H9" s="3039">
        <f>AU13</f>
        <v>406</v>
      </c>
      <c r="I9" s="3040">
        <f>AU14</f>
        <v>0.54166666666666696</v>
      </c>
      <c r="J9" s="4523">
        <f>AU15</f>
        <v>396</v>
      </c>
      <c r="K9" s="3038">
        <f>AU16</f>
        <v>0.5</v>
      </c>
      <c r="L9" s="2978"/>
      <c r="N9" s="2987"/>
      <c r="O9" s="5296" t="s">
        <v>692</v>
      </c>
      <c r="P9" s="5296"/>
      <c r="Q9" s="5296"/>
      <c r="R9" s="5296"/>
      <c r="S9" s="5296"/>
      <c r="T9" s="5296"/>
      <c r="U9" s="5296"/>
      <c r="V9" s="5296"/>
      <c r="W9" s="5296"/>
      <c r="X9" s="5296"/>
      <c r="Y9" s="5296"/>
      <c r="Z9" s="5296"/>
      <c r="AA9" s="5296"/>
      <c r="AB9" s="5296"/>
      <c r="AC9" s="5296"/>
      <c r="AD9" s="5296"/>
      <c r="AE9" s="5296"/>
      <c r="AF9" s="5296"/>
      <c r="AG9" s="5296"/>
      <c r="AH9" s="5296"/>
      <c r="AI9" s="5296"/>
      <c r="AJ9" s="5296"/>
      <c r="AK9" s="5296"/>
      <c r="AL9" s="5296"/>
      <c r="AM9" s="5296"/>
      <c r="AN9" s="5296"/>
      <c r="AO9" s="5296"/>
      <c r="AP9" s="5296"/>
      <c r="AQ9" s="2965"/>
      <c r="AR9" s="5297"/>
      <c r="AS9" s="5297"/>
      <c r="AT9" s="5297"/>
      <c r="AU9" s="2988" t="s">
        <v>693</v>
      </c>
      <c r="AV9" s="2988"/>
    </row>
    <row r="10" spans="1:53" s="2979" customFormat="1" ht="15.75" customHeight="1" thickBot="1">
      <c r="A10" s="2989"/>
      <c r="B10" s="4218" t="s">
        <v>896</v>
      </c>
      <c r="C10" s="3051">
        <f>AV13</f>
        <v>407</v>
      </c>
      <c r="D10" s="3424">
        <f>AV14</f>
        <v>0.16666666666666699</v>
      </c>
      <c r="E10" s="3051">
        <f>AV15</f>
        <v>400</v>
      </c>
      <c r="F10" s="3424">
        <f>AV16</f>
        <v>0.5</v>
      </c>
      <c r="G10" s="4218" t="s">
        <v>537</v>
      </c>
      <c r="H10" s="3051">
        <f>AX13</f>
        <v>411</v>
      </c>
      <c r="I10" s="3040">
        <v>0.625</v>
      </c>
      <c r="J10" s="3051">
        <f>AX15</f>
        <v>369</v>
      </c>
      <c r="K10" s="3038">
        <f>AX16</f>
        <v>0.33333333333333398</v>
      </c>
      <c r="L10" s="2978"/>
      <c r="N10" s="2990"/>
      <c r="O10" s="2966"/>
      <c r="P10" s="2966"/>
      <c r="Q10" s="2966"/>
      <c r="R10" s="2966"/>
      <c r="S10" s="2966"/>
      <c r="T10" s="2966"/>
      <c r="U10" s="2966"/>
      <c r="V10" s="2966"/>
      <c r="W10" s="2966"/>
      <c r="X10" s="2966"/>
      <c r="Y10" s="2966"/>
      <c r="Z10" s="2966"/>
      <c r="AA10" s="2966"/>
      <c r="AB10" s="2966"/>
      <c r="AC10" s="2966"/>
      <c r="AD10" s="2966"/>
      <c r="AE10" s="2966"/>
      <c r="AF10" s="2966"/>
      <c r="AG10" s="2966"/>
      <c r="AH10" s="2966"/>
      <c r="AI10" s="2966"/>
      <c r="AJ10" s="2966"/>
      <c r="AK10" s="2966"/>
      <c r="AL10" s="2966"/>
      <c r="AM10" s="2966"/>
      <c r="AN10" s="2966"/>
      <c r="AO10" s="2966"/>
      <c r="AP10" s="2966"/>
      <c r="AQ10" s="2965"/>
      <c r="AR10" s="2965"/>
      <c r="AS10" s="2965"/>
      <c r="AT10" s="2965"/>
      <c r="AU10" s="2988"/>
      <c r="AV10" s="2988"/>
    </row>
    <row r="11" spans="1:53" s="2979" customFormat="1" ht="15.75" customHeight="1" thickBot="1">
      <c r="A11" s="3237"/>
      <c r="B11" s="4219" t="s">
        <v>1210</v>
      </c>
      <c r="C11" s="5020">
        <f>AY13</f>
        <v>414</v>
      </c>
      <c r="D11" s="3425">
        <f>AZ14</f>
        <v>0.375</v>
      </c>
      <c r="E11" s="3041">
        <f>AY15</f>
        <v>0</v>
      </c>
      <c r="F11" s="3425">
        <v>4.1666666666666664E-2</v>
      </c>
      <c r="G11" s="4219"/>
      <c r="H11" s="3043"/>
      <c r="I11" s="3044"/>
      <c r="J11" s="3045"/>
      <c r="K11" s="3042"/>
      <c r="L11" s="2978"/>
      <c r="N11" s="2990"/>
      <c r="O11" s="2966"/>
      <c r="P11" s="2966"/>
      <c r="Q11" s="2966"/>
      <c r="R11" s="2966"/>
      <c r="S11" s="2966"/>
      <c r="T11" s="2966"/>
      <c r="U11" s="2966"/>
      <c r="V11" s="2966"/>
      <c r="W11" s="2966"/>
      <c r="X11" s="2966"/>
      <c r="Y11" s="2966"/>
      <c r="Z11" s="2966"/>
      <c r="AA11" s="2966"/>
      <c r="AB11" s="2966"/>
      <c r="AC11" s="2966"/>
      <c r="AD11" s="2966"/>
      <c r="AE11" s="2966"/>
      <c r="AF11" s="2966"/>
      <c r="AG11" s="2966"/>
      <c r="AH11" s="2966"/>
      <c r="AI11" s="2966"/>
      <c r="AJ11" s="2966"/>
      <c r="AK11" s="2966"/>
      <c r="AL11" s="2966"/>
      <c r="AM11" s="2966"/>
      <c r="AN11" s="2966"/>
      <c r="AO11" s="2966"/>
      <c r="AP11" s="2966"/>
      <c r="AQ11" s="3196"/>
      <c r="AR11" s="3196"/>
      <c r="AS11" s="3196"/>
      <c r="AT11" s="3196"/>
      <c r="AU11" s="2988"/>
      <c r="AV11" s="2988"/>
    </row>
    <row r="12" spans="1:53" s="2979" customFormat="1" ht="15.75" customHeight="1" thickTop="1" thickBot="1">
      <c r="A12" s="3094"/>
      <c r="B12" s="3048" t="s">
        <v>694</v>
      </c>
      <c r="C12" s="3046" t="s">
        <v>688</v>
      </c>
      <c r="D12" s="3426"/>
      <c r="E12" s="3046" t="s">
        <v>688</v>
      </c>
      <c r="F12" s="3426"/>
      <c r="G12" s="3048" t="s">
        <v>694</v>
      </c>
      <c r="H12" s="3046" t="s">
        <v>688</v>
      </c>
      <c r="I12" s="3047"/>
      <c r="J12" s="3049" t="s">
        <v>688</v>
      </c>
      <c r="K12" s="3047"/>
      <c r="L12" s="2978"/>
      <c r="N12" s="597" t="s">
        <v>695</v>
      </c>
      <c r="O12" s="2967" t="s">
        <v>542</v>
      </c>
      <c r="P12" s="2967" t="s">
        <v>103</v>
      </c>
      <c r="Q12" s="2967" t="s">
        <v>557</v>
      </c>
      <c r="R12" s="2967" t="s">
        <v>104</v>
      </c>
      <c r="S12" s="2967" t="s">
        <v>696</v>
      </c>
      <c r="T12" s="2968" t="s">
        <v>602</v>
      </c>
      <c r="U12" s="2968" t="s">
        <v>565</v>
      </c>
      <c r="V12" s="2968" t="s">
        <v>55</v>
      </c>
      <c r="W12" s="2968" t="s">
        <v>697</v>
      </c>
      <c r="X12" s="2968" t="s">
        <v>698</v>
      </c>
      <c r="Y12" s="2968" t="s">
        <v>699</v>
      </c>
      <c r="Z12" s="2968" t="s">
        <v>551</v>
      </c>
      <c r="AA12" s="2968" t="s">
        <v>700</v>
      </c>
      <c r="AB12" s="2968" t="s">
        <v>592</v>
      </c>
      <c r="AC12" s="2968" t="s">
        <v>547</v>
      </c>
      <c r="AD12" s="2968" t="s">
        <v>701</v>
      </c>
      <c r="AE12" s="2968" t="s">
        <v>702</v>
      </c>
      <c r="AF12" s="2968" t="s">
        <v>536</v>
      </c>
      <c r="AG12" s="2968" t="s">
        <v>2</v>
      </c>
      <c r="AH12" s="2968" t="s">
        <v>556</v>
      </c>
      <c r="AI12" s="2968" t="s">
        <v>703</v>
      </c>
      <c r="AJ12" s="3950" t="s">
        <v>56</v>
      </c>
      <c r="AK12" s="3950" t="s">
        <v>1313</v>
      </c>
      <c r="AL12" s="2968" t="s">
        <v>704</v>
      </c>
      <c r="AM12" s="2968" t="s">
        <v>604</v>
      </c>
      <c r="AN12" s="2968" t="s">
        <v>1161</v>
      </c>
      <c r="AO12" s="2968" t="s">
        <v>895</v>
      </c>
      <c r="AP12" s="2969" t="s">
        <v>529</v>
      </c>
      <c r="AQ12" s="2968" t="s">
        <v>899</v>
      </c>
      <c r="AR12" s="2970" t="s">
        <v>705</v>
      </c>
      <c r="AS12" s="2971" t="s">
        <v>691</v>
      </c>
      <c r="AT12" s="2972" t="s">
        <v>689</v>
      </c>
      <c r="AU12" s="2973" t="s">
        <v>529</v>
      </c>
      <c r="AV12" s="2974" t="s">
        <v>896</v>
      </c>
      <c r="AW12" s="2975" t="s">
        <v>690</v>
      </c>
      <c r="AX12" s="3236" t="s">
        <v>537</v>
      </c>
      <c r="AY12" s="3236" t="s">
        <v>1210</v>
      </c>
      <c r="AZ12" s="3236" t="s">
        <v>527</v>
      </c>
      <c r="BA12" s="4699" t="s">
        <v>1368</v>
      </c>
    </row>
    <row r="13" spans="1:53" s="2979" customFormat="1" ht="15.75" customHeight="1" thickTop="1" thickBot="1">
      <c r="A13" s="2991"/>
      <c r="B13" s="4216" t="s">
        <v>542</v>
      </c>
      <c r="C13" s="3050">
        <f>O13</f>
        <v>248</v>
      </c>
      <c r="D13" s="3427">
        <f>O14</f>
        <v>0.91666666666666696</v>
      </c>
      <c r="E13" s="5066">
        <f>O15</f>
        <v>244</v>
      </c>
      <c r="F13" s="3429">
        <f>O16</f>
        <v>0.54166666666666696</v>
      </c>
      <c r="G13" s="4216" t="s">
        <v>567</v>
      </c>
      <c r="H13" s="3039">
        <f>AD13</f>
        <v>245</v>
      </c>
      <c r="I13" s="3428">
        <f>AD14</f>
        <v>0.375</v>
      </c>
      <c r="J13" s="5171">
        <f>AD15</f>
        <v>236</v>
      </c>
      <c r="K13" s="3422">
        <f>AD16</f>
        <v>0.20833333333333401</v>
      </c>
      <c r="L13" s="2978"/>
      <c r="N13" s="2976" t="s">
        <v>706</v>
      </c>
      <c r="O13" s="4528">
        <v>248</v>
      </c>
      <c r="P13" s="4529">
        <v>247</v>
      </c>
      <c r="Q13" s="4529">
        <v>252</v>
      </c>
      <c r="R13" s="4529">
        <v>244</v>
      </c>
      <c r="S13" s="4529">
        <v>243</v>
      </c>
      <c r="T13" s="4529">
        <v>238</v>
      </c>
      <c r="U13" s="4529">
        <v>244</v>
      </c>
      <c r="V13" s="4529">
        <v>244</v>
      </c>
      <c r="W13" s="4529">
        <v>249</v>
      </c>
      <c r="X13" s="4529">
        <v>240</v>
      </c>
      <c r="Y13" s="4529">
        <v>243</v>
      </c>
      <c r="Z13" s="4529">
        <v>245</v>
      </c>
      <c r="AA13" s="4529">
        <v>246</v>
      </c>
      <c r="AB13" s="4604">
        <v>242</v>
      </c>
      <c r="AC13" s="4529">
        <v>243</v>
      </c>
      <c r="AD13" s="4529">
        <v>245</v>
      </c>
      <c r="AE13" s="4529">
        <v>249</v>
      </c>
      <c r="AF13" s="4529">
        <v>247</v>
      </c>
      <c r="AG13" s="4529">
        <v>245</v>
      </c>
      <c r="AH13" s="4529">
        <v>243</v>
      </c>
      <c r="AI13" s="4529">
        <v>245</v>
      </c>
      <c r="AJ13" s="4529">
        <v>245</v>
      </c>
      <c r="AK13" s="4529">
        <v>247</v>
      </c>
      <c r="AL13" s="4529">
        <v>244</v>
      </c>
      <c r="AM13" s="4529">
        <v>245</v>
      </c>
      <c r="AN13" s="4529">
        <v>244</v>
      </c>
      <c r="AO13" s="4529">
        <v>248</v>
      </c>
      <c r="AP13" s="4529">
        <v>246</v>
      </c>
      <c r="AQ13" s="4529">
        <v>345</v>
      </c>
      <c r="AR13" s="4529">
        <v>244</v>
      </c>
      <c r="AS13" s="4529">
        <v>408</v>
      </c>
      <c r="AT13" s="4529">
        <v>420</v>
      </c>
      <c r="AU13" s="4529">
        <v>406</v>
      </c>
      <c r="AV13" s="4529">
        <v>407</v>
      </c>
      <c r="AW13" s="4529">
        <v>418</v>
      </c>
      <c r="AX13" s="4529">
        <v>411</v>
      </c>
      <c r="AY13" s="4529">
        <v>414</v>
      </c>
      <c r="AZ13" s="4529">
        <v>244</v>
      </c>
      <c r="BA13" s="4529">
        <v>243</v>
      </c>
    </row>
    <row r="14" spans="1:53" s="2979" customFormat="1" ht="15.75" customHeight="1" thickBot="1">
      <c r="A14" s="2992"/>
      <c r="B14" s="4217" t="s">
        <v>103</v>
      </c>
      <c r="C14" s="3051">
        <f>P13</f>
        <v>247</v>
      </c>
      <c r="D14" s="3428">
        <f>P14</f>
        <v>0.16666666666666699</v>
      </c>
      <c r="E14" s="3051">
        <f>P15</f>
        <v>239</v>
      </c>
      <c r="F14" s="3428">
        <f>P16</f>
        <v>0.33333333333333398</v>
      </c>
      <c r="G14" s="4217" t="s">
        <v>525</v>
      </c>
      <c r="H14" s="3051">
        <f>AE13</f>
        <v>249</v>
      </c>
      <c r="I14" s="3428">
        <f>AF14</f>
        <v>0.58333333333333404</v>
      </c>
      <c r="J14" s="3039">
        <f>AE15</f>
        <v>246</v>
      </c>
      <c r="K14" s="3422">
        <f>AE16</f>
        <v>8.3333333333333703E-2</v>
      </c>
      <c r="L14" s="2978"/>
      <c r="N14" s="2976" t="s">
        <v>708</v>
      </c>
      <c r="O14" s="4530">
        <v>0.91666666666666696</v>
      </c>
      <c r="P14" s="4531">
        <v>0.16666666666666699</v>
      </c>
      <c r="Q14" s="4531">
        <v>0.58333333333333404</v>
      </c>
      <c r="R14" s="4531">
        <v>0.16666666666666699</v>
      </c>
      <c r="S14" s="4531">
        <v>0.16666666666666699</v>
      </c>
      <c r="T14" s="4531">
        <v>0.125</v>
      </c>
      <c r="U14" s="4531">
        <v>4.1666666666666664E-2</v>
      </c>
      <c r="V14" s="4531">
        <v>4.1666666666666664E-2</v>
      </c>
      <c r="W14" s="4531">
        <v>0.16666666666666699</v>
      </c>
      <c r="X14" s="4531">
        <v>0.33333333333333398</v>
      </c>
      <c r="Y14" s="4531">
        <v>0.70833333333333404</v>
      </c>
      <c r="Z14" s="4531">
        <v>0.375</v>
      </c>
      <c r="AA14" s="4531">
        <v>0.77083333333333337</v>
      </c>
      <c r="AB14" s="4531">
        <v>4.1666666666666664E-2</v>
      </c>
      <c r="AC14" s="4531">
        <v>4.1666666666666664E-2</v>
      </c>
      <c r="AD14" s="4531">
        <v>0.375</v>
      </c>
      <c r="AE14" s="4531">
        <v>0.29166666666666702</v>
      </c>
      <c r="AF14" s="4531">
        <v>0.58333333333333404</v>
      </c>
      <c r="AG14" s="4531">
        <v>0.33333333333333398</v>
      </c>
      <c r="AH14" s="4531">
        <v>0.375</v>
      </c>
      <c r="AI14" s="4531">
        <v>0.16666666666666699</v>
      </c>
      <c r="AJ14" s="4531">
        <v>0.70833333333333404</v>
      </c>
      <c r="AK14" s="4531">
        <v>0.16666666666666699</v>
      </c>
      <c r="AL14" s="4531">
        <v>0.54166666666666696</v>
      </c>
      <c r="AM14" s="4531">
        <v>0.375</v>
      </c>
      <c r="AN14" s="4531">
        <v>0.375</v>
      </c>
      <c r="AO14" s="4531">
        <v>0.54166666666666696</v>
      </c>
      <c r="AP14" s="4531">
        <v>0.54166666666666696</v>
      </c>
      <c r="AQ14" s="4531" t="s">
        <v>24</v>
      </c>
      <c r="AR14" s="4531">
        <v>0.75</v>
      </c>
      <c r="AS14" s="4531" t="s">
        <v>24</v>
      </c>
      <c r="AT14" s="4531">
        <v>0.77083333333333337</v>
      </c>
      <c r="AU14" s="4531">
        <v>0.54166666666666696</v>
      </c>
      <c r="AV14" s="4531">
        <v>0.16666666666666699</v>
      </c>
      <c r="AW14" s="4531">
        <v>0.54166666666666696</v>
      </c>
      <c r="AX14" s="4531">
        <v>0.79166666666666696</v>
      </c>
      <c r="AY14" s="4531" t="s">
        <v>24</v>
      </c>
      <c r="AZ14" s="4531">
        <v>0.375</v>
      </c>
      <c r="BA14" s="4531">
        <v>0.91666666666666696</v>
      </c>
    </row>
    <row r="15" spans="1:53" s="2979" customFormat="1" ht="15.75" customHeight="1" thickBot="1">
      <c r="A15" s="2992"/>
      <c r="B15" s="4218" t="s">
        <v>557</v>
      </c>
      <c r="C15" s="4523">
        <f>Q13</f>
        <v>252</v>
      </c>
      <c r="D15" s="3428">
        <f>Q14</f>
        <v>0.58333333333333404</v>
      </c>
      <c r="E15" s="3039">
        <f>Q15</f>
        <v>248</v>
      </c>
      <c r="F15" s="3428" t="str">
        <f>Q16</f>
        <v>24:00</v>
      </c>
      <c r="G15" s="4602" t="s">
        <v>536</v>
      </c>
      <c r="H15" s="4714">
        <f>AF13</f>
        <v>247</v>
      </c>
      <c r="I15" s="3428">
        <f>AG14</f>
        <v>0.33333333333333398</v>
      </c>
      <c r="J15" s="3039">
        <f>AF15</f>
        <v>244</v>
      </c>
      <c r="K15" s="3422">
        <f>AF16</f>
        <v>0.25</v>
      </c>
      <c r="L15" s="2978"/>
      <c r="N15" s="598" t="s">
        <v>131</v>
      </c>
      <c r="O15" s="4532">
        <v>244</v>
      </c>
      <c r="P15" s="4533">
        <v>239</v>
      </c>
      <c r="Q15" s="4533">
        <v>248</v>
      </c>
      <c r="R15" s="4533">
        <v>241</v>
      </c>
      <c r="S15" s="4533">
        <v>237</v>
      </c>
      <c r="T15" s="4533">
        <v>232</v>
      </c>
      <c r="U15" s="4533">
        <v>236</v>
      </c>
      <c r="V15" s="4533">
        <v>234</v>
      </c>
      <c r="W15" s="4533">
        <v>237</v>
      </c>
      <c r="X15" s="4533">
        <v>237</v>
      </c>
      <c r="Y15" s="4533">
        <v>239</v>
      </c>
      <c r="Z15" s="4533">
        <v>240</v>
      </c>
      <c r="AA15" s="4533">
        <v>242</v>
      </c>
      <c r="AB15" s="4533">
        <v>237</v>
      </c>
      <c r="AC15" s="4533">
        <v>240</v>
      </c>
      <c r="AD15" s="4533">
        <v>236</v>
      </c>
      <c r="AE15" s="4533">
        <v>246</v>
      </c>
      <c r="AF15" s="4533">
        <v>244</v>
      </c>
      <c r="AG15" s="4533">
        <v>241</v>
      </c>
      <c r="AH15" s="4533">
        <v>240</v>
      </c>
      <c r="AI15" s="4533">
        <v>241</v>
      </c>
      <c r="AJ15" s="4533">
        <v>239</v>
      </c>
      <c r="AK15" s="4533">
        <v>244</v>
      </c>
      <c r="AL15" s="4533">
        <v>234</v>
      </c>
      <c r="AM15" s="4533">
        <v>237</v>
      </c>
      <c r="AN15" s="4533">
        <v>236</v>
      </c>
      <c r="AO15" s="4533">
        <v>240</v>
      </c>
      <c r="AP15" s="4533">
        <v>240</v>
      </c>
      <c r="AQ15" s="4533">
        <v>245</v>
      </c>
      <c r="AR15" s="4533">
        <v>240</v>
      </c>
      <c r="AS15" s="4533">
        <v>394</v>
      </c>
      <c r="AT15" s="4533">
        <v>411</v>
      </c>
      <c r="AU15" s="4533">
        <v>396</v>
      </c>
      <c r="AV15" s="4533">
        <v>400</v>
      </c>
      <c r="AW15" s="4533">
        <v>412</v>
      </c>
      <c r="AX15" s="4533">
        <v>369</v>
      </c>
      <c r="AY15" s="4533">
        <v>0</v>
      </c>
      <c r="AZ15" s="4533">
        <v>239</v>
      </c>
      <c r="BA15" s="4533">
        <v>235</v>
      </c>
    </row>
    <row r="16" spans="1:53" s="2979" customFormat="1" ht="15.75" customHeight="1" thickBot="1">
      <c r="A16" s="2992"/>
      <c r="B16" s="4219" t="s">
        <v>104</v>
      </c>
      <c r="C16" s="3039">
        <f>R13</f>
        <v>244</v>
      </c>
      <c r="D16" s="3428">
        <f>R14</f>
        <v>0.16666666666666699</v>
      </c>
      <c r="E16" s="3039">
        <f>R15</f>
        <v>241</v>
      </c>
      <c r="F16" s="3428">
        <f>R16</f>
        <v>0.33333333333333398</v>
      </c>
      <c r="G16" s="4602" t="s">
        <v>2</v>
      </c>
      <c r="H16" s="3039">
        <f>AG13</f>
        <v>245</v>
      </c>
      <c r="I16" s="3428">
        <f>AH14</f>
        <v>0.375</v>
      </c>
      <c r="J16" s="3039">
        <f>AG15</f>
        <v>241</v>
      </c>
      <c r="K16" s="3422">
        <f>AG16</f>
        <v>0.45833333333333398</v>
      </c>
      <c r="L16" s="2978"/>
      <c r="N16" s="599" t="s">
        <v>708</v>
      </c>
      <c r="O16" s="4534">
        <v>0.54166666666666696</v>
      </c>
      <c r="P16" s="4535">
        <v>0.33333333333333398</v>
      </c>
      <c r="Q16" s="4535" t="s">
        <v>24</v>
      </c>
      <c r="R16" s="4535">
        <v>0.33333333333333398</v>
      </c>
      <c r="S16" s="4535">
        <v>0.33333333333333398</v>
      </c>
      <c r="T16" s="4535">
        <v>0.5</v>
      </c>
      <c r="U16" s="4535">
        <v>0.5</v>
      </c>
      <c r="V16" s="4535">
        <v>0.375</v>
      </c>
      <c r="W16" s="4535">
        <v>0.33333333333333398</v>
      </c>
      <c r="X16" s="4535">
        <v>0.5</v>
      </c>
      <c r="Y16" s="4535">
        <v>0.45833333333333398</v>
      </c>
      <c r="Z16" s="4535">
        <v>0.45833333333333398</v>
      </c>
      <c r="AA16" s="4535">
        <v>0.5</v>
      </c>
      <c r="AB16" s="4535">
        <v>0.8125</v>
      </c>
      <c r="AC16" s="4535">
        <v>0.25</v>
      </c>
      <c r="AD16" s="4535">
        <v>0.20833333333333401</v>
      </c>
      <c r="AE16" s="4535">
        <v>8.3333333333333703E-2</v>
      </c>
      <c r="AF16" s="4535">
        <v>0.25</v>
      </c>
      <c r="AG16" s="4535">
        <v>0.45833333333333398</v>
      </c>
      <c r="AH16" s="4535">
        <v>0.25</v>
      </c>
      <c r="AI16" s="4535">
        <v>0.5</v>
      </c>
      <c r="AJ16" s="4535">
        <v>0.5</v>
      </c>
      <c r="AK16" s="4535">
        <v>0.41666666666666702</v>
      </c>
      <c r="AL16" s="4535">
        <v>0.25</v>
      </c>
      <c r="AM16" s="4535">
        <v>0.625</v>
      </c>
      <c r="AN16" s="4535">
        <v>0.66666666666666696</v>
      </c>
      <c r="AO16" s="4535">
        <v>0.29166666666666702</v>
      </c>
      <c r="AP16" s="4535">
        <v>0.5</v>
      </c>
      <c r="AQ16" s="4535">
        <v>0.5</v>
      </c>
      <c r="AR16" s="4535">
        <v>0.33333333333333398</v>
      </c>
      <c r="AS16" s="4535">
        <v>0.75</v>
      </c>
      <c r="AT16" s="4535">
        <v>0.375</v>
      </c>
      <c r="AU16" s="4535">
        <v>0.5</v>
      </c>
      <c r="AV16" s="4535">
        <v>0.5</v>
      </c>
      <c r="AW16" s="4535">
        <v>0.95833333333333404</v>
      </c>
      <c r="AX16" s="4536">
        <v>0.33333333333333398</v>
      </c>
      <c r="AY16" s="4535">
        <v>4.1666666666666997E-2</v>
      </c>
      <c r="AZ16" s="4535">
        <v>0.91666666666666696</v>
      </c>
      <c r="BA16" s="4535">
        <v>0.33333333333333398</v>
      </c>
    </row>
    <row r="17" spans="1:52" s="2979" customFormat="1" ht="15.75" customHeight="1">
      <c r="A17" s="2992"/>
      <c r="B17" s="4216" t="s">
        <v>696</v>
      </c>
      <c r="C17" s="3051">
        <f>S13</f>
        <v>243</v>
      </c>
      <c r="D17" s="3428">
        <f>S14</f>
        <v>0.16666666666666699</v>
      </c>
      <c r="E17" s="3039">
        <f>S15</f>
        <v>237</v>
      </c>
      <c r="F17" s="3428">
        <f>S16</f>
        <v>0.33333333333333398</v>
      </c>
      <c r="G17" s="4602" t="s">
        <v>556</v>
      </c>
      <c r="H17" s="3039">
        <f>AH13</f>
        <v>243</v>
      </c>
      <c r="I17" s="3428">
        <f>AH14</f>
        <v>0.375</v>
      </c>
      <c r="J17" s="3051">
        <f>AH15</f>
        <v>240</v>
      </c>
      <c r="K17" s="3422">
        <f>AH16</f>
        <v>0.25</v>
      </c>
      <c r="L17" s="2978"/>
    </row>
    <row r="18" spans="1:52" s="2979" customFormat="1" ht="15.75" customHeight="1">
      <c r="A18" s="2992"/>
      <c r="B18" s="4219" t="s">
        <v>602</v>
      </c>
      <c r="C18" s="3051">
        <f>T13</f>
        <v>238</v>
      </c>
      <c r="D18" s="3428">
        <f>T14</f>
        <v>0.125</v>
      </c>
      <c r="E18" s="4523">
        <f>T15</f>
        <v>232</v>
      </c>
      <c r="F18" s="3428">
        <f>T16</f>
        <v>0.5</v>
      </c>
      <c r="G18" s="4602" t="s">
        <v>587</v>
      </c>
      <c r="H18" s="3039">
        <f>AI13</f>
        <v>245</v>
      </c>
      <c r="I18" s="3428">
        <f>AJ14</f>
        <v>0.70833333333333404</v>
      </c>
      <c r="J18" s="3051">
        <f>AI15</f>
        <v>241</v>
      </c>
      <c r="K18" s="3422">
        <f>AI16</f>
        <v>0.5</v>
      </c>
      <c r="L18" s="2993"/>
      <c r="M18" s="2994"/>
      <c r="N18" s="2979" t="s">
        <v>709</v>
      </c>
      <c r="O18" s="3822">
        <f>MAX(O13:AN13)</f>
        <v>252</v>
      </c>
    </row>
    <row r="19" spans="1:52" s="2979" customFormat="1" ht="15.75" customHeight="1">
      <c r="A19" s="2992"/>
      <c r="B19" s="4219" t="s">
        <v>565</v>
      </c>
      <c r="C19" s="3039">
        <f>U13</f>
        <v>244</v>
      </c>
      <c r="D19" s="3428">
        <f>U14</f>
        <v>4.1666666666666664E-2</v>
      </c>
      <c r="E19" s="3051">
        <f>U15</f>
        <v>236</v>
      </c>
      <c r="F19" s="3428">
        <f>U16</f>
        <v>0.5</v>
      </c>
      <c r="G19" s="4602" t="s">
        <v>56</v>
      </c>
      <c r="H19" s="3039">
        <f>AJ13</f>
        <v>245</v>
      </c>
      <c r="I19" s="3430">
        <f>AL14</f>
        <v>0.54166666666666696</v>
      </c>
      <c r="J19" s="3051">
        <f>AJ15</f>
        <v>239</v>
      </c>
      <c r="K19" s="3431">
        <f>AJ16</f>
        <v>0.5</v>
      </c>
      <c r="L19" s="2978"/>
      <c r="M19" s="2994"/>
      <c r="N19" s="2979" t="s">
        <v>710</v>
      </c>
      <c r="O19" s="2995">
        <f>MIN(O15:AR15)</f>
        <v>232</v>
      </c>
      <c r="V19" s="2979" t="s">
        <v>1360</v>
      </c>
      <c r="W19" s="4461" t="s">
        <v>12</v>
      </c>
      <c r="X19" s="2979" t="s">
        <v>1361</v>
      </c>
    </row>
    <row r="20" spans="1:52" s="2979" customFormat="1" ht="15.75" customHeight="1">
      <c r="A20" s="2992"/>
      <c r="B20" s="4216" t="s">
        <v>55</v>
      </c>
      <c r="C20" s="3039">
        <f>V13</f>
        <v>244</v>
      </c>
      <c r="D20" s="3428">
        <f>V14</f>
        <v>4.1666666666666664E-2</v>
      </c>
      <c r="E20" s="3051">
        <f>V15</f>
        <v>234</v>
      </c>
      <c r="F20" s="3428">
        <f>V16</f>
        <v>0.375</v>
      </c>
      <c r="G20" s="4216" t="s">
        <v>1313</v>
      </c>
      <c r="H20" s="4215">
        <f>AK13</f>
        <v>247</v>
      </c>
      <c r="I20" s="3957">
        <f>AK14</f>
        <v>0.16666666666666699</v>
      </c>
      <c r="J20" s="4215">
        <f>AK15</f>
        <v>244</v>
      </c>
      <c r="K20" s="3958">
        <f>AK16</f>
        <v>0.41666666666666702</v>
      </c>
      <c r="L20" s="2978"/>
      <c r="V20" s="2979" t="s">
        <v>1357</v>
      </c>
      <c r="W20" s="4461">
        <v>147</v>
      </c>
      <c r="X20" s="2979" t="s">
        <v>1362</v>
      </c>
    </row>
    <row r="21" spans="1:52" s="2979" customFormat="1" ht="15.75" customHeight="1" thickBot="1">
      <c r="A21" s="2992"/>
      <c r="B21" s="4217" t="s">
        <v>711</v>
      </c>
      <c r="C21" s="3051">
        <f>W13</f>
        <v>249</v>
      </c>
      <c r="D21" s="3428">
        <f>W14</f>
        <v>0.16666666666666699</v>
      </c>
      <c r="E21" s="3039">
        <f>W15</f>
        <v>237</v>
      </c>
      <c r="F21" s="3428">
        <f>W16</f>
        <v>0.33333333333333398</v>
      </c>
      <c r="G21" s="4217" t="s">
        <v>704</v>
      </c>
      <c r="H21" s="3432">
        <f>AL13</f>
        <v>244</v>
      </c>
      <c r="I21" s="3430">
        <f>AL14</f>
        <v>0.54166666666666696</v>
      </c>
      <c r="J21" s="5019">
        <f>AL15</f>
        <v>234</v>
      </c>
      <c r="K21" s="3433">
        <f>AL16</f>
        <v>0.25</v>
      </c>
      <c r="L21" s="2978"/>
      <c r="N21" s="2979" t="s">
        <v>712</v>
      </c>
      <c r="O21" s="2996">
        <f>MAX(Q21:Q22)</f>
        <v>146</v>
      </c>
      <c r="Q21" s="2996">
        <f>MAX(C30:C102)</f>
        <v>146</v>
      </c>
      <c r="R21" s="2996">
        <f>MIN(E30:E102)</f>
        <v>0</v>
      </c>
      <c r="V21" s="2979" t="s">
        <v>1358</v>
      </c>
      <c r="W21" s="4461">
        <v>32</v>
      </c>
      <c r="AL21" s="2994">
        <f>AM14</f>
        <v>0.375</v>
      </c>
    </row>
    <row r="22" spans="1:52" s="2979" customFormat="1" ht="15.75" customHeight="1" thickBot="1">
      <c r="A22" s="2992"/>
      <c r="B22" s="4218" t="s">
        <v>698</v>
      </c>
      <c r="C22" s="3051">
        <f>X13</f>
        <v>240</v>
      </c>
      <c r="D22" s="3424">
        <f>X14</f>
        <v>0.33333333333333398</v>
      </c>
      <c r="E22" s="3039">
        <f>X15</f>
        <v>237</v>
      </c>
      <c r="F22" s="3428">
        <f>X16</f>
        <v>0.5</v>
      </c>
      <c r="G22" s="4218" t="s">
        <v>604</v>
      </c>
      <c r="H22" s="3051">
        <f>AM13</f>
        <v>245</v>
      </c>
      <c r="I22" s="3430">
        <f>AM14</f>
        <v>0.375</v>
      </c>
      <c r="J22" s="3051">
        <f>AM15</f>
        <v>237</v>
      </c>
      <c r="K22" s="3431">
        <f>AM16</f>
        <v>0.625</v>
      </c>
      <c r="L22" s="2978"/>
      <c r="N22" s="2979" t="s">
        <v>713</v>
      </c>
      <c r="O22" s="2996">
        <f>MIN(R21:R22)</f>
        <v>0</v>
      </c>
      <c r="Q22" s="2996">
        <f>MAX(H30:H104)</f>
        <v>146</v>
      </c>
      <c r="R22" s="2996">
        <f>MIN(J30:J102)</f>
        <v>120</v>
      </c>
      <c r="V22" s="2979" t="s">
        <v>1359</v>
      </c>
      <c r="W22" s="4461">
        <v>7</v>
      </c>
      <c r="AW22" s="3405">
        <v>403</v>
      </c>
    </row>
    <row r="23" spans="1:52" s="2979" customFormat="1" ht="15.75" customHeight="1" thickBot="1">
      <c r="A23" s="2992"/>
      <c r="B23" s="4219" t="s">
        <v>699</v>
      </c>
      <c r="C23" s="3039">
        <f>Y13</f>
        <v>243</v>
      </c>
      <c r="D23" s="3424">
        <f>Y14</f>
        <v>0.70833333333333404</v>
      </c>
      <c r="E23" s="3051">
        <f>Y15</f>
        <v>239</v>
      </c>
      <c r="F23" s="3428">
        <f>Y16</f>
        <v>0.45833333333333398</v>
      </c>
      <c r="G23" s="4219" t="s">
        <v>689</v>
      </c>
      <c r="H23" s="3051">
        <f>AO13</f>
        <v>248</v>
      </c>
      <c r="I23" s="3430">
        <f>AO14</f>
        <v>0.54166666666666696</v>
      </c>
      <c r="J23" s="3051">
        <f>AO15</f>
        <v>240</v>
      </c>
      <c r="K23" s="3431">
        <f>AO16</f>
        <v>0.29166666666666702</v>
      </c>
      <c r="L23" s="2978"/>
      <c r="AW23" s="3406">
        <v>0.25</v>
      </c>
    </row>
    <row r="24" spans="1:52" s="2979" customFormat="1" ht="15.75" customHeight="1" thickBot="1">
      <c r="A24" s="2992"/>
      <c r="B24" s="4218" t="s">
        <v>551</v>
      </c>
      <c r="C24" s="3039">
        <f>Z13</f>
        <v>245</v>
      </c>
      <c r="D24" s="3424">
        <f>Z14</f>
        <v>0.375</v>
      </c>
      <c r="E24" s="3039">
        <f>Z15</f>
        <v>240</v>
      </c>
      <c r="F24" s="3428">
        <f>Z16</f>
        <v>0.45833333333333398</v>
      </c>
      <c r="G24" s="4218" t="s">
        <v>529</v>
      </c>
      <c r="H24" s="3051">
        <f>AP13</f>
        <v>246</v>
      </c>
      <c r="I24" s="3430">
        <f>AP14</f>
        <v>0.54166666666666696</v>
      </c>
      <c r="J24" s="3051">
        <f>AP15</f>
        <v>240</v>
      </c>
      <c r="K24" s="3431">
        <f>AP16</f>
        <v>0.5</v>
      </c>
      <c r="L24" s="2978"/>
      <c r="T24" s="2994"/>
      <c r="U24" s="2994"/>
      <c r="V24" s="2994"/>
      <c r="W24" s="2994"/>
      <c r="AW24" s="3407">
        <v>392</v>
      </c>
    </row>
    <row r="25" spans="1:52" s="2979" customFormat="1" ht="15.75" customHeight="1" thickBot="1">
      <c r="A25" s="2992"/>
      <c r="B25" s="4219" t="s">
        <v>527</v>
      </c>
      <c r="C25" s="3039">
        <f>AZ13</f>
        <v>244</v>
      </c>
      <c r="D25" s="3424">
        <f>AZ14</f>
        <v>0.375</v>
      </c>
      <c r="E25" s="3051">
        <f>AZ15</f>
        <v>239</v>
      </c>
      <c r="F25" s="3428">
        <f>AZ16</f>
        <v>0.91666666666666696</v>
      </c>
      <c r="G25" s="4219" t="s">
        <v>899</v>
      </c>
      <c r="H25" s="3051">
        <f>AQ13</f>
        <v>345</v>
      </c>
      <c r="I25" s="3430" t="str">
        <f>AQ14</f>
        <v>24:00</v>
      </c>
      <c r="J25" s="3051">
        <f>AQ15</f>
        <v>245</v>
      </c>
      <c r="K25" s="3431">
        <f>AQ16</f>
        <v>0.5</v>
      </c>
      <c r="L25" s="2978"/>
      <c r="U25" s="3409"/>
      <c r="AW25" s="3408">
        <v>0.875</v>
      </c>
    </row>
    <row r="26" spans="1:52" s="2979" customFormat="1" ht="15.75" customHeight="1" thickTop="1">
      <c r="A26" s="2997"/>
      <c r="B26" s="4218" t="s">
        <v>700</v>
      </c>
      <c r="C26" s="3039">
        <f>AA13</f>
        <v>246</v>
      </c>
      <c r="D26" s="3424">
        <v>4.1666666666666664E-2</v>
      </c>
      <c r="E26" s="3039">
        <f>AA15</f>
        <v>242</v>
      </c>
      <c r="F26" s="3428">
        <v>8.3333333333333329E-2</v>
      </c>
      <c r="G26" s="4218" t="s">
        <v>690</v>
      </c>
      <c r="H26" s="3051">
        <f>AR13</f>
        <v>244</v>
      </c>
      <c r="I26" s="3430">
        <f>AR14</f>
        <v>0.75</v>
      </c>
      <c r="J26" s="3039">
        <f>AR15</f>
        <v>240</v>
      </c>
      <c r="K26" s="3431">
        <f>AR16</f>
        <v>0.33333333333333398</v>
      </c>
      <c r="L26" s="2978"/>
      <c r="T26" s="2994"/>
      <c r="U26" s="2994"/>
      <c r="V26" s="2994"/>
      <c r="W26" s="2994"/>
    </row>
    <row r="27" spans="1:52" s="2979" customFormat="1" ht="15.75" customHeight="1">
      <c r="A27" s="3242"/>
      <c r="B27" s="4219" t="s">
        <v>592</v>
      </c>
      <c r="C27" s="3039">
        <f>AB13</f>
        <v>242</v>
      </c>
      <c r="D27" s="3424">
        <f>AB14</f>
        <v>4.1666666666666664E-2</v>
      </c>
      <c r="E27" s="3051">
        <f>AB15</f>
        <v>237</v>
      </c>
      <c r="F27" s="3954">
        <f>AB16</f>
        <v>0.8125</v>
      </c>
      <c r="G27" s="4219" t="s">
        <v>1161</v>
      </c>
      <c r="H27" s="3951">
        <f>AN13</f>
        <v>244</v>
      </c>
      <c r="I27" s="3953">
        <f>AN14</f>
        <v>0.375</v>
      </c>
      <c r="J27" s="3951">
        <f>AN15</f>
        <v>236</v>
      </c>
      <c r="K27" s="3952">
        <f>AN16</f>
        <v>0.66666666666666696</v>
      </c>
      <c r="L27" s="2978"/>
      <c r="T27" s="2994"/>
      <c r="U27" s="2994"/>
      <c r="V27" s="2994"/>
      <c r="W27" s="2994"/>
    </row>
    <row r="28" spans="1:52" s="2979" customFormat="1" ht="15.75" customHeight="1" thickBot="1">
      <c r="A28" s="3242"/>
      <c r="B28" s="4218" t="s">
        <v>707</v>
      </c>
      <c r="C28" s="3955">
        <f>AC13</f>
        <v>243</v>
      </c>
      <c r="D28" s="3953">
        <f>AC14</f>
        <v>4.1666666666666664E-2</v>
      </c>
      <c r="E28" s="3951">
        <f>AC15</f>
        <v>240</v>
      </c>
      <c r="F28" s="3954">
        <f>AC16</f>
        <v>0.25</v>
      </c>
      <c r="G28" s="4218" t="s">
        <v>1368</v>
      </c>
      <c r="H28" s="3956">
        <f>BA13</f>
        <v>243</v>
      </c>
      <c r="I28" s="3957">
        <f>BA14</f>
        <v>0.91666666666666696</v>
      </c>
      <c r="J28" s="4763">
        <f>BA15</f>
        <v>235</v>
      </c>
      <c r="K28" s="3958">
        <f>BA16</f>
        <v>0.33333333333333398</v>
      </c>
      <c r="L28" s="2978"/>
      <c r="T28" s="2994"/>
      <c r="U28" s="2994"/>
      <c r="V28" s="2994"/>
      <c r="W28" s="2994"/>
    </row>
    <row r="29" spans="1:52" s="2979" customFormat="1" ht="15.75" customHeight="1" thickTop="1" thickBot="1">
      <c r="A29" s="3093"/>
      <c r="B29" s="4450" t="s">
        <v>714</v>
      </c>
      <c r="C29" s="4451" t="s">
        <v>688</v>
      </c>
      <c r="D29" s="4452"/>
      <c r="E29" s="4453" t="s">
        <v>688</v>
      </c>
      <c r="F29" s="4454"/>
      <c r="G29" s="4450" t="s">
        <v>715</v>
      </c>
      <c r="H29" s="4451" t="s">
        <v>688</v>
      </c>
      <c r="I29" s="4452"/>
      <c r="J29" s="4455" t="s">
        <v>688</v>
      </c>
      <c r="K29" s="4456"/>
      <c r="L29" s="2978"/>
    </row>
    <row r="30" spans="1:52" s="2979" customFormat="1" ht="15.75" customHeight="1" thickTop="1">
      <c r="A30" s="2998"/>
      <c r="B30" s="4764" t="s">
        <v>2</v>
      </c>
      <c r="C30" s="3987">
        <v>140</v>
      </c>
      <c r="D30" s="3988">
        <v>0.75</v>
      </c>
      <c r="E30" s="3993">
        <v>137</v>
      </c>
      <c r="F30" s="3990">
        <v>4.1666666666666664E-2</v>
      </c>
      <c r="G30" s="4771" t="s">
        <v>1425</v>
      </c>
      <c r="H30" s="3991">
        <v>143</v>
      </c>
      <c r="I30" s="3992">
        <v>4.1666666666666664E-2</v>
      </c>
      <c r="J30" s="3991">
        <v>141</v>
      </c>
      <c r="K30" s="3992">
        <v>0.25</v>
      </c>
      <c r="O30" s="4347"/>
      <c r="P30" s="4347"/>
      <c r="Q30" s="4347"/>
      <c r="R30" s="4347"/>
      <c r="S30" s="4347"/>
      <c r="T30" s="4347"/>
      <c r="U30" s="4347"/>
      <c r="V30" s="4347"/>
      <c r="W30" s="4347"/>
      <c r="X30" s="4347"/>
      <c r="Y30" s="4347"/>
      <c r="Z30" s="4347"/>
      <c r="AA30" s="4347"/>
      <c r="AB30" s="4347"/>
      <c r="AC30" s="4347"/>
      <c r="AD30" s="4347"/>
      <c r="AE30" s="4347"/>
      <c r="AF30" s="4347"/>
      <c r="AG30" s="4347"/>
      <c r="AH30" s="4347"/>
      <c r="AI30" s="4347"/>
      <c r="AJ30" s="4347"/>
      <c r="AK30" s="4347"/>
      <c r="AL30" s="4347"/>
      <c r="AM30" s="4347"/>
      <c r="AN30" s="4347"/>
      <c r="AO30" s="4347"/>
      <c r="AP30" s="4347"/>
      <c r="AQ30" s="4347"/>
      <c r="AR30" s="4347"/>
      <c r="AS30" s="4347"/>
      <c r="AT30" s="4347"/>
      <c r="AU30" s="4347"/>
      <c r="AV30" s="4347"/>
      <c r="AW30" s="4347"/>
      <c r="AX30" s="4347"/>
      <c r="AY30" s="4347"/>
      <c r="AZ30" s="4347"/>
    </row>
    <row r="31" spans="1:52" s="2979" customFormat="1" ht="15.75" customHeight="1">
      <c r="A31" s="2999"/>
      <c r="B31" s="4765" t="s">
        <v>523</v>
      </c>
      <c r="C31" s="3987">
        <v>141</v>
      </c>
      <c r="D31" s="3988">
        <v>0.77083333333333337</v>
      </c>
      <c r="E31" s="3989">
        <v>136</v>
      </c>
      <c r="F31" s="3990">
        <v>0.8125</v>
      </c>
      <c r="G31" s="4772" t="s">
        <v>716</v>
      </c>
      <c r="H31" s="3991">
        <v>142</v>
      </c>
      <c r="I31" s="3994">
        <v>8.3333333333333329E-2</v>
      </c>
      <c r="J31" s="3995">
        <v>137</v>
      </c>
      <c r="K31" s="3994">
        <v>0.41666666666666669</v>
      </c>
      <c r="L31" s="2978"/>
      <c r="M31" s="3000"/>
      <c r="N31" s="3410"/>
      <c r="O31" s="4348"/>
      <c r="P31" s="4348"/>
      <c r="Q31" s="4348"/>
      <c r="R31" s="4348"/>
      <c r="S31" s="4348"/>
      <c r="T31" s="4348"/>
      <c r="U31" s="4348"/>
      <c r="V31" s="4348"/>
      <c r="W31" s="4348"/>
      <c r="X31" s="4348"/>
      <c r="Y31" s="4348"/>
      <c r="Z31" s="4348"/>
      <c r="AA31" s="4348"/>
      <c r="AB31" s="4348"/>
      <c r="AC31" s="4348"/>
      <c r="AD31" s="4348"/>
      <c r="AE31" s="4348"/>
      <c r="AF31" s="4348"/>
      <c r="AG31" s="4348"/>
      <c r="AH31" s="4348"/>
      <c r="AI31" s="4348"/>
      <c r="AJ31" s="4348"/>
      <c r="AK31" s="4349"/>
      <c r="AL31" s="4348"/>
      <c r="AM31" s="4348"/>
      <c r="AN31" s="4348"/>
      <c r="AO31" s="4348"/>
      <c r="AP31" s="4348"/>
      <c r="AQ31" s="4348"/>
      <c r="AR31" s="4348"/>
      <c r="AS31" s="4348"/>
      <c r="AT31" s="4348"/>
      <c r="AU31" s="4348"/>
      <c r="AV31" s="4348"/>
      <c r="AW31" s="4348"/>
      <c r="AX31" s="4348"/>
      <c r="AY31" s="4348"/>
      <c r="AZ31" s="4348"/>
    </row>
    <row r="32" spans="1:52" s="2979" customFormat="1" ht="15.75" customHeight="1">
      <c r="A32" s="2999"/>
      <c r="B32" s="4766" t="s">
        <v>891</v>
      </c>
      <c r="C32" s="3987">
        <v>139</v>
      </c>
      <c r="D32" s="3988">
        <v>0.54166666666666663</v>
      </c>
      <c r="E32" s="3993">
        <v>136</v>
      </c>
      <c r="F32" s="3990">
        <v>0.125</v>
      </c>
      <c r="G32" s="4773" t="s">
        <v>567</v>
      </c>
      <c r="H32" s="3991">
        <v>143</v>
      </c>
      <c r="I32" s="3994">
        <v>0.375</v>
      </c>
      <c r="J32" s="3995">
        <v>138</v>
      </c>
      <c r="K32" s="3994">
        <v>0.16666666666666666</v>
      </c>
      <c r="L32" s="2978"/>
      <c r="O32" s="4347"/>
      <c r="P32" s="4347"/>
      <c r="Q32" s="4347"/>
      <c r="R32" s="4347"/>
      <c r="S32" s="4347"/>
      <c r="T32" s="4347"/>
      <c r="U32" s="4347"/>
      <c r="V32" s="4347"/>
      <c r="W32" s="4347"/>
      <c r="X32" s="4347"/>
      <c r="Y32" s="4347"/>
      <c r="Z32" s="4347"/>
      <c r="AA32" s="4347"/>
      <c r="AB32" s="4347"/>
      <c r="AC32" s="4347"/>
      <c r="AD32" s="4347"/>
      <c r="AE32" s="4347"/>
      <c r="AF32" s="4347"/>
      <c r="AG32" s="4347"/>
      <c r="AH32" s="4347"/>
      <c r="AI32" s="4347"/>
      <c r="AJ32" s="4347"/>
      <c r="AK32" s="4347"/>
      <c r="AL32" s="4347"/>
      <c r="AM32" s="4347"/>
      <c r="AN32" s="4347"/>
      <c r="AO32" s="4347"/>
      <c r="AP32" s="4347"/>
      <c r="AQ32" s="4347"/>
      <c r="AR32" s="4347"/>
      <c r="AS32" s="4347"/>
      <c r="AT32" s="4347"/>
      <c r="AU32" s="4347"/>
      <c r="AV32" s="4347"/>
      <c r="AW32" s="4347"/>
      <c r="AX32" s="4347"/>
      <c r="AY32" s="4347"/>
      <c r="AZ32" s="4347"/>
    </row>
    <row r="33" spans="1:52" s="2979" customFormat="1" ht="15.75" customHeight="1">
      <c r="A33" s="2999"/>
      <c r="B33" s="4765" t="s">
        <v>527</v>
      </c>
      <c r="C33" s="3987">
        <v>137</v>
      </c>
      <c r="D33" s="3988">
        <v>0.16666666666666666</v>
      </c>
      <c r="E33" s="3993">
        <v>134</v>
      </c>
      <c r="F33" s="3990">
        <v>0.5</v>
      </c>
      <c r="G33" s="4774" t="s">
        <v>570</v>
      </c>
      <c r="H33" s="3991">
        <v>141</v>
      </c>
      <c r="I33" s="3994">
        <v>0.54166666666666663</v>
      </c>
      <c r="J33" s="3995">
        <v>134</v>
      </c>
      <c r="K33" s="3994">
        <v>0.20833333333333334</v>
      </c>
      <c r="L33" s="2978"/>
      <c r="O33" s="4348"/>
      <c r="P33" s="4348"/>
      <c r="Q33" s="4348"/>
      <c r="R33" s="4348"/>
      <c r="S33" s="4348"/>
      <c r="T33" s="4348"/>
      <c r="U33" s="4348"/>
      <c r="V33" s="4348"/>
      <c r="W33" s="4348"/>
      <c r="X33" s="4348"/>
      <c r="Y33" s="4348"/>
      <c r="Z33" s="4348"/>
      <c r="AA33" s="4348"/>
      <c r="AB33" s="4348"/>
      <c r="AC33" s="4348"/>
      <c r="AD33" s="4348"/>
      <c r="AE33" s="4348"/>
      <c r="AF33" s="4348"/>
      <c r="AG33" s="4348"/>
      <c r="AH33" s="4348"/>
      <c r="AI33" s="4348"/>
      <c r="AJ33" s="4348"/>
      <c r="AK33" s="4348"/>
      <c r="AL33" s="4348"/>
      <c r="AM33" s="4348"/>
      <c r="AN33" s="4348"/>
      <c r="AO33" s="4348"/>
      <c r="AP33" s="4348"/>
      <c r="AQ33" s="4348"/>
      <c r="AR33" s="4348"/>
      <c r="AS33" s="4348"/>
      <c r="AT33" s="4348"/>
      <c r="AU33" s="4348"/>
      <c r="AV33" s="4348"/>
      <c r="AW33" s="4348"/>
      <c r="AX33" s="4348"/>
      <c r="AY33" s="4348"/>
      <c r="AZ33" s="4348"/>
    </row>
    <row r="34" spans="1:52" s="2979" customFormat="1" ht="15.75" customHeight="1">
      <c r="A34" s="2999"/>
      <c r="B34" s="4766" t="s">
        <v>529</v>
      </c>
      <c r="C34" s="3987">
        <v>136</v>
      </c>
      <c r="D34" s="3988">
        <v>0.75</v>
      </c>
      <c r="E34" s="3993">
        <v>132</v>
      </c>
      <c r="F34" s="3990">
        <v>4.1666666666666664E-2</v>
      </c>
      <c r="G34" s="4773" t="s">
        <v>572</v>
      </c>
      <c r="H34" s="3991">
        <v>142</v>
      </c>
      <c r="I34" s="3994">
        <v>0.375</v>
      </c>
      <c r="J34" s="3995">
        <v>135</v>
      </c>
      <c r="K34" s="3994">
        <v>0.25</v>
      </c>
      <c r="L34" s="2978"/>
      <c r="M34" s="3000"/>
      <c r="O34" s="4350"/>
      <c r="P34" s="4350"/>
      <c r="Q34" s="4350"/>
      <c r="R34" s="4350"/>
      <c r="S34" s="4350"/>
      <c r="T34" s="4350"/>
      <c r="U34" s="4350"/>
      <c r="V34" s="4350"/>
      <c r="W34" s="4350"/>
      <c r="X34" s="4350"/>
      <c r="Y34" s="4350"/>
      <c r="Z34" s="4350"/>
      <c r="AA34" s="4350"/>
      <c r="AB34" s="4350"/>
      <c r="AC34" s="4350"/>
      <c r="AD34" s="4350"/>
      <c r="AE34" s="4350"/>
      <c r="AF34" s="4351"/>
      <c r="AG34" s="4350"/>
      <c r="AH34" s="4350"/>
      <c r="AI34" s="4350"/>
      <c r="AJ34" s="4350"/>
      <c r="AK34" s="4350"/>
      <c r="AL34" s="4350"/>
      <c r="AM34" s="4350"/>
      <c r="AN34" s="4350"/>
      <c r="AO34" s="4350"/>
      <c r="AP34" s="4350"/>
      <c r="AQ34" s="4350"/>
      <c r="AR34" s="4350"/>
      <c r="AS34" s="4350"/>
      <c r="AT34" s="4350"/>
      <c r="AU34" s="4350"/>
      <c r="AV34" s="4350"/>
      <c r="AW34" s="4350"/>
      <c r="AX34" s="4350"/>
      <c r="AY34" s="4350"/>
      <c r="AZ34" s="4350"/>
    </row>
    <row r="35" spans="1:52" s="2979" customFormat="1" ht="15.75" customHeight="1">
      <c r="A35" s="2999"/>
      <c r="B35" s="4765" t="s">
        <v>532</v>
      </c>
      <c r="C35" s="3987">
        <v>140</v>
      </c>
      <c r="D35" s="3988">
        <v>0.375</v>
      </c>
      <c r="E35" s="3993">
        <v>136</v>
      </c>
      <c r="F35" s="3990">
        <v>0.20833333333333334</v>
      </c>
      <c r="G35" s="4774" t="s">
        <v>574</v>
      </c>
      <c r="H35" s="3991">
        <v>143</v>
      </c>
      <c r="I35" s="3994">
        <v>0.54166666666666663</v>
      </c>
      <c r="J35" s="3997">
        <v>137</v>
      </c>
      <c r="K35" s="3994">
        <v>0.41666666666666669</v>
      </c>
      <c r="L35" s="2978"/>
      <c r="O35" s="4350"/>
      <c r="P35" s="4350"/>
      <c r="Q35" s="4350"/>
      <c r="R35" s="4350"/>
      <c r="S35" s="4350"/>
      <c r="T35" s="4350"/>
      <c r="U35" s="4350"/>
      <c r="V35" s="4350"/>
      <c r="W35" s="4350"/>
      <c r="X35" s="4350"/>
      <c r="Y35" s="4350"/>
      <c r="Z35" s="4350"/>
      <c r="AA35" s="4350"/>
      <c r="AB35" s="4350"/>
      <c r="AC35" s="4350"/>
      <c r="AD35" s="4350"/>
      <c r="AE35" s="4350"/>
      <c r="AF35" s="4350"/>
      <c r="AG35" s="4350"/>
      <c r="AH35" s="4350"/>
      <c r="AI35" s="4350"/>
      <c r="AJ35" s="4350"/>
      <c r="AK35" s="4350"/>
      <c r="AL35" s="4350"/>
      <c r="AM35" s="4350"/>
      <c r="AN35" s="4350"/>
      <c r="AO35" s="4350"/>
      <c r="AP35" s="4350"/>
      <c r="AQ35" s="4350"/>
      <c r="AR35" s="4350"/>
      <c r="AS35" s="4350"/>
      <c r="AT35" s="4350"/>
      <c r="AU35" s="4350"/>
      <c r="AV35" s="4350"/>
      <c r="AW35" s="4350"/>
      <c r="AX35" s="4350"/>
      <c r="AY35" s="4350"/>
      <c r="AZ35" s="4350"/>
    </row>
    <row r="36" spans="1:52" s="2979" customFormat="1" ht="15.75" customHeight="1">
      <c r="A36" s="2999"/>
      <c r="B36" s="4766" t="s">
        <v>535</v>
      </c>
      <c r="C36" s="3996">
        <v>141</v>
      </c>
      <c r="D36" s="3988">
        <v>0.75</v>
      </c>
      <c r="E36" s="3989">
        <v>137</v>
      </c>
      <c r="F36" s="3990">
        <v>0.16666666666666666</v>
      </c>
      <c r="G36" s="4773" t="s">
        <v>1253</v>
      </c>
      <c r="H36" s="3997">
        <v>142</v>
      </c>
      <c r="I36" s="3994">
        <v>0.41666666666666669</v>
      </c>
      <c r="J36" s="3997">
        <v>137</v>
      </c>
      <c r="K36" s="3994">
        <v>0.16666666666666666</v>
      </c>
      <c r="L36" s="2978"/>
      <c r="N36" s="4871"/>
      <c r="O36" s="4871"/>
      <c r="P36" s="4871"/>
      <c r="Q36" s="4871"/>
      <c r="R36" s="4871"/>
      <c r="S36" s="4871"/>
      <c r="T36" s="4871"/>
      <c r="U36" s="4871"/>
      <c r="V36" s="4871"/>
      <c r="W36" s="4871"/>
      <c r="X36" s="4871"/>
      <c r="Y36" s="4871"/>
      <c r="Z36" s="4871"/>
      <c r="AA36" s="4871"/>
      <c r="AB36" s="4871"/>
      <c r="AC36" s="4871"/>
      <c r="AD36" s="4871"/>
      <c r="AE36" s="4871"/>
      <c r="AF36" s="4871"/>
      <c r="AG36" s="4871"/>
      <c r="AH36" s="4871"/>
      <c r="AI36" s="4871"/>
      <c r="AJ36" s="4871"/>
      <c r="AK36" s="4871"/>
      <c r="AL36" s="4871"/>
      <c r="AM36" s="4871"/>
      <c r="AN36" s="4871"/>
      <c r="AO36" s="4871"/>
      <c r="AP36" s="4871"/>
      <c r="AQ36" s="4871"/>
      <c r="AR36" s="4871"/>
      <c r="AS36" s="4871"/>
      <c r="AT36" s="4871"/>
      <c r="AU36" s="4871"/>
      <c r="AV36" s="4871"/>
      <c r="AW36" s="4871"/>
      <c r="AX36" s="4871"/>
      <c r="AY36" s="4871"/>
      <c r="AZ36" s="4871"/>
    </row>
    <row r="37" spans="1:52" s="2979" customFormat="1" ht="15.75" customHeight="1">
      <c r="A37" s="2999"/>
      <c r="B37" s="4765" t="s">
        <v>717</v>
      </c>
      <c r="C37" s="3987">
        <v>139</v>
      </c>
      <c r="D37" s="3988">
        <v>0.33333333333333331</v>
      </c>
      <c r="E37" s="3993">
        <v>136</v>
      </c>
      <c r="F37" s="3990">
        <v>0.95833333333333337</v>
      </c>
      <c r="G37" s="4774" t="s">
        <v>578</v>
      </c>
      <c r="H37" s="3991">
        <v>140</v>
      </c>
      <c r="I37" s="3994">
        <v>0.375</v>
      </c>
      <c r="J37" s="3997">
        <v>134</v>
      </c>
      <c r="K37" s="3994">
        <v>0.91666666666666663</v>
      </c>
      <c r="L37" s="2978"/>
      <c r="M37" s="3000"/>
      <c r="N37" s="4872"/>
      <c r="O37" s="4872"/>
      <c r="P37" s="4872"/>
      <c r="Q37" s="4872"/>
      <c r="R37" s="4872"/>
      <c r="S37" s="4872"/>
      <c r="T37" s="4872"/>
      <c r="U37" s="4872"/>
      <c r="V37" s="4872"/>
      <c r="W37" s="4872"/>
      <c r="X37" s="4872"/>
      <c r="Y37" s="4872"/>
      <c r="Z37" s="4872"/>
      <c r="AA37" s="4872"/>
      <c r="AB37" s="4872"/>
      <c r="AC37" s="4872"/>
      <c r="AD37" s="4872"/>
      <c r="AE37" s="4872"/>
      <c r="AF37" s="4872"/>
      <c r="AG37" s="4872"/>
      <c r="AH37" s="4872"/>
      <c r="AI37" s="4872"/>
      <c r="AJ37" s="4872"/>
      <c r="AK37" s="4872"/>
      <c r="AL37" s="4872"/>
      <c r="AM37" s="4872"/>
      <c r="AN37" s="4872"/>
      <c r="AO37" s="4872"/>
      <c r="AP37" s="4872"/>
      <c r="AQ37" s="4872"/>
      <c r="AR37" s="4872"/>
      <c r="AS37" s="4872"/>
      <c r="AT37" s="4872"/>
      <c r="AU37" s="4872"/>
      <c r="AV37" s="4872"/>
      <c r="AW37" s="4872"/>
      <c r="AX37" s="4872"/>
      <c r="AY37" s="4872"/>
      <c r="AZ37" s="4872"/>
    </row>
    <row r="38" spans="1:52" s="2979" customFormat="1" ht="15.75" customHeight="1">
      <c r="A38" s="2999"/>
      <c r="B38" s="4766" t="s">
        <v>540</v>
      </c>
      <c r="C38" s="3987">
        <v>140</v>
      </c>
      <c r="D38" s="3998">
        <v>0.75</v>
      </c>
      <c r="E38" s="3989">
        <v>137</v>
      </c>
      <c r="F38" s="3990">
        <v>4.1666666666666664E-2</v>
      </c>
      <c r="G38" s="4773" t="s">
        <v>581</v>
      </c>
      <c r="H38" s="3991">
        <v>130</v>
      </c>
      <c r="I38" s="3994">
        <v>0.45833333333333331</v>
      </c>
      <c r="J38" s="4925">
        <v>123</v>
      </c>
      <c r="K38" s="3994">
        <v>0.91666666666666663</v>
      </c>
      <c r="L38" s="2978"/>
      <c r="N38" s="4871"/>
      <c r="O38" s="4871"/>
      <c r="P38" s="4871"/>
      <c r="Q38" s="4871"/>
      <c r="R38" s="4871"/>
      <c r="S38" s="4871"/>
      <c r="T38" s="4871"/>
      <c r="U38" s="4871"/>
      <c r="V38" s="4871"/>
      <c r="W38" s="4871"/>
      <c r="X38" s="4871"/>
      <c r="Y38" s="4871"/>
      <c r="Z38" s="4871"/>
      <c r="AA38" s="4871"/>
      <c r="AB38" s="4871"/>
      <c r="AC38" s="4871"/>
      <c r="AD38" s="4871"/>
      <c r="AE38" s="4871"/>
      <c r="AF38" s="4871"/>
      <c r="AG38" s="4871"/>
      <c r="AH38" s="4871"/>
      <c r="AI38" s="4871"/>
      <c r="AJ38" s="4871"/>
      <c r="AK38" s="4871"/>
      <c r="AL38" s="4871"/>
      <c r="AM38" s="4871"/>
      <c r="AN38" s="4871"/>
      <c r="AO38" s="4871"/>
      <c r="AP38" s="4871"/>
      <c r="AQ38" s="4871"/>
      <c r="AR38" s="4871"/>
      <c r="AS38" s="4871"/>
      <c r="AT38" s="4871"/>
      <c r="AU38" s="4871"/>
      <c r="AV38" s="4871"/>
      <c r="AW38" s="4871"/>
      <c r="AX38" s="4871"/>
      <c r="AY38" s="4871"/>
      <c r="AZ38" s="4871"/>
    </row>
    <row r="39" spans="1:52" s="2979" customFormat="1" ht="15.75" customHeight="1">
      <c r="A39" s="2999"/>
      <c r="B39" s="4765" t="s">
        <v>542</v>
      </c>
      <c r="C39" s="3996">
        <v>145</v>
      </c>
      <c r="D39" s="3998">
        <v>4.1666666666666664E-2</v>
      </c>
      <c r="E39" s="3993">
        <v>145</v>
      </c>
      <c r="F39" s="3990">
        <v>4.1666666666666664E-2</v>
      </c>
      <c r="G39" s="4774" t="s">
        <v>583</v>
      </c>
      <c r="H39" s="3991">
        <v>143</v>
      </c>
      <c r="I39" s="3994">
        <v>0.58333333333333337</v>
      </c>
      <c r="J39" s="3995">
        <v>137</v>
      </c>
      <c r="K39" s="3994">
        <v>0.29166666666666669</v>
      </c>
      <c r="L39" s="2978"/>
      <c r="N39" s="4872"/>
      <c r="O39" s="4872"/>
      <c r="P39" s="4872"/>
      <c r="Q39" s="4872"/>
      <c r="R39" s="4872"/>
      <c r="S39" s="4872"/>
      <c r="T39" s="4872"/>
      <c r="U39" s="4872"/>
      <c r="V39" s="4872"/>
      <c r="W39" s="4872"/>
      <c r="X39" s="4872"/>
      <c r="Y39" s="4872"/>
      <c r="Z39" s="4872"/>
      <c r="AA39" s="4872"/>
      <c r="AB39" s="4872"/>
      <c r="AC39" s="4872"/>
      <c r="AD39" s="4872"/>
      <c r="AE39" s="4872"/>
      <c r="AF39" s="4872"/>
      <c r="AG39" s="4872"/>
      <c r="AH39" s="4872"/>
      <c r="AI39" s="4872"/>
      <c r="AJ39" s="4872"/>
      <c r="AK39" s="4872"/>
      <c r="AL39" s="4872"/>
      <c r="AM39" s="4872"/>
      <c r="AN39" s="4872"/>
      <c r="AO39" s="4872"/>
      <c r="AP39" s="4872"/>
      <c r="AQ39" s="4872"/>
      <c r="AR39" s="4872"/>
      <c r="AS39" s="4872"/>
      <c r="AT39" s="4872"/>
      <c r="AU39" s="4872"/>
      <c r="AV39" s="4872"/>
      <c r="AW39" s="4872"/>
      <c r="AX39" s="4872"/>
      <c r="AY39" s="4872"/>
      <c r="AZ39" s="4872"/>
    </row>
    <row r="40" spans="1:52" s="2979" customFormat="1" ht="15.75" customHeight="1">
      <c r="A40" s="2999"/>
      <c r="B40" s="4766" t="s">
        <v>946</v>
      </c>
      <c r="C40" s="3987">
        <v>139</v>
      </c>
      <c r="D40" s="3998">
        <v>0.375</v>
      </c>
      <c r="E40" s="3993">
        <v>136</v>
      </c>
      <c r="F40" s="3990">
        <v>8.3333333333333329E-2</v>
      </c>
      <c r="G40" s="4773" t="s">
        <v>1</v>
      </c>
      <c r="H40" s="3991">
        <v>140</v>
      </c>
      <c r="I40" s="3994">
        <v>4.1666666666666664E-2</v>
      </c>
      <c r="J40" s="3995">
        <v>140</v>
      </c>
      <c r="K40" s="3994">
        <v>4.1666666666666664E-2</v>
      </c>
      <c r="L40" s="2978"/>
      <c r="M40" s="3000"/>
      <c r="N40" s="4350"/>
      <c r="O40" s="4350"/>
      <c r="P40" s="4350"/>
      <c r="Q40" s="4350"/>
      <c r="R40" s="4350"/>
      <c r="S40" s="4350"/>
      <c r="T40" s="4350"/>
      <c r="U40" s="4350"/>
      <c r="V40" s="4350"/>
      <c r="W40" s="4350"/>
      <c r="X40" s="4350"/>
      <c r="Y40" s="4350"/>
      <c r="Z40" s="4350"/>
      <c r="AA40" s="4350"/>
      <c r="AB40" s="4350"/>
      <c r="AC40" s="4350"/>
      <c r="AD40" s="4350"/>
      <c r="AE40" s="4350"/>
      <c r="AF40" s="4350"/>
      <c r="AG40" s="4350"/>
      <c r="AH40" s="4350"/>
      <c r="AI40" s="4350"/>
      <c r="AJ40" s="4350"/>
      <c r="AK40" s="4350"/>
      <c r="AL40" s="4350"/>
      <c r="AM40" s="4350"/>
      <c r="AN40" s="4350"/>
      <c r="AO40" s="4350"/>
      <c r="AP40" s="4350"/>
      <c r="AQ40" s="4350"/>
      <c r="AR40" s="4350"/>
      <c r="AS40" s="4350"/>
      <c r="AT40" s="4350"/>
      <c r="AU40" s="4350"/>
      <c r="AV40" s="4350"/>
      <c r="AW40" s="4350"/>
      <c r="AX40" s="4350"/>
      <c r="AY40" s="4350"/>
      <c r="AZ40" s="4350"/>
    </row>
    <row r="41" spans="1:52" s="2979" customFormat="1" ht="15.75" customHeight="1">
      <c r="A41" s="2999"/>
      <c r="B41" s="4765" t="s">
        <v>546</v>
      </c>
      <c r="C41" s="3987">
        <v>140</v>
      </c>
      <c r="D41" s="3998">
        <v>0.75</v>
      </c>
      <c r="E41" s="3993">
        <v>137</v>
      </c>
      <c r="F41" s="3990">
        <v>4.1666666666666664E-2</v>
      </c>
      <c r="G41" s="4774" t="s">
        <v>588</v>
      </c>
      <c r="H41" s="3991">
        <v>143</v>
      </c>
      <c r="I41" s="3994">
        <v>0.54166666666666663</v>
      </c>
      <c r="J41" s="3995">
        <v>137</v>
      </c>
      <c r="K41" s="3994">
        <v>0.25</v>
      </c>
      <c r="L41" s="2978"/>
      <c r="M41" s="4460"/>
    </row>
    <row r="42" spans="1:52" s="2979" customFormat="1" ht="15.75" customHeight="1">
      <c r="A42" s="3535"/>
      <c r="B42" s="4766" t="s">
        <v>1323</v>
      </c>
      <c r="C42" s="4209">
        <v>139</v>
      </c>
      <c r="D42" s="3998">
        <v>0.75</v>
      </c>
      <c r="E42" s="3993">
        <v>136</v>
      </c>
      <c r="F42" s="3990">
        <v>0.375</v>
      </c>
      <c r="G42" s="4773" t="s">
        <v>590</v>
      </c>
      <c r="H42" s="3991">
        <v>141</v>
      </c>
      <c r="I42" s="3994">
        <v>0.45833333333333331</v>
      </c>
      <c r="J42" s="3995">
        <v>136</v>
      </c>
      <c r="K42" s="3994">
        <v>0.91666666666666663</v>
      </c>
      <c r="L42" s="2978"/>
      <c r="M42" s="4460"/>
    </row>
    <row r="43" spans="1:52" s="2979" customFormat="1" ht="15.75" customHeight="1">
      <c r="A43" s="2999"/>
      <c r="B43" s="4767" t="s">
        <v>1315</v>
      </c>
      <c r="C43" s="3999">
        <v>138</v>
      </c>
      <c r="D43" s="3998" t="s">
        <v>1554</v>
      </c>
      <c r="E43" s="3991">
        <v>0</v>
      </c>
      <c r="F43" s="4000" t="s">
        <v>1708</v>
      </c>
      <c r="G43" s="4774" t="s">
        <v>593</v>
      </c>
      <c r="H43" s="3991">
        <v>143</v>
      </c>
      <c r="I43" s="3994">
        <v>0.375</v>
      </c>
      <c r="J43" s="3995">
        <v>138</v>
      </c>
      <c r="K43" s="3994">
        <v>0.20833333333333334</v>
      </c>
      <c r="L43" s="2978"/>
      <c r="M43" s="3000"/>
    </row>
    <row r="44" spans="1:52" s="2979" customFormat="1" ht="15.75" customHeight="1">
      <c r="A44" s="2999"/>
      <c r="B44" s="4766" t="s">
        <v>551</v>
      </c>
      <c r="C44" s="4001">
        <v>140</v>
      </c>
      <c r="D44" s="3988">
        <v>0.375</v>
      </c>
      <c r="E44" s="3991">
        <v>136</v>
      </c>
      <c r="F44" s="4000">
        <v>0.45833333333333331</v>
      </c>
      <c r="G44" s="4773" t="s">
        <v>718</v>
      </c>
      <c r="H44" s="3997">
        <v>142</v>
      </c>
      <c r="I44" s="3994">
        <v>0.625</v>
      </c>
      <c r="J44" s="3995">
        <v>137</v>
      </c>
      <c r="K44" s="3994">
        <v>0.25</v>
      </c>
      <c r="L44" s="2978"/>
    </row>
    <row r="45" spans="1:52" s="2979" customFormat="1" ht="15.75" customHeight="1">
      <c r="A45" s="2999"/>
      <c r="B45" s="4765" t="s">
        <v>553</v>
      </c>
      <c r="C45" s="3999">
        <v>139</v>
      </c>
      <c r="D45" s="4002" t="s">
        <v>1554</v>
      </c>
      <c r="E45" s="3991">
        <v>135</v>
      </c>
      <c r="F45" s="4000" t="s">
        <v>1486</v>
      </c>
      <c r="G45" s="4774" t="s">
        <v>597</v>
      </c>
      <c r="H45" s="3991">
        <v>142</v>
      </c>
      <c r="I45" s="3994">
        <v>0.70833333333333337</v>
      </c>
      <c r="J45" s="3995">
        <v>139</v>
      </c>
      <c r="K45" s="3994">
        <v>0</v>
      </c>
      <c r="L45" s="2978"/>
    </row>
    <row r="46" spans="1:52" s="2979" customFormat="1" ht="15.75" customHeight="1">
      <c r="A46" s="2999"/>
      <c r="B46" s="4766" t="s">
        <v>556</v>
      </c>
      <c r="C46" s="3999">
        <v>139</v>
      </c>
      <c r="D46" s="3988" t="s">
        <v>1683</v>
      </c>
      <c r="E46" s="3991">
        <v>0</v>
      </c>
      <c r="F46" s="4000" t="s">
        <v>1632</v>
      </c>
      <c r="G46" s="4773" t="s">
        <v>599</v>
      </c>
      <c r="H46" s="3997">
        <v>143</v>
      </c>
      <c r="I46" s="3994">
        <v>0.375</v>
      </c>
      <c r="J46" s="4012">
        <v>135</v>
      </c>
      <c r="K46" s="3994">
        <v>0.25</v>
      </c>
      <c r="L46" s="2978"/>
      <c r="M46" s="3000"/>
    </row>
    <row r="47" spans="1:52" s="2979" customFormat="1" ht="15.75" customHeight="1">
      <c r="A47" s="2999"/>
      <c r="B47" s="4765" t="s">
        <v>559</v>
      </c>
      <c r="C47" s="3999">
        <v>139</v>
      </c>
      <c r="D47" s="3988">
        <v>4.1666666666666664E-2</v>
      </c>
      <c r="E47" s="3991">
        <v>135</v>
      </c>
      <c r="F47" s="4000">
        <v>0.5</v>
      </c>
      <c r="G47" s="4774" t="s">
        <v>867</v>
      </c>
      <c r="H47" s="3991">
        <v>141</v>
      </c>
      <c r="I47" s="3994">
        <v>0.375</v>
      </c>
      <c r="J47" s="4012">
        <v>138</v>
      </c>
      <c r="K47" s="3994">
        <v>0.25</v>
      </c>
      <c r="L47" s="2978"/>
    </row>
    <row r="48" spans="1:52" s="2979" customFormat="1" ht="15.75" customHeight="1">
      <c r="A48" s="2999"/>
      <c r="B48" s="4766" t="s">
        <v>1355</v>
      </c>
      <c r="C48" s="3999">
        <v>139</v>
      </c>
      <c r="D48" s="3988">
        <v>4.1666666666666664E-2</v>
      </c>
      <c r="E48" s="3991">
        <v>135</v>
      </c>
      <c r="F48" s="4000">
        <v>0.5</v>
      </c>
      <c r="G48" s="4773" t="s">
        <v>898</v>
      </c>
      <c r="H48" s="3991">
        <v>131</v>
      </c>
      <c r="I48" s="3994">
        <v>0.45833333333333331</v>
      </c>
      <c r="J48" s="3997">
        <v>120</v>
      </c>
      <c r="K48" s="3994">
        <v>0.95833333333333337</v>
      </c>
      <c r="L48" s="2978"/>
    </row>
    <row r="49" spans="1:13" s="2979" customFormat="1" ht="15.75" customHeight="1">
      <c r="A49" s="2999"/>
      <c r="B49" s="4765" t="s">
        <v>561</v>
      </c>
      <c r="C49" s="3999">
        <v>34.5</v>
      </c>
      <c r="D49" s="3988" t="s">
        <v>1632</v>
      </c>
      <c r="E49" s="3991">
        <v>33.700000000000003</v>
      </c>
      <c r="F49" s="4000" t="s">
        <v>1486</v>
      </c>
      <c r="G49" s="4774" t="s">
        <v>908</v>
      </c>
      <c r="H49" s="3995">
        <v>141</v>
      </c>
      <c r="I49" s="4004">
        <v>4.1666666666666664E-2</v>
      </c>
      <c r="J49" s="3995">
        <v>138</v>
      </c>
      <c r="K49" s="4004">
        <v>0.33333333333333331</v>
      </c>
      <c r="L49" s="2978"/>
      <c r="M49" s="3000"/>
    </row>
    <row r="50" spans="1:13" s="2979" customFormat="1" ht="15.75" customHeight="1">
      <c r="A50" s="2999"/>
      <c r="B50" s="4766" t="s">
        <v>1350</v>
      </c>
      <c r="C50" s="4001">
        <v>138</v>
      </c>
      <c r="D50" s="3988" t="s">
        <v>1708</v>
      </c>
      <c r="E50" s="4003">
        <v>135</v>
      </c>
      <c r="F50" s="4000" t="s">
        <v>1549</v>
      </c>
      <c r="G50" s="4773" t="s">
        <v>912</v>
      </c>
      <c r="H50" s="3995">
        <v>142</v>
      </c>
      <c r="I50" s="4004">
        <v>0.54166666666666663</v>
      </c>
      <c r="J50" s="3995">
        <v>138</v>
      </c>
      <c r="K50" s="4004">
        <v>0.29166666666666669</v>
      </c>
      <c r="L50" s="2978"/>
    </row>
    <row r="51" spans="1:13" s="2979" customFormat="1" ht="15.75" customHeight="1">
      <c r="A51" s="2999"/>
      <c r="B51" s="4765" t="s">
        <v>564</v>
      </c>
      <c r="C51" s="3999">
        <v>138</v>
      </c>
      <c r="D51" s="3988" t="s">
        <v>1554</v>
      </c>
      <c r="E51" s="3991">
        <v>0</v>
      </c>
      <c r="F51" s="4000" t="s">
        <v>1708</v>
      </c>
      <c r="G51" s="4775" t="s">
        <v>1363</v>
      </c>
      <c r="H51" s="3991">
        <v>142</v>
      </c>
      <c r="I51" s="3990">
        <v>0.125</v>
      </c>
      <c r="J51" s="3991">
        <v>136</v>
      </c>
      <c r="K51" s="3992">
        <v>0.25</v>
      </c>
      <c r="L51" s="2978"/>
    </row>
    <row r="52" spans="1:13" s="2979" customFormat="1" ht="15.75" customHeight="1">
      <c r="A52" s="2999"/>
      <c r="B52" s="4766" t="s">
        <v>566</v>
      </c>
      <c r="C52" s="3999">
        <v>139</v>
      </c>
      <c r="D52" s="3988" t="s">
        <v>1646</v>
      </c>
      <c r="E52" s="3991">
        <v>137</v>
      </c>
      <c r="F52" s="4000" t="s">
        <v>1486</v>
      </c>
      <c r="G52" s="4776" t="s">
        <v>1237</v>
      </c>
      <c r="H52" s="3995">
        <v>142</v>
      </c>
      <c r="I52" s="4004">
        <v>0.20833333333333334</v>
      </c>
      <c r="J52" s="3995">
        <v>136</v>
      </c>
      <c r="K52" s="3994">
        <v>0.5</v>
      </c>
      <c r="L52" s="2978"/>
      <c r="M52" s="3000"/>
    </row>
    <row r="53" spans="1:13" s="2979" customFormat="1" ht="15.75" customHeight="1">
      <c r="A53" s="3535"/>
      <c r="B53" s="4765" t="s">
        <v>569</v>
      </c>
      <c r="C53" s="3999">
        <v>139</v>
      </c>
      <c r="D53" s="3988" t="s">
        <v>1646</v>
      </c>
      <c r="E53" s="3991">
        <v>135</v>
      </c>
      <c r="F53" s="4000" t="s">
        <v>1486</v>
      </c>
      <c r="G53" s="4774" t="s">
        <v>1239</v>
      </c>
      <c r="H53" s="3995">
        <v>140</v>
      </c>
      <c r="I53" s="4004">
        <v>0.20833333333333334</v>
      </c>
      <c r="J53" s="3995">
        <v>135</v>
      </c>
      <c r="K53" s="3994">
        <v>0.5</v>
      </c>
      <c r="L53" s="2978"/>
    </row>
    <row r="54" spans="1:13" s="2979" customFormat="1" ht="15.75" customHeight="1">
      <c r="A54" s="2999"/>
      <c r="B54" s="4766" t="s">
        <v>1211</v>
      </c>
      <c r="C54" s="3999">
        <v>138</v>
      </c>
      <c r="D54" s="3988" t="s">
        <v>1632</v>
      </c>
      <c r="E54" s="3991">
        <v>134</v>
      </c>
      <c r="F54" s="4000" t="s">
        <v>1549</v>
      </c>
      <c r="G54" s="4773" t="s">
        <v>607</v>
      </c>
      <c r="H54" s="3995">
        <v>140</v>
      </c>
      <c r="I54" s="4004">
        <v>4.1666666666666664E-2</v>
      </c>
      <c r="J54" s="3997">
        <v>135</v>
      </c>
      <c r="K54" s="3994">
        <v>0.5</v>
      </c>
      <c r="L54" s="2978"/>
    </row>
    <row r="55" spans="1:13" s="2979" customFormat="1" ht="15.75" customHeight="1">
      <c r="A55" s="3535"/>
      <c r="B55" s="4765" t="s">
        <v>1291</v>
      </c>
      <c r="C55" s="3999">
        <v>138</v>
      </c>
      <c r="D55" s="3988" t="s">
        <v>1683</v>
      </c>
      <c r="E55" s="3991">
        <v>134</v>
      </c>
      <c r="F55" s="4000" t="s">
        <v>1549</v>
      </c>
      <c r="G55" s="4774" t="s">
        <v>522</v>
      </c>
      <c r="H55" s="3991">
        <v>139</v>
      </c>
      <c r="I55" s="3992">
        <v>0.125</v>
      </c>
      <c r="J55" s="3991">
        <v>134</v>
      </c>
      <c r="K55" s="3992">
        <v>0.29166666666666669</v>
      </c>
      <c r="L55" s="2978"/>
      <c r="M55" s="3000"/>
    </row>
    <row r="56" spans="1:13" s="2979" customFormat="1" ht="15.75" customHeight="1">
      <c r="A56" s="2999"/>
      <c r="B56" s="4766" t="s">
        <v>1251</v>
      </c>
      <c r="C56" s="3999">
        <v>138</v>
      </c>
      <c r="D56" s="3988" t="s">
        <v>1669</v>
      </c>
      <c r="E56" s="3991">
        <v>135</v>
      </c>
      <c r="F56" s="4000" t="s">
        <v>1549</v>
      </c>
      <c r="G56" s="4773" t="s">
        <v>948</v>
      </c>
      <c r="H56" s="3995">
        <v>141</v>
      </c>
      <c r="I56" s="4004">
        <v>4.1666666666666664E-2</v>
      </c>
      <c r="J56" s="3995">
        <v>133</v>
      </c>
      <c r="K56" s="3994">
        <v>0.5</v>
      </c>
      <c r="L56" s="2978"/>
    </row>
    <row r="57" spans="1:13" s="2979" customFormat="1" ht="15.75" customHeight="1">
      <c r="A57" s="2999"/>
      <c r="B57" s="4765" t="s">
        <v>1324</v>
      </c>
      <c r="C57" s="3999">
        <v>139</v>
      </c>
      <c r="D57" s="3988">
        <v>0.375</v>
      </c>
      <c r="E57" s="3991">
        <v>136</v>
      </c>
      <c r="F57" s="4000">
        <v>0.5</v>
      </c>
      <c r="G57" s="4774" t="s">
        <v>1369</v>
      </c>
      <c r="H57" s="3991">
        <v>140</v>
      </c>
      <c r="I57" s="3992">
        <v>4.1666666666666664E-2</v>
      </c>
      <c r="J57" s="3991">
        <v>135</v>
      </c>
      <c r="K57" s="3992">
        <v>0.5</v>
      </c>
      <c r="L57" s="2978"/>
    </row>
    <row r="58" spans="1:13" s="2979" customFormat="1" ht="15.75" customHeight="1">
      <c r="A58" s="2999"/>
      <c r="B58" s="4766" t="s">
        <v>1343</v>
      </c>
      <c r="C58" s="4001">
        <v>139</v>
      </c>
      <c r="D58" s="3988">
        <v>0.16666666666666666</v>
      </c>
      <c r="E58" s="4003">
        <v>136</v>
      </c>
      <c r="F58" s="4000">
        <v>0.45833333333333331</v>
      </c>
      <c r="G58" s="4773" t="s">
        <v>526</v>
      </c>
      <c r="H58" s="3997">
        <v>141</v>
      </c>
      <c r="I58" s="3994">
        <v>4.1666666666666664E-2</v>
      </c>
      <c r="J58" s="3995">
        <v>136</v>
      </c>
      <c r="K58" s="3994">
        <v>0.5</v>
      </c>
      <c r="L58" s="2978"/>
      <c r="M58" s="3000"/>
    </row>
    <row r="59" spans="1:13" s="2979" customFormat="1" ht="15.75" customHeight="1">
      <c r="A59" s="2999"/>
      <c r="B59" s="4765" t="s">
        <v>1387</v>
      </c>
      <c r="C59" s="5116">
        <v>139</v>
      </c>
      <c r="D59" s="5116" t="s">
        <v>1708</v>
      </c>
      <c r="E59" s="5116">
        <v>134</v>
      </c>
      <c r="F59" s="5116" t="s">
        <v>1549</v>
      </c>
      <c r="G59" s="4774" t="s">
        <v>941</v>
      </c>
      <c r="H59" s="3991">
        <v>143</v>
      </c>
      <c r="I59" s="3992">
        <v>0.20833333333333334</v>
      </c>
      <c r="J59" s="3991">
        <v>140</v>
      </c>
      <c r="K59" s="3992">
        <v>0.5</v>
      </c>
      <c r="L59" s="2978"/>
    </row>
    <row r="60" spans="1:13" s="2979" customFormat="1" ht="17.25" customHeight="1">
      <c r="A60" s="2999"/>
      <c r="B60" s="4768" t="s">
        <v>571</v>
      </c>
      <c r="C60" s="4005">
        <v>139</v>
      </c>
      <c r="D60" s="3998">
        <v>0.91666666666666663</v>
      </c>
      <c r="E60" s="4600">
        <v>133</v>
      </c>
      <c r="F60" s="4004">
        <v>0.45833333333333331</v>
      </c>
      <c r="G60" s="4773" t="s">
        <v>531</v>
      </c>
      <c r="H60" s="3991">
        <v>140</v>
      </c>
      <c r="I60" s="3992">
        <v>0.125</v>
      </c>
      <c r="J60" s="3991">
        <v>137</v>
      </c>
      <c r="K60" s="3992">
        <v>0.91666666666666663</v>
      </c>
      <c r="L60" s="2978"/>
    </row>
    <row r="61" spans="1:13" s="2979" customFormat="1" ht="15.75" customHeight="1">
      <c r="A61" s="2999"/>
      <c r="B61" s="4765" t="s">
        <v>719</v>
      </c>
      <c r="C61" s="4005">
        <v>139</v>
      </c>
      <c r="D61" s="4006">
        <v>0.33333333333333331</v>
      </c>
      <c r="E61" s="3991">
        <v>135</v>
      </c>
      <c r="F61" s="4004">
        <v>4.1666666666666664E-2</v>
      </c>
      <c r="G61" s="4774" t="s">
        <v>1364</v>
      </c>
      <c r="H61" s="3997">
        <v>140</v>
      </c>
      <c r="I61" s="3994">
        <v>0.16666666666666666</v>
      </c>
      <c r="J61" s="3995">
        <v>136</v>
      </c>
      <c r="K61" s="3994">
        <v>0.5</v>
      </c>
      <c r="L61" s="2978"/>
      <c r="M61" s="3000"/>
    </row>
    <row r="62" spans="1:13" s="2979" customFormat="1" ht="15.75" customHeight="1">
      <c r="A62" s="2999"/>
      <c r="B62" s="4766" t="s">
        <v>575</v>
      </c>
      <c r="C62" s="4005">
        <v>137</v>
      </c>
      <c r="D62" s="4006">
        <v>4.1666666666666664E-2</v>
      </c>
      <c r="E62" s="4007">
        <v>134</v>
      </c>
      <c r="F62" s="4004">
        <v>0.5</v>
      </c>
      <c r="G62" s="4773" t="s">
        <v>534</v>
      </c>
      <c r="H62" s="4012">
        <v>143</v>
      </c>
      <c r="I62" s="3990">
        <v>0.375</v>
      </c>
      <c r="J62" s="3991">
        <v>137</v>
      </c>
      <c r="K62" s="3992">
        <v>0.5</v>
      </c>
      <c r="L62" s="2978"/>
    </row>
    <row r="63" spans="1:13" s="2979" customFormat="1" ht="15.75" customHeight="1">
      <c r="A63" s="2999"/>
      <c r="B63" s="4765" t="s">
        <v>577</v>
      </c>
      <c r="C63" s="4008">
        <v>140</v>
      </c>
      <c r="D63" s="3988" t="s">
        <v>1639</v>
      </c>
      <c r="E63" s="4007">
        <v>35</v>
      </c>
      <c r="F63" s="4004" t="s">
        <v>1550</v>
      </c>
      <c r="G63" s="4774" t="s">
        <v>1240</v>
      </c>
      <c r="H63" s="4012">
        <v>144</v>
      </c>
      <c r="I63" s="3994">
        <v>0.41666666666666669</v>
      </c>
      <c r="J63" s="3995">
        <v>139</v>
      </c>
      <c r="K63" s="3994">
        <v>0.5</v>
      </c>
      <c r="L63" s="2978"/>
    </row>
    <row r="64" spans="1:13" s="2979" customFormat="1" ht="15.75" customHeight="1">
      <c r="A64" s="2999"/>
      <c r="B64" s="4766" t="s">
        <v>933</v>
      </c>
      <c r="C64" s="4005">
        <v>138</v>
      </c>
      <c r="D64" s="3988" t="s">
        <v>1669</v>
      </c>
      <c r="E64" s="4009">
        <v>133</v>
      </c>
      <c r="F64" s="4004" t="s">
        <v>1549</v>
      </c>
      <c r="G64" s="4773" t="s">
        <v>537</v>
      </c>
      <c r="H64" s="3997">
        <v>141</v>
      </c>
      <c r="I64" s="3990">
        <v>0.375</v>
      </c>
      <c r="J64" s="3991">
        <v>137</v>
      </c>
      <c r="K64" s="3992">
        <v>0.5</v>
      </c>
      <c r="L64" s="2978"/>
      <c r="M64" s="3000"/>
    </row>
    <row r="65" spans="1:24" s="2979" customFormat="1" ht="15.75" customHeight="1">
      <c r="A65" s="2999"/>
      <c r="B65" s="4765" t="s">
        <v>580</v>
      </c>
      <c r="C65" s="4005">
        <v>139</v>
      </c>
      <c r="D65" s="3988" t="s">
        <v>1708</v>
      </c>
      <c r="E65" s="4010">
        <v>136</v>
      </c>
      <c r="F65" s="3990" t="s">
        <v>1486</v>
      </c>
      <c r="G65" s="4774" t="s">
        <v>539</v>
      </c>
      <c r="H65" s="3997">
        <v>139</v>
      </c>
      <c r="I65" s="4004">
        <v>0.25</v>
      </c>
      <c r="J65" s="3995">
        <v>135</v>
      </c>
      <c r="K65" s="3994">
        <v>0.33333333333333331</v>
      </c>
      <c r="L65" s="2978"/>
      <c r="M65" s="1110"/>
    </row>
    <row r="66" spans="1:24" s="2979" customFormat="1" ht="15.75" customHeight="1">
      <c r="A66" s="2999"/>
      <c r="B66" s="4766" t="s">
        <v>582</v>
      </c>
      <c r="C66" s="4005">
        <v>138</v>
      </c>
      <c r="D66" s="3988">
        <v>8.3333333333333329E-2</v>
      </c>
      <c r="E66" s="4010">
        <v>134</v>
      </c>
      <c r="F66" s="4004">
        <v>0.875</v>
      </c>
      <c r="G66" s="4773" t="s">
        <v>541</v>
      </c>
      <c r="H66" s="3991">
        <v>139</v>
      </c>
      <c r="I66" s="3990">
        <v>0.41666666666666669</v>
      </c>
      <c r="J66" s="3991">
        <v>134</v>
      </c>
      <c r="K66" s="3990">
        <v>0.5</v>
      </c>
      <c r="L66" s="2978"/>
    </row>
    <row r="67" spans="1:24" s="2979" customFormat="1" ht="15.75" customHeight="1">
      <c r="A67" s="2999"/>
      <c r="B67" s="4765" t="s">
        <v>585</v>
      </c>
      <c r="C67" s="4008">
        <v>142</v>
      </c>
      <c r="D67" s="3988">
        <v>0.16666666666666666</v>
      </c>
      <c r="E67" s="3991">
        <v>137</v>
      </c>
      <c r="F67" s="3990">
        <v>0.45833333333333331</v>
      </c>
      <c r="G67" s="4774" t="s">
        <v>544</v>
      </c>
      <c r="H67" s="3995">
        <v>139</v>
      </c>
      <c r="I67" s="3994">
        <v>0.16666666666666666</v>
      </c>
      <c r="J67" s="3995">
        <v>133</v>
      </c>
      <c r="K67" s="3990">
        <v>0.33333333333333331</v>
      </c>
      <c r="L67" s="2978"/>
      <c r="M67" s="3000"/>
    </row>
    <row r="68" spans="1:24" s="2979" customFormat="1" ht="15.75" customHeight="1">
      <c r="A68" s="2999"/>
      <c r="B68" s="4766" t="s">
        <v>587</v>
      </c>
      <c r="C68" s="4005">
        <v>142</v>
      </c>
      <c r="D68" s="3988">
        <v>0.16666666666666666</v>
      </c>
      <c r="E68" s="3995">
        <v>139</v>
      </c>
      <c r="F68" s="3990">
        <v>0.45833333333333331</v>
      </c>
      <c r="G68" s="4773" t="s">
        <v>545</v>
      </c>
      <c r="H68" s="3997">
        <v>141</v>
      </c>
      <c r="I68" s="3990">
        <v>0.16666666666666666</v>
      </c>
      <c r="J68" s="3997">
        <v>136</v>
      </c>
      <c r="K68" s="3992">
        <v>0.33333333333333331</v>
      </c>
      <c r="L68" s="2978"/>
    </row>
    <row r="69" spans="1:24" s="2979" customFormat="1" ht="15.75" customHeight="1">
      <c r="A69" s="2999"/>
      <c r="B69" s="4765" t="s">
        <v>589</v>
      </c>
      <c r="C69" s="4008">
        <v>141</v>
      </c>
      <c r="D69" s="3988">
        <v>0.16666666666666666</v>
      </c>
      <c r="E69" s="3991">
        <v>138</v>
      </c>
      <c r="F69" s="3990">
        <v>0.45833333333333331</v>
      </c>
      <c r="G69" s="4774" t="s">
        <v>548</v>
      </c>
      <c r="H69" s="3995">
        <v>142</v>
      </c>
      <c r="I69" s="3994">
        <v>0.16666666666666666</v>
      </c>
      <c r="J69" s="4012">
        <v>136</v>
      </c>
      <c r="K69" s="3994">
        <v>0.5</v>
      </c>
      <c r="L69" s="2978"/>
    </row>
    <row r="70" spans="1:24" s="2979" customFormat="1" ht="15.75" customHeight="1">
      <c r="A70" s="2999"/>
      <c r="B70" s="4768" t="s">
        <v>1478</v>
      </c>
      <c r="C70" s="4011">
        <v>142</v>
      </c>
      <c r="D70" s="3988" t="s">
        <v>1550</v>
      </c>
      <c r="E70" s="3995">
        <v>139</v>
      </c>
      <c r="F70" s="3990" t="s">
        <v>1549</v>
      </c>
      <c r="G70" s="4773" t="s">
        <v>1311</v>
      </c>
      <c r="H70" s="4012">
        <v>140</v>
      </c>
      <c r="I70" s="3990">
        <v>0.20833333333333334</v>
      </c>
      <c r="J70" s="4559">
        <v>134</v>
      </c>
      <c r="K70" s="3992">
        <v>0.375</v>
      </c>
      <c r="L70" s="2978"/>
      <c r="M70" s="3000"/>
    </row>
    <row r="71" spans="1:24" s="2979" customFormat="1" ht="15.75" customHeight="1">
      <c r="A71" s="3535"/>
      <c r="B71" s="4765" t="s">
        <v>595</v>
      </c>
      <c r="C71" s="4011">
        <v>139</v>
      </c>
      <c r="D71" s="3998">
        <v>0.54166666666666663</v>
      </c>
      <c r="E71" s="3991">
        <v>136</v>
      </c>
      <c r="F71" s="3990" t="s">
        <v>1552</v>
      </c>
      <c r="G71" s="4774" t="s">
        <v>550</v>
      </c>
      <c r="H71" s="3991">
        <v>141</v>
      </c>
      <c r="I71" s="3990">
        <v>0.125</v>
      </c>
      <c r="J71" s="3997">
        <v>132</v>
      </c>
      <c r="K71" s="3992">
        <v>0.5</v>
      </c>
      <c r="L71" s="2978"/>
    </row>
    <row r="72" spans="1:24" s="2979" customFormat="1" ht="15.75" customHeight="1">
      <c r="A72" s="2999"/>
      <c r="B72" s="4766" t="s">
        <v>1479</v>
      </c>
      <c r="C72" s="4819">
        <v>0</v>
      </c>
      <c r="D72" s="4820" t="s">
        <v>1551</v>
      </c>
      <c r="E72" s="4821">
        <v>0</v>
      </c>
      <c r="F72" s="4820" t="s">
        <v>1556</v>
      </c>
      <c r="G72" s="4777" t="s">
        <v>1088</v>
      </c>
      <c r="H72" s="4925">
        <v>142</v>
      </c>
      <c r="I72" s="4004">
        <v>0.375</v>
      </c>
      <c r="J72" s="3997">
        <v>139</v>
      </c>
      <c r="K72" s="4004">
        <v>0.66666666666666663</v>
      </c>
      <c r="L72" s="2978"/>
    </row>
    <row r="73" spans="1:24" s="2979" customFormat="1" ht="15.75" customHeight="1">
      <c r="A73" s="2999"/>
      <c r="B73" s="4765" t="s">
        <v>1480</v>
      </c>
      <c r="C73" s="4716">
        <v>137</v>
      </c>
      <c r="D73" s="3998" t="s">
        <v>1644</v>
      </c>
      <c r="E73" s="3991">
        <v>134</v>
      </c>
      <c r="F73" s="3990">
        <v>0.91666666666666663</v>
      </c>
      <c r="G73" s="4774" t="s">
        <v>1089</v>
      </c>
      <c r="H73" s="3997">
        <v>143</v>
      </c>
      <c r="I73" s="3992">
        <v>0.375</v>
      </c>
      <c r="J73" s="3991">
        <v>138</v>
      </c>
      <c r="K73" s="3992">
        <v>0.5</v>
      </c>
      <c r="L73" s="2978"/>
      <c r="M73" s="3000"/>
    </row>
    <row r="74" spans="1:24" s="2979" customFormat="1" ht="15.75" customHeight="1">
      <c r="A74" s="2999"/>
      <c r="B74" s="4766" t="s">
        <v>601</v>
      </c>
      <c r="C74" s="4716">
        <v>144</v>
      </c>
      <c r="D74" s="3998" t="s">
        <v>1633</v>
      </c>
      <c r="E74" s="3997">
        <v>143</v>
      </c>
      <c r="F74" s="3990" t="s">
        <v>1556</v>
      </c>
      <c r="G74" s="4773" t="s">
        <v>1249</v>
      </c>
      <c r="H74" s="3995">
        <v>140</v>
      </c>
      <c r="I74" s="3994">
        <v>4.1666666666666664E-2</v>
      </c>
      <c r="J74" s="3995">
        <v>136</v>
      </c>
      <c r="K74" s="3994">
        <v>0.5</v>
      </c>
      <c r="L74" s="2978"/>
    </row>
    <row r="75" spans="1:24" s="2979" customFormat="1" ht="15.75" customHeight="1">
      <c r="A75" s="2999"/>
      <c r="B75" s="4765" t="s">
        <v>603</v>
      </c>
      <c r="C75" s="4005">
        <v>141</v>
      </c>
      <c r="D75" s="4013" t="s">
        <v>1656</v>
      </c>
      <c r="E75" s="4557">
        <v>137</v>
      </c>
      <c r="F75" s="4015" t="s">
        <v>1710</v>
      </c>
      <c r="G75" s="4774" t="s">
        <v>558</v>
      </c>
      <c r="H75" s="3997">
        <v>140</v>
      </c>
      <c r="I75" s="3992">
        <v>4.1666666666666664E-2</v>
      </c>
      <c r="J75" s="3991">
        <v>136</v>
      </c>
      <c r="K75" s="3994">
        <v>0.5</v>
      </c>
      <c r="L75" s="2978"/>
    </row>
    <row r="76" spans="1:24" s="2979" customFormat="1" ht="15.75" customHeight="1">
      <c r="A76" s="2999"/>
      <c r="B76" s="4766" t="s">
        <v>720</v>
      </c>
      <c r="C76" s="4005">
        <v>141</v>
      </c>
      <c r="D76" s="4013" t="s">
        <v>1551</v>
      </c>
      <c r="E76" s="4014">
        <v>135</v>
      </c>
      <c r="F76" s="4015">
        <v>0</v>
      </c>
      <c r="G76" s="4773" t="s">
        <v>1322</v>
      </c>
      <c r="H76" s="3995">
        <v>143</v>
      </c>
      <c r="I76" s="4004">
        <v>8.3333333333333329E-2</v>
      </c>
      <c r="J76" s="3997">
        <v>138</v>
      </c>
      <c r="K76" s="4004">
        <v>0.5</v>
      </c>
      <c r="L76" s="2978"/>
      <c r="M76" s="3000"/>
      <c r="Q76" s="2979" t="s">
        <v>1601</v>
      </c>
      <c r="R76" s="2979" t="s">
        <v>1602</v>
      </c>
      <c r="S76" s="2979" t="s">
        <v>1603</v>
      </c>
      <c r="T76" s="2979" t="s">
        <v>1606</v>
      </c>
      <c r="U76" s="2979" t="s">
        <v>1607</v>
      </c>
      <c r="V76" s="2979" t="s">
        <v>1611</v>
      </c>
      <c r="W76" s="2979" t="s">
        <v>1612</v>
      </c>
      <c r="X76" s="2979" t="s">
        <v>1615</v>
      </c>
    </row>
    <row r="77" spans="1:24" s="2979" customFormat="1" ht="15.75" customHeight="1">
      <c r="A77" s="2999"/>
      <c r="B77" s="4765" t="s">
        <v>892</v>
      </c>
      <c r="C77" s="4011">
        <v>139</v>
      </c>
      <c r="D77" s="4016" t="s">
        <v>1600</v>
      </c>
      <c r="E77" s="3997">
        <v>136</v>
      </c>
      <c r="F77" s="4015" t="s">
        <v>1639</v>
      </c>
      <c r="G77" s="4774" t="s">
        <v>1388</v>
      </c>
      <c r="H77" s="3991">
        <v>140</v>
      </c>
      <c r="I77" s="3990">
        <v>4.1666666666666664E-2</v>
      </c>
      <c r="J77" s="3991">
        <v>136</v>
      </c>
      <c r="K77" s="3990">
        <v>0.5</v>
      </c>
      <c r="L77" s="2978"/>
      <c r="Q77" s="2979" t="s">
        <v>1616</v>
      </c>
      <c r="R77" s="2979" t="s">
        <v>1602</v>
      </c>
      <c r="S77" s="2979" t="s">
        <v>1604</v>
      </c>
      <c r="T77" s="2979" t="s">
        <v>1606</v>
      </c>
      <c r="U77" s="2979" t="s">
        <v>1608</v>
      </c>
      <c r="V77" s="2979" t="s">
        <v>1611</v>
      </c>
      <c r="W77" s="2979" t="s">
        <v>1613</v>
      </c>
      <c r="X77" s="2979" t="s">
        <v>1615</v>
      </c>
    </row>
    <row r="78" spans="1:24" s="2979" customFormat="1" ht="15.75" customHeight="1">
      <c r="A78" s="2999"/>
      <c r="B78" s="4766" t="s">
        <v>1220</v>
      </c>
      <c r="C78" s="4008">
        <v>140</v>
      </c>
      <c r="D78" s="4016" t="s">
        <v>1550</v>
      </c>
      <c r="E78" s="3997">
        <v>134</v>
      </c>
      <c r="F78" s="4015" t="s">
        <v>1632</v>
      </c>
      <c r="G78" s="4776" t="s">
        <v>103</v>
      </c>
      <c r="H78" s="3995">
        <v>143</v>
      </c>
      <c r="I78" s="4004">
        <v>0.16666666666666666</v>
      </c>
      <c r="J78" s="3995">
        <v>138</v>
      </c>
      <c r="K78" s="4004">
        <v>0.5</v>
      </c>
      <c r="L78" s="2978"/>
      <c r="Q78" s="2979" t="s">
        <v>1617</v>
      </c>
      <c r="R78" s="2979" t="s">
        <v>1602</v>
      </c>
      <c r="S78" s="2979" t="s">
        <v>1605</v>
      </c>
      <c r="T78" s="2979" t="s">
        <v>1606</v>
      </c>
      <c r="U78" s="2979" t="s">
        <v>1609</v>
      </c>
      <c r="V78" s="2979" t="s">
        <v>1611</v>
      </c>
      <c r="W78" s="2979" t="s">
        <v>1614</v>
      </c>
      <c r="X78" s="2979" t="s">
        <v>1615</v>
      </c>
    </row>
    <row r="79" spans="1:24" s="2979" customFormat="1" ht="15.75" customHeight="1">
      <c r="A79" s="2999"/>
      <c r="B79" s="4765" t="s">
        <v>1391</v>
      </c>
      <c r="C79" s="4008">
        <v>0</v>
      </c>
      <c r="D79" s="3988" t="s">
        <v>1556</v>
      </c>
      <c r="E79" s="3997">
        <v>0</v>
      </c>
      <c r="F79" s="3990" t="s">
        <v>1556</v>
      </c>
      <c r="G79" s="4774" t="s">
        <v>822</v>
      </c>
      <c r="H79" s="3991">
        <v>141</v>
      </c>
      <c r="I79" s="3990">
        <v>0.20833333333333334</v>
      </c>
      <c r="J79" s="3991">
        <v>138</v>
      </c>
      <c r="K79" s="3990">
        <v>0.5</v>
      </c>
      <c r="L79" s="2978"/>
      <c r="M79" s="3000"/>
      <c r="Q79" s="2979" t="s">
        <v>1618</v>
      </c>
      <c r="R79" s="2979" t="s">
        <v>1602</v>
      </c>
      <c r="U79" s="2979" t="s">
        <v>1610</v>
      </c>
      <c r="V79" s="2979" t="s">
        <v>1611</v>
      </c>
    </row>
    <row r="80" spans="1:24" s="2979" customFormat="1" ht="15.75" customHeight="1">
      <c r="A80" s="2999"/>
      <c r="B80" s="4864" t="s">
        <v>1465</v>
      </c>
      <c r="C80" s="4865">
        <v>0</v>
      </c>
      <c r="D80" s="4866" t="s">
        <v>1556</v>
      </c>
      <c r="E80" s="4867">
        <v>0</v>
      </c>
      <c r="F80" s="4868" t="s">
        <v>1556</v>
      </c>
      <c r="G80" s="4773" t="s">
        <v>563</v>
      </c>
      <c r="H80" s="3995">
        <v>142</v>
      </c>
      <c r="I80" s="4004">
        <v>0.20833333333333334</v>
      </c>
      <c r="J80" s="3995">
        <v>138</v>
      </c>
      <c r="K80" s="4004">
        <v>0.5</v>
      </c>
      <c r="L80" s="2978"/>
      <c r="Q80" s="2979" t="s">
        <v>1619</v>
      </c>
      <c r="R80" s="2979" t="s">
        <v>1602</v>
      </c>
      <c r="U80" s="2979" t="s">
        <v>1628</v>
      </c>
      <c r="V80" s="2979" t="s">
        <v>1611</v>
      </c>
    </row>
    <row r="81" spans="1:18" s="2979" customFormat="1" ht="15.75" customHeight="1">
      <c r="A81" s="2999"/>
      <c r="B81" s="4768" t="s">
        <v>936</v>
      </c>
      <c r="C81" s="4008">
        <v>133</v>
      </c>
      <c r="D81" s="3988">
        <v>8.3333333333333329E-2</v>
      </c>
      <c r="E81" s="3991">
        <v>128</v>
      </c>
      <c r="F81" s="3990">
        <v>0.75</v>
      </c>
      <c r="G81" s="4774" t="s">
        <v>565</v>
      </c>
      <c r="H81" s="3991">
        <v>143</v>
      </c>
      <c r="I81" s="3990">
        <v>0.70833333333333337</v>
      </c>
      <c r="J81" s="3991">
        <v>139</v>
      </c>
      <c r="K81" s="3990">
        <v>0.5</v>
      </c>
      <c r="L81" s="2978"/>
      <c r="Q81" s="2979" t="s">
        <v>1620</v>
      </c>
      <c r="R81" s="2979" t="s">
        <v>1602</v>
      </c>
    </row>
    <row r="82" spans="1:18" s="2979" customFormat="1" ht="15.75" customHeight="1">
      <c r="A82" s="2999"/>
      <c r="B82" s="4765" t="s">
        <v>606</v>
      </c>
      <c r="C82" s="4005">
        <v>136</v>
      </c>
      <c r="D82" s="3988">
        <v>4.1666666666666664E-2</v>
      </c>
      <c r="E82" s="4012">
        <v>134</v>
      </c>
      <c r="F82" s="3990">
        <v>0.5</v>
      </c>
      <c r="G82" s="4773" t="s">
        <v>568</v>
      </c>
      <c r="H82" s="3997">
        <v>137</v>
      </c>
      <c r="I82" s="4004">
        <v>0.54166666666666663</v>
      </c>
      <c r="J82" s="3995">
        <v>134</v>
      </c>
      <c r="K82" s="4004">
        <v>0.75</v>
      </c>
      <c r="L82" s="2978"/>
      <c r="M82" s="3000"/>
      <c r="Q82" s="2979" t="s">
        <v>1621</v>
      </c>
      <c r="R82" s="2979" t="s">
        <v>1602</v>
      </c>
    </row>
    <row r="83" spans="1:18" s="2979" customFormat="1" ht="15.75" customHeight="1">
      <c r="A83" s="2999"/>
      <c r="B83" s="4766" t="s">
        <v>346</v>
      </c>
      <c r="C83" s="4008">
        <v>136</v>
      </c>
      <c r="D83" s="3988">
        <v>0.16666666666666666</v>
      </c>
      <c r="E83" s="3991">
        <v>129</v>
      </c>
      <c r="F83" s="3990">
        <v>0.75</v>
      </c>
      <c r="G83" s="4774" t="s">
        <v>55</v>
      </c>
      <c r="H83" s="3991">
        <v>139</v>
      </c>
      <c r="I83" s="3990">
        <v>0.83333333333333337</v>
      </c>
      <c r="J83" s="3991">
        <v>135</v>
      </c>
      <c r="K83" s="3990">
        <v>0.5</v>
      </c>
      <c r="L83" s="2978"/>
      <c r="Q83" s="2979" t="s">
        <v>1622</v>
      </c>
      <c r="R83" s="2979" t="s">
        <v>1602</v>
      </c>
    </row>
    <row r="84" spans="1:18" s="2979" customFormat="1" ht="15.75" customHeight="1">
      <c r="A84" s="2999"/>
      <c r="B84" s="4765" t="s">
        <v>521</v>
      </c>
      <c r="C84" s="4011">
        <v>135</v>
      </c>
      <c r="D84" s="3988">
        <v>4.1666666666666664E-2</v>
      </c>
      <c r="E84" s="3997">
        <v>131</v>
      </c>
      <c r="F84" s="3990">
        <v>0.75</v>
      </c>
      <c r="G84" s="4773" t="s">
        <v>1154</v>
      </c>
      <c r="H84" s="3997">
        <v>139</v>
      </c>
      <c r="I84" s="4004">
        <v>0.79166666666666663</v>
      </c>
      <c r="J84" s="3995">
        <v>133</v>
      </c>
      <c r="K84" s="4004">
        <v>0.5</v>
      </c>
      <c r="L84" s="2978"/>
      <c r="Q84" s="2979" t="s">
        <v>1623</v>
      </c>
      <c r="R84" s="2979" t="s">
        <v>1602</v>
      </c>
    </row>
    <row r="85" spans="1:18" s="2979" customFormat="1" ht="15.75" customHeight="1">
      <c r="A85" s="2999"/>
      <c r="B85" s="4766" t="s">
        <v>524</v>
      </c>
      <c r="C85" s="4005">
        <v>133</v>
      </c>
      <c r="D85" s="3988">
        <v>4.1666666666666664E-2</v>
      </c>
      <c r="E85" s="3997">
        <v>127</v>
      </c>
      <c r="F85" s="4004">
        <v>0.75</v>
      </c>
      <c r="G85" s="4774" t="s">
        <v>573</v>
      </c>
      <c r="H85" s="3991">
        <v>139</v>
      </c>
      <c r="I85" s="3990">
        <v>0.75</v>
      </c>
      <c r="J85" s="3991">
        <v>132</v>
      </c>
      <c r="K85" s="3990">
        <v>0.54166666666666663</v>
      </c>
      <c r="L85" s="2978"/>
      <c r="M85" s="3000"/>
      <c r="Q85" s="2979" t="s">
        <v>1624</v>
      </c>
      <c r="R85" s="2979" t="s">
        <v>1602</v>
      </c>
    </row>
    <row r="86" spans="1:18" s="2979" customFormat="1" ht="15.75" customHeight="1">
      <c r="A86" s="2999"/>
      <c r="B86" s="4765" t="s">
        <v>127</v>
      </c>
      <c r="C86" s="4005">
        <v>141</v>
      </c>
      <c r="D86" s="3988">
        <v>0.54166666666666663</v>
      </c>
      <c r="E86" s="3997">
        <v>133</v>
      </c>
      <c r="F86" s="4004">
        <v>0.66666666666666663</v>
      </c>
      <c r="G86" s="4773" t="s">
        <v>499</v>
      </c>
      <c r="H86" s="3991">
        <v>139</v>
      </c>
      <c r="I86" s="3990">
        <v>0.77083333333333337</v>
      </c>
      <c r="J86" s="3991">
        <v>131</v>
      </c>
      <c r="K86" s="3990">
        <v>0.5</v>
      </c>
      <c r="L86" s="2978"/>
      <c r="Q86" s="2979" t="s">
        <v>1625</v>
      </c>
      <c r="R86" s="2979" t="s">
        <v>1602</v>
      </c>
    </row>
    <row r="87" spans="1:18" s="2979" customFormat="1" ht="15.75" customHeight="1">
      <c r="A87" s="2999"/>
      <c r="B87" s="4766" t="s">
        <v>528</v>
      </c>
      <c r="C87" s="4005">
        <v>139</v>
      </c>
      <c r="D87" s="3998">
        <v>0.95833333333333337</v>
      </c>
      <c r="E87" s="3995">
        <v>132</v>
      </c>
      <c r="F87" s="4004">
        <v>0.66666666666666663</v>
      </c>
      <c r="G87" s="4774" t="s">
        <v>576</v>
      </c>
      <c r="H87" s="4009">
        <v>144</v>
      </c>
      <c r="I87" s="4017">
        <v>0.75</v>
      </c>
      <c r="J87" s="4009">
        <v>138</v>
      </c>
      <c r="K87" s="4017">
        <v>0.5</v>
      </c>
      <c r="L87" s="2978"/>
      <c r="Q87" s="2979" t="s">
        <v>1626</v>
      </c>
      <c r="R87" s="2979" t="s">
        <v>1602</v>
      </c>
    </row>
    <row r="88" spans="1:18" s="2979" customFormat="1" ht="15.75" customHeight="1">
      <c r="A88" s="2999"/>
      <c r="B88" s="4768" t="s">
        <v>530</v>
      </c>
      <c r="C88" s="4008">
        <v>140</v>
      </c>
      <c r="D88" s="3998">
        <v>0.375</v>
      </c>
      <c r="E88" s="3991">
        <v>138</v>
      </c>
      <c r="F88" s="4004">
        <v>0.16666666666666666</v>
      </c>
      <c r="G88" s="4773" t="s">
        <v>579</v>
      </c>
      <c r="H88" s="5094">
        <v>146</v>
      </c>
      <c r="I88" s="4019">
        <v>4.1666666666666664E-2</v>
      </c>
      <c r="J88" s="4018">
        <v>143</v>
      </c>
      <c r="K88" s="4019">
        <v>0.33333333333333331</v>
      </c>
      <c r="L88" s="2978"/>
      <c r="M88" s="3000"/>
      <c r="Q88" s="2979" t="s">
        <v>1627</v>
      </c>
      <c r="R88" s="2979" t="s">
        <v>1602</v>
      </c>
    </row>
    <row r="89" spans="1:18" s="2979" customFormat="1" ht="15.75" customHeight="1">
      <c r="A89" s="2999"/>
      <c r="B89" s="4766" t="s">
        <v>533</v>
      </c>
      <c r="C89" s="4008">
        <v>138</v>
      </c>
      <c r="D89" s="3998">
        <v>0.16666666666666666</v>
      </c>
      <c r="E89" s="3991">
        <v>136</v>
      </c>
      <c r="F89" s="4004">
        <v>0.875</v>
      </c>
      <c r="G89" s="4774" t="s">
        <v>104</v>
      </c>
      <c r="H89" s="3991">
        <v>142</v>
      </c>
      <c r="I89" s="3990">
        <v>4.1666666666666664E-2</v>
      </c>
      <c r="J89" s="3991">
        <v>139</v>
      </c>
      <c r="K89" s="3990">
        <v>0.70833333333333337</v>
      </c>
      <c r="L89" s="3001"/>
    </row>
    <row r="90" spans="1:18" s="2979" customFormat="1" ht="15.75" customHeight="1">
      <c r="A90" s="2999"/>
      <c r="B90" s="4765" t="s">
        <v>536</v>
      </c>
      <c r="C90" s="4008">
        <v>139</v>
      </c>
      <c r="D90" s="3998">
        <v>0.33333333333333331</v>
      </c>
      <c r="E90" s="3991">
        <v>136</v>
      </c>
      <c r="F90" s="4004">
        <v>0.625</v>
      </c>
      <c r="G90" s="4773" t="s">
        <v>584</v>
      </c>
      <c r="H90" s="3995">
        <v>136</v>
      </c>
      <c r="I90" s="4004">
        <v>0.25</v>
      </c>
      <c r="J90" s="3995">
        <v>132</v>
      </c>
      <c r="K90" s="4004">
        <v>0.75</v>
      </c>
      <c r="L90" s="2978"/>
    </row>
    <row r="91" spans="1:18" s="2979" customFormat="1" ht="15.75" customHeight="1">
      <c r="A91" s="2999"/>
      <c r="B91" s="4766" t="s">
        <v>538</v>
      </c>
      <c r="C91" s="4005">
        <v>138</v>
      </c>
      <c r="D91" s="4013">
        <v>0.54166666666666663</v>
      </c>
      <c r="E91" s="3995">
        <v>137</v>
      </c>
      <c r="F91" s="4004">
        <v>4.1666666666666664E-2</v>
      </c>
      <c r="G91" s="4774" t="s">
        <v>586</v>
      </c>
      <c r="H91" s="3991">
        <v>140</v>
      </c>
      <c r="I91" s="4004">
        <v>0.20833333333333334</v>
      </c>
      <c r="J91" s="3991">
        <v>135</v>
      </c>
      <c r="K91" s="3990">
        <v>0.75</v>
      </c>
      <c r="L91" s="2978"/>
      <c r="M91" s="3000"/>
    </row>
    <row r="92" spans="1:18" s="2979" customFormat="1" ht="15.75" customHeight="1">
      <c r="A92" s="2999"/>
      <c r="B92" s="4765" t="s">
        <v>4</v>
      </c>
      <c r="C92" s="4005">
        <v>136</v>
      </c>
      <c r="D92" s="4013">
        <v>8.3333333333333329E-2</v>
      </c>
      <c r="E92" s="3995">
        <v>134</v>
      </c>
      <c r="F92" s="4004">
        <v>0.5</v>
      </c>
      <c r="G92" s="4773" t="s">
        <v>1153</v>
      </c>
      <c r="H92" s="3995">
        <v>142</v>
      </c>
      <c r="I92" s="4004">
        <v>4.1666666666666664E-2</v>
      </c>
      <c r="J92" s="3995">
        <v>139</v>
      </c>
      <c r="K92" s="4004">
        <v>0.5</v>
      </c>
      <c r="L92" s="2978"/>
    </row>
    <row r="93" spans="1:18" s="2979" customFormat="1" ht="15.75" customHeight="1">
      <c r="A93" s="2999"/>
      <c r="B93" s="4766" t="s">
        <v>543</v>
      </c>
      <c r="C93" s="4008">
        <v>135</v>
      </c>
      <c r="D93" s="3990">
        <v>4.1666666666666664E-2</v>
      </c>
      <c r="E93" s="3991">
        <v>133</v>
      </c>
      <c r="F93" s="4020">
        <v>0.625</v>
      </c>
      <c r="G93" s="4774" t="s">
        <v>932</v>
      </c>
      <c r="H93" s="3991">
        <v>141</v>
      </c>
      <c r="I93" s="3990">
        <v>0.25</v>
      </c>
      <c r="J93" s="3991">
        <v>138</v>
      </c>
      <c r="K93" s="3990">
        <v>0.75</v>
      </c>
      <c r="L93" s="2978"/>
    </row>
    <row r="94" spans="1:18" s="2979" customFormat="1" ht="15.75" customHeight="1">
      <c r="A94" s="2999"/>
      <c r="B94" s="4769" t="s">
        <v>869</v>
      </c>
      <c r="C94" s="4011">
        <v>135</v>
      </c>
      <c r="D94" s="3990">
        <v>4.1666666666666664E-2</v>
      </c>
      <c r="E94" s="3995">
        <v>133</v>
      </c>
      <c r="F94" s="4020">
        <v>0.625</v>
      </c>
      <c r="G94" s="4773" t="s">
        <v>1310</v>
      </c>
      <c r="H94" s="3995">
        <v>145</v>
      </c>
      <c r="I94" s="4004">
        <v>0.16666666666666666</v>
      </c>
      <c r="J94" s="3995">
        <v>139</v>
      </c>
      <c r="K94" s="3990">
        <v>0.5</v>
      </c>
      <c r="L94" s="2978"/>
      <c r="M94" s="3000"/>
      <c r="P94" s="2979" t="s">
        <v>375</v>
      </c>
    </row>
    <row r="95" spans="1:18" s="2979" customFormat="1" ht="15.75" customHeight="1">
      <c r="A95" s="2999"/>
      <c r="B95" s="4766" t="s">
        <v>888</v>
      </c>
      <c r="C95" s="4011" t="s">
        <v>1557</v>
      </c>
      <c r="D95" s="3990" t="s">
        <v>1708</v>
      </c>
      <c r="E95" s="3991" t="s">
        <v>1517</v>
      </c>
      <c r="F95" s="4020" t="s">
        <v>1549</v>
      </c>
      <c r="G95" s="4778" t="s">
        <v>6</v>
      </c>
      <c r="H95" s="3991">
        <v>138</v>
      </c>
      <c r="I95" s="4004">
        <v>4.1666666666666664E-2</v>
      </c>
      <c r="J95" s="3997">
        <v>130</v>
      </c>
      <c r="K95" s="3990">
        <v>0.54166666666666663</v>
      </c>
      <c r="L95" s="2978"/>
    </row>
    <row r="96" spans="1:18" s="2979" customFormat="1" ht="15.75" customHeight="1">
      <c r="A96" s="2999"/>
      <c r="B96" s="4768" t="s">
        <v>934</v>
      </c>
      <c r="C96" s="4011" t="s">
        <v>1634</v>
      </c>
      <c r="D96" s="3990">
        <v>0.91666666666666663</v>
      </c>
      <c r="E96" s="3995" t="s">
        <v>1711</v>
      </c>
      <c r="F96" s="4020">
        <v>0.75</v>
      </c>
      <c r="G96" s="4779" t="s">
        <v>591</v>
      </c>
      <c r="H96" s="3995">
        <v>138</v>
      </c>
      <c r="I96" s="4004">
        <v>0.25</v>
      </c>
      <c r="J96" s="4012">
        <v>129</v>
      </c>
      <c r="K96" s="3990">
        <v>0.5</v>
      </c>
      <c r="L96" s="2978"/>
    </row>
    <row r="97" spans="1:14" s="2979" customFormat="1" ht="15.75" customHeight="1">
      <c r="A97" s="3002"/>
      <c r="B97" s="4766" t="s">
        <v>935</v>
      </c>
      <c r="C97" s="5172">
        <v>146</v>
      </c>
      <c r="D97" s="3990">
        <v>0.54166666666666663</v>
      </c>
      <c r="E97" s="3995">
        <v>144</v>
      </c>
      <c r="F97" s="4021">
        <v>0.125</v>
      </c>
      <c r="G97" s="4780" t="s">
        <v>594</v>
      </c>
      <c r="H97" s="3991">
        <v>135</v>
      </c>
      <c r="I97" s="4004">
        <v>0.25</v>
      </c>
      <c r="J97" s="3997">
        <v>128</v>
      </c>
      <c r="K97" s="3990">
        <v>0.5</v>
      </c>
      <c r="L97" s="2978"/>
      <c r="M97" s="3000"/>
    </row>
    <row r="98" spans="1:14" s="2979" customFormat="1" ht="15.75" customHeight="1">
      <c r="A98" s="2982"/>
      <c r="B98" s="4765" t="s">
        <v>549</v>
      </c>
      <c r="C98" s="4011">
        <v>142</v>
      </c>
      <c r="D98" s="3990">
        <v>4.1666666666666664E-2</v>
      </c>
      <c r="E98" s="3991">
        <v>142</v>
      </c>
      <c r="F98" s="4020">
        <v>4.1666666666666664E-2</v>
      </c>
      <c r="G98" s="4779" t="s">
        <v>596</v>
      </c>
      <c r="H98" s="3995">
        <v>133</v>
      </c>
      <c r="I98" s="4004">
        <v>4.1666666666666664E-2</v>
      </c>
      <c r="J98" s="3997">
        <v>125</v>
      </c>
      <c r="K98" s="3990">
        <v>0.5</v>
      </c>
      <c r="L98" s="2978"/>
    </row>
    <row r="99" spans="1:14" s="2979" customFormat="1" ht="15.75" customHeight="1">
      <c r="A99" s="2982"/>
      <c r="B99" s="4766" t="s">
        <v>552</v>
      </c>
      <c r="C99" s="4005">
        <v>142</v>
      </c>
      <c r="D99" s="3990">
        <v>8.3333333333333329E-2</v>
      </c>
      <c r="E99" s="3995">
        <v>137</v>
      </c>
      <c r="F99" s="4020">
        <v>0.25</v>
      </c>
      <c r="G99" s="4780" t="s">
        <v>598</v>
      </c>
      <c r="H99" s="3991">
        <v>133</v>
      </c>
      <c r="I99" s="4004">
        <v>0.16666666666666666</v>
      </c>
      <c r="J99" s="3997">
        <v>123</v>
      </c>
      <c r="K99" s="3990">
        <v>0.75</v>
      </c>
      <c r="L99" s="2978"/>
    </row>
    <row r="100" spans="1:14" ht="14.45" customHeight="1">
      <c r="A100" s="373"/>
      <c r="B100" s="4765" t="s">
        <v>554</v>
      </c>
      <c r="C100" s="4008">
        <v>141</v>
      </c>
      <c r="D100" s="3990">
        <v>0.875</v>
      </c>
      <c r="E100" s="3997">
        <v>134</v>
      </c>
      <c r="F100" s="4020">
        <v>0.45833333333333331</v>
      </c>
      <c r="G100" s="4779" t="s">
        <v>600</v>
      </c>
      <c r="H100" s="3991">
        <v>139</v>
      </c>
      <c r="I100" s="4004">
        <v>0.29166666666666669</v>
      </c>
      <c r="J100" s="3997">
        <v>134</v>
      </c>
      <c r="K100" s="3990">
        <v>0.54166666666666663</v>
      </c>
      <c r="L100" s="506"/>
      <c r="M100" s="3000"/>
    </row>
    <row r="101" spans="1:14" ht="18.75">
      <c r="A101" s="373"/>
      <c r="B101" s="4766" t="s">
        <v>557</v>
      </c>
      <c r="C101" s="4008" t="s">
        <v>1487</v>
      </c>
      <c r="D101" s="3990">
        <v>8.3333333333333329E-2</v>
      </c>
      <c r="E101" s="3991" t="s">
        <v>1712</v>
      </c>
      <c r="F101" s="4020">
        <v>0.8125</v>
      </c>
      <c r="G101" s="4780" t="s">
        <v>602</v>
      </c>
      <c r="H101" s="4400">
        <v>138</v>
      </c>
      <c r="I101" s="3994">
        <v>0.20833333333333334</v>
      </c>
      <c r="J101" s="3997">
        <v>132</v>
      </c>
      <c r="K101" s="3992">
        <v>0.5</v>
      </c>
      <c r="L101" s="601"/>
      <c r="M101" s="2979"/>
    </row>
    <row r="102" spans="1:14" ht="18.75">
      <c r="A102" s="373"/>
      <c r="B102" s="4765" t="s">
        <v>560</v>
      </c>
      <c r="C102" s="4008" t="s">
        <v>1713</v>
      </c>
      <c r="D102" s="3990">
        <v>0.77083333333333337</v>
      </c>
      <c r="E102" s="4022" t="s">
        <v>1491</v>
      </c>
      <c r="F102" s="4020">
        <v>0.45833333333333331</v>
      </c>
      <c r="G102" s="4779" t="s">
        <v>605</v>
      </c>
      <c r="H102" s="4400">
        <v>135</v>
      </c>
      <c r="I102" s="3994">
        <v>0.16666666666666666</v>
      </c>
      <c r="J102" s="3997">
        <v>125</v>
      </c>
      <c r="K102" s="3992">
        <v>0.5</v>
      </c>
      <c r="M102" s="2979"/>
    </row>
    <row r="103" spans="1:14" ht="18.75">
      <c r="A103" s="373"/>
      <c r="B103" s="4766" t="s">
        <v>562</v>
      </c>
      <c r="C103" s="4005" t="s">
        <v>1557</v>
      </c>
      <c r="D103" s="4004">
        <v>0.29166666666666669</v>
      </c>
      <c r="E103" s="3995">
        <v>135</v>
      </c>
      <c r="F103" s="4004">
        <v>0.83333333333333337</v>
      </c>
      <c r="G103" s="4780" t="s">
        <v>929</v>
      </c>
      <c r="H103" s="3991">
        <v>135</v>
      </c>
      <c r="I103" s="3994">
        <v>0.16666666666666666</v>
      </c>
      <c r="J103" s="3991">
        <v>126</v>
      </c>
      <c r="K103" s="3992">
        <v>0.5</v>
      </c>
      <c r="M103" s="3000"/>
    </row>
    <row r="104" spans="1:14" ht="18.75">
      <c r="A104" s="373"/>
      <c r="B104" s="4765" t="s">
        <v>887</v>
      </c>
      <c r="C104" s="4005" t="s">
        <v>1712</v>
      </c>
      <c r="D104" s="4004">
        <v>0.70833333333333337</v>
      </c>
      <c r="E104" s="3995">
        <v>135</v>
      </c>
      <c r="F104" s="4004">
        <v>0.25</v>
      </c>
      <c r="G104" s="4779" t="s">
        <v>1146</v>
      </c>
      <c r="H104" s="4781">
        <v>136</v>
      </c>
      <c r="I104" s="4782">
        <v>0.25</v>
      </c>
      <c r="J104" s="4886">
        <v>128</v>
      </c>
      <c r="K104" s="4783">
        <v>0.5</v>
      </c>
      <c r="N104" s="4892"/>
    </row>
    <row r="105" spans="1:14" ht="24.75" customHeight="1">
      <c r="B105" s="4766" t="s">
        <v>1183</v>
      </c>
      <c r="C105" s="4457" t="s">
        <v>1558</v>
      </c>
      <c r="D105" s="4458">
        <v>0.54166666666666663</v>
      </c>
      <c r="E105" s="4379">
        <v>139</v>
      </c>
      <c r="F105" s="4458">
        <v>0.25</v>
      </c>
      <c r="G105" s="4766" t="s">
        <v>1325</v>
      </c>
      <c r="H105" s="4890">
        <v>140</v>
      </c>
      <c r="I105" s="5028">
        <v>0.25</v>
      </c>
      <c r="J105" s="5029">
        <v>133</v>
      </c>
      <c r="K105" s="5030">
        <v>0.5</v>
      </c>
      <c r="M105" s="4891"/>
      <c r="N105" s="4893"/>
    </row>
    <row r="106" spans="1:14" ht="19.5" thickBot="1">
      <c r="B106" s="4770" t="s">
        <v>1184</v>
      </c>
      <c r="C106" s="4462" t="s">
        <v>1487</v>
      </c>
      <c r="D106" s="4463">
        <v>0.70833333333333337</v>
      </c>
      <c r="E106" s="4464">
        <v>132</v>
      </c>
      <c r="F106" s="4465">
        <v>0.54166666666666663</v>
      </c>
      <c r="G106" s="4869"/>
      <c r="H106" s="4870"/>
      <c r="I106" s="4889"/>
      <c r="J106" s="4888"/>
      <c r="K106" s="4887"/>
    </row>
    <row r="107" spans="1:14" ht="18.75">
      <c r="B107" s="3813"/>
      <c r="C107" s="3810"/>
      <c r="D107" s="3810"/>
      <c r="E107" s="3810"/>
      <c r="F107" s="3810"/>
      <c r="G107" s="3810"/>
      <c r="H107" s="3813"/>
      <c r="I107" s="3810"/>
      <c r="J107" s="3810"/>
      <c r="K107" s="3815"/>
    </row>
    <row r="114" spans="2:11" ht="18.75">
      <c r="B114" s="3812" t="s">
        <v>721</v>
      </c>
      <c r="C114" s="3814"/>
      <c r="D114" s="3814"/>
      <c r="E114" s="3814"/>
      <c r="F114" s="3814"/>
      <c r="G114" s="3814"/>
      <c r="H114" s="3811" t="s">
        <v>435</v>
      </c>
      <c r="I114" s="3813"/>
      <c r="J114" s="3810"/>
      <c r="K114" s="3810"/>
    </row>
    <row r="115" spans="2:11" ht="18.75">
      <c r="B115" s="3813" t="s">
        <v>380</v>
      </c>
      <c r="C115" s="3810"/>
      <c r="D115" s="4718"/>
      <c r="E115" s="3810"/>
      <c r="F115" s="3810"/>
      <c r="G115" s="3810"/>
      <c r="H115" s="3813" t="s">
        <v>380</v>
      </c>
      <c r="I115" s="3810"/>
      <c r="J115" s="3810"/>
      <c r="K115" s="3815" t="s">
        <v>1390</v>
      </c>
    </row>
  </sheetData>
  <customSheetViews>
    <customSheetView guid="{7C71EF2A-5ADA-494C-8F58-DDA71753DD90}" scale="120" showPageBreaks="1" printArea="1" topLeftCell="A31">
      <selection activeCell="Z1" sqref="Z1:Z1048576"/>
      <colBreaks count="1" manualBreakCount="1">
        <brk id="11" max="1048575" man="1"/>
      </colBreaks>
      <pageMargins left="1.23" right="0.72" top="0.16" bottom="0.16" header="0.16" footer="0.16"/>
      <pageSetup scale="49" orientation="portrait" horizontalDpi="4294967295" verticalDpi="4294967295" r:id="rId1"/>
    </customSheetView>
    <customSheetView guid="{B91C2E87-5EDA-40AE-AC27-0E2C17E803CE}" showPageBreaks="1" printArea="1">
      <selection sqref="A1:L97"/>
      <pageMargins left="1.03" right="0.1" top="0.16" bottom="0.16" header="0.16" footer="0.16"/>
      <pageSetup scale="52" orientation="portrait" r:id="rId2"/>
    </customSheetView>
    <customSheetView guid="{23F4DC00-BC97-4745-AA5C-F05D469CB1EF}" showPageBreaks="1" printArea="1" topLeftCell="A2">
      <selection activeCell="A2" sqref="A2:J88"/>
      <pageMargins left="0.78" right="0.35" top="0.16" bottom="0.16" header="0.16" footer="0.16"/>
      <pageSetup scale="59" orientation="portrait" r:id="rId3"/>
    </customSheetView>
    <customSheetView guid="{4593F3EE-0998-4E0E-994A-E02D6BAF3A4B}" showPageBreaks="1" printArea="1" topLeftCell="A4">
      <selection activeCell="N12" sqref="N12:AS15"/>
      <pageMargins left="0.78" right="0.35" top="0.16" bottom="0.16" header="0.16" footer="0.16"/>
      <pageSetup scale="56" orientation="portrait" r:id="rId4"/>
    </customSheetView>
    <customSheetView guid="{917057C8-5E5F-4164-B84C-85103677A2E5}">
      <selection sqref="A1:L97"/>
      <pageMargins left="0.78" right="0.35" top="0.16" bottom="0.16" header="0.16" footer="0.16"/>
      <pageSetup scale="55" orientation="portrait" r:id="rId5"/>
    </customSheetView>
    <customSheetView guid="{5A803268-F6C5-4035-B3E1-A94CB9AA8994}" showPageBreaks="1" printArea="1" topLeftCell="A2">
      <selection activeCell="A2" sqref="A2:J88"/>
      <pageMargins left="0.78" right="0.35" top="0.16" bottom="0.16" header="0.16" footer="0.16"/>
      <pageSetup scale="59" orientation="portrait" r:id="rId6"/>
    </customSheetView>
    <customSheetView guid="{751D391F-C74F-4B53-B5B5-25E01AC12EA4}" scale="85">
      <selection sqref="A1:L108"/>
      <colBreaks count="1" manualBreakCount="1">
        <brk id="11" max="1048575" man="1"/>
      </colBreaks>
      <pageMargins left="0.88" right="0" top="0.17" bottom="0" header="0.17" footer="0.16"/>
      <pageSetup scale="40" orientation="portrait" horizontalDpi="4294967295" verticalDpi="4294967295" r:id="rId7"/>
    </customSheetView>
    <customSheetView guid="{D1D1E152-95AB-45D3-AC07-4EC0834D3E0C}" scale="85" showPageBreaks="1" printArea="1">
      <selection sqref="A1:L108"/>
      <colBreaks count="1" manualBreakCount="1">
        <brk id="11" max="1048575" man="1"/>
      </colBreaks>
      <pageMargins left="0.88" right="0" top="0.17" bottom="0" header="0.17" footer="0.16"/>
      <pageSetup scale="40" orientation="portrait" horizontalDpi="4294967295" verticalDpi="4294967295" r:id="rId8"/>
    </customSheetView>
    <customSheetView guid="{4DB6C640-CE65-4513-9E5A-F6CDD1F4B8AF}" scale="85" showPageBreaks="1" topLeftCell="A10">
      <selection activeCell="E21" sqref="E21"/>
      <colBreaks count="1" manualBreakCount="1">
        <brk id="11" max="1048575" man="1"/>
      </colBreaks>
      <pageMargins left="0.88" right="0.17" top="0.17" bottom="0.16" header="0.17" footer="0.16"/>
      <pageSetup scale="46" orientation="portrait" horizontalDpi="4294967295" verticalDpi="4294967295" r:id="rId9"/>
    </customSheetView>
    <customSheetView guid="{C3348F62-02F2-4500-9BF2-19F2DEA57A8D}" scale="80" showPageBreaks="1" printArea="1">
      <selection sqref="A1:L108"/>
      <colBreaks count="1" manualBreakCount="1">
        <brk id="11" max="1048575" man="1"/>
      </colBreaks>
      <pageMargins left="0.88" right="0" top="0.17" bottom="0" header="0.17" footer="0.16"/>
      <pageSetup scale="40" orientation="portrait" horizontalDpi="4294967295" verticalDpi="4294967295" r:id="rId10"/>
    </customSheetView>
  </customSheetViews>
  <mergeCells count="2">
    <mergeCell ref="O9:AP9"/>
    <mergeCell ref="AR9:AT9"/>
  </mergeCells>
  <pageMargins left="0.88" right="0" top="0.17" bottom="0" header="0.17" footer="0.16"/>
  <pageSetup scale="40" orientation="portrait" horizontalDpi="4294967295" verticalDpi="4294967295" r:id="rId11"/>
  <colBreaks count="1" manualBreakCount="1">
    <brk id="11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2">
    <tabColor rgb="FFFF0000"/>
  </sheetPr>
  <dimension ref="A1:JM106"/>
  <sheetViews>
    <sheetView zoomScale="106" zoomScaleNormal="106" workbookViewId="0">
      <pane xSplit="1" ySplit="4" topLeftCell="CT5" activePane="bottomRight" state="frozen"/>
      <selection pane="topRight" activeCell="B1" sqref="B1"/>
      <selection pane="bottomLeft" activeCell="A5" sqref="A5"/>
      <selection pane="bottomRight" sqref="A1:GT45"/>
    </sheetView>
  </sheetViews>
  <sheetFormatPr defaultColWidth="9.140625" defaultRowHeight="33"/>
  <cols>
    <col min="1" max="1" width="39" style="143" customWidth="1"/>
    <col min="2" max="2" width="19" style="143" customWidth="1"/>
    <col min="3" max="3" width="17.140625" style="143" customWidth="1"/>
    <col min="4" max="4" width="18.5703125" style="143" customWidth="1"/>
    <col min="5" max="5" width="20" style="143" customWidth="1"/>
    <col min="6" max="6" width="17.42578125" style="143" customWidth="1"/>
    <col min="7" max="7" width="17.140625" style="143" customWidth="1"/>
    <col min="8" max="8" width="17.7109375" style="143" customWidth="1"/>
    <col min="9" max="9" width="17.85546875" style="143" customWidth="1"/>
    <col min="10" max="10" width="19.7109375" style="143" customWidth="1"/>
    <col min="11" max="11" width="14.140625" style="143" customWidth="1"/>
    <col min="12" max="12" width="17.42578125" style="143" customWidth="1"/>
    <col min="13" max="13" width="19.42578125" style="143" customWidth="1"/>
    <col min="14" max="14" width="19.7109375" style="143" customWidth="1"/>
    <col min="15" max="15" width="20.42578125" style="143" customWidth="1"/>
    <col min="16" max="16" width="19.7109375" style="143" customWidth="1"/>
    <col min="17" max="17" width="17.42578125" style="143" customWidth="1"/>
    <col min="18" max="18" width="20.140625" style="143" customWidth="1"/>
    <col min="19" max="19" width="17" style="143" customWidth="1"/>
    <col min="20" max="20" width="20.140625" style="143" customWidth="1"/>
    <col min="21" max="22" width="19.140625" style="143" customWidth="1"/>
    <col min="23" max="23" width="19.85546875" style="143" customWidth="1"/>
    <col min="24" max="24" width="19.140625" style="143" customWidth="1"/>
    <col min="25" max="25" width="18.42578125" style="143" customWidth="1"/>
    <col min="26" max="26" width="18.7109375" style="143" customWidth="1"/>
    <col min="27" max="27" width="16.7109375" style="143" customWidth="1"/>
    <col min="28" max="28" width="18.28515625" style="143" customWidth="1"/>
    <col min="29" max="29" width="18.5703125" style="143" customWidth="1"/>
    <col min="30" max="30" width="18.140625" style="143" customWidth="1"/>
    <col min="31" max="31" width="14.140625" style="143" customWidth="1"/>
    <col min="32" max="32" width="14.7109375" style="143" customWidth="1"/>
    <col min="33" max="34" width="13.7109375" style="143" customWidth="1"/>
    <col min="35" max="35" width="15.85546875" style="143" customWidth="1"/>
    <col min="36" max="36" width="20.28515625" style="143" customWidth="1"/>
    <col min="37" max="37" width="9.28515625" style="143" customWidth="1"/>
    <col min="38" max="38" width="16.28515625" style="143" customWidth="1"/>
    <col min="39" max="39" width="15.5703125" style="143" customWidth="1"/>
    <col min="40" max="40" width="14.42578125" style="143" customWidth="1"/>
    <col min="41" max="41" width="11.5703125" style="143" customWidth="1"/>
    <col min="42" max="42" width="17" style="143" customWidth="1"/>
    <col min="43" max="43" width="18.42578125" style="143" customWidth="1"/>
    <col min="44" max="44" width="20.28515625" style="143" customWidth="1"/>
    <col min="45" max="45" width="18.140625" style="143" customWidth="1"/>
    <col min="46" max="46" width="21.7109375" style="143" customWidth="1"/>
    <col min="47" max="47" width="17.42578125" style="143" customWidth="1"/>
    <col min="48" max="48" width="18.140625" style="143" customWidth="1"/>
    <col min="49" max="49" width="23.5703125" style="143" bestFit="1" customWidth="1"/>
    <col min="50" max="50" width="17.42578125" style="143" customWidth="1"/>
    <col min="51" max="51" width="19" style="143" customWidth="1"/>
    <col min="52" max="52" width="20.140625" style="143" customWidth="1"/>
    <col min="53" max="53" width="17" style="143" customWidth="1"/>
    <col min="54" max="54" width="16" style="143" customWidth="1"/>
    <col min="55" max="55" width="18.85546875" style="143" customWidth="1"/>
    <col min="56" max="56" width="18.42578125" style="143" customWidth="1"/>
    <col min="57" max="57" width="16.7109375" style="143" customWidth="1"/>
    <col min="58" max="58" width="19.28515625" style="143" customWidth="1"/>
    <col min="59" max="59" width="16.85546875" style="143" customWidth="1"/>
    <col min="60" max="60" width="17.85546875" style="143" customWidth="1"/>
    <col min="61" max="61" width="20.5703125" style="143" customWidth="1"/>
    <col min="62" max="62" width="21.5703125" style="143" customWidth="1"/>
    <col min="63" max="63" width="18" style="143" customWidth="1"/>
    <col min="64" max="64" width="17.7109375" style="143" customWidth="1"/>
    <col min="65" max="65" width="16.5703125" style="143" customWidth="1"/>
    <col min="66" max="66" width="15" style="143" customWidth="1"/>
    <col min="67" max="67" width="14.28515625" style="143" customWidth="1"/>
    <col min="68" max="68" width="18.5703125" style="143" customWidth="1"/>
    <col min="69" max="70" width="21.7109375" style="143" bestFit="1" customWidth="1"/>
    <col min="71" max="71" width="15.85546875" style="143" customWidth="1"/>
    <col min="72" max="72" width="15.42578125" style="143" customWidth="1"/>
    <col min="73" max="73" width="16" style="143" customWidth="1"/>
    <col min="74" max="74" width="14.42578125" style="143" customWidth="1"/>
    <col min="75" max="75" width="18.7109375" style="143" customWidth="1"/>
    <col min="76" max="76" width="16.85546875" style="143" customWidth="1"/>
    <col min="77" max="77" width="23.5703125" style="143" bestFit="1" customWidth="1"/>
    <col min="78" max="78" width="15.7109375" style="143" customWidth="1"/>
    <col min="79" max="79" width="14.7109375" style="143" customWidth="1"/>
    <col min="80" max="80" width="17.140625" style="143" customWidth="1"/>
    <col min="81" max="81" width="16.85546875" style="143" customWidth="1"/>
    <col min="82" max="82" width="17.7109375" style="143" customWidth="1"/>
    <col min="83" max="83" width="16.7109375" style="143" customWidth="1"/>
    <col min="84" max="84" width="17.42578125" style="143" customWidth="1"/>
    <col min="85" max="85" width="18" style="143" customWidth="1"/>
    <col min="86" max="86" width="17.85546875" style="143" customWidth="1"/>
    <col min="87" max="87" width="17.7109375" style="143" customWidth="1"/>
    <col min="88" max="88" width="17.140625" style="143" customWidth="1"/>
    <col min="89" max="89" width="17.28515625" style="143" customWidth="1"/>
    <col min="90" max="90" width="14.140625" style="143" customWidth="1"/>
    <col min="91" max="91" width="19.140625" style="143" bestFit="1" customWidth="1"/>
    <col min="92" max="92" width="14.140625" style="143" customWidth="1"/>
    <col min="93" max="93" width="18.85546875" style="143" customWidth="1"/>
    <col min="94" max="94" width="18" style="143" customWidth="1"/>
    <col min="95" max="95" width="16" style="143" customWidth="1"/>
    <col min="96" max="96" width="17.140625" style="143" customWidth="1"/>
    <col min="97" max="98" width="16" style="143" customWidth="1"/>
    <col min="99" max="99" width="17.28515625" style="143" customWidth="1"/>
    <col min="100" max="100" width="16" style="143" customWidth="1"/>
    <col min="101" max="101" width="17.42578125" style="143" customWidth="1"/>
    <col min="102" max="115" width="16" style="143" customWidth="1"/>
    <col min="116" max="124" width="18" style="143" customWidth="1"/>
    <col min="125" max="127" width="21.140625" style="143" customWidth="1"/>
    <col min="128" max="128" width="17.7109375" style="143" customWidth="1"/>
    <col min="129" max="129" width="22.28515625" style="143" customWidth="1"/>
    <col min="130" max="130" width="17.7109375" style="143" customWidth="1"/>
    <col min="131" max="131" width="20.42578125" style="143" customWidth="1"/>
    <col min="132" max="132" width="19.42578125" style="143" customWidth="1"/>
    <col min="133" max="133" width="16.7109375" style="143" customWidth="1"/>
    <col min="134" max="134" width="18.7109375" style="130" customWidth="1"/>
    <col min="135" max="135" width="10" style="143" customWidth="1"/>
    <col min="136" max="136" width="15.85546875" style="143" customWidth="1"/>
    <col min="137" max="137" width="17" style="143" customWidth="1"/>
    <col min="138" max="138" width="16.85546875" style="143" customWidth="1"/>
    <col min="139" max="139" width="17.140625" style="143" customWidth="1"/>
    <col min="140" max="140" width="18.28515625" style="143" customWidth="1"/>
    <col min="141" max="141" width="14.42578125" style="143" customWidth="1"/>
    <col min="142" max="142" width="19.7109375" style="143" customWidth="1"/>
    <col min="143" max="143" width="16.5703125" style="143" customWidth="1"/>
    <col min="144" max="144" width="15.5703125" style="143" customWidth="1"/>
    <col min="145" max="145" width="14.42578125" style="143" customWidth="1"/>
    <col min="146" max="146" width="21.7109375" style="143" bestFit="1" customWidth="1"/>
    <col min="147" max="147" width="17.7109375" style="143" customWidth="1"/>
    <col min="148" max="148" width="22.7109375" style="143" customWidth="1"/>
    <col min="149" max="149" width="18.7109375" style="143" customWidth="1"/>
    <col min="150" max="150" width="17.5703125" style="143" customWidth="1"/>
    <col min="151" max="151" width="18.5703125" style="143" customWidth="1"/>
    <col min="152" max="152" width="20.5703125" style="143" customWidth="1"/>
    <col min="153" max="153" width="18.85546875" style="143" customWidth="1"/>
    <col min="154" max="154" width="14.7109375" style="143" customWidth="1"/>
    <col min="155" max="155" width="14.5703125" style="143" customWidth="1"/>
    <col min="156" max="156" width="16.140625" style="143" customWidth="1"/>
    <col min="157" max="157" width="15.7109375" style="143" customWidth="1"/>
    <col min="158" max="158" width="18.42578125" style="143" customWidth="1"/>
    <col min="159" max="159" width="20.140625" style="143" customWidth="1"/>
    <col min="160" max="160" width="17.42578125" style="143" customWidth="1"/>
    <col min="161" max="186" width="18.42578125" style="143" customWidth="1"/>
    <col min="187" max="187" width="21.42578125" style="143" customWidth="1"/>
    <col min="188" max="188" width="19.140625" style="143" customWidth="1"/>
    <col min="189" max="189" width="19.42578125" style="143" customWidth="1"/>
    <col min="190" max="190" width="17.5703125" style="143" customWidth="1"/>
    <col min="191" max="191" width="16.5703125" style="143" customWidth="1"/>
    <col min="192" max="192" width="16.28515625" style="143" customWidth="1"/>
    <col min="193" max="193" width="19.5703125" style="143" customWidth="1"/>
    <col min="194" max="194" width="19.7109375" style="143" customWidth="1"/>
    <col min="195" max="195" width="14.85546875" style="143" customWidth="1"/>
    <col min="196" max="196" width="17.5703125" style="143" customWidth="1"/>
    <col min="197" max="197" width="19.42578125" style="143" customWidth="1"/>
    <col min="198" max="198" width="19" style="143" customWidth="1"/>
    <col min="199" max="199" width="17.140625" style="143" customWidth="1"/>
    <col min="200" max="200" width="22.140625" style="143" customWidth="1"/>
    <col min="201" max="201" width="14.85546875" style="143" customWidth="1"/>
    <col min="202" max="202" width="18.140625" style="143" customWidth="1"/>
    <col min="203" max="16384" width="9.140625" style="143"/>
  </cols>
  <sheetData>
    <row r="1" spans="1:273" ht="9" customHeight="1" thickBot="1"/>
    <row r="2" spans="1:273" ht="18.75" customHeight="1" thickBot="1">
      <c r="A2" s="613">
        <v>43106</v>
      </c>
    </row>
    <row r="3" spans="1:273" s="97" customFormat="1" ht="57" customHeight="1" thickBot="1">
      <c r="A3" s="603" t="s">
        <v>267</v>
      </c>
      <c r="B3" s="186" t="s">
        <v>954</v>
      </c>
      <c r="C3" s="186" t="s">
        <v>1351</v>
      </c>
      <c r="D3" s="186" t="s">
        <v>956</v>
      </c>
      <c r="E3" s="186" t="s">
        <v>957</v>
      </c>
      <c r="F3" s="186" t="s">
        <v>958</v>
      </c>
      <c r="G3" s="186" t="s">
        <v>959</v>
      </c>
      <c r="H3" s="186" t="s">
        <v>960</v>
      </c>
      <c r="I3" s="186" t="s">
        <v>157</v>
      </c>
      <c r="J3" s="186" t="s">
        <v>961</v>
      </c>
      <c r="K3" s="186" t="s">
        <v>1087</v>
      </c>
      <c r="L3" s="186" t="s">
        <v>1091</v>
      </c>
      <c r="M3" s="186" t="s">
        <v>962</v>
      </c>
      <c r="N3" s="186" t="s">
        <v>116</v>
      </c>
      <c r="O3" s="186" t="s">
        <v>963</v>
      </c>
      <c r="P3" s="186" t="s">
        <v>964</v>
      </c>
      <c r="Q3" s="186" t="s">
        <v>965</v>
      </c>
      <c r="R3" s="186" t="s">
        <v>966</v>
      </c>
      <c r="S3" s="186" t="s">
        <v>967</v>
      </c>
      <c r="T3" s="186" t="s">
        <v>968</v>
      </c>
      <c r="U3" s="186" t="s">
        <v>969</v>
      </c>
      <c r="V3" s="186" t="s">
        <v>975</v>
      </c>
      <c r="W3" s="186" t="s">
        <v>970</v>
      </c>
      <c r="X3" s="186" t="s">
        <v>974</v>
      </c>
      <c r="Y3" s="186" t="s">
        <v>971</v>
      </c>
      <c r="Z3" s="186" t="s">
        <v>159</v>
      </c>
      <c r="AA3" s="186" t="s">
        <v>973</v>
      </c>
      <c r="AB3" s="186" t="s">
        <v>1093</v>
      </c>
      <c r="AC3" s="186" t="s">
        <v>972</v>
      </c>
      <c r="AD3" s="186" t="s">
        <v>976</v>
      </c>
      <c r="AE3" s="186" t="s">
        <v>977</v>
      </c>
      <c r="AF3" s="186" t="s">
        <v>260</v>
      </c>
      <c r="AG3" s="186" t="s">
        <v>261</v>
      </c>
      <c r="AH3" s="186" t="s">
        <v>1094</v>
      </c>
      <c r="AI3" s="186" t="s">
        <v>1095</v>
      </c>
      <c r="AJ3" s="186" t="s">
        <v>978</v>
      </c>
      <c r="AK3" s="186" t="s">
        <v>1092</v>
      </c>
      <c r="AL3" s="186" t="s">
        <v>980</v>
      </c>
      <c r="AM3" s="186" t="s">
        <v>981</v>
      </c>
      <c r="AN3" s="186" t="s">
        <v>982</v>
      </c>
      <c r="AO3" s="186" t="s">
        <v>983</v>
      </c>
      <c r="AP3" s="186" t="s">
        <v>984</v>
      </c>
      <c r="AQ3" s="186" t="s">
        <v>985</v>
      </c>
      <c r="AR3" s="186" t="s">
        <v>986</v>
      </c>
      <c r="AS3" s="186" t="s">
        <v>987</v>
      </c>
      <c r="AT3" s="186" t="s">
        <v>988</v>
      </c>
      <c r="AU3" s="186" t="s">
        <v>1087</v>
      </c>
      <c r="AV3" s="186" t="s">
        <v>1295</v>
      </c>
      <c r="AW3" s="186" t="s">
        <v>989</v>
      </c>
      <c r="AX3" s="186" t="s">
        <v>990</v>
      </c>
      <c r="AY3" s="186" t="s">
        <v>991</v>
      </c>
      <c r="AZ3" s="186" t="s">
        <v>992</v>
      </c>
      <c r="BA3" s="186" t="s">
        <v>993</v>
      </c>
      <c r="BB3" s="186" t="s">
        <v>994</v>
      </c>
      <c r="BC3" s="186" t="s">
        <v>161</v>
      </c>
      <c r="BD3" s="186" t="s">
        <v>995</v>
      </c>
      <c r="BE3" s="186" t="s">
        <v>996</v>
      </c>
      <c r="BF3" s="186" t="s">
        <v>997</v>
      </c>
      <c r="BG3" s="186" t="s">
        <v>998</v>
      </c>
      <c r="BH3" s="186" t="s">
        <v>999</v>
      </c>
      <c r="BI3" s="186" t="s">
        <v>1000</v>
      </c>
      <c r="BJ3" s="186" t="s">
        <v>1001</v>
      </c>
      <c r="BK3" s="186" t="s">
        <v>1002</v>
      </c>
      <c r="BL3" s="186" t="s">
        <v>1003</v>
      </c>
      <c r="BM3" s="186" t="s">
        <v>1004</v>
      </c>
      <c r="BN3" s="186" t="s">
        <v>1005</v>
      </c>
      <c r="BO3" s="186" t="s">
        <v>1006</v>
      </c>
      <c r="BP3" s="186" t="s">
        <v>730</v>
      </c>
      <c r="BQ3" s="186" t="s">
        <v>1007</v>
      </c>
      <c r="BR3" s="1545" t="s">
        <v>1008</v>
      </c>
      <c r="BS3" s="186" t="s">
        <v>1009</v>
      </c>
      <c r="BT3" s="186" t="s">
        <v>1010</v>
      </c>
      <c r="BU3" s="186" t="s">
        <v>1011</v>
      </c>
      <c r="BV3" s="186" t="s">
        <v>1012</v>
      </c>
      <c r="BW3" s="186" t="s">
        <v>1013</v>
      </c>
      <c r="BX3" s="186" t="s">
        <v>1014</v>
      </c>
      <c r="BY3" s="186" t="s">
        <v>1098</v>
      </c>
      <c r="BZ3" s="186" t="s">
        <v>1015</v>
      </c>
      <c r="CA3" s="186" t="s">
        <v>1016</v>
      </c>
      <c r="CB3" s="186" t="s">
        <v>1017</v>
      </c>
      <c r="CC3" s="186" t="s">
        <v>1018</v>
      </c>
      <c r="CD3" s="186" t="s">
        <v>1019</v>
      </c>
      <c r="CE3" s="186" t="s">
        <v>1020</v>
      </c>
      <c r="CF3" s="1545" t="s">
        <v>1021</v>
      </c>
      <c r="CG3" s="186" t="s">
        <v>1022</v>
      </c>
      <c r="CH3" s="186" t="s">
        <v>1023</v>
      </c>
      <c r="CI3" s="186" t="s">
        <v>1024</v>
      </c>
      <c r="CJ3" s="186" t="s">
        <v>1025</v>
      </c>
      <c r="CK3" s="186" t="s">
        <v>1242</v>
      </c>
      <c r="CL3" s="186" t="s">
        <v>1027</v>
      </c>
      <c r="CM3" s="186" t="s">
        <v>1028</v>
      </c>
      <c r="CN3" s="186" t="s">
        <v>1029</v>
      </c>
      <c r="CO3" s="186" t="s">
        <v>1030</v>
      </c>
      <c r="CP3" s="186" t="s">
        <v>1031</v>
      </c>
      <c r="CQ3" s="186" t="s">
        <v>1032</v>
      </c>
      <c r="CR3" s="186" t="s">
        <v>1033</v>
      </c>
      <c r="CS3" s="186" t="s">
        <v>1034</v>
      </c>
      <c r="CT3" s="186" t="s">
        <v>1035</v>
      </c>
      <c r="CU3" s="186" t="s">
        <v>1036</v>
      </c>
      <c r="CV3" s="186" t="s">
        <v>1099</v>
      </c>
      <c r="CW3" s="186" t="s">
        <v>1037</v>
      </c>
      <c r="CX3" s="186" t="s">
        <v>1038</v>
      </c>
      <c r="CY3" s="186" t="s">
        <v>1039</v>
      </c>
      <c r="CZ3" s="186" t="s">
        <v>1040</v>
      </c>
      <c r="DA3" s="186" t="s">
        <v>1041</v>
      </c>
      <c r="DB3" s="186" t="s">
        <v>1042</v>
      </c>
      <c r="DC3" s="186" t="s">
        <v>1157</v>
      </c>
      <c r="DD3" s="186" t="s">
        <v>1043</v>
      </c>
      <c r="DE3" s="186" t="s">
        <v>1044</v>
      </c>
      <c r="DF3" s="186" t="s">
        <v>1045</v>
      </c>
      <c r="DG3" s="186" t="s">
        <v>1046</v>
      </c>
      <c r="DH3" s="186" t="s">
        <v>1047</v>
      </c>
      <c r="DI3" s="186" t="s">
        <v>1139</v>
      </c>
      <c r="DJ3" s="186" t="s">
        <v>1147</v>
      </c>
      <c r="DK3" s="186" t="s">
        <v>1179</v>
      </c>
      <c r="DL3" s="186" t="s">
        <v>1185</v>
      </c>
      <c r="DM3" s="186" t="s">
        <v>1246</v>
      </c>
      <c r="DN3" s="186" t="s">
        <v>1247</v>
      </c>
      <c r="DO3" s="186" t="s">
        <v>1250</v>
      </c>
      <c r="DP3" s="186" t="s">
        <v>1293</v>
      </c>
      <c r="DQ3" s="186" t="s">
        <v>1292</v>
      </c>
      <c r="DR3" s="186" t="s">
        <v>1287</v>
      </c>
      <c r="DS3" s="186" t="s">
        <v>1297</v>
      </c>
      <c r="DT3" s="186" t="s">
        <v>1316</v>
      </c>
      <c r="DU3" s="186" t="s">
        <v>1318</v>
      </c>
      <c r="DV3" s="186" t="s">
        <v>1453</v>
      </c>
      <c r="DW3" s="186" t="s">
        <v>1456</v>
      </c>
      <c r="DX3" s="604" t="s">
        <v>865</v>
      </c>
      <c r="DY3" s="186" t="s">
        <v>266</v>
      </c>
      <c r="DZ3" s="186" t="s">
        <v>1244</v>
      </c>
      <c r="EA3" s="186" t="s">
        <v>1188</v>
      </c>
      <c r="EB3" s="186" t="s">
        <v>1048</v>
      </c>
      <c r="EC3" s="186" t="s">
        <v>1049</v>
      </c>
      <c r="ED3" s="186" t="s">
        <v>1050</v>
      </c>
      <c r="EE3" s="186" t="s">
        <v>265</v>
      </c>
      <c r="EF3" s="186" t="s">
        <v>911</v>
      </c>
      <c r="EG3" s="186" t="s">
        <v>1051</v>
      </c>
      <c r="EH3" s="186" t="s">
        <v>1052</v>
      </c>
      <c r="EI3" s="186" t="s">
        <v>1054</v>
      </c>
      <c r="EJ3" s="186" t="s">
        <v>1053</v>
      </c>
      <c r="EK3" s="186" t="s">
        <v>1057</v>
      </c>
      <c r="EL3" s="186" t="s">
        <v>1055</v>
      </c>
      <c r="EM3" s="186" t="s">
        <v>1056</v>
      </c>
      <c r="EN3" s="186" t="s">
        <v>1058</v>
      </c>
      <c r="EO3" s="186" t="s">
        <v>1059</v>
      </c>
      <c r="EP3" s="186" t="s">
        <v>1060</v>
      </c>
      <c r="EQ3" s="186" t="s">
        <v>1061</v>
      </c>
      <c r="ER3" s="186" t="s">
        <v>1062</v>
      </c>
      <c r="ES3" s="186" t="s">
        <v>1101</v>
      </c>
      <c r="ET3" s="186" t="s">
        <v>1063</v>
      </c>
      <c r="EU3" s="186" t="s">
        <v>1064</v>
      </c>
      <c r="EV3" s="186" t="s">
        <v>1065</v>
      </c>
      <c r="EW3" s="186" t="s">
        <v>1066</v>
      </c>
      <c r="EX3" s="186" t="s">
        <v>1067</v>
      </c>
      <c r="EY3" s="186" t="s">
        <v>1068</v>
      </c>
      <c r="EZ3" s="186" t="s">
        <v>1069</v>
      </c>
      <c r="FA3" s="186" t="s">
        <v>1070</v>
      </c>
      <c r="FB3" s="186" t="s">
        <v>1071</v>
      </c>
      <c r="FC3" s="186" t="s">
        <v>1072</v>
      </c>
      <c r="FD3" s="186" t="s">
        <v>1073</v>
      </c>
      <c r="FE3" s="604" t="s">
        <v>1074</v>
      </c>
      <c r="FF3" s="604" t="s">
        <v>1075</v>
      </c>
      <c r="FG3" s="604" t="s">
        <v>1076</v>
      </c>
      <c r="FH3" s="604" t="s">
        <v>1077</v>
      </c>
      <c r="FI3" s="604" t="s">
        <v>1078</v>
      </c>
      <c r="FJ3" s="604" t="s">
        <v>1079</v>
      </c>
      <c r="FK3" s="604" t="s">
        <v>1080</v>
      </c>
      <c r="FL3" s="604" t="s">
        <v>1081</v>
      </c>
      <c r="FM3" s="604" t="s">
        <v>1082</v>
      </c>
      <c r="FN3" s="604" t="s">
        <v>1108</v>
      </c>
      <c r="FO3" s="604" t="s">
        <v>1083</v>
      </c>
      <c r="FP3" s="604" t="s">
        <v>1084</v>
      </c>
      <c r="FQ3" s="604" t="s">
        <v>1162</v>
      </c>
      <c r="FR3" s="604" t="s">
        <v>1085</v>
      </c>
      <c r="FS3" s="604" t="s">
        <v>1086</v>
      </c>
      <c r="FT3" s="604" t="s">
        <v>1105</v>
      </c>
      <c r="FU3" s="604" t="s">
        <v>1111</v>
      </c>
      <c r="FV3" s="604" t="s">
        <v>1159</v>
      </c>
      <c r="FW3" s="604" t="s">
        <v>1192</v>
      </c>
      <c r="FX3" s="604" t="s">
        <v>1281</v>
      </c>
      <c r="FY3" s="604" t="s">
        <v>1282</v>
      </c>
      <c r="FZ3" s="604" t="s">
        <v>1290</v>
      </c>
      <c r="GA3" s="4416" t="s">
        <v>1353</v>
      </c>
      <c r="GB3" s="4416" t="s">
        <v>1467</v>
      </c>
      <c r="GC3" s="4416" t="s">
        <v>1481</v>
      </c>
      <c r="GD3" s="604" t="s">
        <v>864</v>
      </c>
      <c r="GE3" s="1072" t="s">
        <v>501</v>
      </c>
      <c r="GF3" s="1072" t="s">
        <v>743</v>
      </c>
      <c r="GG3" s="1061" t="s">
        <v>742</v>
      </c>
      <c r="GH3" s="1073" t="s">
        <v>739</v>
      </c>
      <c r="GI3" s="1070" t="s">
        <v>130</v>
      </c>
      <c r="GJ3" s="1073" t="s">
        <v>740</v>
      </c>
      <c r="GK3" s="1071" t="s">
        <v>1461</v>
      </c>
      <c r="GL3" s="1071" t="s">
        <v>1463</v>
      </c>
      <c r="GM3" s="1071" t="s">
        <v>45</v>
      </c>
      <c r="GN3" s="1071" t="s">
        <v>109</v>
      </c>
      <c r="GO3" s="1071" t="s">
        <v>1462</v>
      </c>
      <c r="GP3" s="1071" t="s">
        <v>1464</v>
      </c>
      <c r="GQ3" s="1071" t="s">
        <v>129</v>
      </c>
      <c r="GR3" s="1071" t="s">
        <v>175</v>
      </c>
      <c r="GS3" s="1070" t="s">
        <v>26</v>
      </c>
      <c r="GT3" s="1061" t="s">
        <v>823</v>
      </c>
    </row>
    <row r="4" spans="1:273" s="891" customFormat="1" ht="3.75" customHeight="1" thickBot="1">
      <c r="A4" s="881"/>
      <c r="B4" s="914"/>
      <c r="C4" s="914"/>
      <c r="D4" s="914"/>
      <c r="E4" s="914"/>
      <c r="F4" s="915"/>
      <c r="G4" s="915"/>
      <c r="H4" s="914"/>
      <c r="I4" s="914"/>
      <c r="J4" s="914"/>
      <c r="K4" s="914"/>
      <c r="L4" s="914"/>
      <c r="M4" s="914"/>
      <c r="N4" s="914"/>
      <c r="O4" s="914"/>
      <c r="P4" s="914"/>
      <c r="Q4" s="914"/>
      <c r="R4" s="914"/>
      <c r="S4" s="914"/>
      <c r="T4" s="914"/>
      <c r="U4" s="914"/>
      <c r="V4" s="915"/>
      <c r="W4" s="914"/>
      <c r="X4" s="914"/>
      <c r="Y4" s="914"/>
      <c r="Z4" s="914"/>
      <c r="AA4" s="914"/>
      <c r="AB4" s="914"/>
      <c r="AC4" s="914"/>
      <c r="AD4" s="914"/>
      <c r="AE4" s="914"/>
      <c r="AF4" s="914"/>
      <c r="AG4" s="914"/>
      <c r="AH4" s="914"/>
      <c r="AI4" s="914"/>
      <c r="AJ4" s="914"/>
      <c r="AK4" s="914"/>
      <c r="AL4" s="914"/>
      <c r="AM4" s="914"/>
      <c r="AN4" s="914"/>
      <c r="AO4" s="914"/>
      <c r="AP4" s="914"/>
      <c r="AQ4" s="914"/>
      <c r="AR4" s="914"/>
      <c r="AS4" s="914"/>
      <c r="AT4" s="914"/>
      <c r="AU4" s="914"/>
      <c r="AV4" s="914"/>
      <c r="AW4" s="914"/>
      <c r="AX4" s="914"/>
      <c r="AY4" s="914"/>
      <c r="AZ4" s="914"/>
      <c r="BA4" s="914"/>
      <c r="BB4" s="914"/>
      <c r="BC4" s="914"/>
      <c r="BD4" s="914"/>
      <c r="BE4" s="914"/>
      <c r="BF4" s="914"/>
      <c r="BG4" s="914"/>
      <c r="BH4" s="914"/>
      <c r="BI4" s="914"/>
      <c r="BJ4" s="914"/>
      <c r="BK4" s="914"/>
      <c r="BL4" s="914"/>
      <c r="BM4" s="914"/>
      <c r="BN4" s="914"/>
      <c r="BO4" s="915"/>
      <c r="BP4" s="915"/>
      <c r="BQ4" s="915"/>
      <c r="BR4" s="914"/>
      <c r="BS4" s="915"/>
      <c r="BT4" s="915"/>
      <c r="BU4" s="915"/>
      <c r="BV4" s="915"/>
      <c r="BW4" s="915"/>
      <c r="BX4" s="915"/>
      <c r="BY4" s="915"/>
      <c r="BZ4" s="915"/>
      <c r="CA4" s="915"/>
      <c r="CB4" s="915"/>
      <c r="CC4" s="915"/>
      <c r="CD4" s="915"/>
      <c r="CE4" s="4196"/>
      <c r="CF4" s="915"/>
      <c r="CG4" s="915"/>
      <c r="CH4" s="915"/>
      <c r="CI4" s="915"/>
      <c r="CJ4" s="915"/>
      <c r="CK4" s="915"/>
      <c r="CL4" s="915"/>
      <c r="CM4" s="915"/>
      <c r="CN4" s="915"/>
      <c r="CO4" s="915"/>
      <c r="CP4" s="915"/>
      <c r="CQ4" s="915"/>
      <c r="CR4" s="915"/>
      <c r="CS4" s="915"/>
      <c r="CT4" s="915"/>
      <c r="CU4" s="915"/>
      <c r="CV4" s="915"/>
      <c r="CW4" s="915"/>
      <c r="CX4" s="915"/>
      <c r="CY4" s="915"/>
      <c r="CZ4" s="915"/>
      <c r="DA4" s="915"/>
      <c r="DB4" s="915"/>
      <c r="DC4" s="915"/>
      <c r="DD4" s="915"/>
      <c r="DE4" s="915"/>
      <c r="DF4" s="915"/>
      <c r="DG4" s="915"/>
      <c r="DH4" s="915"/>
      <c r="DI4" s="915"/>
      <c r="DJ4" s="915"/>
      <c r="DK4" s="915"/>
      <c r="DL4" s="915"/>
      <c r="DM4" s="915"/>
      <c r="DN4" s="915"/>
      <c r="DO4" s="915"/>
      <c r="DP4" s="915"/>
      <c r="DQ4" s="915"/>
      <c r="DR4" s="915"/>
      <c r="DS4" s="915"/>
      <c r="DT4" s="915"/>
      <c r="DU4" s="915"/>
      <c r="DV4" s="915"/>
      <c r="DW4" s="915"/>
      <c r="DX4" s="915"/>
      <c r="DY4" s="914"/>
      <c r="DZ4" s="914"/>
      <c r="EA4" s="914"/>
      <c r="EB4" s="914"/>
      <c r="EC4" s="914"/>
      <c r="ED4" s="914"/>
      <c r="EE4" s="914"/>
      <c r="EF4" s="914"/>
      <c r="EG4" s="914"/>
      <c r="EH4" s="914"/>
      <c r="EI4" s="914"/>
      <c r="EJ4" s="914"/>
      <c r="EK4" s="914"/>
      <c r="EL4" s="914"/>
      <c r="EM4" s="914"/>
      <c r="EN4" s="914"/>
      <c r="EO4" s="914"/>
      <c r="EP4" s="914"/>
      <c r="EQ4" s="914"/>
      <c r="ER4" s="914"/>
      <c r="ES4" s="914"/>
      <c r="ET4" s="914"/>
      <c r="EU4" s="914"/>
      <c r="EV4" s="914"/>
      <c r="EW4" s="914"/>
      <c r="EX4" s="914"/>
      <c r="EY4" s="914"/>
      <c r="EZ4" s="914"/>
      <c r="FA4" s="914"/>
      <c r="FB4" s="914"/>
      <c r="FC4" s="914"/>
      <c r="FD4" s="914"/>
      <c r="FE4" s="914"/>
      <c r="FF4" s="914"/>
      <c r="FG4" s="914"/>
      <c r="FH4" s="914"/>
      <c r="FI4" s="914"/>
      <c r="FJ4" s="914"/>
      <c r="FK4" s="914"/>
      <c r="FL4" s="914"/>
      <c r="FM4" s="914"/>
      <c r="FN4" s="914"/>
      <c r="FO4" s="914"/>
      <c r="FP4" s="914"/>
      <c r="FQ4" s="914"/>
      <c r="FR4" s="914"/>
      <c r="FS4" s="914"/>
      <c r="FT4" s="914"/>
      <c r="FU4" s="914"/>
      <c r="FV4" s="914"/>
      <c r="FW4" s="914"/>
      <c r="FX4" s="914"/>
      <c r="FY4" s="914"/>
      <c r="FZ4" s="914"/>
      <c r="GA4" s="914"/>
      <c r="GB4" s="914"/>
      <c r="GC4" s="914"/>
      <c r="GD4" s="914"/>
      <c r="GE4" s="914"/>
      <c r="GF4" s="916"/>
      <c r="GG4" s="916"/>
      <c r="GH4" s="917"/>
      <c r="GI4" s="918"/>
      <c r="GJ4" s="918"/>
      <c r="GK4" s="918"/>
      <c r="GL4" s="918"/>
      <c r="GM4" s="918"/>
      <c r="GN4" s="918"/>
      <c r="GO4" s="918"/>
      <c r="GP4" s="918"/>
      <c r="GQ4" s="940"/>
      <c r="GR4" s="940"/>
    </row>
    <row r="5" spans="1:273" ht="23.25" customHeight="1" thickBot="1">
      <c r="A5" s="607">
        <v>4.1666666666666602E-2</v>
      </c>
      <c r="B5" s="1925">
        <v>0</v>
      </c>
      <c r="C5" s="1926">
        <v>0</v>
      </c>
      <c r="D5" s="1926">
        <v>170</v>
      </c>
      <c r="E5" s="1926">
        <v>0</v>
      </c>
      <c r="F5" s="1935">
        <v>0</v>
      </c>
      <c r="G5" s="1935">
        <v>0</v>
      </c>
      <c r="H5" s="1926">
        <v>0</v>
      </c>
      <c r="I5" s="1926">
        <v>0</v>
      </c>
      <c r="J5" s="1926">
        <v>203</v>
      </c>
      <c r="K5" s="756"/>
      <c r="L5" s="756">
        <v>0</v>
      </c>
      <c r="M5" s="1926">
        <v>180</v>
      </c>
      <c r="N5" s="1926">
        <v>0</v>
      </c>
      <c r="O5" s="1926">
        <v>0</v>
      </c>
      <c r="P5" s="1926">
        <v>0</v>
      </c>
      <c r="Q5" s="1926">
        <v>40</v>
      </c>
      <c r="R5" s="1926">
        <v>0</v>
      </c>
      <c r="S5" s="756">
        <v>0</v>
      </c>
      <c r="T5" s="756">
        <v>0</v>
      </c>
      <c r="U5" s="1926">
        <v>0</v>
      </c>
      <c r="V5" s="1935">
        <v>102</v>
      </c>
      <c r="W5" s="1926">
        <v>0</v>
      </c>
      <c r="X5" s="1926">
        <v>0</v>
      </c>
      <c r="Y5" s="1926">
        <v>0</v>
      </c>
      <c r="Z5" s="756">
        <v>0</v>
      </c>
      <c r="AA5" s="1926">
        <v>0</v>
      </c>
      <c r="AB5" s="1926">
        <v>35</v>
      </c>
      <c r="AC5" s="1926">
        <v>55</v>
      </c>
      <c r="AD5" s="1926">
        <v>35</v>
      </c>
      <c r="AE5" s="1926">
        <v>19</v>
      </c>
      <c r="AF5" s="1926">
        <v>25</v>
      </c>
      <c r="AG5" s="1926">
        <v>9</v>
      </c>
      <c r="AH5" s="1926">
        <v>16</v>
      </c>
      <c r="AI5" s="1926">
        <v>33</v>
      </c>
      <c r="AJ5" s="1926">
        <v>0</v>
      </c>
      <c r="AK5" s="756">
        <v>0</v>
      </c>
      <c r="AL5" s="756">
        <v>41</v>
      </c>
      <c r="AM5" s="1926">
        <v>40</v>
      </c>
      <c r="AN5" s="1926">
        <v>0</v>
      </c>
      <c r="AO5" s="1926">
        <v>0</v>
      </c>
      <c r="AP5" s="1926">
        <v>0</v>
      </c>
      <c r="AQ5" s="1926">
        <v>0</v>
      </c>
      <c r="AR5" s="756">
        <v>0</v>
      </c>
      <c r="AS5" s="1926">
        <v>0</v>
      </c>
      <c r="AT5" s="756">
        <v>0</v>
      </c>
      <c r="AU5" s="756"/>
      <c r="AV5" s="1926">
        <v>8</v>
      </c>
      <c r="AW5" s="1926">
        <v>0</v>
      </c>
      <c r="AX5" s="1926">
        <v>0</v>
      </c>
      <c r="AY5" s="1926">
        <v>0</v>
      </c>
      <c r="AZ5" s="1926">
        <v>27</v>
      </c>
      <c r="BA5" s="1926">
        <v>46</v>
      </c>
      <c r="BB5" s="1926">
        <v>21</v>
      </c>
      <c r="BC5" s="1926">
        <v>35</v>
      </c>
      <c r="BD5" s="1926">
        <v>0</v>
      </c>
      <c r="BE5" s="756">
        <v>0</v>
      </c>
      <c r="BF5" s="756">
        <v>80</v>
      </c>
      <c r="BG5" s="1926">
        <v>220</v>
      </c>
      <c r="BH5" s="1926">
        <v>260</v>
      </c>
      <c r="BI5" s="1926">
        <v>40</v>
      </c>
      <c r="BJ5" s="1926">
        <v>8</v>
      </c>
      <c r="BK5" s="1926">
        <v>133</v>
      </c>
      <c r="BL5" s="756">
        <v>5</v>
      </c>
      <c r="BM5" s="1926">
        <v>5</v>
      </c>
      <c r="BN5" s="756">
        <v>0</v>
      </c>
      <c r="BO5" s="1935">
        <v>51</v>
      </c>
      <c r="BP5" s="757">
        <v>0</v>
      </c>
      <c r="BQ5" s="1935">
        <v>0</v>
      </c>
      <c r="BR5" s="1926">
        <v>8</v>
      </c>
      <c r="BS5" s="1935">
        <v>21</v>
      </c>
      <c r="BT5" s="1935">
        <v>11</v>
      </c>
      <c r="BU5" s="1935">
        <v>33</v>
      </c>
      <c r="BV5" s="1935">
        <v>9</v>
      </c>
      <c r="BW5" s="1946">
        <v>67</v>
      </c>
      <c r="BX5" s="1935">
        <v>51</v>
      </c>
      <c r="BY5" s="1935">
        <v>0</v>
      </c>
      <c r="BZ5" s="1935">
        <v>22</v>
      </c>
      <c r="CA5" s="1956">
        <v>0</v>
      </c>
      <c r="CB5" s="1935">
        <v>42</v>
      </c>
      <c r="CC5" s="1935">
        <v>0</v>
      </c>
      <c r="CD5" s="1935">
        <v>48</v>
      </c>
      <c r="CE5" s="4197">
        <v>0</v>
      </c>
      <c r="CF5" s="1935">
        <v>163</v>
      </c>
      <c r="CG5" s="1935">
        <v>0</v>
      </c>
      <c r="CH5" s="1935">
        <v>71</v>
      </c>
      <c r="CI5" s="1935">
        <v>81</v>
      </c>
      <c r="CJ5" s="1935">
        <v>0</v>
      </c>
      <c r="CK5" s="1935">
        <v>190</v>
      </c>
      <c r="CL5" s="1935">
        <v>18</v>
      </c>
      <c r="CM5" s="1935">
        <v>0</v>
      </c>
      <c r="CN5" s="1935">
        <v>10</v>
      </c>
      <c r="CO5" s="1935">
        <v>300</v>
      </c>
      <c r="CP5" s="1935">
        <v>21</v>
      </c>
      <c r="CQ5" s="1935">
        <v>11</v>
      </c>
      <c r="CR5" s="757">
        <v>0</v>
      </c>
      <c r="CS5" s="1935">
        <v>245</v>
      </c>
      <c r="CT5" s="1935">
        <v>0</v>
      </c>
      <c r="CU5" s="757">
        <v>0</v>
      </c>
      <c r="CV5" s="1935">
        <v>193</v>
      </c>
      <c r="CW5" s="757">
        <v>0</v>
      </c>
      <c r="CX5" s="1935">
        <v>89</v>
      </c>
      <c r="CY5" s="1952">
        <v>0</v>
      </c>
      <c r="CZ5" s="1935">
        <v>90</v>
      </c>
      <c r="DA5" s="1935">
        <v>0</v>
      </c>
      <c r="DB5" s="1935">
        <v>138</v>
      </c>
      <c r="DC5" s="1935">
        <v>0</v>
      </c>
      <c r="DD5" s="1935">
        <v>24</v>
      </c>
      <c r="DE5" s="1935">
        <v>105</v>
      </c>
      <c r="DF5" s="1935">
        <v>17</v>
      </c>
      <c r="DG5" s="1935">
        <v>0</v>
      </c>
      <c r="DH5" s="1935">
        <v>0</v>
      </c>
      <c r="DI5" s="1935">
        <v>54</v>
      </c>
      <c r="DJ5" s="1935">
        <v>68</v>
      </c>
      <c r="DK5" s="1935">
        <v>0</v>
      </c>
      <c r="DL5" s="1935">
        <v>16</v>
      </c>
      <c r="DM5" s="1935">
        <v>20</v>
      </c>
      <c r="DN5" s="1935">
        <v>400</v>
      </c>
      <c r="DO5" s="1935">
        <v>17</v>
      </c>
      <c r="DP5" s="1935">
        <v>0</v>
      </c>
      <c r="DQ5" s="1935">
        <v>162</v>
      </c>
      <c r="DR5" s="1935">
        <v>116</v>
      </c>
      <c r="DS5" s="1935">
        <v>0</v>
      </c>
      <c r="DT5" s="1935">
        <v>17</v>
      </c>
      <c r="DU5" s="1935">
        <v>0</v>
      </c>
      <c r="DV5" s="1935">
        <v>0</v>
      </c>
      <c r="DW5" s="1935">
        <v>17</v>
      </c>
      <c r="DX5" s="757"/>
      <c r="DY5" s="1961">
        <v>475</v>
      </c>
      <c r="DZ5" s="1965">
        <v>0</v>
      </c>
      <c r="EA5" s="1965">
        <v>0</v>
      </c>
      <c r="EB5" s="1965">
        <v>0</v>
      </c>
      <c r="EC5" s="1965">
        <v>0</v>
      </c>
      <c r="ED5" s="900">
        <v>0</v>
      </c>
      <c r="EE5" s="900">
        <v>0</v>
      </c>
      <c r="EF5" s="900">
        <v>0</v>
      </c>
      <c r="EG5" s="1965">
        <v>0</v>
      </c>
      <c r="EH5" s="1965">
        <v>0</v>
      </c>
      <c r="EI5" s="1965">
        <v>0</v>
      </c>
      <c r="EJ5" s="1965">
        <v>91</v>
      </c>
      <c r="EK5" s="1965">
        <v>18</v>
      </c>
      <c r="EL5" s="1965">
        <v>16</v>
      </c>
      <c r="EM5" s="1965">
        <v>0</v>
      </c>
      <c r="EN5" s="1965">
        <v>0</v>
      </c>
      <c r="EO5" s="1965">
        <v>0</v>
      </c>
      <c r="EP5" s="1965">
        <v>0</v>
      </c>
      <c r="EQ5" s="900">
        <v>0</v>
      </c>
      <c r="ER5" s="1965">
        <v>0</v>
      </c>
      <c r="ES5" s="1965">
        <v>0</v>
      </c>
      <c r="ET5" s="1965">
        <v>0</v>
      </c>
      <c r="EU5" s="1965">
        <v>0</v>
      </c>
      <c r="EV5" s="1965">
        <v>52</v>
      </c>
      <c r="EW5" s="1965">
        <v>0</v>
      </c>
      <c r="EX5" s="1965">
        <v>22</v>
      </c>
      <c r="EY5" s="1965">
        <v>0</v>
      </c>
      <c r="EZ5" s="1965">
        <v>8</v>
      </c>
      <c r="FA5" s="1965">
        <v>0</v>
      </c>
      <c r="FB5" s="1965">
        <v>0</v>
      </c>
      <c r="FC5" s="1965">
        <v>199</v>
      </c>
      <c r="FD5" s="1965">
        <v>0</v>
      </c>
      <c r="FE5" s="1965">
        <v>0</v>
      </c>
      <c r="FF5" s="1972">
        <v>0</v>
      </c>
      <c r="FG5" s="1972">
        <v>0</v>
      </c>
      <c r="FH5" s="1972">
        <v>0</v>
      </c>
      <c r="FI5" s="1972">
        <v>0</v>
      </c>
      <c r="FJ5" s="1972">
        <v>11</v>
      </c>
      <c r="FK5" s="1972">
        <v>0</v>
      </c>
      <c r="FL5" s="1972">
        <v>162</v>
      </c>
      <c r="FM5" s="1972">
        <v>0</v>
      </c>
      <c r="FN5" s="1972">
        <v>397</v>
      </c>
      <c r="FO5" s="1972">
        <v>17</v>
      </c>
      <c r="FP5" s="927">
        <v>0</v>
      </c>
      <c r="FQ5" s="1972">
        <v>0</v>
      </c>
      <c r="FR5" s="1972">
        <v>0</v>
      </c>
      <c r="FS5" s="1972">
        <v>112</v>
      </c>
      <c r="FT5" s="1972">
        <v>0</v>
      </c>
      <c r="FU5" s="1972">
        <v>0</v>
      </c>
      <c r="FV5" s="1972">
        <v>70</v>
      </c>
      <c r="FW5" s="1972">
        <v>0</v>
      </c>
      <c r="FX5" s="1972">
        <v>220</v>
      </c>
      <c r="FY5" s="1972">
        <v>0</v>
      </c>
      <c r="FZ5" s="1972">
        <v>0</v>
      </c>
      <c r="GA5" s="1972">
        <v>0</v>
      </c>
      <c r="GB5" s="1972">
        <v>0</v>
      </c>
      <c r="GC5" s="1972">
        <v>0</v>
      </c>
      <c r="GD5" s="927"/>
      <c r="GE5" s="910">
        <v>4907</v>
      </c>
      <c r="GF5" s="932">
        <v>1870</v>
      </c>
      <c r="GG5" s="919">
        <v>6777</v>
      </c>
      <c r="GH5" s="920">
        <v>2192</v>
      </c>
      <c r="GI5" s="649">
        <v>475</v>
      </c>
      <c r="GJ5" s="649">
        <v>1752</v>
      </c>
      <c r="GK5" s="1402">
        <v>0</v>
      </c>
      <c r="GL5" s="650">
        <v>2011</v>
      </c>
      <c r="GM5" s="650">
        <v>199</v>
      </c>
      <c r="GN5" s="650">
        <v>81</v>
      </c>
      <c r="GO5" s="650">
        <v>0</v>
      </c>
      <c r="GP5" s="650">
        <v>0</v>
      </c>
      <c r="GQ5" s="650">
        <v>67</v>
      </c>
      <c r="GR5" s="4637">
        <v>0</v>
      </c>
      <c r="GS5" s="13">
        <v>0</v>
      </c>
      <c r="GT5" s="4638">
        <v>97.5</v>
      </c>
      <c r="GU5" s="13"/>
      <c r="HD5" s="139"/>
      <c r="HE5" s="139"/>
      <c r="IV5" s="139"/>
      <c r="IW5" s="139"/>
    </row>
    <row r="6" spans="1:273" ht="23.25" customHeight="1" thickBot="1">
      <c r="A6" s="608">
        <v>8.3333333333333301E-2</v>
      </c>
      <c r="B6" s="1927">
        <v>0</v>
      </c>
      <c r="C6" s="1928">
        <v>0</v>
      </c>
      <c r="D6" s="1928">
        <v>170</v>
      </c>
      <c r="E6" s="1928">
        <v>0</v>
      </c>
      <c r="F6" s="1936">
        <v>0</v>
      </c>
      <c r="G6" s="1936">
        <v>0</v>
      </c>
      <c r="H6" s="1928">
        <v>0</v>
      </c>
      <c r="I6" s="1928">
        <v>0</v>
      </c>
      <c r="J6" s="1928">
        <v>203</v>
      </c>
      <c r="K6" s="758"/>
      <c r="L6" s="758">
        <v>0</v>
      </c>
      <c r="M6" s="1928">
        <v>180</v>
      </c>
      <c r="N6" s="1928">
        <v>0</v>
      </c>
      <c r="O6" s="1928">
        <v>0</v>
      </c>
      <c r="P6" s="1928">
        <v>0</v>
      </c>
      <c r="Q6" s="1928">
        <v>15</v>
      </c>
      <c r="R6" s="1928">
        <v>0</v>
      </c>
      <c r="S6" s="758">
        <v>0</v>
      </c>
      <c r="T6" s="758">
        <v>0</v>
      </c>
      <c r="U6" s="1928">
        <v>0</v>
      </c>
      <c r="V6" s="1936">
        <v>64</v>
      </c>
      <c r="W6" s="1928">
        <v>0</v>
      </c>
      <c r="X6" s="1928">
        <v>0</v>
      </c>
      <c r="Y6" s="1928">
        <v>0</v>
      </c>
      <c r="Z6" s="758">
        <v>0</v>
      </c>
      <c r="AA6" s="1928">
        <v>0</v>
      </c>
      <c r="AB6" s="1928">
        <v>35</v>
      </c>
      <c r="AC6" s="1928">
        <v>55</v>
      </c>
      <c r="AD6" s="1928">
        <v>35</v>
      </c>
      <c r="AE6" s="1928">
        <v>19</v>
      </c>
      <c r="AF6" s="1928">
        <v>25</v>
      </c>
      <c r="AG6" s="1928">
        <v>9</v>
      </c>
      <c r="AH6" s="1928">
        <v>16</v>
      </c>
      <c r="AI6" s="1928">
        <v>33</v>
      </c>
      <c r="AJ6" s="1928">
        <v>0</v>
      </c>
      <c r="AK6" s="758">
        <v>0</v>
      </c>
      <c r="AL6" s="758">
        <v>46</v>
      </c>
      <c r="AM6" s="1928">
        <v>40</v>
      </c>
      <c r="AN6" s="1928">
        <v>0</v>
      </c>
      <c r="AO6" s="1928">
        <v>0</v>
      </c>
      <c r="AP6" s="1928">
        <v>0</v>
      </c>
      <c r="AQ6" s="1928">
        <v>0</v>
      </c>
      <c r="AR6" s="758">
        <v>0</v>
      </c>
      <c r="AS6" s="1928">
        <v>0</v>
      </c>
      <c r="AT6" s="758">
        <v>0</v>
      </c>
      <c r="AU6" s="758"/>
      <c r="AV6" s="1928">
        <v>22</v>
      </c>
      <c r="AW6" s="1928">
        <v>0</v>
      </c>
      <c r="AX6" s="1928">
        <v>0</v>
      </c>
      <c r="AY6" s="1928">
        <v>0</v>
      </c>
      <c r="AZ6" s="1928">
        <v>12</v>
      </c>
      <c r="BA6" s="1928">
        <v>46</v>
      </c>
      <c r="BB6" s="1928">
        <v>21</v>
      </c>
      <c r="BC6" s="1928">
        <v>35</v>
      </c>
      <c r="BD6" s="1928">
        <v>0</v>
      </c>
      <c r="BE6" s="758">
        <v>0</v>
      </c>
      <c r="BF6" s="758">
        <v>80</v>
      </c>
      <c r="BG6" s="1928">
        <v>220</v>
      </c>
      <c r="BH6" s="1928">
        <v>260</v>
      </c>
      <c r="BI6" s="1928">
        <v>49</v>
      </c>
      <c r="BJ6" s="1928">
        <v>8</v>
      </c>
      <c r="BK6" s="1928">
        <v>133</v>
      </c>
      <c r="BL6" s="758">
        <v>5</v>
      </c>
      <c r="BM6" s="1928">
        <v>5</v>
      </c>
      <c r="BN6" s="758">
        <v>0</v>
      </c>
      <c r="BO6" s="1936">
        <v>51</v>
      </c>
      <c r="BP6" s="759">
        <v>0</v>
      </c>
      <c r="BQ6" s="1936">
        <v>0</v>
      </c>
      <c r="BR6" s="1928">
        <v>8</v>
      </c>
      <c r="BS6" s="1936">
        <v>21</v>
      </c>
      <c r="BT6" s="1936">
        <v>11</v>
      </c>
      <c r="BU6" s="1936">
        <v>33</v>
      </c>
      <c r="BV6" s="1936">
        <v>9</v>
      </c>
      <c r="BW6" s="1947">
        <v>65</v>
      </c>
      <c r="BX6" s="1936">
        <v>51</v>
      </c>
      <c r="BY6" s="1936">
        <v>0</v>
      </c>
      <c r="BZ6" s="1936">
        <v>22</v>
      </c>
      <c r="CA6" s="1957">
        <v>0</v>
      </c>
      <c r="CB6" s="1936">
        <v>42</v>
      </c>
      <c r="CC6" s="1936">
        <v>0</v>
      </c>
      <c r="CD6" s="1936">
        <v>48</v>
      </c>
      <c r="CE6" s="4198">
        <v>0</v>
      </c>
      <c r="CF6" s="1936">
        <v>130</v>
      </c>
      <c r="CG6" s="1936">
        <v>0</v>
      </c>
      <c r="CH6" s="1936">
        <v>71</v>
      </c>
      <c r="CI6" s="1936">
        <v>81</v>
      </c>
      <c r="CJ6" s="1936">
        <v>0</v>
      </c>
      <c r="CK6" s="1936">
        <v>190</v>
      </c>
      <c r="CL6" s="1936">
        <v>18</v>
      </c>
      <c r="CM6" s="1936">
        <v>0</v>
      </c>
      <c r="CN6" s="1936">
        <v>10</v>
      </c>
      <c r="CO6" s="1936">
        <v>290</v>
      </c>
      <c r="CP6" s="1936">
        <v>21</v>
      </c>
      <c r="CQ6" s="1936">
        <v>11</v>
      </c>
      <c r="CR6" s="759">
        <v>0</v>
      </c>
      <c r="CS6" s="1936">
        <v>145</v>
      </c>
      <c r="CT6" s="1936">
        <v>0</v>
      </c>
      <c r="CU6" s="759">
        <v>0</v>
      </c>
      <c r="CV6" s="1936">
        <v>170</v>
      </c>
      <c r="CW6" s="759">
        <v>0</v>
      </c>
      <c r="CX6" s="1936">
        <v>58</v>
      </c>
      <c r="CY6" s="1953">
        <v>0</v>
      </c>
      <c r="CZ6" s="1936">
        <v>76</v>
      </c>
      <c r="DA6" s="1936">
        <v>0</v>
      </c>
      <c r="DB6" s="1936">
        <v>142</v>
      </c>
      <c r="DC6" s="1936">
        <v>0</v>
      </c>
      <c r="DD6" s="1936">
        <v>0</v>
      </c>
      <c r="DE6" s="1936">
        <v>70</v>
      </c>
      <c r="DF6" s="1936">
        <v>17</v>
      </c>
      <c r="DG6" s="1936">
        <v>0</v>
      </c>
      <c r="DH6" s="1936">
        <v>0</v>
      </c>
      <c r="DI6" s="2054">
        <v>54</v>
      </c>
      <c r="DJ6" s="2067">
        <v>68</v>
      </c>
      <c r="DK6" s="2937">
        <v>0</v>
      </c>
      <c r="DL6" s="3069">
        <v>16</v>
      </c>
      <c r="DM6" s="3069">
        <v>20</v>
      </c>
      <c r="DN6" s="3435">
        <v>400</v>
      </c>
      <c r="DO6" s="3510">
        <v>17</v>
      </c>
      <c r="DP6" s="3678">
        <v>0</v>
      </c>
      <c r="DQ6" s="3710">
        <v>126</v>
      </c>
      <c r="DR6" s="3773">
        <v>116</v>
      </c>
      <c r="DS6" s="3838">
        <v>0</v>
      </c>
      <c r="DT6" s="3838">
        <v>17</v>
      </c>
      <c r="DU6" s="4035">
        <v>0</v>
      </c>
      <c r="DV6" s="3678">
        <v>0</v>
      </c>
      <c r="DW6" s="3678">
        <v>0</v>
      </c>
      <c r="DX6" s="759"/>
      <c r="DY6" s="1962">
        <v>422</v>
      </c>
      <c r="DZ6" s="1966">
        <v>0</v>
      </c>
      <c r="EA6" s="1966">
        <v>0</v>
      </c>
      <c r="EB6" s="1966">
        <v>0</v>
      </c>
      <c r="EC6" s="1966">
        <v>0</v>
      </c>
      <c r="ED6" s="896">
        <v>0</v>
      </c>
      <c r="EE6" s="896">
        <v>0</v>
      </c>
      <c r="EF6" s="896">
        <v>0</v>
      </c>
      <c r="EG6" s="1966">
        <v>0</v>
      </c>
      <c r="EH6" s="1966">
        <v>0</v>
      </c>
      <c r="EI6" s="1966">
        <v>0</v>
      </c>
      <c r="EJ6" s="1966">
        <v>91</v>
      </c>
      <c r="EK6" s="1966">
        <v>17</v>
      </c>
      <c r="EL6" s="1966">
        <v>16</v>
      </c>
      <c r="EM6" s="1966">
        <v>0</v>
      </c>
      <c r="EN6" s="1966">
        <v>0</v>
      </c>
      <c r="EO6" s="1966">
        <v>0</v>
      </c>
      <c r="EP6" s="1966">
        <v>0</v>
      </c>
      <c r="EQ6" s="896">
        <v>0</v>
      </c>
      <c r="ER6" s="1966">
        <v>0</v>
      </c>
      <c r="ES6" s="1966">
        <v>0</v>
      </c>
      <c r="ET6" s="1966">
        <v>0</v>
      </c>
      <c r="EU6" s="1966">
        <v>0</v>
      </c>
      <c r="EV6" s="1966">
        <v>52</v>
      </c>
      <c r="EW6" s="1966">
        <v>0</v>
      </c>
      <c r="EX6" s="1966">
        <v>22</v>
      </c>
      <c r="EY6" s="1966">
        <v>0</v>
      </c>
      <c r="EZ6" s="1966">
        <v>8</v>
      </c>
      <c r="FA6" s="1966">
        <v>0</v>
      </c>
      <c r="FB6" s="1966">
        <v>0</v>
      </c>
      <c r="FC6" s="1966">
        <v>199</v>
      </c>
      <c r="FD6" s="1966">
        <v>0</v>
      </c>
      <c r="FE6" s="1966">
        <v>0</v>
      </c>
      <c r="FF6" s="1973">
        <v>0</v>
      </c>
      <c r="FG6" s="1973">
        <v>0</v>
      </c>
      <c r="FH6" s="1973">
        <v>0</v>
      </c>
      <c r="FI6" s="1973">
        <v>0</v>
      </c>
      <c r="FJ6" s="1973">
        <v>11</v>
      </c>
      <c r="FK6" s="1973">
        <v>0</v>
      </c>
      <c r="FL6" s="1973">
        <v>164</v>
      </c>
      <c r="FM6" s="1973">
        <v>0</v>
      </c>
      <c r="FN6" s="1973">
        <v>379</v>
      </c>
      <c r="FO6" s="1973">
        <v>0</v>
      </c>
      <c r="FP6" s="1683">
        <v>0</v>
      </c>
      <c r="FQ6" s="1973">
        <v>0</v>
      </c>
      <c r="FR6" s="1973">
        <v>0</v>
      </c>
      <c r="FS6" s="1973">
        <v>112</v>
      </c>
      <c r="FT6" s="1973">
        <v>0</v>
      </c>
      <c r="FU6" s="1989">
        <v>0</v>
      </c>
      <c r="FV6" s="2162">
        <v>70</v>
      </c>
      <c r="FW6" s="2162">
        <v>0</v>
      </c>
      <c r="FX6" s="3681">
        <v>220</v>
      </c>
      <c r="FY6" s="3681">
        <v>0</v>
      </c>
      <c r="FZ6" s="3754">
        <v>0</v>
      </c>
      <c r="GA6" s="4417">
        <v>0</v>
      </c>
      <c r="GB6" s="4894">
        <v>0</v>
      </c>
      <c r="GC6" s="4980">
        <v>0</v>
      </c>
      <c r="GD6" s="928"/>
      <c r="GE6" s="910">
        <v>4536</v>
      </c>
      <c r="GF6" s="932">
        <v>1783</v>
      </c>
      <c r="GG6" s="919">
        <v>6319</v>
      </c>
      <c r="GH6" s="920">
        <v>2203</v>
      </c>
      <c r="GI6" s="649">
        <v>422</v>
      </c>
      <c r="GJ6" s="649">
        <v>1690</v>
      </c>
      <c r="GK6" s="650">
        <v>0</v>
      </c>
      <c r="GL6" s="650">
        <v>1654</v>
      </c>
      <c r="GM6" s="650">
        <v>199</v>
      </c>
      <c r="GN6" s="650">
        <v>86</v>
      </c>
      <c r="GO6" s="650">
        <v>0</v>
      </c>
      <c r="GP6" s="650">
        <v>0</v>
      </c>
      <c r="GQ6" s="650">
        <v>65</v>
      </c>
      <c r="GR6" s="4637">
        <v>0</v>
      </c>
      <c r="GS6" s="13">
        <v>0</v>
      </c>
      <c r="GT6" s="4638">
        <v>97.5</v>
      </c>
      <c r="GU6" s="13"/>
      <c r="HD6" s="139"/>
      <c r="HE6" s="139"/>
      <c r="IV6" s="139"/>
      <c r="IW6" s="139"/>
    </row>
    <row r="7" spans="1:273" ht="21" customHeight="1" thickBot="1">
      <c r="A7" s="608">
        <v>0.125</v>
      </c>
      <c r="B7" s="1927">
        <v>0</v>
      </c>
      <c r="C7" s="1928">
        <v>0</v>
      </c>
      <c r="D7" s="1928">
        <v>170</v>
      </c>
      <c r="E7" s="1928">
        <v>0</v>
      </c>
      <c r="F7" s="1936">
        <v>0</v>
      </c>
      <c r="G7" s="1936">
        <v>0</v>
      </c>
      <c r="H7" s="1928">
        <v>0</v>
      </c>
      <c r="I7" s="1928">
        <v>0</v>
      </c>
      <c r="J7" s="1928">
        <v>203</v>
      </c>
      <c r="K7" s="758"/>
      <c r="L7" s="758">
        <v>0</v>
      </c>
      <c r="M7" s="1928">
        <v>180</v>
      </c>
      <c r="N7" s="1928">
        <v>0</v>
      </c>
      <c r="O7" s="1928">
        <v>0</v>
      </c>
      <c r="P7" s="1928">
        <v>0</v>
      </c>
      <c r="Q7" s="1928">
        <v>0</v>
      </c>
      <c r="R7" s="1928">
        <v>0</v>
      </c>
      <c r="S7" s="758">
        <v>0</v>
      </c>
      <c r="T7" s="758">
        <v>0</v>
      </c>
      <c r="U7" s="1928">
        <v>0</v>
      </c>
      <c r="V7" s="1936">
        <v>40</v>
      </c>
      <c r="W7" s="1928">
        <v>0</v>
      </c>
      <c r="X7" s="1928">
        <v>0</v>
      </c>
      <c r="Y7" s="1928">
        <v>0</v>
      </c>
      <c r="Z7" s="758">
        <v>0</v>
      </c>
      <c r="AA7" s="1928">
        <v>0</v>
      </c>
      <c r="AB7" s="1928">
        <v>35</v>
      </c>
      <c r="AC7" s="1928">
        <v>55</v>
      </c>
      <c r="AD7" s="1928">
        <v>35</v>
      </c>
      <c r="AE7" s="1928">
        <v>19</v>
      </c>
      <c r="AF7" s="1928">
        <v>25</v>
      </c>
      <c r="AG7" s="1928">
        <v>9</v>
      </c>
      <c r="AH7" s="1928">
        <v>16</v>
      </c>
      <c r="AI7" s="1928">
        <v>33</v>
      </c>
      <c r="AJ7" s="1928">
        <v>0</v>
      </c>
      <c r="AK7" s="758">
        <v>0</v>
      </c>
      <c r="AL7" s="758">
        <v>42</v>
      </c>
      <c r="AM7" s="1928">
        <v>40</v>
      </c>
      <c r="AN7" s="1928">
        <v>0</v>
      </c>
      <c r="AO7" s="1928">
        <v>0</v>
      </c>
      <c r="AP7" s="1928">
        <v>0</v>
      </c>
      <c r="AQ7" s="1928">
        <v>0</v>
      </c>
      <c r="AR7" s="758">
        <v>0</v>
      </c>
      <c r="AS7" s="1928">
        <v>0</v>
      </c>
      <c r="AT7" s="758">
        <v>0</v>
      </c>
      <c r="AU7" s="758"/>
      <c r="AV7" s="1928">
        <v>22</v>
      </c>
      <c r="AW7" s="1928">
        <v>0</v>
      </c>
      <c r="AX7" s="1928">
        <v>0</v>
      </c>
      <c r="AY7" s="1928">
        <v>0</v>
      </c>
      <c r="AZ7" s="1928">
        <v>12</v>
      </c>
      <c r="BA7" s="1928">
        <v>46</v>
      </c>
      <c r="BB7" s="1928">
        <v>21</v>
      </c>
      <c r="BC7" s="1928">
        <v>35</v>
      </c>
      <c r="BD7" s="1928">
        <v>0</v>
      </c>
      <c r="BE7" s="758">
        <v>0</v>
      </c>
      <c r="BF7" s="758">
        <v>80</v>
      </c>
      <c r="BG7" s="1928">
        <v>180</v>
      </c>
      <c r="BH7" s="1928">
        <v>260</v>
      </c>
      <c r="BI7" s="1928">
        <v>86</v>
      </c>
      <c r="BJ7" s="1928">
        <v>8</v>
      </c>
      <c r="BK7" s="1928">
        <v>132</v>
      </c>
      <c r="BL7" s="758">
        <v>5</v>
      </c>
      <c r="BM7" s="1928">
        <v>5</v>
      </c>
      <c r="BN7" s="758">
        <v>0</v>
      </c>
      <c r="BO7" s="1936">
        <v>51</v>
      </c>
      <c r="BP7" s="759">
        <v>0</v>
      </c>
      <c r="BQ7" s="1936">
        <v>0</v>
      </c>
      <c r="BR7" s="1928">
        <v>0</v>
      </c>
      <c r="BS7" s="1936">
        <v>21</v>
      </c>
      <c r="BT7" s="1936">
        <v>11</v>
      </c>
      <c r="BU7" s="1936">
        <v>33</v>
      </c>
      <c r="BV7" s="1936">
        <v>9</v>
      </c>
      <c r="BW7" s="1947">
        <v>63</v>
      </c>
      <c r="BX7" s="1936">
        <v>51</v>
      </c>
      <c r="BY7" s="1936">
        <v>0</v>
      </c>
      <c r="BZ7" s="1936">
        <v>22</v>
      </c>
      <c r="CA7" s="1957">
        <v>0</v>
      </c>
      <c r="CB7" s="1936">
        <v>42</v>
      </c>
      <c r="CC7" s="1936">
        <v>0</v>
      </c>
      <c r="CD7" s="1936">
        <v>48</v>
      </c>
      <c r="CE7" s="4198">
        <v>0</v>
      </c>
      <c r="CF7" s="1936">
        <v>130</v>
      </c>
      <c r="CG7" s="1936">
        <v>0</v>
      </c>
      <c r="CH7" s="1936">
        <v>71</v>
      </c>
      <c r="CI7" s="1936">
        <v>81</v>
      </c>
      <c r="CJ7" s="1936">
        <v>0</v>
      </c>
      <c r="CK7" s="1936">
        <v>190</v>
      </c>
      <c r="CL7" s="1936">
        <v>18</v>
      </c>
      <c r="CM7" s="1936">
        <v>0</v>
      </c>
      <c r="CN7" s="1936">
        <v>10</v>
      </c>
      <c r="CO7" s="1936">
        <v>300</v>
      </c>
      <c r="CP7" s="1936">
        <v>21</v>
      </c>
      <c r="CQ7" s="1936">
        <v>8</v>
      </c>
      <c r="CR7" s="759">
        <v>0</v>
      </c>
      <c r="CS7" s="1936">
        <v>110</v>
      </c>
      <c r="CT7" s="1936">
        <v>0</v>
      </c>
      <c r="CU7" s="759">
        <v>0</v>
      </c>
      <c r="CV7" s="1936">
        <v>140</v>
      </c>
      <c r="CW7" s="759">
        <v>0</v>
      </c>
      <c r="CX7" s="1936">
        <v>0</v>
      </c>
      <c r="CY7" s="1953">
        <v>0</v>
      </c>
      <c r="CZ7" s="1936">
        <v>76</v>
      </c>
      <c r="DA7" s="1936">
        <v>0</v>
      </c>
      <c r="DB7" s="1936">
        <v>142</v>
      </c>
      <c r="DC7" s="1936">
        <v>0</v>
      </c>
      <c r="DD7" s="1936">
        <v>0</v>
      </c>
      <c r="DE7" s="1936">
        <v>70</v>
      </c>
      <c r="DF7" s="1936">
        <v>17</v>
      </c>
      <c r="DG7" s="1936">
        <v>0</v>
      </c>
      <c r="DH7" s="1936">
        <v>0</v>
      </c>
      <c r="DI7" s="2054">
        <v>54</v>
      </c>
      <c r="DJ7" s="2067">
        <v>68</v>
      </c>
      <c r="DK7" s="2937">
        <v>0</v>
      </c>
      <c r="DL7" s="3069">
        <v>0</v>
      </c>
      <c r="DM7" s="3069">
        <v>20</v>
      </c>
      <c r="DN7" s="3435">
        <v>400</v>
      </c>
      <c r="DO7" s="3510">
        <v>17</v>
      </c>
      <c r="DP7" s="3678">
        <v>0</v>
      </c>
      <c r="DQ7" s="3710">
        <v>126</v>
      </c>
      <c r="DR7" s="3773">
        <v>116</v>
      </c>
      <c r="DS7" s="3838">
        <v>0</v>
      </c>
      <c r="DT7" s="3838">
        <v>17</v>
      </c>
      <c r="DU7" s="4035">
        <v>0</v>
      </c>
      <c r="DV7" s="3678">
        <v>0</v>
      </c>
      <c r="DW7" s="3678">
        <v>0</v>
      </c>
      <c r="DX7" s="759"/>
      <c r="DY7" s="1962">
        <v>422</v>
      </c>
      <c r="DZ7" s="1966">
        <v>0</v>
      </c>
      <c r="EA7" s="1966">
        <v>0</v>
      </c>
      <c r="EB7" s="1966">
        <v>0</v>
      </c>
      <c r="EC7" s="1966">
        <v>0</v>
      </c>
      <c r="ED7" s="896">
        <v>0</v>
      </c>
      <c r="EE7" s="896">
        <v>0</v>
      </c>
      <c r="EF7" s="896">
        <v>0</v>
      </c>
      <c r="EG7" s="1966">
        <v>0</v>
      </c>
      <c r="EH7" s="1966">
        <v>0</v>
      </c>
      <c r="EI7" s="1966">
        <v>0</v>
      </c>
      <c r="EJ7" s="1966">
        <v>91</v>
      </c>
      <c r="EK7" s="1966">
        <v>16</v>
      </c>
      <c r="EL7" s="1966">
        <v>16</v>
      </c>
      <c r="EM7" s="1966">
        <v>0</v>
      </c>
      <c r="EN7" s="1966">
        <v>0</v>
      </c>
      <c r="EO7" s="1966">
        <v>0</v>
      </c>
      <c r="EP7" s="1966">
        <v>0</v>
      </c>
      <c r="EQ7" s="896">
        <v>0</v>
      </c>
      <c r="ER7" s="1966">
        <v>0</v>
      </c>
      <c r="ES7" s="1966">
        <v>0</v>
      </c>
      <c r="ET7" s="1966">
        <v>0</v>
      </c>
      <c r="EU7" s="1966">
        <v>0</v>
      </c>
      <c r="EV7" s="1966">
        <v>52</v>
      </c>
      <c r="EW7" s="1966">
        <v>0</v>
      </c>
      <c r="EX7" s="1966">
        <v>22</v>
      </c>
      <c r="EY7" s="1966">
        <v>0</v>
      </c>
      <c r="EZ7" s="1966">
        <v>8</v>
      </c>
      <c r="FA7" s="1966">
        <v>0</v>
      </c>
      <c r="FB7" s="1966">
        <v>0</v>
      </c>
      <c r="FC7" s="1966">
        <v>200</v>
      </c>
      <c r="FD7" s="1966">
        <v>0</v>
      </c>
      <c r="FE7" s="1966">
        <v>0</v>
      </c>
      <c r="FF7" s="1973">
        <v>0</v>
      </c>
      <c r="FG7" s="1973">
        <v>0</v>
      </c>
      <c r="FH7" s="1973">
        <v>0</v>
      </c>
      <c r="FI7" s="1973">
        <v>0</v>
      </c>
      <c r="FJ7" s="1973">
        <v>11</v>
      </c>
      <c r="FK7" s="1973">
        <v>0</v>
      </c>
      <c r="FL7" s="1973">
        <v>162</v>
      </c>
      <c r="FM7" s="1973">
        <v>0</v>
      </c>
      <c r="FN7" s="1973">
        <v>394</v>
      </c>
      <c r="FO7" s="1973">
        <v>0</v>
      </c>
      <c r="FP7" s="1683">
        <v>0</v>
      </c>
      <c r="FQ7" s="1973">
        <v>0</v>
      </c>
      <c r="FR7" s="1973">
        <v>0</v>
      </c>
      <c r="FS7" s="1973">
        <v>105</v>
      </c>
      <c r="FT7" s="1973">
        <v>0</v>
      </c>
      <c r="FU7" s="1989">
        <v>0</v>
      </c>
      <c r="FV7" s="2162">
        <v>35</v>
      </c>
      <c r="FW7" s="2162">
        <v>0</v>
      </c>
      <c r="FX7" s="3681">
        <v>220</v>
      </c>
      <c r="FY7" s="3681">
        <v>0</v>
      </c>
      <c r="FZ7" s="3754">
        <v>0</v>
      </c>
      <c r="GA7" s="4417">
        <v>0</v>
      </c>
      <c r="GB7" s="4894">
        <v>0</v>
      </c>
      <c r="GC7" s="4980">
        <v>0</v>
      </c>
      <c r="GD7" s="928"/>
      <c r="GE7" s="910">
        <v>4347</v>
      </c>
      <c r="GF7" s="932">
        <v>1754</v>
      </c>
      <c r="GG7" s="919">
        <v>6101</v>
      </c>
      <c r="GH7" s="920">
        <v>2194</v>
      </c>
      <c r="GI7" s="649">
        <v>422</v>
      </c>
      <c r="GJ7" s="649">
        <v>1714</v>
      </c>
      <c r="GK7" s="650">
        <v>0</v>
      </c>
      <c r="GL7" s="650">
        <v>1426</v>
      </c>
      <c r="GM7" s="650">
        <v>200</v>
      </c>
      <c r="GN7" s="650">
        <v>82</v>
      </c>
      <c r="GO7" s="650">
        <v>0</v>
      </c>
      <c r="GP7" s="650">
        <v>0</v>
      </c>
      <c r="GQ7" s="650">
        <v>63</v>
      </c>
      <c r="GR7" s="4637">
        <v>0</v>
      </c>
      <c r="GS7" s="13">
        <v>0</v>
      </c>
      <c r="GT7" s="4638">
        <v>97.49</v>
      </c>
      <c r="GU7" s="13"/>
      <c r="HD7" s="139"/>
      <c r="HE7" s="139"/>
      <c r="IV7" s="139"/>
      <c r="IW7" s="139"/>
    </row>
    <row r="8" spans="1:273" ht="23.25" customHeight="1" thickBot="1">
      <c r="A8" s="608">
        <v>0.16666666666666699</v>
      </c>
      <c r="B8" s="1927">
        <v>0</v>
      </c>
      <c r="C8" s="1928">
        <v>0</v>
      </c>
      <c r="D8" s="1928">
        <v>170</v>
      </c>
      <c r="E8" s="1928">
        <v>0</v>
      </c>
      <c r="F8" s="1936">
        <v>0</v>
      </c>
      <c r="G8" s="1936">
        <v>0</v>
      </c>
      <c r="H8" s="1928">
        <v>0</v>
      </c>
      <c r="I8" s="1928">
        <v>0</v>
      </c>
      <c r="J8" s="1928">
        <v>214</v>
      </c>
      <c r="K8" s="758"/>
      <c r="L8" s="758">
        <v>0</v>
      </c>
      <c r="M8" s="1928">
        <v>180</v>
      </c>
      <c r="N8" s="1928">
        <v>0</v>
      </c>
      <c r="O8" s="1928">
        <v>0</v>
      </c>
      <c r="P8" s="1928">
        <v>0</v>
      </c>
      <c r="Q8" s="1928">
        <v>0</v>
      </c>
      <c r="R8" s="1928">
        <v>0</v>
      </c>
      <c r="S8" s="758">
        <v>0</v>
      </c>
      <c r="T8" s="758">
        <v>0</v>
      </c>
      <c r="U8" s="1928">
        <v>0</v>
      </c>
      <c r="V8" s="1936">
        <v>24</v>
      </c>
      <c r="W8" s="1928">
        <v>0</v>
      </c>
      <c r="X8" s="1928">
        <v>0</v>
      </c>
      <c r="Y8" s="1928">
        <v>0</v>
      </c>
      <c r="Z8" s="758">
        <v>0</v>
      </c>
      <c r="AA8" s="1928">
        <v>0</v>
      </c>
      <c r="AB8" s="1928">
        <v>35</v>
      </c>
      <c r="AC8" s="1928">
        <v>55</v>
      </c>
      <c r="AD8" s="1928">
        <v>35</v>
      </c>
      <c r="AE8" s="1928">
        <v>19</v>
      </c>
      <c r="AF8" s="1928">
        <v>25</v>
      </c>
      <c r="AG8" s="1928">
        <v>9</v>
      </c>
      <c r="AH8" s="1928">
        <v>16</v>
      </c>
      <c r="AI8" s="1928">
        <v>33</v>
      </c>
      <c r="AJ8" s="1928">
        <v>0</v>
      </c>
      <c r="AK8" s="758">
        <v>0</v>
      </c>
      <c r="AL8" s="758">
        <v>33</v>
      </c>
      <c r="AM8" s="1928">
        <v>40</v>
      </c>
      <c r="AN8" s="1928">
        <v>0</v>
      </c>
      <c r="AO8" s="1928">
        <v>0</v>
      </c>
      <c r="AP8" s="1928">
        <v>0</v>
      </c>
      <c r="AQ8" s="1928">
        <v>0</v>
      </c>
      <c r="AR8" s="758">
        <v>0</v>
      </c>
      <c r="AS8" s="1928">
        <v>0</v>
      </c>
      <c r="AT8" s="758">
        <v>0</v>
      </c>
      <c r="AU8" s="758"/>
      <c r="AV8" s="1928">
        <v>22</v>
      </c>
      <c r="AW8" s="1928">
        <v>0</v>
      </c>
      <c r="AX8" s="1928">
        <v>0</v>
      </c>
      <c r="AY8" s="1928">
        <v>0</v>
      </c>
      <c r="AZ8" s="1928">
        <v>12</v>
      </c>
      <c r="BA8" s="1928">
        <v>46</v>
      </c>
      <c r="BB8" s="1928">
        <v>21</v>
      </c>
      <c r="BC8" s="1928">
        <v>35</v>
      </c>
      <c r="BD8" s="1928">
        <v>0</v>
      </c>
      <c r="BE8" s="758">
        <v>0</v>
      </c>
      <c r="BF8" s="758">
        <v>80</v>
      </c>
      <c r="BG8" s="1928">
        <v>160</v>
      </c>
      <c r="BH8" s="1928">
        <v>265</v>
      </c>
      <c r="BI8" s="1928">
        <v>119</v>
      </c>
      <c r="BJ8" s="1928">
        <v>8</v>
      </c>
      <c r="BK8" s="1928">
        <v>133</v>
      </c>
      <c r="BL8" s="758">
        <v>3</v>
      </c>
      <c r="BM8" s="1928">
        <v>5</v>
      </c>
      <c r="BN8" s="758">
        <v>0</v>
      </c>
      <c r="BO8" s="1936">
        <v>51</v>
      </c>
      <c r="BP8" s="759">
        <v>0</v>
      </c>
      <c r="BQ8" s="1936">
        <v>0</v>
      </c>
      <c r="BR8" s="1928">
        <v>0</v>
      </c>
      <c r="BS8" s="1936">
        <v>21</v>
      </c>
      <c r="BT8" s="1936">
        <v>11</v>
      </c>
      <c r="BU8" s="1936">
        <v>33</v>
      </c>
      <c r="BV8" s="1936">
        <v>9</v>
      </c>
      <c r="BW8" s="1947">
        <v>62</v>
      </c>
      <c r="BX8" s="1936">
        <v>51</v>
      </c>
      <c r="BY8" s="1936">
        <v>0</v>
      </c>
      <c r="BZ8" s="1936">
        <v>22</v>
      </c>
      <c r="CA8" s="1957">
        <v>0</v>
      </c>
      <c r="CB8" s="1936">
        <v>42</v>
      </c>
      <c r="CC8" s="1936">
        <v>0</v>
      </c>
      <c r="CD8" s="1936">
        <v>48</v>
      </c>
      <c r="CE8" s="4198">
        <v>0</v>
      </c>
      <c r="CF8" s="1936">
        <v>130</v>
      </c>
      <c r="CG8" s="1936">
        <v>0</v>
      </c>
      <c r="CH8" s="1936">
        <v>70</v>
      </c>
      <c r="CI8" s="1936">
        <v>81</v>
      </c>
      <c r="CJ8" s="1936">
        <v>0</v>
      </c>
      <c r="CK8" s="1936">
        <v>190</v>
      </c>
      <c r="CL8" s="1936">
        <v>18</v>
      </c>
      <c r="CM8" s="1936">
        <v>0</v>
      </c>
      <c r="CN8" s="1936">
        <v>10</v>
      </c>
      <c r="CO8" s="1936">
        <v>295</v>
      </c>
      <c r="CP8" s="1936">
        <v>21</v>
      </c>
      <c r="CQ8" s="1936">
        <v>8</v>
      </c>
      <c r="CR8" s="759">
        <v>0</v>
      </c>
      <c r="CS8" s="1936">
        <v>110</v>
      </c>
      <c r="CT8" s="1936">
        <v>0</v>
      </c>
      <c r="CU8" s="759">
        <v>0</v>
      </c>
      <c r="CV8" s="1936">
        <v>140</v>
      </c>
      <c r="CW8" s="759">
        <v>0</v>
      </c>
      <c r="CX8" s="1936">
        <v>0</v>
      </c>
      <c r="CY8" s="1953">
        <v>0</v>
      </c>
      <c r="CZ8" s="1936">
        <v>76</v>
      </c>
      <c r="DA8" s="1936">
        <v>0</v>
      </c>
      <c r="DB8" s="1936">
        <v>137</v>
      </c>
      <c r="DC8" s="1936">
        <v>0</v>
      </c>
      <c r="DD8" s="1936">
        <v>0</v>
      </c>
      <c r="DE8" s="1936">
        <v>50</v>
      </c>
      <c r="DF8" s="1936">
        <v>0</v>
      </c>
      <c r="DG8" s="1936">
        <v>0</v>
      </c>
      <c r="DH8" s="1936">
        <v>0</v>
      </c>
      <c r="DI8" s="2054">
        <v>54</v>
      </c>
      <c r="DJ8" s="2067">
        <v>51</v>
      </c>
      <c r="DK8" s="2937">
        <v>0</v>
      </c>
      <c r="DL8" s="3069">
        <v>0</v>
      </c>
      <c r="DM8" s="3069">
        <v>20</v>
      </c>
      <c r="DN8" s="3435">
        <v>400</v>
      </c>
      <c r="DO8" s="3510">
        <v>17</v>
      </c>
      <c r="DP8" s="3678">
        <v>0</v>
      </c>
      <c r="DQ8" s="3710">
        <v>126</v>
      </c>
      <c r="DR8" s="3773">
        <v>88</v>
      </c>
      <c r="DS8" s="3838">
        <v>0</v>
      </c>
      <c r="DT8" s="3838">
        <v>17</v>
      </c>
      <c r="DU8" s="4035">
        <v>0</v>
      </c>
      <c r="DV8" s="3678">
        <v>0</v>
      </c>
      <c r="DW8" s="3678">
        <v>0</v>
      </c>
      <c r="DX8" s="759"/>
      <c r="DY8" s="1962">
        <v>422</v>
      </c>
      <c r="DZ8" s="1966">
        <v>0</v>
      </c>
      <c r="EA8" s="1966">
        <v>0</v>
      </c>
      <c r="EB8" s="1966">
        <v>0</v>
      </c>
      <c r="EC8" s="1966">
        <v>0</v>
      </c>
      <c r="ED8" s="896">
        <v>0</v>
      </c>
      <c r="EE8" s="896">
        <v>0</v>
      </c>
      <c r="EF8" s="896">
        <v>0</v>
      </c>
      <c r="EG8" s="1966">
        <v>0</v>
      </c>
      <c r="EH8" s="1966">
        <v>0</v>
      </c>
      <c r="EI8" s="1966">
        <v>0</v>
      </c>
      <c r="EJ8" s="1966">
        <v>91</v>
      </c>
      <c r="EK8" s="1966">
        <v>15</v>
      </c>
      <c r="EL8" s="1966">
        <v>0</v>
      </c>
      <c r="EM8" s="1966">
        <v>0</v>
      </c>
      <c r="EN8" s="1966">
        <v>0</v>
      </c>
      <c r="EO8" s="1966">
        <v>0</v>
      </c>
      <c r="EP8" s="1966">
        <v>0</v>
      </c>
      <c r="EQ8" s="896">
        <v>0</v>
      </c>
      <c r="ER8" s="1966">
        <v>0</v>
      </c>
      <c r="ES8" s="1966">
        <v>0</v>
      </c>
      <c r="ET8" s="1966">
        <v>0</v>
      </c>
      <c r="EU8" s="1966">
        <v>0</v>
      </c>
      <c r="EV8" s="1966">
        <v>52</v>
      </c>
      <c r="EW8" s="1966">
        <v>0</v>
      </c>
      <c r="EX8" s="1966">
        <v>22</v>
      </c>
      <c r="EY8" s="1966">
        <v>0</v>
      </c>
      <c r="EZ8" s="1966">
        <v>8</v>
      </c>
      <c r="FA8" s="1966">
        <v>0</v>
      </c>
      <c r="FB8" s="1966">
        <v>0</v>
      </c>
      <c r="FC8" s="1966">
        <v>200</v>
      </c>
      <c r="FD8" s="1966">
        <v>0</v>
      </c>
      <c r="FE8" s="1966">
        <v>0</v>
      </c>
      <c r="FF8" s="1973">
        <v>0</v>
      </c>
      <c r="FG8" s="1973">
        <v>0</v>
      </c>
      <c r="FH8" s="1973">
        <v>0</v>
      </c>
      <c r="FI8" s="1973">
        <v>0</v>
      </c>
      <c r="FJ8" s="1973">
        <v>11</v>
      </c>
      <c r="FK8" s="1973">
        <v>0</v>
      </c>
      <c r="FL8" s="1973">
        <v>162</v>
      </c>
      <c r="FM8" s="1973">
        <v>0</v>
      </c>
      <c r="FN8" s="1973">
        <v>365</v>
      </c>
      <c r="FO8" s="1973">
        <v>0</v>
      </c>
      <c r="FP8" s="1683">
        <v>0</v>
      </c>
      <c r="FQ8" s="1973">
        <v>9</v>
      </c>
      <c r="FR8" s="1973">
        <v>0</v>
      </c>
      <c r="FS8" s="1973">
        <v>70</v>
      </c>
      <c r="FT8" s="1973">
        <v>0</v>
      </c>
      <c r="FU8" s="1989">
        <v>0</v>
      </c>
      <c r="FV8" s="2162">
        <v>35</v>
      </c>
      <c r="FW8" s="2162">
        <v>0</v>
      </c>
      <c r="FX8" s="3681">
        <v>218</v>
      </c>
      <c r="FY8" s="3681">
        <v>0</v>
      </c>
      <c r="FZ8" s="3754">
        <v>0</v>
      </c>
      <c r="GA8" s="4417">
        <v>0</v>
      </c>
      <c r="GB8" s="4894">
        <v>0</v>
      </c>
      <c r="GC8" s="4980">
        <v>0</v>
      </c>
      <c r="GD8" s="928"/>
      <c r="GE8" s="910">
        <v>4256</v>
      </c>
      <c r="GF8" s="932">
        <v>1680</v>
      </c>
      <c r="GG8" s="919">
        <v>5936</v>
      </c>
      <c r="GH8" s="920">
        <v>2210</v>
      </c>
      <c r="GI8" s="649">
        <v>422</v>
      </c>
      <c r="GJ8" s="649">
        <v>1688</v>
      </c>
      <c r="GK8" s="650">
        <v>0</v>
      </c>
      <c r="GL8" s="650">
        <v>1281</v>
      </c>
      <c r="GM8" s="650">
        <v>200</v>
      </c>
      <c r="GN8" s="650">
        <v>73</v>
      </c>
      <c r="GO8" s="650">
        <v>0</v>
      </c>
      <c r="GP8" s="650">
        <v>0</v>
      </c>
      <c r="GQ8" s="650">
        <v>62</v>
      </c>
      <c r="GR8" s="4637">
        <v>0</v>
      </c>
      <c r="GS8" s="13">
        <v>0</v>
      </c>
      <c r="GT8" s="4638">
        <v>97.49</v>
      </c>
      <c r="GU8" s="13"/>
      <c r="HD8" s="139"/>
      <c r="HE8" s="139"/>
      <c r="IV8" s="139"/>
      <c r="IW8" s="139"/>
    </row>
    <row r="9" spans="1:273" ht="22.5" customHeight="1" thickBot="1">
      <c r="A9" s="609">
        <v>0.20833333333333401</v>
      </c>
      <c r="B9" s="1927">
        <v>0</v>
      </c>
      <c r="C9" s="1928">
        <v>0</v>
      </c>
      <c r="D9" s="1928">
        <v>171</v>
      </c>
      <c r="E9" s="1928">
        <v>0</v>
      </c>
      <c r="F9" s="1936">
        <v>0</v>
      </c>
      <c r="G9" s="1936">
        <v>0</v>
      </c>
      <c r="H9" s="1928">
        <v>0</v>
      </c>
      <c r="I9" s="1928">
        <v>0</v>
      </c>
      <c r="J9" s="1928">
        <v>220</v>
      </c>
      <c r="K9" s="758"/>
      <c r="L9" s="758">
        <v>0</v>
      </c>
      <c r="M9" s="1928">
        <v>180</v>
      </c>
      <c r="N9" s="1928">
        <v>0</v>
      </c>
      <c r="O9" s="1928">
        <v>0</v>
      </c>
      <c r="P9" s="1928">
        <v>0</v>
      </c>
      <c r="Q9" s="1928">
        <v>0</v>
      </c>
      <c r="R9" s="1928">
        <v>0</v>
      </c>
      <c r="S9" s="758">
        <v>0</v>
      </c>
      <c r="T9" s="758">
        <v>0</v>
      </c>
      <c r="U9" s="1928">
        <v>0</v>
      </c>
      <c r="V9" s="1936">
        <v>24</v>
      </c>
      <c r="W9" s="1928">
        <v>0</v>
      </c>
      <c r="X9" s="1928">
        <v>0</v>
      </c>
      <c r="Y9" s="1928">
        <v>0</v>
      </c>
      <c r="Z9" s="758">
        <v>0</v>
      </c>
      <c r="AA9" s="1928">
        <v>0</v>
      </c>
      <c r="AB9" s="1928">
        <v>35</v>
      </c>
      <c r="AC9" s="1928">
        <v>55</v>
      </c>
      <c r="AD9" s="1928">
        <v>35</v>
      </c>
      <c r="AE9" s="1928">
        <v>19</v>
      </c>
      <c r="AF9" s="1928">
        <v>25</v>
      </c>
      <c r="AG9" s="1928">
        <v>9</v>
      </c>
      <c r="AH9" s="1928">
        <v>16</v>
      </c>
      <c r="AI9" s="1928">
        <v>33</v>
      </c>
      <c r="AJ9" s="1928">
        <v>0</v>
      </c>
      <c r="AK9" s="758">
        <v>0</v>
      </c>
      <c r="AL9" s="758">
        <v>41</v>
      </c>
      <c r="AM9" s="1928">
        <v>40</v>
      </c>
      <c r="AN9" s="1928">
        <v>0</v>
      </c>
      <c r="AO9" s="1928">
        <v>0</v>
      </c>
      <c r="AP9" s="1928">
        <v>0</v>
      </c>
      <c r="AQ9" s="1928">
        <v>0</v>
      </c>
      <c r="AR9" s="758">
        <v>0</v>
      </c>
      <c r="AS9" s="1928">
        <v>0</v>
      </c>
      <c r="AT9" s="758">
        <v>0</v>
      </c>
      <c r="AU9" s="758"/>
      <c r="AV9" s="1928">
        <v>22</v>
      </c>
      <c r="AW9" s="1928">
        <v>0</v>
      </c>
      <c r="AX9" s="1928">
        <v>0</v>
      </c>
      <c r="AY9" s="1928">
        <v>0</v>
      </c>
      <c r="AZ9" s="1928">
        <v>12</v>
      </c>
      <c r="BA9" s="1928">
        <v>40</v>
      </c>
      <c r="BB9" s="1928">
        <v>21</v>
      </c>
      <c r="BC9" s="1928">
        <v>35</v>
      </c>
      <c r="BD9" s="1928">
        <v>0</v>
      </c>
      <c r="BE9" s="758">
        <v>0</v>
      </c>
      <c r="BF9" s="758">
        <v>80</v>
      </c>
      <c r="BG9" s="1928">
        <v>160</v>
      </c>
      <c r="BH9" s="1928">
        <v>280</v>
      </c>
      <c r="BI9" s="1928">
        <v>121</v>
      </c>
      <c r="BJ9" s="1928">
        <v>8</v>
      </c>
      <c r="BK9" s="1928">
        <v>133</v>
      </c>
      <c r="BL9" s="758">
        <v>3</v>
      </c>
      <c r="BM9" s="1928">
        <v>5</v>
      </c>
      <c r="BN9" s="758">
        <v>0</v>
      </c>
      <c r="BO9" s="1936">
        <v>51</v>
      </c>
      <c r="BP9" s="759">
        <v>0</v>
      </c>
      <c r="BQ9" s="1936">
        <v>0</v>
      </c>
      <c r="BR9" s="1928">
        <v>0</v>
      </c>
      <c r="BS9" s="1936">
        <v>21</v>
      </c>
      <c r="BT9" s="1936">
        <v>11</v>
      </c>
      <c r="BU9" s="1936">
        <v>33</v>
      </c>
      <c r="BV9" s="1936">
        <v>9</v>
      </c>
      <c r="BW9" s="1947">
        <v>60</v>
      </c>
      <c r="BX9" s="1936">
        <v>52</v>
      </c>
      <c r="BY9" s="1936">
        <v>0</v>
      </c>
      <c r="BZ9" s="1936">
        <v>22</v>
      </c>
      <c r="CA9" s="1957">
        <v>0</v>
      </c>
      <c r="CB9" s="1936">
        <v>42</v>
      </c>
      <c r="CC9" s="1936">
        <v>0</v>
      </c>
      <c r="CD9" s="1936">
        <v>48</v>
      </c>
      <c r="CE9" s="4198">
        <v>0</v>
      </c>
      <c r="CF9" s="1936">
        <v>130</v>
      </c>
      <c r="CG9" s="1936">
        <v>0</v>
      </c>
      <c r="CH9" s="1936">
        <v>70</v>
      </c>
      <c r="CI9" s="1936">
        <v>81</v>
      </c>
      <c r="CJ9" s="1936">
        <v>0</v>
      </c>
      <c r="CK9" s="1936">
        <v>190</v>
      </c>
      <c r="CL9" s="1936">
        <v>18</v>
      </c>
      <c r="CM9" s="1936">
        <v>0</v>
      </c>
      <c r="CN9" s="1936">
        <v>10</v>
      </c>
      <c r="CO9" s="1936">
        <v>295</v>
      </c>
      <c r="CP9" s="1936">
        <v>21</v>
      </c>
      <c r="CQ9" s="1936">
        <v>8</v>
      </c>
      <c r="CR9" s="759">
        <v>0</v>
      </c>
      <c r="CS9" s="1936">
        <v>45</v>
      </c>
      <c r="CT9" s="1936">
        <v>0</v>
      </c>
      <c r="CU9" s="759">
        <v>0</v>
      </c>
      <c r="CV9" s="1936">
        <v>140</v>
      </c>
      <c r="CW9" s="759">
        <v>0</v>
      </c>
      <c r="CX9" s="1936">
        <v>0</v>
      </c>
      <c r="CY9" s="1953">
        <v>0</v>
      </c>
      <c r="CZ9" s="1936">
        <v>76</v>
      </c>
      <c r="DA9" s="1936">
        <v>0</v>
      </c>
      <c r="DB9" s="1936">
        <v>145</v>
      </c>
      <c r="DC9" s="1936">
        <v>0</v>
      </c>
      <c r="DD9" s="1936">
        <v>0</v>
      </c>
      <c r="DE9" s="1936">
        <v>50</v>
      </c>
      <c r="DF9" s="1936">
        <v>0</v>
      </c>
      <c r="DG9" s="1936">
        <v>0</v>
      </c>
      <c r="DH9" s="1936">
        <v>0</v>
      </c>
      <c r="DI9" s="2054">
        <v>54</v>
      </c>
      <c r="DJ9" s="2067">
        <v>51</v>
      </c>
      <c r="DK9" s="2937">
        <v>0</v>
      </c>
      <c r="DL9" s="3069">
        <v>0</v>
      </c>
      <c r="DM9" s="3069">
        <v>20</v>
      </c>
      <c r="DN9" s="3435">
        <v>360</v>
      </c>
      <c r="DO9" s="3510">
        <v>17</v>
      </c>
      <c r="DP9" s="3678">
        <v>0</v>
      </c>
      <c r="DQ9" s="3710">
        <v>126</v>
      </c>
      <c r="DR9" s="3773">
        <v>88</v>
      </c>
      <c r="DS9" s="3838">
        <v>0</v>
      </c>
      <c r="DT9" s="3838">
        <v>17</v>
      </c>
      <c r="DU9" s="4035">
        <v>0</v>
      </c>
      <c r="DV9" s="3678">
        <v>0</v>
      </c>
      <c r="DW9" s="3678">
        <v>0</v>
      </c>
      <c r="DX9" s="759"/>
      <c r="DY9" s="1962">
        <v>421</v>
      </c>
      <c r="DZ9" s="1966">
        <v>0</v>
      </c>
      <c r="EA9" s="1966">
        <v>0</v>
      </c>
      <c r="EB9" s="1966">
        <v>0</v>
      </c>
      <c r="EC9" s="1966">
        <v>0</v>
      </c>
      <c r="ED9" s="896">
        <v>0</v>
      </c>
      <c r="EE9" s="896">
        <v>0</v>
      </c>
      <c r="EF9" s="896">
        <v>0</v>
      </c>
      <c r="EG9" s="1966">
        <v>0</v>
      </c>
      <c r="EH9" s="1966">
        <v>0</v>
      </c>
      <c r="EI9" s="1966">
        <v>0</v>
      </c>
      <c r="EJ9" s="1966">
        <v>91</v>
      </c>
      <c r="EK9" s="1966">
        <v>15</v>
      </c>
      <c r="EL9" s="1966">
        <v>0</v>
      </c>
      <c r="EM9" s="1966">
        <v>0</v>
      </c>
      <c r="EN9" s="1966">
        <v>0</v>
      </c>
      <c r="EO9" s="1966">
        <v>0</v>
      </c>
      <c r="EP9" s="1966">
        <v>0</v>
      </c>
      <c r="EQ9" s="896">
        <v>0</v>
      </c>
      <c r="ER9" s="1966">
        <v>0</v>
      </c>
      <c r="ES9" s="1966">
        <v>0</v>
      </c>
      <c r="ET9" s="1966">
        <v>0</v>
      </c>
      <c r="EU9" s="1966">
        <v>0</v>
      </c>
      <c r="EV9" s="1966">
        <v>52</v>
      </c>
      <c r="EW9" s="1966">
        <v>0</v>
      </c>
      <c r="EX9" s="1966">
        <v>22</v>
      </c>
      <c r="EY9" s="1966">
        <v>0</v>
      </c>
      <c r="EZ9" s="1966">
        <v>8</v>
      </c>
      <c r="FA9" s="1966">
        <v>0</v>
      </c>
      <c r="FB9" s="1966">
        <v>0</v>
      </c>
      <c r="FC9" s="1966">
        <v>200</v>
      </c>
      <c r="FD9" s="1966">
        <v>0</v>
      </c>
      <c r="FE9" s="1966">
        <v>0</v>
      </c>
      <c r="FF9" s="1973">
        <v>0</v>
      </c>
      <c r="FG9" s="1973">
        <v>0</v>
      </c>
      <c r="FH9" s="1973">
        <v>0</v>
      </c>
      <c r="FI9" s="1973">
        <v>0</v>
      </c>
      <c r="FJ9" s="1973">
        <v>11</v>
      </c>
      <c r="FK9" s="1973">
        <v>0</v>
      </c>
      <c r="FL9" s="1973">
        <v>160</v>
      </c>
      <c r="FM9" s="1973">
        <v>0</v>
      </c>
      <c r="FN9" s="1973">
        <v>364</v>
      </c>
      <c r="FO9" s="1973">
        <v>0</v>
      </c>
      <c r="FP9" s="1683">
        <v>0</v>
      </c>
      <c r="FQ9" s="1973">
        <v>35</v>
      </c>
      <c r="FR9" s="1973">
        <v>0</v>
      </c>
      <c r="FS9" s="1973">
        <v>70</v>
      </c>
      <c r="FT9" s="1973">
        <v>0</v>
      </c>
      <c r="FU9" s="1989">
        <v>0</v>
      </c>
      <c r="FV9" s="2162">
        <v>35</v>
      </c>
      <c r="FW9" s="2162">
        <v>0</v>
      </c>
      <c r="FX9" s="3681">
        <v>180</v>
      </c>
      <c r="FY9" s="3681">
        <v>0</v>
      </c>
      <c r="FZ9" s="3754">
        <v>0</v>
      </c>
      <c r="GA9" s="4417">
        <v>0</v>
      </c>
      <c r="GB9" s="4894">
        <v>0</v>
      </c>
      <c r="GC9" s="4980">
        <v>0</v>
      </c>
      <c r="GD9" s="928"/>
      <c r="GE9" s="910">
        <v>4184</v>
      </c>
      <c r="GF9" s="932">
        <v>1664</v>
      </c>
      <c r="GG9" s="919">
        <v>5848</v>
      </c>
      <c r="GH9" s="920">
        <v>2187</v>
      </c>
      <c r="GI9" s="649">
        <v>421</v>
      </c>
      <c r="GJ9" s="649">
        <v>1655</v>
      </c>
      <c r="GK9" s="650">
        <v>0</v>
      </c>
      <c r="GL9" s="650">
        <v>1244</v>
      </c>
      <c r="GM9" s="650">
        <v>200</v>
      </c>
      <c r="GN9" s="650">
        <v>81</v>
      </c>
      <c r="GO9" s="650">
        <v>0</v>
      </c>
      <c r="GP9" s="650">
        <v>0</v>
      </c>
      <c r="GQ9" s="650">
        <v>60</v>
      </c>
      <c r="GR9" s="4637">
        <v>0</v>
      </c>
      <c r="GS9" s="13">
        <v>0</v>
      </c>
      <c r="GT9" s="4638">
        <v>97.48</v>
      </c>
      <c r="GU9" s="13"/>
      <c r="HD9" s="139"/>
      <c r="HE9" s="139"/>
      <c r="IV9" s="139"/>
      <c r="IW9" s="139"/>
    </row>
    <row r="10" spans="1:273" ht="21.75" customHeight="1" thickBot="1">
      <c r="A10" s="609">
        <v>0.25</v>
      </c>
      <c r="B10" s="1927">
        <v>0</v>
      </c>
      <c r="C10" s="1928">
        <v>0</v>
      </c>
      <c r="D10" s="1928">
        <v>173</v>
      </c>
      <c r="E10" s="1928">
        <v>0</v>
      </c>
      <c r="F10" s="1936">
        <v>0</v>
      </c>
      <c r="G10" s="1936">
        <v>0</v>
      </c>
      <c r="H10" s="1928">
        <v>0</v>
      </c>
      <c r="I10" s="1928">
        <v>0</v>
      </c>
      <c r="J10" s="1928">
        <v>230</v>
      </c>
      <c r="K10" s="758"/>
      <c r="L10" s="758">
        <v>0</v>
      </c>
      <c r="M10" s="1928">
        <v>180</v>
      </c>
      <c r="N10" s="1928">
        <v>0</v>
      </c>
      <c r="O10" s="1928">
        <v>0</v>
      </c>
      <c r="P10" s="1928">
        <v>0</v>
      </c>
      <c r="Q10" s="1928">
        <v>0</v>
      </c>
      <c r="R10" s="1928">
        <v>0</v>
      </c>
      <c r="S10" s="758">
        <v>0</v>
      </c>
      <c r="T10" s="758">
        <v>0</v>
      </c>
      <c r="U10" s="1928">
        <v>0</v>
      </c>
      <c r="V10" s="1936">
        <v>24</v>
      </c>
      <c r="W10" s="1928">
        <v>0</v>
      </c>
      <c r="X10" s="1928">
        <v>0</v>
      </c>
      <c r="Y10" s="1928">
        <v>0</v>
      </c>
      <c r="Z10" s="758">
        <v>0</v>
      </c>
      <c r="AA10" s="1928">
        <v>0</v>
      </c>
      <c r="AB10" s="1928">
        <v>35</v>
      </c>
      <c r="AC10" s="1928">
        <v>55</v>
      </c>
      <c r="AD10" s="1928">
        <v>35</v>
      </c>
      <c r="AE10" s="1928">
        <v>19</v>
      </c>
      <c r="AF10" s="1928">
        <v>25</v>
      </c>
      <c r="AG10" s="1928">
        <v>0</v>
      </c>
      <c r="AH10" s="1928">
        <v>16</v>
      </c>
      <c r="AI10" s="1928">
        <v>33</v>
      </c>
      <c r="AJ10" s="1928">
        <v>0</v>
      </c>
      <c r="AK10" s="758">
        <v>0</v>
      </c>
      <c r="AL10" s="758">
        <v>46</v>
      </c>
      <c r="AM10" s="1928">
        <v>40</v>
      </c>
      <c r="AN10" s="1928">
        <v>0</v>
      </c>
      <c r="AO10" s="1928">
        <v>0</v>
      </c>
      <c r="AP10" s="1928">
        <v>0</v>
      </c>
      <c r="AQ10" s="1928">
        <v>0</v>
      </c>
      <c r="AR10" s="758">
        <v>0</v>
      </c>
      <c r="AS10" s="1928">
        <v>0</v>
      </c>
      <c r="AT10" s="758">
        <v>0</v>
      </c>
      <c r="AU10" s="758"/>
      <c r="AV10" s="1928">
        <v>22</v>
      </c>
      <c r="AW10" s="1928">
        <v>0</v>
      </c>
      <c r="AX10" s="1928">
        <v>0</v>
      </c>
      <c r="AY10" s="1928">
        <v>0</v>
      </c>
      <c r="AZ10" s="1928">
        <v>12</v>
      </c>
      <c r="BA10" s="1928">
        <v>10</v>
      </c>
      <c r="BB10" s="1928">
        <v>21</v>
      </c>
      <c r="BC10" s="1928">
        <v>3</v>
      </c>
      <c r="BD10" s="1928">
        <v>0</v>
      </c>
      <c r="BE10" s="758">
        <v>0</v>
      </c>
      <c r="BF10" s="758">
        <v>80</v>
      </c>
      <c r="BG10" s="1928">
        <v>160</v>
      </c>
      <c r="BH10" s="1928">
        <v>310</v>
      </c>
      <c r="BI10" s="1928">
        <v>119</v>
      </c>
      <c r="BJ10" s="1928">
        <v>8</v>
      </c>
      <c r="BK10" s="1928">
        <v>133</v>
      </c>
      <c r="BL10" s="758">
        <v>3</v>
      </c>
      <c r="BM10" s="1928">
        <v>5</v>
      </c>
      <c r="BN10" s="758">
        <v>0</v>
      </c>
      <c r="BO10" s="1936">
        <v>51</v>
      </c>
      <c r="BP10" s="759">
        <v>0</v>
      </c>
      <c r="BQ10" s="1936">
        <v>0</v>
      </c>
      <c r="BR10" s="1928">
        <v>0</v>
      </c>
      <c r="BS10" s="1936">
        <v>21</v>
      </c>
      <c r="BT10" s="1936">
        <v>11</v>
      </c>
      <c r="BU10" s="1936">
        <v>33</v>
      </c>
      <c r="BV10" s="1936">
        <v>9</v>
      </c>
      <c r="BW10" s="1947">
        <v>58</v>
      </c>
      <c r="BX10" s="1936">
        <v>52</v>
      </c>
      <c r="BY10" s="1936">
        <v>0</v>
      </c>
      <c r="BZ10" s="1936">
        <v>22</v>
      </c>
      <c r="CA10" s="1957">
        <v>0</v>
      </c>
      <c r="CB10" s="1936">
        <v>42</v>
      </c>
      <c r="CC10" s="1936">
        <v>0</v>
      </c>
      <c r="CD10" s="1936">
        <v>48</v>
      </c>
      <c r="CE10" s="4198">
        <v>0</v>
      </c>
      <c r="CF10" s="1936">
        <v>163</v>
      </c>
      <c r="CG10" s="1936">
        <v>0</v>
      </c>
      <c r="CH10" s="1936">
        <v>71</v>
      </c>
      <c r="CI10" s="1936">
        <v>81</v>
      </c>
      <c r="CJ10" s="1936">
        <v>0</v>
      </c>
      <c r="CK10" s="1936">
        <v>190</v>
      </c>
      <c r="CL10" s="1936">
        <v>18</v>
      </c>
      <c r="CM10" s="1936">
        <v>0</v>
      </c>
      <c r="CN10" s="1936">
        <v>10</v>
      </c>
      <c r="CO10" s="1936">
        <v>300</v>
      </c>
      <c r="CP10" s="1936">
        <v>21</v>
      </c>
      <c r="CQ10" s="1936">
        <v>8</v>
      </c>
      <c r="CR10" s="759">
        <v>0</v>
      </c>
      <c r="CS10" s="1936">
        <v>45</v>
      </c>
      <c r="CT10" s="1936">
        <v>0</v>
      </c>
      <c r="CU10" s="759">
        <v>0</v>
      </c>
      <c r="CV10" s="1936">
        <v>140</v>
      </c>
      <c r="CW10" s="759">
        <v>0</v>
      </c>
      <c r="CX10" s="1936">
        <v>0</v>
      </c>
      <c r="CY10" s="1953">
        <v>0</v>
      </c>
      <c r="CZ10" s="1936">
        <v>76</v>
      </c>
      <c r="DA10" s="1936">
        <v>0</v>
      </c>
      <c r="DB10" s="1936">
        <v>147</v>
      </c>
      <c r="DC10" s="1936">
        <v>0</v>
      </c>
      <c r="DD10" s="1936">
        <v>0</v>
      </c>
      <c r="DE10" s="1936">
        <v>50</v>
      </c>
      <c r="DF10" s="1936">
        <v>0</v>
      </c>
      <c r="DG10" s="1936">
        <v>0</v>
      </c>
      <c r="DH10" s="1936">
        <v>0</v>
      </c>
      <c r="DI10" s="2054">
        <v>54</v>
      </c>
      <c r="DJ10" s="2067">
        <v>51</v>
      </c>
      <c r="DK10" s="2937">
        <v>0</v>
      </c>
      <c r="DL10" s="3069">
        <v>0</v>
      </c>
      <c r="DM10" s="3069">
        <v>20</v>
      </c>
      <c r="DN10" s="3435">
        <v>400</v>
      </c>
      <c r="DO10" s="3510">
        <v>17</v>
      </c>
      <c r="DP10" s="3678">
        <v>0</v>
      </c>
      <c r="DQ10" s="3710">
        <v>126</v>
      </c>
      <c r="DR10" s="3773">
        <v>88</v>
      </c>
      <c r="DS10" s="3838">
        <v>0</v>
      </c>
      <c r="DT10" s="3838">
        <v>17</v>
      </c>
      <c r="DU10" s="4035">
        <v>0</v>
      </c>
      <c r="DV10" s="3678">
        <v>0</v>
      </c>
      <c r="DW10" s="3678">
        <v>0</v>
      </c>
      <c r="DX10" s="759"/>
      <c r="DY10" s="1962">
        <v>421</v>
      </c>
      <c r="DZ10" s="1966">
        <v>0</v>
      </c>
      <c r="EA10" s="1966">
        <v>0</v>
      </c>
      <c r="EB10" s="1966">
        <v>0</v>
      </c>
      <c r="EC10" s="1966">
        <v>0</v>
      </c>
      <c r="ED10" s="896">
        <v>0</v>
      </c>
      <c r="EE10" s="896">
        <v>0</v>
      </c>
      <c r="EF10" s="896">
        <v>0</v>
      </c>
      <c r="EG10" s="1966">
        <v>0</v>
      </c>
      <c r="EH10" s="1966">
        <v>0</v>
      </c>
      <c r="EI10" s="1966">
        <v>0</v>
      </c>
      <c r="EJ10" s="1966">
        <v>91</v>
      </c>
      <c r="EK10" s="1966">
        <v>17</v>
      </c>
      <c r="EL10" s="1966">
        <v>0</v>
      </c>
      <c r="EM10" s="1966">
        <v>0</v>
      </c>
      <c r="EN10" s="1966">
        <v>0</v>
      </c>
      <c r="EO10" s="1966">
        <v>0</v>
      </c>
      <c r="EP10" s="1966">
        <v>0</v>
      </c>
      <c r="EQ10" s="896">
        <v>0</v>
      </c>
      <c r="ER10" s="1966">
        <v>0</v>
      </c>
      <c r="ES10" s="1966">
        <v>0</v>
      </c>
      <c r="ET10" s="1966">
        <v>0</v>
      </c>
      <c r="EU10" s="1966">
        <v>0</v>
      </c>
      <c r="EV10" s="1966">
        <v>52</v>
      </c>
      <c r="EW10" s="1966">
        <v>0</v>
      </c>
      <c r="EX10" s="1966">
        <v>22</v>
      </c>
      <c r="EY10" s="1966">
        <v>0</v>
      </c>
      <c r="EZ10" s="1966">
        <v>8</v>
      </c>
      <c r="FA10" s="1966">
        <v>0</v>
      </c>
      <c r="FB10" s="1966">
        <v>0</v>
      </c>
      <c r="FC10" s="1966">
        <v>200</v>
      </c>
      <c r="FD10" s="1966">
        <v>0</v>
      </c>
      <c r="FE10" s="1966">
        <v>0</v>
      </c>
      <c r="FF10" s="1973">
        <v>0</v>
      </c>
      <c r="FG10" s="1973">
        <v>0</v>
      </c>
      <c r="FH10" s="1973">
        <v>0</v>
      </c>
      <c r="FI10" s="1973">
        <v>0</v>
      </c>
      <c r="FJ10" s="1973">
        <v>11</v>
      </c>
      <c r="FK10" s="1973">
        <v>0</v>
      </c>
      <c r="FL10" s="1973">
        <v>166</v>
      </c>
      <c r="FM10" s="1973">
        <v>0</v>
      </c>
      <c r="FN10" s="1973">
        <v>392</v>
      </c>
      <c r="FO10" s="1973">
        <v>0</v>
      </c>
      <c r="FP10" s="1683">
        <v>0</v>
      </c>
      <c r="FQ10" s="1973">
        <v>35</v>
      </c>
      <c r="FR10" s="1973">
        <v>0</v>
      </c>
      <c r="FS10" s="1973">
        <v>70</v>
      </c>
      <c r="FT10" s="1973">
        <v>0</v>
      </c>
      <c r="FU10" s="1989">
        <v>0</v>
      </c>
      <c r="FV10" s="2162">
        <v>35</v>
      </c>
      <c r="FW10" s="2162">
        <v>0</v>
      </c>
      <c r="FX10" s="3681">
        <v>220</v>
      </c>
      <c r="FY10" s="3681">
        <v>0</v>
      </c>
      <c r="FZ10" s="3754">
        <v>0</v>
      </c>
      <c r="GA10" s="4417">
        <v>0</v>
      </c>
      <c r="GB10" s="4894">
        <v>0</v>
      </c>
      <c r="GC10" s="4980">
        <v>0</v>
      </c>
      <c r="GD10" s="928"/>
      <c r="GE10" s="910">
        <v>4237</v>
      </c>
      <c r="GF10" s="932">
        <v>1740</v>
      </c>
      <c r="GG10" s="919">
        <v>5977</v>
      </c>
      <c r="GH10" s="920">
        <v>2255</v>
      </c>
      <c r="GI10" s="649">
        <v>421</v>
      </c>
      <c r="GJ10" s="649">
        <v>1741</v>
      </c>
      <c r="GK10" s="650">
        <v>0</v>
      </c>
      <c r="GL10" s="650">
        <v>1216</v>
      </c>
      <c r="GM10" s="650">
        <v>200</v>
      </c>
      <c r="GN10" s="650">
        <v>86</v>
      </c>
      <c r="GO10" s="650">
        <v>0</v>
      </c>
      <c r="GP10" s="650">
        <v>0</v>
      </c>
      <c r="GQ10" s="650">
        <v>58</v>
      </c>
      <c r="GR10" s="4637">
        <v>0</v>
      </c>
      <c r="GS10" s="13">
        <v>0</v>
      </c>
      <c r="GT10" s="4638">
        <v>97.48</v>
      </c>
      <c r="GU10" s="13"/>
      <c r="HD10" s="139"/>
      <c r="HE10" s="139"/>
      <c r="HX10" s="139"/>
      <c r="HY10" s="139"/>
      <c r="IV10" s="139"/>
      <c r="IW10" s="139"/>
    </row>
    <row r="11" spans="1:273" ht="20.25" customHeight="1" thickBot="1">
      <c r="A11" s="609">
        <v>0.29166666666666669</v>
      </c>
      <c r="B11" s="1927">
        <v>0</v>
      </c>
      <c r="C11" s="1928">
        <v>0</v>
      </c>
      <c r="D11" s="1928">
        <v>175</v>
      </c>
      <c r="E11" s="1928">
        <v>0</v>
      </c>
      <c r="F11" s="1936">
        <v>0</v>
      </c>
      <c r="G11" s="1936">
        <v>0</v>
      </c>
      <c r="H11" s="1928">
        <v>0</v>
      </c>
      <c r="I11" s="1928">
        <v>0</v>
      </c>
      <c r="J11" s="1928">
        <v>230</v>
      </c>
      <c r="K11" s="758"/>
      <c r="L11" s="758">
        <v>0</v>
      </c>
      <c r="M11" s="1928">
        <v>180</v>
      </c>
      <c r="N11" s="1928">
        <v>0</v>
      </c>
      <c r="O11" s="1928">
        <v>0</v>
      </c>
      <c r="P11" s="1928">
        <v>0</v>
      </c>
      <c r="Q11" s="1928">
        <v>0</v>
      </c>
      <c r="R11" s="1928">
        <v>0</v>
      </c>
      <c r="S11" s="758">
        <v>0</v>
      </c>
      <c r="T11" s="758">
        <v>0</v>
      </c>
      <c r="U11" s="1928">
        <v>0</v>
      </c>
      <c r="V11" s="1936">
        <v>24</v>
      </c>
      <c r="W11" s="1928">
        <v>0</v>
      </c>
      <c r="X11" s="1928">
        <v>0</v>
      </c>
      <c r="Y11" s="1928">
        <v>0</v>
      </c>
      <c r="Z11" s="758">
        <v>0</v>
      </c>
      <c r="AA11" s="1928">
        <v>0</v>
      </c>
      <c r="AB11" s="1928">
        <v>35</v>
      </c>
      <c r="AC11" s="1928">
        <v>35</v>
      </c>
      <c r="AD11" s="1928">
        <v>35</v>
      </c>
      <c r="AE11" s="1928">
        <v>19</v>
      </c>
      <c r="AF11" s="1928">
        <v>25</v>
      </c>
      <c r="AG11" s="1928">
        <v>9</v>
      </c>
      <c r="AH11" s="1928">
        <v>16</v>
      </c>
      <c r="AI11" s="1928">
        <v>33</v>
      </c>
      <c r="AJ11" s="1928">
        <v>0</v>
      </c>
      <c r="AK11" s="758">
        <v>0</v>
      </c>
      <c r="AL11" s="758">
        <v>0</v>
      </c>
      <c r="AM11" s="1928">
        <v>40</v>
      </c>
      <c r="AN11" s="1928">
        <v>0</v>
      </c>
      <c r="AO11" s="1928">
        <v>0</v>
      </c>
      <c r="AP11" s="1928">
        <v>0</v>
      </c>
      <c r="AQ11" s="1928">
        <v>0</v>
      </c>
      <c r="AR11" s="758">
        <v>0</v>
      </c>
      <c r="AS11" s="1928">
        <v>0</v>
      </c>
      <c r="AT11" s="758">
        <v>0</v>
      </c>
      <c r="AU11" s="758"/>
      <c r="AV11" s="1928">
        <v>22</v>
      </c>
      <c r="AW11" s="1928">
        <v>0</v>
      </c>
      <c r="AX11" s="1928">
        <v>0</v>
      </c>
      <c r="AY11" s="1928">
        <v>0</v>
      </c>
      <c r="AZ11" s="1928">
        <v>12</v>
      </c>
      <c r="BA11" s="1928">
        <v>8</v>
      </c>
      <c r="BB11" s="1928">
        <v>21</v>
      </c>
      <c r="BC11" s="1928">
        <v>0</v>
      </c>
      <c r="BD11" s="1928">
        <v>0</v>
      </c>
      <c r="BE11" s="758">
        <v>0</v>
      </c>
      <c r="BF11" s="758">
        <v>80</v>
      </c>
      <c r="BG11" s="1928">
        <v>180</v>
      </c>
      <c r="BH11" s="1928">
        <v>260</v>
      </c>
      <c r="BI11" s="1928">
        <v>110</v>
      </c>
      <c r="BJ11" s="1928">
        <v>8</v>
      </c>
      <c r="BK11" s="1928">
        <v>132</v>
      </c>
      <c r="BL11" s="758">
        <v>3</v>
      </c>
      <c r="BM11" s="1928">
        <v>5</v>
      </c>
      <c r="BN11" s="758">
        <v>0</v>
      </c>
      <c r="BO11" s="1936">
        <v>51</v>
      </c>
      <c r="BP11" s="759">
        <v>0</v>
      </c>
      <c r="BQ11" s="1936">
        <v>0</v>
      </c>
      <c r="BR11" s="1928">
        <v>0</v>
      </c>
      <c r="BS11" s="1936">
        <v>21</v>
      </c>
      <c r="BT11" s="1936">
        <v>11</v>
      </c>
      <c r="BU11" s="1936">
        <v>33</v>
      </c>
      <c r="BV11" s="1936">
        <v>9</v>
      </c>
      <c r="BW11" s="1947">
        <v>54</v>
      </c>
      <c r="BX11" s="1936">
        <v>52</v>
      </c>
      <c r="BY11" s="1936">
        <v>0</v>
      </c>
      <c r="BZ11" s="1936">
        <v>20</v>
      </c>
      <c r="CA11" s="1957">
        <v>0</v>
      </c>
      <c r="CB11" s="1936">
        <v>42</v>
      </c>
      <c r="CC11" s="1936">
        <v>0</v>
      </c>
      <c r="CD11" s="1936">
        <v>48</v>
      </c>
      <c r="CE11" s="4198">
        <v>0</v>
      </c>
      <c r="CF11" s="1936">
        <v>163</v>
      </c>
      <c r="CG11" s="1936">
        <v>0</v>
      </c>
      <c r="CH11" s="1936">
        <v>70</v>
      </c>
      <c r="CI11" s="1936">
        <v>78</v>
      </c>
      <c r="CJ11" s="1936">
        <v>0</v>
      </c>
      <c r="CK11" s="1936">
        <v>190</v>
      </c>
      <c r="CL11" s="1936">
        <v>18</v>
      </c>
      <c r="CM11" s="1936">
        <v>0</v>
      </c>
      <c r="CN11" s="1936">
        <v>10</v>
      </c>
      <c r="CO11" s="1936">
        <v>310</v>
      </c>
      <c r="CP11" s="1936">
        <v>21</v>
      </c>
      <c r="CQ11" s="1936">
        <v>8</v>
      </c>
      <c r="CR11" s="759">
        <v>0</v>
      </c>
      <c r="CS11" s="1936">
        <v>45</v>
      </c>
      <c r="CT11" s="1936">
        <v>0</v>
      </c>
      <c r="CU11" s="759">
        <v>0</v>
      </c>
      <c r="CV11" s="1936">
        <v>160</v>
      </c>
      <c r="CW11" s="759">
        <v>0</v>
      </c>
      <c r="CX11" s="1936">
        <v>0</v>
      </c>
      <c r="CY11" s="1953">
        <v>1</v>
      </c>
      <c r="CZ11" s="1936">
        <v>90</v>
      </c>
      <c r="DA11" s="1936">
        <v>0</v>
      </c>
      <c r="DB11" s="1936">
        <v>147</v>
      </c>
      <c r="DC11" s="1936">
        <v>0</v>
      </c>
      <c r="DD11" s="1936">
        <v>0</v>
      </c>
      <c r="DE11" s="1936">
        <v>50</v>
      </c>
      <c r="DF11" s="1936">
        <v>0</v>
      </c>
      <c r="DG11" s="1936">
        <v>0</v>
      </c>
      <c r="DH11" s="1936">
        <v>0</v>
      </c>
      <c r="DI11" s="2054">
        <v>54</v>
      </c>
      <c r="DJ11" s="2067">
        <v>51</v>
      </c>
      <c r="DK11" s="2937">
        <v>0</v>
      </c>
      <c r="DL11" s="3069">
        <v>0</v>
      </c>
      <c r="DM11" s="3069">
        <v>40</v>
      </c>
      <c r="DN11" s="3435">
        <v>400</v>
      </c>
      <c r="DO11" s="3510">
        <v>17</v>
      </c>
      <c r="DP11" s="3678">
        <v>1</v>
      </c>
      <c r="DQ11" s="3710">
        <v>126</v>
      </c>
      <c r="DR11" s="3773">
        <v>95</v>
      </c>
      <c r="DS11" s="3838">
        <v>0</v>
      </c>
      <c r="DT11" s="3838">
        <v>17</v>
      </c>
      <c r="DU11" s="4035">
        <v>1</v>
      </c>
      <c r="DV11" s="3678">
        <v>0</v>
      </c>
      <c r="DW11" s="3678">
        <v>0</v>
      </c>
      <c r="DX11" s="759"/>
      <c r="DY11" s="1962">
        <v>422</v>
      </c>
      <c r="DZ11" s="1966">
        <v>0</v>
      </c>
      <c r="EA11" s="1966">
        <v>0</v>
      </c>
      <c r="EB11" s="1966">
        <v>0</v>
      </c>
      <c r="EC11" s="1966">
        <v>0</v>
      </c>
      <c r="ED11" s="896">
        <v>0</v>
      </c>
      <c r="EE11" s="896">
        <v>0</v>
      </c>
      <c r="EF11" s="896">
        <v>0</v>
      </c>
      <c r="EG11" s="1966">
        <v>0</v>
      </c>
      <c r="EH11" s="1966">
        <v>0</v>
      </c>
      <c r="EI11" s="1966">
        <v>0</v>
      </c>
      <c r="EJ11" s="1966">
        <v>91</v>
      </c>
      <c r="EK11" s="1966">
        <v>15</v>
      </c>
      <c r="EL11" s="1966">
        <v>0</v>
      </c>
      <c r="EM11" s="1966">
        <v>0</v>
      </c>
      <c r="EN11" s="1966">
        <v>0</v>
      </c>
      <c r="EO11" s="1966">
        <v>0</v>
      </c>
      <c r="EP11" s="1966">
        <v>0</v>
      </c>
      <c r="EQ11" s="896">
        <v>0</v>
      </c>
      <c r="ER11" s="1966">
        <v>0</v>
      </c>
      <c r="ES11" s="1966">
        <v>0</v>
      </c>
      <c r="ET11" s="1966">
        <v>0</v>
      </c>
      <c r="EU11" s="1966">
        <v>0</v>
      </c>
      <c r="EV11" s="1966">
        <v>52</v>
      </c>
      <c r="EW11" s="1966">
        <v>0</v>
      </c>
      <c r="EX11" s="1966">
        <v>22</v>
      </c>
      <c r="EY11" s="1966">
        <v>0</v>
      </c>
      <c r="EZ11" s="1966">
        <v>8</v>
      </c>
      <c r="FA11" s="1966">
        <v>0</v>
      </c>
      <c r="FB11" s="1966">
        <v>0</v>
      </c>
      <c r="FC11" s="1966">
        <v>200</v>
      </c>
      <c r="FD11" s="1966">
        <v>0</v>
      </c>
      <c r="FE11" s="1966">
        <v>0</v>
      </c>
      <c r="FF11" s="1973">
        <v>0</v>
      </c>
      <c r="FG11" s="1973">
        <v>0</v>
      </c>
      <c r="FH11" s="1973">
        <v>0</v>
      </c>
      <c r="FI11" s="1973">
        <v>0</v>
      </c>
      <c r="FJ11" s="1973">
        <v>11</v>
      </c>
      <c r="FK11" s="1973">
        <v>0</v>
      </c>
      <c r="FL11" s="1973">
        <v>187</v>
      </c>
      <c r="FM11" s="1973">
        <v>0</v>
      </c>
      <c r="FN11" s="1973">
        <v>390</v>
      </c>
      <c r="FO11" s="1973">
        <v>0</v>
      </c>
      <c r="FP11" s="1683">
        <v>0</v>
      </c>
      <c r="FQ11" s="1973">
        <v>35</v>
      </c>
      <c r="FR11" s="1973">
        <v>0</v>
      </c>
      <c r="FS11" s="1973">
        <v>105</v>
      </c>
      <c r="FT11" s="1973">
        <v>0</v>
      </c>
      <c r="FU11" s="1989">
        <v>0</v>
      </c>
      <c r="FV11" s="2162">
        <v>35</v>
      </c>
      <c r="FW11" s="2162">
        <v>0</v>
      </c>
      <c r="FX11" s="3681">
        <v>220</v>
      </c>
      <c r="FY11" s="3681">
        <v>0</v>
      </c>
      <c r="FZ11" s="3754">
        <v>0</v>
      </c>
      <c r="GA11" s="4417">
        <v>0</v>
      </c>
      <c r="GB11" s="4894">
        <v>0</v>
      </c>
      <c r="GC11" s="4980">
        <v>0</v>
      </c>
      <c r="GD11" s="928"/>
      <c r="GE11" s="910">
        <v>4201</v>
      </c>
      <c r="GF11" s="932">
        <v>1793</v>
      </c>
      <c r="GG11" s="919">
        <v>5994</v>
      </c>
      <c r="GH11" s="920">
        <v>2244</v>
      </c>
      <c r="GI11" s="649">
        <v>422</v>
      </c>
      <c r="GJ11" s="649">
        <v>1741</v>
      </c>
      <c r="GK11" s="650">
        <v>0</v>
      </c>
      <c r="GL11" s="650">
        <v>1290</v>
      </c>
      <c r="GM11" s="650">
        <v>200</v>
      </c>
      <c r="GN11" s="650">
        <v>40</v>
      </c>
      <c r="GO11" s="650">
        <v>0</v>
      </c>
      <c r="GP11" s="650">
        <v>0</v>
      </c>
      <c r="GQ11" s="650">
        <v>54</v>
      </c>
      <c r="GR11" s="4637">
        <v>3</v>
      </c>
      <c r="GS11" s="13">
        <v>0</v>
      </c>
      <c r="GT11" s="4638">
        <v>97.47</v>
      </c>
      <c r="GU11" s="13"/>
      <c r="HD11" s="136"/>
      <c r="HE11" s="136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6"/>
      <c r="HY11" s="136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</row>
    <row r="12" spans="1:273" ht="20.25" customHeight="1" thickBot="1">
      <c r="A12" s="609">
        <v>0.33333333333333331</v>
      </c>
      <c r="B12" s="1927">
        <v>0</v>
      </c>
      <c r="C12" s="1928">
        <v>0</v>
      </c>
      <c r="D12" s="1928">
        <v>190</v>
      </c>
      <c r="E12" s="1928">
        <v>0</v>
      </c>
      <c r="F12" s="1936">
        <v>0</v>
      </c>
      <c r="G12" s="1936">
        <v>0</v>
      </c>
      <c r="H12" s="1928">
        <v>0</v>
      </c>
      <c r="I12" s="1928">
        <v>0</v>
      </c>
      <c r="J12" s="1928">
        <v>218</v>
      </c>
      <c r="K12" s="758"/>
      <c r="L12" s="758">
        <v>0</v>
      </c>
      <c r="M12" s="1928">
        <v>180</v>
      </c>
      <c r="N12" s="1928">
        <v>0</v>
      </c>
      <c r="O12" s="1928">
        <v>0</v>
      </c>
      <c r="P12" s="1928">
        <v>0</v>
      </c>
      <c r="Q12" s="1928">
        <v>0</v>
      </c>
      <c r="R12" s="1928">
        <v>0</v>
      </c>
      <c r="S12" s="758">
        <v>0</v>
      </c>
      <c r="T12" s="758">
        <v>0</v>
      </c>
      <c r="U12" s="1928">
        <v>0</v>
      </c>
      <c r="V12" s="1936">
        <v>64</v>
      </c>
      <c r="W12" s="1928">
        <v>0</v>
      </c>
      <c r="X12" s="1928">
        <v>0</v>
      </c>
      <c r="Y12" s="1928">
        <v>0</v>
      </c>
      <c r="Z12" s="758">
        <v>0</v>
      </c>
      <c r="AA12" s="1928">
        <v>0</v>
      </c>
      <c r="AB12" s="1928">
        <v>35</v>
      </c>
      <c r="AC12" s="1928">
        <v>35</v>
      </c>
      <c r="AD12" s="1928">
        <v>35</v>
      </c>
      <c r="AE12" s="1928">
        <v>19</v>
      </c>
      <c r="AF12" s="1928">
        <v>25</v>
      </c>
      <c r="AG12" s="1928">
        <v>9</v>
      </c>
      <c r="AH12" s="1928">
        <v>16</v>
      </c>
      <c r="AI12" s="1928">
        <v>33</v>
      </c>
      <c r="AJ12" s="1928">
        <v>0</v>
      </c>
      <c r="AK12" s="758">
        <v>0</v>
      </c>
      <c r="AL12" s="758">
        <v>0</v>
      </c>
      <c r="AM12" s="1928">
        <v>40</v>
      </c>
      <c r="AN12" s="1928">
        <v>0</v>
      </c>
      <c r="AO12" s="1928">
        <v>0</v>
      </c>
      <c r="AP12" s="1928">
        <v>0</v>
      </c>
      <c r="AQ12" s="1928">
        <v>0</v>
      </c>
      <c r="AR12" s="758">
        <v>0</v>
      </c>
      <c r="AS12" s="1928">
        <v>0</v>
      </c>
      <c r="AT12" s="758">
        <v>0</v>
      </c>
      <c r="AU12" s="758"/>
      <c r="AV12" s="1928">
        <v>22</v>
      </c>
      <c r="AW12" s="1928">
        <v>0</v>
      </c>
      <c r="AX12" s="1928">
        <v>0</v>
      </c>
      <c r="AY12" s="1928">
        <v>40</v>
      </c>
      <c r="AZ12" s="1928">
        <v>12</v>
      </c>
      <c r="BA12" s="1928">
        <v>30</v>
      </c>
      <c r="BB12" s="1928">
        <v>18</v>
      </c>
      <c r="BC12" s="1928">
        <v>0</v>
      </c>
      <c r="BD12" s="1928">
        <v>0</v>
      </c>
      <c r="BE12" s="758">
        <v>0</v>
      </c>
      <c r="BF12" s="758">
        <v>80</v>
      </c>
      <c r="BG12" s="1928">
        <v>160</v>
      </c>
      <c r="BH12" s="1928">
        <v>270</v>
      </c>
      <c r="BI12" s="1928">
        <v>130</v>
      </c>
      <c r="BJ12" s="1928">
        <v>8</v>
      </c>
      <c r="BK12" s="1928">
        <v>138</v>
      </c>
      <c r="BL12" s="758">
        <v>3</v>
      </c>
      <c r="BM12" s="1928">
        <v>5</v>
      </c>
      <c r="BN12" s="758">
        <v>0</v>
      </c>
      <c r="BO12" s="1936">
        <v>51</v>
      </c>
      <c r="BP12" s="759">
        <v>0</v>
      </c>
      <c r="BQ12" s="1936">
        <v>0</v>
      </c>
      <c r="BR12" s="1928">
        <v>1</v>
      </c>
      <c r="BS12" s="1936">
        <v>21</v>
      </c>
      <c r="BT12" s="1936">
        <v>11</v>
      </c>
      <c r="BU12" s="1936">
        <v>33</v>
      </c>
      <c r="BV12" s="1936">
        <v>9</v>
      </c>
      <c r="BW12" s="1947">
        <v>60</v>
      </c>
      <c r="BX12" s="1936">
        <v>53</v>
      </c>
      <c r="BY12" s="1936">
        <v>0</v>
      </c>
      <c r="BZ12" s="1936">
        <v>20</v>
      </c>
      <c r="CA12" s="1957">
        <v>0</v>
      </c>
      <c r="CB12" s="1936">
        <v>42</v>
      </c>
      <c r="CC12" s="1936">
        <v>0</v>
      </c>
      <c r="CD12" s="1936">
        <v>48</v>
      </c>
      <c r="CE12" s="4198">
        <v>0</v>
      </c>
      <c r="CF12" s="1936">
        <v>163</v>
      </c>
      <c r="CG12" s="1936">
        <v>0</v>
      </c>
      <c r="CH12" s="1936">
        <v>72</v>
      </c>
      <c r="CI12" s="1936">
        <v>75</v>
      </c>
      <c r="CJ12" s="1936">
        <v>0</v>
      </c>
      <c r="CK12" s="1936">
        <v>190</v>
      </c>
      <c r="CL12" s="1936">
        <v>18</v>
      </c>
      <c r="CM12" s="1936">
        <v>0</v>
      </c>
      <c r="CN12" s="1936">
        <v>10</v>
      </c>
      <c r="CO12" s="1936">
        <v>300</v>
      </c>
      <c r="CP12" s="1936">
        <v>21</v>
      </c>
      <c r="CQ12" s="1936">
        <v>8</v>
      </c>
      <c r="CR12" s="759">
        <v>0</v>
      </c>
      <c r="CS12" s="1936">
        <v>58</v>
      </c>
      <c r="CT12" s="1936">
        <v>0</v>
      </c>
      <c r="CU12" s="759">
        <v>0</v>
      </c>
      <c r="CV12" s="1936">
        <v>165</v>
      </c>
      <c r="CW12" s="759">
        <v>0</v>
      </c>
      <c r="CX12" s="1936">
        <v>7</v>
      </c>
      <c r="CY12" s="1953">
        <v>8</v>
      </c>
      <c r="CZ12" s="1936">
        <v>90</v>
      </c>
      <c r="DA12" s="1936">
        <v>0</v>
      </c>
      <c r="DB12" s="1936">
        <v>143</v>
      </c>
      <c r="DC12" s="1936">
        <v>0</v>
      </c>
      <c r="DD12" s="1936">
        <v>16</v>
      </c>
      <c r="DE12" s="1936">
        <v>58</v>
      </c>
      <c r="DF12" s="1936">
        <v>8</v>
      </c>
      <c r="DG12" s="1936">
        <v>1</v>
      </c>
      <c r="DH12" s="1936">
        <v>15</v>
      </c>
      <c r="DI12" s="2054">
        <v>54</v>
      </c>
      <c r="DJ12" s="2067">
        <v>51</v>
      </c>
      <c r="DK12" s="2937">
        <v>0</v>
      </c>
      <c r="DL12" s="3069">
        <v>0</v>
      </c>
      <c r="DM12" s="3069">
        <v>100</v>
      </c>
      <c r="DN12" s="3435">
        <v>402</v>
      </c>
      <c r="DO12" s="3510">
        <v>31</v>
      </c>
      <c r="DP12" s="3678">
        <v>6</v>
      </c>
      <c r="DQ12" s="3710">
        <v>137</v>
      </c>
      <c r="DR12" s="3773">
        <v>98</v>
      </c>
      <c r="DS12" s="3838">
        <v>0</v>
      </c>
      <c r="DT12" s="3838">
        <v>17</v>
      </c>
      <c r="DU12" s="4035">
        <v>7</v>
      </c>
      <c r="DV12" s="3678">
        <v>0</v>
      </c>
      <c r="DW12" s="3678">
        <v>0</v>
      </c>
      <c r="DX12" s="759"/>
      <c r="DY12" s="1962">
        <v>421</v>
      </c>
      <c r="DZ12" s="1966">
        <v>0</v>
      </c>
      <c r="EA12" s="1966">
        <v>0</v>
      </c>
      <c r="EB12" s="1966">
        <v>0</v>
      </c>
      <c r="EC12" s="1966">
        <v>0</v>
      </c>
      <c r="ED12" s="896">
        <v>0</v>
      </c>
      <c r="EE12" s="896">
        <v>0</v>
      </c>
      <c r="EF12" s="896">
        <v>0</v>
      </c>
      <c r="EG12" s="1966">
        <v>0</v>
      </c>
      <c r="EH12" s="1966">
        <v>0</v>
      </c>
      <c r="EI12" s="1966">
        <v>0</v>
      </c>
      <c r="EJ12" s="1966">
        <v>91</v>
      </c>
      <c r="EK12" s="1966">
        <v>14</v>
      </c>
      <c r="EL12" s="1966">
        <v>0</v>
      </c>
      <c r="EM12" s="1966">
        <v>0</v>
      </c>
      <c r="EN12" s="1966">
        <v>0</v>
      </c>
      <c r="EO12" s="1966">
        <v>0</v>
      </c>
      <c r="EP12" s="1966">
        <v>0</v>
      </c>
      <c r="EQ12" s="896">
        <v>0</v>
      </c>
      <c r="ER12" s="1966">
        <v>0</v>
      </c>
      <c r="ES12" s="1966">
        <v>0</v>
      </c>
      <c r="ET12" s="1966">
        <v>0</v>
      </c>
      <c r="EU12" s="1966">
        <v>0</v>
      </c>
      <c r="EV12" s="1966">
        <v>52</v>
      </c>
      <c r="EW12" s="1966">
        <v>0</v>
      </c>
      <c r="EX12" s="1966">
        <v>22</v>
      </c>
      <c r="EY12" s="1966">
        <v>0</v>
      </c>
      <c r="EZ12" s="1966">
        <v>8</v>
      </c>
      <c r="FA12" s="1966">
        <v>0</v>
      </c>
      <c r="FB12" s="1966">
        <v>0</v>
      </c>
      <c r="FC12" s="1966">
        <v>200</v>
      </c>
      <c r="FD12" s="1966">
        <v>0</v>
      </c>
      <c r="FE12" s="1966">
        <v>0</v>
      </c>
      <c r="FF12" s="1973">
        <v>0</v>
      </c>
      <c r="FG12" s="1973">
        <v>0</v>
      </c>
      <c r="FH12" s="1973">
        <v>0</v>
      </c>
      <c r="FI12" s="1973">
        <v>0</v>
      </c>
      <c r="FJ12" s="1973">
        <v>11</v>
      </c>
      <c r="FK12" s="1973">
        <v>0</v>
      </c>
      <c r="FL12" s="1973">
        <v>189</v>
      </c>
      <c r="FM12" s="1973">
        <v>0</v>
      </c>
      <c r="FN12" s="1973">
        <v>382</v>
      </c>
      <c r="FO12" s="1973">
        <v>6</v>
      </c>
      <c r="FP12" s="1683">
        <v>0</v>
      </c>
      <c r="FQ12" s="1973">
        <v>46</v>
      </c>
      <c r="FR12" s="1973">
        <v>0</v>
      </c>
      <c r="FS12" s="1973">
        <v>105</v>
      </c>
      <c r="FT12" s="1973">
        <v>0</v>
      </c>
      <c r="FU12" s="1989">
        <v>1</v>
      </c>
      <c r="FV12" s="2162">
        <v>113</v>
      </c>
      <c r="FW12" s="2162">
        <v>0</v>
      </c>
      <c r="FX12" s="3681">
        <v>220</v>
      </c>
      <c r="FY12" s="3681">
        <v>0</v>
      </c>
      <c r="FZ12" s="3754">
        <v>0</v>
      </c>
      <c r="GA12" s="4417">
        <v>0</v>
      </c>
      <c r="GB12" s="4894">
        <v>16</v>
      </c>
      <c r="GC12" s="4980">
        <v>0</v>
      </c>
      <c r="GD12" s="928"/>
      <c r="GE12" s="910">
        <v>4493</v>
      </c>
      <c r="GF12" s="932">
        <v>1897</v>
      </c>
      <c r="GG12" s="919">
        <v>6390</v>
      </c>
      <c r="GH12" s="920">
        <v>2279</v>
      </c>
      <c r="GI12" s="649">
        <v>421</v>
      </c>
      <c r="GJ12" s="649">
        <v>1707</v>
      </c>
      <c r="GK12" s="650">
        <v>0</v>
      </c>
      <c r="GL12" s="650">
        <v>1644</v>
      </c>
      <c r="GM12" s="650">
        <v>200</v>
      </c>
      <c r="GN12" s="650">
        <v>40</v>
      </c>
      <c r="GO12" s="650">
        <v>0</v>
      </c>
      <c r="GP12" s="650">
        <v>0</v>
      </c>
      <c r="GQ12" s="650">
        <v>60</v>
      </c>
      <c r="GR12" s="4637">
        <v>39</v>
      </c>
      <c r="GS12" s="13">
        <v>0</v>
      </c>
      <c r="GT12" s="4638">
        <v>97.47</v>
      </c>
      <c r="GU12" s="13"/>
      <c r="HD12" s="139"/>
      <c r="HE12" s="139"/>
      <c r="HX12" s="139"/>
      <c r="HY12" s="139"/>
    </row>
    <row r="13" spans="1:273" ht="19.5" customHeight="1" thickBot="1">
      <c r="A13" s="609">
        <v>0.375</v>
      </c>
      <c r="B13" s="1927">
        <v>0</v>
      </c>
      <c r="C13" s="1928">
        <v>0</v>
      </c>
      <c r="D13" s="1928">
        <v>210</v>
      </c>
      <c r="E13" s="1928">
        <v>0</v>
      </c>
      <c r="F13" s="1936">
        <v>0</v>
      </c>
      <c r="G13" s="1936">
        <v>0</v>
      </c>
      <c r="H13" s="1928">
        <v>0</v>
      </c>
      <c r="I13" s="1928">
        <v>0</v>
      </c>
      <c r="J13" s="1928">
        <v>215</v>
      </c>
      <c r="K13" s="758"/>
      <c r="L13" s="758">
        <v>0</v>
      </c>
      <c r="M13" s="1928">
        <v>180</v>
      </c>
      <c r="N13" s="1928">
        <v>0</v>
      </c>
      <c r="O13" s="1928">
        <v>0</v>
      </c>
      <c r="P13" s="1928">
        <v>0</v>
      </c>
      <c r="Q13" s="1928">
        <v>15</v>
      </c>
      <c r="R13" s="1928">
        <v>0</v>
      </c>
      <c r="S13" s="758">
        <v>0</v>
      </c>
      <c r="T13" s="758">
        <v>0</v>
      </c>
      <c r="U13" s="1928">
        <v>0</v>
      </c>
      <c r="V13" s="1936">
        <v>64</v>
      </c>
      <c r="W13" s="1928">
        <v>0</v>
      </c>
      <c r="X13" s="1928">
        <v>0</v>
      </c>
      <c r="Y13" s="1928">
        <v>0</v>
      </c>
      <c r="Z13" s="758">
        <v>0</v>
      </c>
      <c r="AA13" s="1928">
        <v>0</v>
      </c>
      <c r="AB13" s="1928">
        <v>35</v>
      </c>
      <c r="AC13" s="1928">
        <v>35</v>
      </c>
      <c r="AD13" s="1928">
        <v>17</v>
      </c>
      <c r="AE13" s="1928">
        <v>19</v>
      </c>
      <c r="AF13" s="1928">
        <v>25</v>
      </c>
      <c r="AG13" s="1928">
        <v>9</v>
      </c>
      <c r="AH13" s="1928">
        <v>16</v>
      </c>
      <c r="AI13" s="1928">
        <v>33</v>
      </c>
      <c r="AJ13" s="1928">
        <v>0</v>
      </c>
      <c r="AK13" s="758">
        <v>0</v>
      </c>
      <c r="AL13" s="758">
        <v>0</v>
      </c>
      <c r="AM13" s="1928">
        <v>40</v>
      </c>
      <c r="AN13" s="1928">
        <v>0</v>
      </c>
      <c r="AO13" s="1928">
        <v>0</v>
      </c>
      <c r="AP13" s="1928">
        <v>0</v>
      </c>
      <c r="AQ13" s="1928">
        <v>0</v>
      </c>
      <c r="AR13" s="758">
        <v>0</v>
      </c>
      <c r="AS13" s="1928">
        <v>0</v>
      </c>
      <c r="AT13" s="758">
        <v>0</v>
      </c>
      <c r="AU13" s="758"/>
      <c r="AV13" s="1928">
        <v>22</v>
      </c>
      <c r="AW13" s="1928">
        <v>0</v>
      </c>
      <c r="AX13" s="1928">
        <v>0</v>
      </c>
      <c r="AY13" s="1928">
        <v>40</v>
      </c>
      <c r="AZ13" s="1928">
        <v>12</v>
      </c>
      <c r="BA13" s="1928">
        <v>31</v>
      </c>
      <c r="BB13" s="1928">
        <v>18</v>
      </c>
      <c r="BC13" s="1928">
        <v>0</v>
      </c>
      <c r="BD13" s="1928">
        <v>0</v>
      </c>
      <c r="BE13" s="758">
        <v>0</v>
      </c>
      <c r="BF13" s="758">
        <v>80</v>
      </c>
      <c r="BG13" s="1928">
        <v>140</v>
      </c>
      <c r="BH13" s="1928">
        <v>270</v>
      </c>
      <c r="BI13" s="1928">
        <v>132</v>
      </c>
      <c r="BJ13" s="1928">
        <v>8</v>
      </c>
      <c r="BK13" s="1928">
        <v>136</v>
      </c>
      <c r="BL13" s="758">
        <v>3</v>
      </c>
      <c r="BM13" s="1928">
        <v>5</v>
      </c>
      <c r="BN13" s="758">
        <v>0</v>
      </c>
      <c r="BO13" s="1936">
        <v>51</v>
      </c>
      <c r="BP13" s="759">
        <v>0</v>
      </c>
      <c r="BQ13" s="1936">
        <v>0</v>
      </c>
      <c r="BR13" s="1928">
        <v>20</v>
      </c>
      <c r="BS13" s="1936">
        <v>19</v>
      </c>
      <c r="BT13" s="1936">
        <v>11</v>
      </c>
      <c r="BU13" s="1936">
        <v>25</v>
      </c>
      <c r="BV13" s="1936">
        <v>9</v>
      </c>
      <c r="BW13" s="1947">
        <v>62</v>
      </c>
      <c r="BX13" s="1936">
        <v>53</v>
      </c>
      <c r="BY13" s="1936">
        <v>0</v>
      </c>
      <c r="BZ13" s="1936">
        <v>20</v>
      </c>
      <c r="CA13" s="1957">
        <v>1</v>
      </c>
      <c r="CB13" s="1936">
        <v>42</v>
      </c>
      <c r="CC13" s="1936">
        <v>0</v>
      </c>
      <c r="CD13" s="1936">
        <v>48</v>
      </c>
      <c r="CE13" s="4198">
        <v>0</v>
      </c>
      <c r="CF13" s="1936">
        <v>110</v>
      </c>
      <c r="CG13" s="1936">
        <v>0</v>
      </c>
      <c r="CH13" s="1936">
        <v>52</v>
      </c>
      <c r="CI13" s="1936">
        <v>75</v>
      </c>
      <c r="CJ13" s="1936">
        <v>0</v>
      </c>
      <c r="CK13" s="1936">
        <v>190</v>
      </c>
      <c r="CL13" s="1936">
        <v>18</v>
      </c>
      <c r="CM13" s="1936">
        <v>0</v>
      </c>
      <c r="CN13" s="1936">
        <v>10</v>
      </c>
      <c r="CO13" s="1936">
        <v>285</v>
      </c>
      <c r="CP13" s="1936">
        <v>21</v>
      </c>
      <c r="CQ13" s="1936">
        <v>8</v>
      </c>
      <c r="CR13" s="759">
        <v>0</v>
      </c>
      <c r="CS13" s="1936">
        <v>145</v>
      </c>
      <c r="CT13" s="1936">
        <v>0</v>
      </c>
      <c r="CU13" s="759">
        <v>0</v>
      </c>
      <c r="CV13" s="1936">
        <v>180</v>
      </c>
      <c r="CW13" s="759">
        <v>0</v>
      </c>
      <c r="CX13" s="1936">
        <v>17</v>
      </c>
      <c r="CY13" s="1953">
        <v>13</v>
      </c>
      <c r="CZ13" s="1936">
        <v>90</v>
      </c>
      <c r="DA13" s="1936">
        <v>0</v>
      </c>
      <c r="DB13" s="1936">
        <v>140</v>
      </c>
      <c r="DC13" s="1936">
        <v>0</v>
      </c>
      <c r="DD13" s="1936">
        <v>24</v>
      </c>
      <c r="DE13" s="1936">
        <v>70</v>
      </c>
      <c r="DF13" s="1936">
        <v>20</v>
      </c>
      <c r="DG13" s="1936">
        <v>3</v>
      </c>
      <c r="DH13" s="1936">
        <v>25</v>
      </c>
      <c r="DI13" s="2054">
        <v>42</v>
      </c>
      <c r="DJ13" s="2067">
        <v>55</v>
      </c>
      <c r="DK13" s="2937">
        <v>0</v>
      </c>
      <c r="DL13" s="3069">
        <v>0</v>
      </c>
      <c r="DM13" s="3069">
        <v>100</v>
      </c>
      <c r="DN13" s="3435">
        <v>386</v>
      </c>
      <c r="DO13" s="3510">
        <v>53</v>
      </c>
      <c r="DP13" s="3678">
        <v>11</v>
      </c>
      <c r="DQ13" s="3710">
        <v>151</v>
      </c>
      <c r="DR13" s="3773">
        <v>99</v>
      </c>
      <c r="DS13" s="3838">
        <v>0</v>
      </c>
      <c r="DT13" s="3838">
        <v>17</v>
      </c>
      <c r="DU13" s="4035">
        <v>16</v>
      </c>
      <c r="DV13" s="3678">
        <v>0</v>
      </c>
      <c r="DW13" s="3678">
        <v>0</v>
      </c>
      <c r="DX13" s="759"/>
      <c r="DY13" s="1962">
        <v>595</v>
      </c>
      <c r="DZ13" s="1966">
        <v>0</v>
      </c>
      <c r="EA13" s="1966">
        <v>0</v>
      </c>
      <c r="EB13" s="1966">
        <v>0</v>
      </c>
      <c r="EC13" s="1966">
        <v>0</v>
      </c>
      <c r="ED13" s="896">
        <v>0</v>
      </c>
      <c r="EE13" s="896">
        <v>0</v>
      </c>
      <c r="EF13" s="896">
        <v>0</v>
      </c>
      <c r="EG13" s="1966">
        <v>0</v>
      </c>
      <c r="EH13" s="1966">
        <v>0</v>
      </c>
      <c r="EI13" s="1966">
        <v>0</v>
      </c>
      <c r="EJ13" s="1966">
        <v>87</v>
      </c>
      <c r="EK13" s="1966">
        <v>14</v>
      </c>
      <c r="EL13" s="1966">
        <v>0</v>
      </c>
      <c r="EM13" s="1966">
        <v>0</v>
      </c>
      <c r="EN13" s="1966">
        <v>0</v>
      </c>
      <c r="EO13" s="1966">
        <v>0</v>
      </c>
      <c r="EP13" s="1966">
        <v>0</v>
      </c>
      <c r="EQ13" s="896">
        <v>0</v>
      </c>
      <c r="ER13" s="1966">
        <v>0</v>
      </c>
      <c r="ES13" s="1966">
        <v>0</v>
      </c>
      <c r="ET13" s="1966">
        <v>0</v>
      </c>
      <c r="EU13" s="1966">
        <v>0</v>
      </c>
      <c r="EV13" s="1966">
        <v>52</v>
      </c>
      <c r="EW13" s="1966">
        <v>0</v>
      </c>
      <c r="EX13" s="1966">
        <v>22</v>
      </c>
      <c r="EY13" s="1966">
        <v>0</v>
      </c>
      <c r="EZ13" s="1966">
        <v>8</v>
      </c>
      <c r="FA13" s="1966">
        <v>0</v>
      </c>
      <c r="FB13" s="1966">
        <v>0</v>
      </c>
      <c r="FC13" s="1966">
        <v>199</v>
      </c>
      <c r="FD13" s="1966">
        <v>0</v>
      </c>
      <c r="FE13" s="1966">
        <v>0</v>
      </c>
      <c r="FF13" s="1973">
        <v>0</v>
      </c>
      <c r="FG13" s="1973">
        <v>0</v>
      </c>
      <c r="FH13" s="1973">
        <v>0</v>
      </c>
      <c r="FI13" s="1973">
        <v>0</v>
      </c>
      <c r="FJ13" s="1973">
        <v>11</v>
      </c>
      <c r="FK13" s="1973">
        <v>0</v>
      </c>
      <c r="FL13" s="1973">
        <v>188</v>
      </c>
      <c r="FM13" s="1973">
        <v>0</v>
      </c>
      <c r="FN13" s="1973">
        <v>327</v>
      </c>
      <c r="FO13" s="1973">
        <v>17</v>
      </c>
      <c r="FP13" s="1683">
        <v>0</v>
      </c>
      <c r="FQ13" s="1973">
        <v>73</v>
      </c>
      <c r="FR13" s="1973">
        <v>0</v>
      </c>
      <c r="FS13" s="1973">
        <v>98</v>
      </c>
      <c r="FT13" s="1973">
        <v>0</v>
      </c>
      <c r="FU13" s="1989">
        <v>1</v>
      </c>
      <c r="FV13" s="2162">
        <v>113</v>
      </c>
      <c r="FW13" s="2162">
        <v>0</v>
      </c>
      <c r="FX13" s="3681">
        <v>178</v>
      </c>
      <c r="FY13" s="3681">
        <v>0</v>
      </c>
      <c r="FZ13" s="3754">
        <v>0</v>
      </c>
      <c r="GA13" s="4417">
        <v>2</v>
      </c>
      <c r="GB13" s="4894">
        <v>38</v>
      </c>
      <c r="GC13" s="4980">
        <v>0</v>
      </c>
      <c r="GD13" s="928"/>
      <c r="GE13" s="910">
        <v>4597</v>
      </c>
      <c r="GF13" s="932">
        <v>2023</v>
      </c>
      <c r="GG13" s="919">
        <v>6620</v>
      </c>
      <c r="GH13" s="920">
        <v>2228</v>
      </c>
      <c r="GI13" s="649">
        <v>595</v>
      </c>
      <c r="GJ13" s="649">
        <v>1539</v>
      </c>
      <c r="GK13" s="650">
        <v>0</v>
      </c>
      <c r="GL13" s="650">
        <v>1872</v>
      </c>
      <c r="GM13" s="650">
        <v>199</v>
      </c>
      <c r="GN13" s="650">
        <v>40</v>
      </c>
      <c r="GO13" s="650">
        <v>0</v>
      </c>
      <c r="GP13" s="650">
        <v>0</v>
      </c>
      <c r="GQ13" s="650">
        <v>62</v>
      </c>
      <c r="GR13" s="4637">
        <v>85</v>
      </c>
      <c r="GS13" s="13">
        <v>0</v>
      </c>
      <c r="GT13" s="4638">
        <v>97.46</v>
      </c>
      <c r="GU13" s="13"/>
      <c r="HX13" s="139"/>
      <c r="HY13" s="139"/>
    </row>
    <row r="14" spans="1:273" ht="22.5" customHeight="1" thickBot="1">
      <c r="A14" s="609">
        <v>0.41666666666666669</v>
      </c>
      <c r="B14" s="1927">
        <v>0</v>
      </c>
      <c r="C14" s="1928">
        <v>0</v>
      </c>
      <c r="D14" s="1928">
        <v>231</v>
      </c>
      <c r="E14" s="1928">
        <v>0</v>
      </c>
      <c r="F14" s="1936">
        <v>0</v>
      </c>
      <c r="G14" s="1936">
        <v>0</v>
      </c>
      <c r="H14" s="1928">
        <v>0</v>
      </c>
      <c r="I14" s="1928">
        <v>0</v>
      </c>
      <c r="J14" s="1928">
        <v>214</v>
      </c>
      <c r="K14" s="758"/>
      <c r="L14" s="758">
        <v>0</v>
      </c>
      <c r="M14" s="1928">
        <v>180</v>
      </c>
      <c r="N14" s="1928">
        <v>0</v>
      </c>
      <c r="O14" s="1928">
        <v>0</v>
      </c>
      <c r="P14" s="1928">
        <v>0</v>
      </c>
      <c r="Q14" s="1928">
        <v>15</v>
      </c>
      <c r="R14" s="1928">
        <v>0</v>
      </c>
      <c r="S14" s="758">
        <v>0</v>
      </c>
      <c r="T14" s="758">
        <v>0</v>
      </c>
      <c r="U14" s="1928">
        <v>0</v>
      </c>
      <c r="V14" s="1936">
        <v>48</v>
      </c>
      <c r="W14" s="1928">
        <v>0</v>
      </c>
      <c r="X14" s="1928">
        <v>0</v>
      </c>
      <c r="Y14" s="1928">
        <v>0</v>
      </c>
      <c r="Z14" s="758">
        <v>0</v>
      </c>
      <c r="AA14" s="1928">
        <v>0</v>
      </c>
      <c r="AB14" s="1928">
        <v>35</v>
      </c>
      <c r="AC14" s="1928">
        <v>35</v>
      </c>
      <c r="AD14" s="1928">
        <v>17</v>
      </c>
      <c r="AE14" s="1928">
        <v>16</v>
      </c>
      <c r="AF14" s="1928">
        <v>25</v>
      </c>
      <c r="AG14" s="1928">
        <v>9</v>
      </c>
      <c r="AH14" s="1928">
        <v>16</v>
      </c>
      <c r="AI14" s="1928">
        <v>33</v>
      </c>
      <c r="AJ14" s="1928">
        <v>0</v>
      </c>
      <c r="AK14" s="758">
        <v>0</v>
      </c>
      <c r="AL14" s="758">
        <v>35</v>
      </c>
      <c r="AM14" s="1928">
        <v>40</v>
      </c>
      <c r="AN14" s="1928">
        <v>0</v>
      </c>
      <c r="AO14" s="1928">
        <v>0</v>
      </c>
      <c r="AP14" s="1928">
        <v>0</v>
      </c>
      <c r="AQ14" s="1928">
        <v>0</v>
      </c>
      <c r="AR14" s="758">
        <v>0</v>
      </c>
      <c r="AS14" s="1928">
        <v>0</v>
      </c>
      <c r="AT14" s="758">
        <v>0</v>
      </c>
      <c r="AU14" s="758"/>
      <c r="AV14" s="1928">
        <v>22</v>
      </c>
      <c r="AW14" s="1928">
        <v>0</v>
      </c>
      <c r="AX14" s="1928">
        <v>0</v>
      </c>
      <c r="AY14" s="1928">
        <v>10</v>
      </c>
      <c r="AZ14" s="1928">
        <v>13</v>
      </c>
      <c r="BA14" s="1928">
        <v>31</v>
      </c>
      <c r="BB14" s="1928">
        <v>18</v>
      </c>
      <c r="BC14" s="1928">
        <v>0</v>
      </c>
      <c r="BD14" s="1928">
        <v>0</v>
      </c>
      <c r="BE14" s="758">
        <v>0</v>
      </c>
      <c r="BF14" s="758">
        <v>80</v>
      </c>
      <c r="BG14" s="1928">
        <v>140</v>
      </c>
      <c r="BH14" s="1928">
        <v>270</v>
      </c>
      <c r="BI14" s="1928">
        <v>132</v>
      </c>
      <c r="BJ14" s="1928">
        <v>8</v>
      </c>
      <c r="BK14" s="1928">
        <v>136</v>
      </c>
      <c r="BL14" s="758">
        <v>3</v>
      </c>
      <c r="BM14" s="1928">
        <v>5</v>
      </c>
      <c r="BN14" s="758">
        <v>0</v>
      </c>
      <c r="BO14" s="1936">
        <v>51</v>
      </c>
      <c r="BP14" s="759">
        <v>0</v>
      </c>
      <c r="BQ14" s="1936">
        <v>0</v>
      </c>
      <c r="BR14" s="1928">
        <v>8</v>
      </c>
      <c r="BS14" s="1936">
        <v>19</v>
      </c>
      <c r="BT14" s="1936">
        <v>11</v>
      </c>
      <c r="BU14" s="1936">
        <v>17</v>
      </c>
      <c r="BV14" s="1936">
        <v>9</v>
      </c>
      <c r="BW14" s="1947">
        <v>63</v>
      </c>
      <c r="BX14" s="1936">
        <v>53</v>
      </c>
      <c r="BY14" s="1936">
        <v>0</v>
      </c>
      <c r="BZ14" s="1936">
        <v>20</v>
      </c>
      <c r="CA14" s="1957">
        <v>2</v>
      </c>
      <c r="CB14" s="1936">
        <v>43</v>
      </c>
      <c r="CC14" s="1936">
        <v>0</v>
      </c>
      <c r="CD14" s="1936">
        <v>48</v>
      </c>
      <c r="CE14" s="4198">
        <v>0</v>
      </c>
      <c r="CF14" s="1936">
        <v>110</v>
      </c>
      <c r="CG14" s="1936">
        <v>0</v>
      </c>
      <c r="CH14" s="1936">
        <v>40</v>
      </c>
      <c r="CI14" s="1936">
        <v>79</v>
      </c>
      <c r="CJ14" s="1936">
        <v>0</v>
      </c>
      <c r="CK14" s="1936">
        <v>165</v>
      </c>
      <c r="CL14" s="1936">
        <v>18</v>
      </c>
      <c r="CM14" s="1936">
        <v>0</v>
      </c>
      <c r="CN14" s="1936">
        <v>10</v>
      </c>
      <c r="CO14" s="1936">
        <v>270</v>
      </c>
      <c r="CP14" s="1936">
        <v>21</v>
      </c>
      <c r="CQ14" s="1936">
        <v>8</v>
      </c>
      <c r="CR14" s="759">
        <v>0</v>
      </c>
      <c r="CS14" s="1936">
        <v>145</v>
      </c>
      <c r="CT14" s="1936">
        <v>0</v>
      </c>
      <c r="CU14" s="759">
        <v>0</v>
      </c>
      <c r="CV14" s="1936">
        <v>160</v>
      </c>
      <c r="CW14" s="759">
        <v>0</v>
      </c>
      <c r="CX14" s="1936">
        <v>17</v>
      </c>
      <c r="CY14" s="1953">
        <v>17</v>
      </c>
      <c r="CZ14" s="1936">
        <v>90</v>
      </c>
      <c r="DA14" s="1936">
        <v>0</v>
      </c>
      <c r="DB14" s="1936">
        <v>143</v>
      </c>
      <c r="DC14" s="1936">
        <v>0</v>
      </c>
      <c r="DD14" s="1936">
        <v>24</v>
      </c>
      <c r="DE14" s="1936">
        <v>70</v>
      </c>
      <c r="DF14" s="1936">
        <v>34</v>
      </c>
      <c r="DG14" s="1936">
        <v>3</v>
      </c>
      <c r="DH14" s="1936">
        <v>30</v>
      </c>
      <c r="DI14" s="2054">
        <v>54</v>
      </c>
      <c r="DJ14" s="2067">
        <v>71</v>
      </c>
      <c r="DK14" s="2937">
        <v>0</v>
      </c>
      <c r="DL14" s="3069">
        <v>0</v>
      </c>
      <c r="DM14" s="3069">
        <v>100</v>
      </c>
      <c r="DN14" s="3435">
        <v>251</v>
      </c>
      <c r="DO14" s="3510">
        <v>37</v>
      </c>
      <c r="DP14" s="3678">
        <v>34</v>
      </c>
      <c r="DQ14" s="3710">
        <v>162</v>
      </c>
      <c r="DR14" s="3773">
        <v>105</v>
      </c>
      <c r="DS14" s="3838">
        <v>0</v>
      </c>
      <c r="DT14" s="3838">
        <v>17</v>
      </c>
      <c r="DU14" s="4035">
        <v>23</v>
      </c>
      <c r="DV14" s="3678">
        <v>0</v>
      </c>
      <c r="DW14" s="3678">
        <v>0</v>
      </c>
      <c r="DX14" s="759"/>
      <c r="DY14" s="1962">
        <v>610</v>
      </c>
      <c r="DZ14" s="1966">
        <v>0</v>
      </c>
      <c r="EA14" s="1966">
        <v>0</v>
      </c>
      <c r="EB14" s="1966">
        <v>0</v>
      </c>
      <c r="EC14" s="1966">
        <v>0</v>
      </c>
      <c r="ED14" s="896">
        <v>0</v>
      </c>
      <c r="EE14" s="896">
        <v>0</v>
      </c>
      <c r="EF14" s="896">
        <v>0</v>
      </c>
      <c r="EG14" s="1966">
        <v>0</v>
      </c>
      <c r="EH14" s="1966">
        <v>0</v>
      </c>
      <c r="EI14" s="1966">
        <v>0</v>
      </c>
      <c r="EJ14" s="1966">
        <v>91</v>
      </c>
      <c r="EK14" s="1966">
        <v>14</v>
      </c>
      <c r="EL14" s="1966">
        <v>0</v>
      </c>
      <c r="EM14" s="1966">
        <v>0</v>
      </c>
      <c r="EN14" s="1966">
        <v>0</v>
      </c>
      <c r="EO14" s="1966">
        <v>0</v>
      </c>
      <c r="EP14" s="1966">
        <v>0</v>
      </c>
      <c r="EQ14" s="896">
        <v>0</v>
      </c>
      <c r="ER14" s="1966">
        <v>0</v>
      </c>
      <c r="ES14" s="1966">
        <v>0</v>
      </c>
      <c r="ET14" s="1966">
        <v>0</v>
      </c>
      <c r="EU14" s="1966">
        <v>0</v>
      </c>
      <c r="EV14" s="1966">
        <v>52</v>
      </c>
      <c r="EW14" s="1966">
        <v>0</v>
      </c>
      <c r="EX14" s="1966">
        <v>22</v>
      </c>
      <c r="EY14" s="1966">
        <v>0</v>
      </c>
      <c r="EZ14" s="1966">
        <v>8</v>
      </c>
      <c r="FA14" s="1966">
        <v>0</v>
      </c>
      <c r="FB14" s="1966">
        <v>0</v>
      </c>
      <c r="FC14" s="1966">
        <v>199</v>
      </c>
      <c r="FD14" s="1966">
        <v>0</v>
      </c>
      <c r="FE14" s="1966">
        <v>0</v>
      </c>
      <c r="FF14" s="1973">
        <v>0</v>
      </c>
      <c r="FG14" s="1973">
        <v>0</v>
      </c>
      <c r="FH14" s="1973">
        <v>0</v>
      </c>
      <c r="FI14" s="1973">
        <v>0</v>
      </c>
      <c r="FJ14" s="1973">
        <v>11</v>
      </c>
      <c r="FK14" s="1973">
        <v>0</v>
      </c>
      <c r="FL14" s="1973">
        <v>183</v>
      </c>
      <c r="FM14" s="1973">
        <v>0</v>
      </c>
      <c r="FN14" s="1973">
        <v>301</v>
      </c>
      <c r="FO14" s="1973">
        <v>17</v>
      </c>
      <c r="FP14" s="1683">
        <v>0</v>
      </c>
      <c r="FQ14" s="1973">
        <v>90</v>
      </c>
      <c r="FR14" s="1973">
        <v>0</v>
      </c>
      <c r="FS14" s="1973">
        <v>98</v>
      </c>
      <c r="FT14" s="1973">
        <v>0</v>
      </c>
      <c r="FU14" s="1989">
        <v>3</v>
      </c>
      <c r="FV14" s="2162">
        <v>70</v>
      </c>
      <c r="FW14" s="2162">
        <v>0</v>
      </c>
      <c r="FX14" s="3681">
        <v>190</v>
      </c>
      <c r="FY14" s="3681">
        <v>0</v>
      </c>
      <c r="FZ14" s="3754">
        <v>0</v>
      </c>
      <c r="GA14" s="4417">
        <v>3</v>
      </c>
      <c r="GB14" s="4894">
        <v>54</v>
      </c>
      <c r="GC14" s="4980">
        <v>0</v>
      </c>
      <c r="GD14" s="928"/>
      <c r="GE14" s="910">
        <v>4469</v>
      </c>
      <c r="GF14" s="932">
        <v>2016</v>
      </c>
      <c r="GG14" s="919">
        <v>6485</v>
      </c>
      <c r="GH14" s="920">
        <v>2066</v>
      </c>
      <c r="GI14" s="649">
        <v>610</v>
      </c>
      <c r="GJ14" s="649">
        <v>1513</v>
      </c>
      <c r="GK14" s="650">
        <v>0</v>
      </c>
      <c r="GL14" s="650">
        <v>1820</v>
      </c>
      <c r="GM14" s="650">
        <v>199</v>
      </c>
      <c r="GN14" s="650">
        <v>75</v>
      </c>
      <c r="GO14" s="650">
        <v>0</v>
      </c>
      <c r="GP14" s="650">
        <v>0</v>
      </c>
      <c r="GQ14" s="650">
        <v>63</v>
      </c>
      <c r="GR14" s="4637">
        <v>139</v>
      </c>
      <c r="GS14" s="13">
        <v>0</v>
      </c>
      <c r="GT14" s="4638">
        <v>97.45</v>
      </c>
      <c r="GU14" s="13"/>
      <c r="GW14" s="180"/>
      <c r="GX14" s="181"/>
      <c r="GY14" s="181"/>
      <c r="GZ14" s="181"/>
      <c r="HA14" s="181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</row>
    <row r="15" spans="1:273" ht="22.5" customHeight="1" thickBot="1">
      <c r="A15" s="609">
        <v>0.45833333333333331</v>
      </c>
      <c r="B15" s="1927">
        <v>0</v>
      </c>
      <c r="C15" s="1928">
        <v>0</v>
      </c>
      <c r="D15" s="1928">
        <v>230</v>
      </c>
      <c r="E15" s="1928">
        <v>0</v>
      </c>
      <c r="F15" s="1936">
        <v>0</v>
      </c>
      <c r="G15" s="1936">
        <v>0</v>
      </c>
      <c r="H15" s="1928">
        <v>0</v>
      </c>
      <c r="I15" s="1928">
        <v>0</v>
      </c>
      <c r="J15" s="1928">
        <v>211</v>
      </c>
      <c r="K15" s="758"/>
      <c r="L15" s="758">
        <v>0</v>
      </c>
      <c r="M15" s="1928">
        <v>180</v>
      </c>
      <c r="N15" s="1928">
        <v>0</v>
      </c>
      <c r="O15" s="1928">
        <v>0</v>
      </c>
      <c r="P15" s="1928">
        <v>0</v>
      </c>
      <c r="Q15" s="1928">
        <v>15</v>
      </c>
      <c r="R15" s="1928">
        <v>0</v>
      </c>
      <c r="S15" s="758">
        <v>0</v>
      </c>
      <c r="T15" s="758">
        <v>0</v>
      </c>
      <c r="U15" s="1928">
        <v>0</v>
      </c>
      <c r="V15" s="1936">
        <v>48</v>
      </c>
      <c r="W15" s="1928">
        <v>0</v>
      </c>
      <c r="X15" s="1928">
        <v>0</v>
      </c>
      <c r="Y15" s="1928">
        <v>0</v>
      </c>
      <c r="Z15" s="758">
        <v>0</v>
      </c>
      <c r="AA15" s="1928">
        <v>0</v>
      </c>
      <c r="AB15" s="1928">
        <v>35</v>
      </c>
      <c r="AC15" s="1928">
        <v>35</v>
      </c>
      <c r="AD15" s="1928">
        <v>17</v>
      </c>
      <c r="AE15" s="1928">
        <v>16</v>
      </c>
      <c r="AF15" s="1928">
        <v>25</v>
      </c>
      <c r="AG15" s="1928">
        <v>9</v>
      </c>
      <c r="AH15" s="1928">
        <v>16</v>
      </c>
      <c r="AI15" s="1928">
        <v>33</v>
      </c>
      <c r="AJ15" s="1928">
        <v>0</v>
      </c>
      <c r="AK15" s="758">
        <v>0</v>
      </c>
      <c r="AL15" s="758">
        <v>45</v>
      </c>
      <c r="AM15" s="1928">
        <v>40</v>
      </c>
      <c r="AN15" s="1928">
        <v>0</v>
      </c>
      <c r="AO15" s="1928">
        <v>0</v>
      </c>
      <c r="AP15" s="1928">
        <v>0</v>
      </c>
      <c r="AQ15" s="1928">
        <v>0</v>
      </c>
      <c r="AR15" s="758">
        <v>0</v>
      </c>
      <c r="AS15" s="1928">
        <v>0</v>
      </c>
      <c r="AT15" s="758">
        <v>0</v>
      </c>
      <c r="AU15" s="758"/>
      <c r="AV15" s="1928">
        <v>19</v>
      </c>
      <c r="AW15" s="1928">
        <v>0</v>
      </c>
      <c r="AX15" s="1928">
        <v>0</v>
      </c>
      <c r="AY15" s="1928">
        <v>20</v>
      </c>
      <c r="AZ15" s="1928">
        <v>12</v>
      </c>
      <c r="BA15" s="1928">
        <v>0</v>
      </c>
      <c r="BB15" s="1928">
        <v>21</v>
      </c>
      <c r="BC15" s="1928">
        <v>0</v>
      </c>
      <c r="BD15" s="1928">
        <v>0</v>
      </c>
      <c r="BE15" s="758">
        <v>0</v>
      </c>
      <c r="BF15" s="758">
        <v>80</v>
      </c>
      <c r="BG15" s="1928">
        <v>140</v>
      </c>
      <c r="BH15" s="1928">
        <v>270</v>
      </c>
      <c r="BI15" s="1928">
        <v>148</v>
      </c>
      <c r="BJ15" s="1928">
        <v>8</v>
      </c>
      <c r="BK15" s="1928">
        <v>126</v>
      </c>
      <c r="BL15" s="758">
        <v>3</v>
      </c>
      <c r="BM15" s="1928">
        <v>5</v>
      </c>
      <c r="BN15" s="758">
        <v>0</v>
      </c>
      <c r="BO15" s="1936">
        <v>51</v>
      </c>
      <c r="BP15" s="759">
        <v>0</v>
      </c>
      <c r="BQ15" s="1936">
        <v>0</v>
      </c>
      <c r="BR15" s="1928">
        <v>8</v>
      </c>
      <c r="BS15" s="1936">
        <v>19</v>
      </c>
      <c r="BT15" s="1936">
        <v>11</v>
      </c>
      <c r="BU15" s="1936">
        <v>17</v>
      </c>
      <c r="BV15" s="1936">
        <v>9</v>
      </c>
      <c r="BW15" s="1947">
        <v>72</v>
      </c>
      <c r="BX15" s="1936">
        <v>50</v>
      </c>
      <c r="BY15" s="1936">
        <v>0</v>
      </c>
      <c r="BZ15" s="1936">
        <v>20</v>
      </c>
      <c r="CA15" s="1957">
        <v>2</v>
      </c>
      <c r="CB15" s="1936">
        <v>43</v>
      </c>
      <c r="CC15" s="1936">
        <v>0</v>
      </c>
      <c r="CD15" s="1936">
        <v>51</v>
      </c>
      <c r="CE15" s="4198">
        <v>0</v>
      </c>
      <c r="CF15" s="1936">
        <v>110</v>
      </c>
      <c r="CG15" s="1936">
        <v>0</v>
      </c>
      <c r="CH15" s="1936">
        <v>65</v>
      </c>
      <c r="CI15" s="1936">
        <v>75</v>
      </c>
      <c r="CJ15" s="1936">
        <v>0</v>
      </c>
      <c r="CK15" s="1936">
        <v>165</v>
      </c>
      <c r="CL15" s="1936">
        <v>18</v>
      </c>
      <c r="CM15" s="1936">
        <v>0</v>
      </c>
      <c r="CN15" s="1936">
        <v>10</v>
      </c>
      <c r="CO15" s="1936">
        <v>295</v>
      </c>
      <c r="CP15" s="1936">
        <v>21</v>
      </c>
      <c r="CQ15" s="1936">
        <v>8</v>
      </c>
      <c r="CR15" s="759">
        <v>0</v>
      </c>
      <c r="CS15" s="1936">
        <v>145</v>
      </c>
      <c r="CT15" s="1936">
        <v>0</v>
      </c>
      <c r="CU15" s="759">
        <v>0</v>
      </c>
      <c r="CV15" s="1936">
        <v>160</v>
      </c>
      <c r="CW15" s="759">
        <v>0</v>
      </c>
      <c r="CX15" s="1936">
        <v>17</v>
      </c>
      <c r="CY15" s="1953">
        <v>19</v>
      </c>
      <c r="CZ15" s="1936">
        <v>90</v>
      </c>
      <c r="DA15" s="1936">
        <v>0</v>
      </c>
      <c r="DB15" s="1936">
        <v>143</v>
      </c>
      <c r="DC15" s="1936">
        <v>0</v>
      </c>
      <c r="DD15" s="1936">
        <v>24</v>
      </c>
      <c r="DE15" s="1936">
        <v>70</v>
      </c>
      <c r="DF15" s="1936">
        <v>34</v>
      </c>
      <c r="DG15" s="1936">
        <v>4</v>
      </c>
      <c r="DH15" s="1936">
        <v>30</v>
      </c>
      <c r="DI15" s="2054">
        <v>54</v>
      </c>
      <c r="DJ15" s="2067">
        <v>76</v>
      </c>
      <c r="DK15" s="2937">
        <v>0</v>
      </c>
      <c r="DL15" s="3069">
        <v>0</v>
      </c>
      <c r="DM15" s="3069">
        <v>100</v>
      </c>
      <c r="DN15" s="3435">
        <v>220</v>
      </c>
      <c r="DO15" s="3510">
        <v>34</v>
      </c>
      <c r="DP15" s="3678">
        <v>40</v>
      </c>
      <c r="DQ15" s="3710">
        <v>162</v>
      </c>
      <c r="DR15" s="3773">
        <v>116</v>
      </c>
      <c r="DS15" s="3838">
        <v>0</v>
      </c>
      <c r="DT15" s="3838">
        <v>12</v>
      </c>
      <c r="DU15" s="4035">
        <v>27</v>
      </c>
      <c r="DV15" s="3678">
        <v>0</v>
      </c>
      <c r="DW15" s="3678">
        <v>0</v>
      </c>
      <c r="DX15" s="759"/>
      <c r="DY15" s="1962">
        <v>611</v>
      </c>
      <c r="DZ15" s="1966">
        <v>0</v>
      </c>
      <c r="EA15" s="1966">
        <v>0</v>
      </c>
      <c r="EB15" s="1966">
        <v>0</v>
      </c>
      <c r="EC15" s="1966">
        <v>0</v>
      </c>
      <c r="ED15" s="896">
        <v>0</v>
      </c>
      <c r="EE15" s="896">
        <v>0</v>
      </c>
      <c r="EF15" s="896">
        <v>0</v>
      </c>
      <c r="EG15" s="1966">
        <v>0</v>
      </c>
      <c r="EH15" s="1966">
        <v>0</v>
      </c>
      <c r="EI15" s="1966">
        <v>0</v>
      </c>
      <c r="EJ15" s="1966">
        <v>91</v>
      </c>
      <c r="EK15" s="1966">
        <v>15</v>
      </c>
      <c r="EL15" s="1966">
        <v>0</v>
      </c>
      <c r="EM15" s="1966">
        <v>0</v>
      </c>
      <c r="EN15" s="1966">
        <v>0</v>
      </c>
      <c r="EO15" s="1966">
        <v>0</v>
      </c>
      <c r="EP15" s="1966">
        <v>0</v>
      </c>
      <c r="EQ15" s="896">
        <v>0</v>
      </c>
      <c r="ER15" s="1966">
        <v>0</v>
      </c>
      <c r="ES15" s="1966">
        <v>0</v>
      </c>
      <c r="ET15" s="1966">
        <v>0</v>
      </c>
      <c r="EU15" s="1966">
        <v>0</v>
      </c>
      <c r="EV15" s="1966">
        <v>52</v>
      </c>
      <c r="EW15" s="1966">
        <v>0</v>
      </c>
      <c r="EX15" s="1966">
        <v>22</v>
      </c>
      <c r="EY15" s="1966">
        <v>0</v>
      </c>
      <c r="EZ15" s="1966">
        <v>8</v>
      </c>
      <c r="FA15" s="1966">
        <v>0</v>
      </c>
      <c r="FB15" s="1966">
        <v>0</v>
      </c>
      <c r="FC15" s="1966">
        <v>199</v>
      </c>
      <c r="FD15" s="1966">
        <v>0</v>
      </c>
      <c r="FE15" s="1966">
        <v>0</v>
      </c>
      <c r="FF15" s="1973">
        <v>0</v>
      </c>
      <c r="FG15" s="1973">
        <v>0</v>
      </c>
      <c r="FH15" s="1973">
        <v>0</v>
      </c>
      <c r="FI15" s="1973">
        <v>0</v>
      </c>
      <c r="FJ15" s="1973">
        <v>11</v>
      </c>
      <c r="FK15" s="1973">
        <v>0</v>
      </c>
      <c r="FL15" s="1973">
        <v>194</v>
      </c>
      <c r="FM15" s="1973">
        <v>0</v>
      </c>
      <c r="FN15" s="1973">
        <v>337</v>
      </c>
      <c r="FO15" s="1973">
        <v>17</v>
      </c>
      <c r="FP15" s="1683">
        <v>0</v>
      </c>
      <c r="FQ15" s="1973">
        <v>94</v>
      </c>
      <c r="FR15" s="1973">
        <v>0</v>
      </c>
      <c r="FS15" s="1973">
        <v>98</v>
      </c>
      <c r="FT15" s="1973">
        <v>0</v>
      </c>
      <c r="FU15" s="1989">
        <v>0</v>
      </c>
      <c r="FV15" s="2162">
        <v>70</v>
      </c>
      <c r="FW15" s="2162">
        <v>0</v>
      </c>
      <c r="FX15" s="3681">
        <v>194</v>
      </c>
      <c r="FY15" s="3681">
        <v>0</v>
      </c>
      <c r="FZ15" s="3754">
        <v>0</v>
      </c>
      <c r="GA15" s="4417">
        <v>3</v>
      </c>
      <c r="GB15" s="4894">
        <v>67</v>
      </c>
      <c r="GC15" s="4980">
        <v>0</v>
      </c>
      <c r="GD15" s="928"/>
      <c r="GE15" s="910">
        <v>4504</v>
      </c>
      <c r="GF15" s="932">
        <v>2083</v>
      </c>
      <c r="GG15" s="919">
        <v>6587</v>
      </c>
      <c r="GH15" s="920">
        <v>2076</v>
      </c>
      <c r="GI15" s="649">
        <v>611</v>
      </c>
      <c r="GJ15" s="649">
        <v>1575</v>
      </c>
      <c r="GK15" s="650">
        <v>0</v>
      </c>
      <c r="GL15" s="650">
        <v>1807</v>
      </c>
      <c r="GM15" s="650">
        <v>199</v>
      </c>
      <c r="GN15" s="650">
        <v>85</v>
      </c>
      <c r="GO15" s="650">
        <v>0</v>
      </c>
      <c r="GP15" s="650">
        <v>0</v>
      </c>
      <c r="GQ15" s="650">
        <v>72</v>
      </c>
      <c r="GR15" s="4637">
        <v>162</v>
      </c>
      <c r="GS15" s="13">
        <v>0</v>
      </c>
      <c r="GT15" s="4638">
        <v>97.44</v>
      </c>
      <c r="GU15" s="13"/>
      <c r="GW15" s="182"/>
      <c r="GX15" s="181"/>
      <c r="GY15" s="183"/>
      <c r="GZ15" s="183"/>
      <c r="HA15" s="18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6"/>
      <c r="JK15" s="13"/>
      <c r="JL15" s="13"/>
      <c r="JM15" s="13"/>
    </row>
    <row r="16" spans="1:273" ht="23.25" customHeight="1" thickBot="1">
      <c r="A16" s="609">
        <v>0.5</v>
      </c>
      <c r="B16" s="1927">
        <v>0</v>
      </c>
      <c r="C16" s="1928">
        <v>0</v>
      </c>
      <c r="D16" s="1928">
        <v>231</v>
      </c>
      <c r="E16" s="1928">
        <v>0</v>
      </c>
      <c r="F16" s="1936">
        <v>0</v>
      </c>
      <c r="G16" s="1936">
        <v>0</v>
      </c>
      <c r="H16" s="1928">
        <v>0</v>
      </c>
      <c r="I16" s="1928">
        <v>0</v>
      </c>
      <c r="J16" s="1928">
        <v>202</v>
      </c>
      <c r="K16" s="758"/>
      <c r="L16" s="758">
        <v>0</v>
      </c>
      <c r="M16" s="1928">
        <v>180</v>
      </c>
      <c r="N16" s="1928">
        <v>0</v>
      </c>
      <c r="O16" s="1928">
        <v>0</v>
      </c>
      <c r="P16" s="1928">
        <v>0</v>
      </c>
      <c r="Q16" s="1928">
        <v>16</v>
      </c>
      <c r="R16" s="1928">
        <v>0</v>
      </c>
      <c r="S16" s="758">
        <v>0</v>
      </c>
      <c r="T16" s="758">
        <v>0</v>
      </c>
      <c r="U16" s="1928">
        <v>0</v>
      </c>
      <c r="V16" s="1936">
        <v>84</v>
      </c>
      <c r="W16" s="1928">
        <v>6</v>
      </c>
      <c r="X16" s="1928">
        <v>0</v>
      </c>
      <c r="Y16" s="1928">
        <v>0</v>
      </c>
      <c r="Z16" s="758">
        <v>0</v>
      </c>
      <c r="AA16" s="1928">
        <v>0</v>
      </c>
      <c r="AB16" s="1928">
        <v>35</v>
      </c>
      <c r="AC16" s="1928">
        <v>35</v>
      </c>
      <c r="AD16" s="1928">
        <v>17</v>
      </c>
      <c r="AE16" s="1928">
        <v>16</v>
      </c>
      <c r="AF16" s="1928">
        <v>25</v>
      </c>
      <c r="AG16" s="1928">
        <v>9</v>
      </c>
      <c r="AH16" s="1928">
        <v>16</v>
      </c>
      <c r="AI16" s="1928">
        <v>33</v>
      </c>
      <c r="AJ16" s="1928">
        <v>2</v>
      </c>
      <c r="AK16" s="758">
        <v>0</v>
      </c>
      <c r="AL16" s="758">
        <v>43</v>
      </c>
      <c r="AM16" s="1928">
        <v>40</v>
      </c>
      <c r="AN16" s="1928">
        <v>0</v>
      </c>
      <c r="AO16" s="1928">
        <v>0</v>
      </c>
      <c r="AP16" s="1928">
        <v>0</v>
      </c>
      <c r="AQ16" s="1928">
        <v>0</v>
      </c>
      <c r="AR16" s="758">
        <v>0</v>
      </c>
      <c r="AS16" s="1928">
        <v>0</v>
      </c>
      <c r="AT16" s="758">
        <v>0</v>
      </c>
      <c r="AU16" s="758"/>
      <c r="AV16" s="1928">
        <v>19</v>
      </c>
      <c r="AW16" s="1928">
        <v>0</v>
      </c>
      <c r="AX16" s="1928">
        <v>0</v>
      </c>
      <c r="AY16" s="1928">
        <v>40</v>
      </c>
      <c r="AZ16" s="1928">
        <v>12</v>
      </c>
      <c r="BA16" s="1928">
        <v>0</v>
      </c>
      <c r="BB16" s="1928">
        <v>21</v>
      </c>
      <c r="BC16" s="1928">
        <v>0</v>
      </c>
      <c r="BD16" s="1928">
        <v>0</v>
      </c>
      <c r="BE16" s="758">
        <v>0</v>
      </c>
      <c r="BF16" s="758">
        <v>80</v>
      </c>
      <c r="BG16" s="1928">
        <v>140</v>
      </c>
      <c r="BH16" s="1928">
        <v>270</v>
      </c>
      <c r="BI16" s="1928">
        <v>162</v>
      </c>
      <c r="BJ16" s="1928">
        <v>8</v>
      </c>
      <c r="BK16" s="1928">
        <v>125</v>
      </c>
      <c r="BL16" s="758">
        <v>3</v>
      </c>
      <c r="BM16" s="1928">
        <v>5</v>
      </c>
      <c r="BN16" s="758">
        <v>0</v>
      </c>
      <c r="BO16" s="1936">
        <v>51</v>
      </c>
      <c r="BP16" s="759">
        <v>0</v>
      </c>
      <c r="BQ16" s="1936">
        <v>0</v>
      </c>
      <c r="BR16" s="1928">
        <v>8</v>
      </c>
      <c r="BS16" s="1936">
        <v>21</v>
      </c>
      <c r="BT16" s="1936">
        <v>11</v>
      </c>
      <c r="BU16" s="1936">
        <v>14</v>
      </c>
      <c r="BV16" s="1936">
        <v>9</v>
      </c>
      <c r="BW16" s="1947">
        <v>80</v>
      </c>
      <c r="BX16" s="1936">
        <v>49</v>
      </c>
      <c r="BY16" s="1936">
        <v>0</v>
      </c>
      <c r="BZ16" s="1936">
        <v>20</v>
      </c>
      <c r="CA16" s="1957">
        <v>2</v>
      </c>
      <c r="CB16" s="1936">
        <v>43</v>
      </c>
      <c r="CC16" s="1936">
        <v>0</v>
      </c>
      <c r="CD16" s="1936">
        <v>51</v>
      </c>
      <c r="CE16" s="4198">
        <v>0</v>
      </c>
      <c r="CF16" s="1936">
        <v>163</v>
      </c>
      <c r="CG16" s="1936">
        <v>0</v>
      </c>
      <c r="CH16" s="1936">
        <v>64</v>
      </c>
      <c r="CI16" s="1936">
        <v>75</v>
      </c>
      <c r="CJ16" s="1936">
        <v>0</v>
      </c>
      <c r="CK16" s="1936">
        <v>165</v>
      </c>
      <c r="CL16" s="1936">
        <v>18</v>
      </c>
      <c r="CM16" s="1936">
        <v>0</v>
      </c>
      <c r="CN16" s="1936">
        <v>10</v>
      </c>
      <c r="CO16" s="1936">
        <v>290</v>
      </c>
      <c r="CP16" s="1936">
        <v>21</v>
      </c>
      <c r="CQ16" s="1936">
        <v>0</v>
      </c>
      <c r="CR16" s="759">
        <v>0</v>
      </c>
      <c r="CS16" s="1936">
        <v>163</v>
      </c>
      <c r="CT16" s="1936">
        <v>0</v>
      </c>
      <c r="CU16" s="759">
        <v>0</v>
      </c>
      <c r="CV16" s="1936">
        <v>171</v>
      </c>
      <c r="CW16" s="759">
        <v>0</v>
      </c>
      <c r="CX16" s="1936">
        <v>33</v>
      </c>
      <c r="CY16" s="1953">
        <v>19</v>
      </c>
      <c r="CZ16" s="1936">
        <v>90</v>
      </c>
      <c r="DA16" s="1936">
        <v>2</v>
      </c>
      <c r="DB16" s="1936">
        <v>135</v>
      </c>
      <c r="DC16" s="1936">
        <v>0</v>
      </c>
      <c r="DD16" s="1936">
        <v>50</v>
      </c>
      <c r="DE16" s="1936">
        <v>87</v>
      </c>
      <c r="DF16" s="1936">
        <v>61</v>
      </c>
      <c r="DG16" s="1936">
        <v>4</v>
      </c>
      <c r="DH16" s="1936">
        <v>40</v>
      </c>
      <c r="DI16" s="2054">
        <v>54</v>
      </c>
      <c r="DJ16" s="2067">
        <v>104</v>
      </c>
      <c r="DK16" s="2937">
        <v>29</v>
      </c>
      <c r="DL16" s="3069">
        <v>0</v>
      </c>
      <c r="DM16" s="3069">
        <v>100</v>
      </c>
      <c r="DN16" s="3435">
        <v>200</v>
      </c>
      <c r="DO16" s="3510">
        <v>35</v>
      </c>
      <c r="DP16" s="3678">
        <v>43</v>
      </c>
      <c r="DQ16" s="3710">
        <v>162</v>
      </c>
      <c r="DR16" s="3773">
        <v>116</v>
      </c>
      <c r="DS16" s="3838">
        <v>0</v>
      </c>
      <c r="DT16" s="3838">
        <v>17</v>
      </c>
      <c r="DU16" s="4035">
        <v>25</v>
      </c>
      <c r="DV16" s="3678">
        <v>0</v>
      </c>
      <c r="DW16" s="3678">
        <v>0</v>
      </c>
      <c r="DX16" s="759"/>
      <c r="DY16" s="1962">
        <v>610</v>
      </c>
      <c r="DZ16" s="1966">
        <v>0</v>
      </c>
      <c r="EA16" s="1966">
        <v>0</v>
      </c>
      <c r="EB16" s="1966">
        <v>0</v>
      </c>
      <c r="EC16" s="1966">
        <v>0</v>
      </c>
      <c r="ED16" s="896">
        <v>0</v>
      </c>
      <c r="EE16" s="896">
        <v>0</v>
      </c>
      <c r="EF16" s="896">
        <v>0</v>
      </c>
      <c r="EG16" s="1966">
        <v>0</v>
      </c>
      <c r="EH16" s="1966">
        <v>0</v>
      </c>
      <c r="EI16" s="1966">
        <v>0</v>
      </c>
      <c r="EJ16" s="1966">
        <v>91</v>
      </c>
      <c r="EK16" s="1966">
        <v>16</v>
      </c>
      <c r="EL16" s="1966">
        <v>0</v>
      </c>
      <c r="EM16" s="1966">
        <v>0</v>
      </c>
      <c r="EN16" s="1966">
        <v>0</v>
      </c>
      <c r="EO16" s="1966">
        <v>0</v>
      </c>
      <c r="EP16" s="1966">
        <v>0</v>
      </c>
      <c r="EQ16" s="896">
        <v>0</v>
      </c>
      <c r="ER16" s="1966">
        <v>0</v>
      </c>
      <c r="ES16" s="1966">
        <v>0</v>
      </c>
      <c r="ET16" s="1966">
        <v>0</v>
      </c>
      <c r="EU16" s="1966">
        <v>0</v>
      </c>
      <c r="EV16" s="1966">
        <v>52</v>
      </c>
      <c r="EW16" s="1966">
        <v>0</v>
      </c>
      <c r="EX16" s="1966">
        <v>22</v>
      </c>
      <c r="EY16" s="1966">
        <v>0</v>
      </c>
      <c r="EZ16" s="1966">
        <v>8</v>
      </c>
      <c r="FA16" s="1966">
        <v>0</v>
      </c>
      <c r="FB16" s="1966">
        <v>0</v>
      </c>
      <c r="FC16" s="1966">
        <v>199</v>
      </c>
      <c r="FD16" s="1966">
        <v>0</v>
      </c>
      <c r="FE16" s="1966">
        <v>0</v>
      </c>
      <c r="FF16" s="1973">
        <v>0</v>
      </c>
      <c r="FG16" s="1973">
        <v>0</v>
      </c>
      <c r="FH16" s="1973">
        <v>0</v>
      </c>
      <c r="FI16" s="1973">
        <v>0</v>
      </c>
      <c r="FJ16" s="1973">
        <v>11</v>
      </c>
      <c r="FK16" s="1973">
        <v>0</v>
      </c>
      <c r="FL16" s="1973">
        <v>208</v>
      </c>
      <c r="FM16" s="1973">
        <v>0</v>
      </c>
      <c r="FN16" s="1973">
        <v>414</v>
      </c>
      <c r="FO16" s="1973">
        <v>17</v>
      </c>
      <c r="FP16" s="1683">
        <v>0</v>
      </c>
      <c r="FQ16" s="1973">
        <v>94</v>
      </c>
      <c r="FR16" s="1973">
        <v>0</v>
      </c>
      <c r="FS16" s="1973">
        <v>49</v>
      </c>
      <c r="FT16" s="1973">
        <v>0</v>
      </c>
      <c r="FU16" s="1989">
        <v>0</v>
      </c>
      <c r="FV16" s="2162">
        <v>90</v>
      </c>
      <c r="FW16" s="2162">
        <v>0</v>
      </c>
      <c r="FX16" s="3681">
        <v>194</v>
      </c>
      <c r="FY16" s="3681">
        <v>0</v>
      </c>
      <c r="FZ16" s="3754">
        <v>0</v>
      </c>
      <c r="GA16" s="4417">
        <v>5</v>
      </c>
      <c r="GB16" s="4894">
        <v>72</v>
      </c>
      <c r="GC16" s="4980">
        <v>0</v>
      </c>
      <c r="GD16" s="928"/>
      <c r="GE16" s="910">
        <v>4780</v>
      </c>
      <c r="GF16" s="932">
        <v>2152</v>
      </c>
      <c r="GG16" s="919">
        <v>6932</v>
      </c>
      <c r="GH16" s="920">
        <v>2073</v>
      </c>
      <c r="GI16" s="649">
        <v>610</v>
      </c>
      <c r="GJ16" s="649">
        <v>1692</v>
      </c>
      <c r="GK16" s="650">
        <v>0</v>
      </c>
      <c r="GL16" s="650">
        <v>2019</v>
      </c>
      <c r="GM16" s="650">
        <v>199</v>
      </c>
      <c r="GN16" s="650">
        <v>83</v>
      </c>
      <c r="GO16" s="650">
        <v>0</v>
      </c>
      <c r="GP16" s="650">
        <v>6</v>
      </c>
      <c r="GQ16" s="650">
        <v>80</v>
      </c>
      <c r="GR16" s="4637">
        <v>170</v>
      </c>
      <c r="GS16" s="13">
        <v>0</v>
      </c>
      <c r="GT16" s="4638">
        <v>97.43</v>
      </c>
      <c r="GU16" s="13"/>
      <c r="GW16" s="182"/>
      <c r="GX16" s="181"/>
      <c r="GY16" s="183"/>
      <c r="GZ16" s="183"/>
      <c r="HA16" s="18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6"/>
      <c r="JK16" s="13"/>
      <c r="JL16" s="13"/>
      <c r="JM16" s="13"/>
    </row>
    <row r="17" spans="1:273" ht="21.75" customHeight="1" thickBot="1">
      <c r="A17" s="609">
        <v>0.54166666666666896</v>
      </c>
      <c r="B17" s="1927">
        <v>0</v>
      </c>
      <c r="C17" s="1928">
        <v>0</v>
      </c>
      <c r="D17" s="1928">
        <v>239</v>
      </c>
      <c r="E17" s="1928">
        <v>0</v>
      </c>
      <c r="F17" s="1936">
        <v>0</v>
      </c>
      <c r="G17" s="1936">
        <v>0</v>
      </c>
      <c r="H17" s="1928">
        <v>0</v>
      </c>
      <c r="I17" s="1928">
        <v>0</v>
      </c>
      <c r="J17" s="1928">
        <v>205</v>
      </c>
      <c r="K17" s="758"/>
      <c r="L17" s="758">
        <v>0</v>
      </c>
      <c r="M17" s="1928">
        <v>180</v>
      </c>
      <c r="N17" s="1928">
        <v>0</v>
      </c>
      <c r="O17" s="1928">
        <v>0</v>
      </c>
      <c r="P17" s="1928">
        <v>0</v>
      </c>
      <c r="Q17" s="1928">
        <v>30</v>
      </c>
      <c r="R17" s="1928">
        <v>0</v>
      </c>
      <c r="S17" s="758">
        <v>0</v>
      </c>
      <c r="T17" s="758">
        <v>0</v>
      </c>
      <c r="U17" s="1928">
        <v>0</v>
      </c>
      <c r="V17" s="1936">
        <v>102</v>
      </c>
      <c r="W17" s="1928">
        <v>32</v>
      </c>
      <c r="X17" s="1928">
        <v>11</v>
      </c>
      <c r="Y17" s="1928">
        <v>0</v>
      </c>
      <c r="Z17" s="758">
        <v>0</v>
      </c>
      <c r="AA17" s="1928">
        <v>0</v>
      </c>
      <c r="AB17" s="1928">
        <v>35</v>
      </c>
      <c r="AC17" s="1928">
        <v>35</v>
      </c>
      <c r="AD17" s="1928">
        <v>17</v>
      </c>
      <c r="AE17" s="1928">
        <v>16</v>
      </c>
      <c r="AF17" s="1928">
        <v>25</v>
      </c>
      <c r="AG17" s="1928">
        <v>6</v>
      </c>
      <c r="AH17" s="1928">
        <v>16</v>
      </c>
      <c r="AI17" s="1928">
        <v>33</v>
      </c>
      <c r="AJ17" s="1928">
        <v>18</v>
      </c>
      <c r="AK17" s="758">
        <v>0</v>
      </c>
      <c r="AL17" s="758">
        <v>33</v>
      </c>
      <c r="AM17" s="1928">
        <v>40</v>
      </c>
      <c r="AN17" s="1928">
        <v>0</v>
      </c>
      <c r="AO17" s="1928">
        <v>0</v>
      </c>
      <c r="AP17" s="1928">
        <v>0</v>
      </c>
      <c r="AQ17" s="1928">
        <v>0</v>
      </c>
      <c r="AR17" s="758">
        <v>0</v>
      </c>
      <c r="AS17" s="1928">
        <v>0</v>
      </c>
      <c r="AT17" s="758">
        <v>0</v>
      </c>
      <c r="AU17" s="758"/>
      <c r="AV17" s="1928">
        <v>22</v>
      </c>
      <c r="AW17" s="1928">
        <v>0</v>
      </c>
      <c r="AX17" s="1928">
        <v>0</v>
      </c>
      <c r="AY17" s="1928">
        <v>100</v>
      </c>
      <c r="AZ17" s="1928">
        <v>12</v>
      </c>
      <c r="BA17" s="1928">
        <v>0</v>
      </c>
      <c r="BB17" s="1928">
        <v>21</v>
      </c>
      <c r="BC17" s="1928">
        <v>0</v>
      </c>
      <c r="BD17" s="1928">
        <v>0</v>
      </c>
      <c r="BE17" s="758">
        <v>0</v>
      </c>
      <c r="BF17" s="758">
        <v>80</v>
      </c>
      <c r="BG17" s="1928">
        <v>195</v>
      </c>
      <c r="BH17" s="1928">
        <v>45</v>
      </c>
      <c r="BI17" s="1928">
        <v>170</v>
      </c>
      <c r="BJ17" s="1928">
        <v>8</v>
      </c>
      <c r="BK17" s="1928">
        <v>123</v>
      </c>
      <c r="BL17" s="758">
        <v>3</v>
      </c>
      <c r="BM17" s="1928">
        <v>5</v>
      </c>
      <c r="BN17" s="758">
        <v>0</v>
      </c>
      <c r="BO17" s="1936">
        <v>51</v>
      </c>
      <c r="BP17" s="759">
        <v>0</v>
      </c>
      <c r="BQ17" s="1936">
        <v>0</v>
      </c>
      <c r="BR17" s="1928">
        <v>8</v>
      </c>
      <c r="BS17" s="1936">
        <v>21</v>
      </c>
      <c r="BT17" s="1936">
        <v>11</v>
      </c>
      <c r="BU17" s="1936">
        <v>14</v>
      </c>
      <c r="BV17" s="1936">
        <v>9</v>
      </c>
      <c r="BW17" s="1947">
        <v>82</v>
      </c>
      <c r="BX17" s="1936">
        <v>49</v>
      </c>
      <c r="BY17" s="1936">
        <v>0</v>
      </c>
      <c r="BZ17" s="1936">
        <v>20</v>
      </c>
      <c r="CA17" s="1957">
        <v>2</v>
      </c>
      <c r="CB17" s="1936">
        <v>43</v>
      </c>
      <c r="CC17" s="1936">
        <v>0</v>
      </c>
      <c r="CD17" s="1936">
        <v>48</v>
      </c>
      <c r="CE17" s="4198">
        <v>0</v>
      </c>
      <c r="CF17" s="1936">
        <v>163</v>
      </c>
      <c r="CG17" s="1936">
        <v>0</v>
      </c>
      <c r="CH17" s="1936">
        <v>65</v>
      </c>
      <c r="CI17" s="1936">
        <v>75</v>
      </c>
      <c r="CJ17" s="1936">
        <v>0</v>
      </c>
      <c r="CK17" s="1936">
        <v>191</v>
      </c>
      <c r="CL17" s="1936">
        <v>18</v>
      </c>
      <c r="CM17" s="1936">
        <v>0</v>
      </c>
      <c r="CN17" s="1936">
        <v>10</v>
      </c>
      <c r="CO17" s="1936">
        <v>310</v>
      </c>
      <c r="CP17" s="1936">
        <v>21</v>
      </c>
      <c r="CQ17" s="1936">
        <v>8</v>
      </c>
      <c r="CR17" s="759">
        <v>0</v>
      </c>
      <c r="CS17" s="1936">
        <v>255</v>
      </c>
      <c r="CT17" s="1936">
        <v>0</v>
      </c>
      <c r="CU17" s="759">
        <v>0</v>
      </c>
      <c r="CV17" s="1936">
        <v>172</v>
      </c>
      <c r="CW17" s="759">
        <v>0</v>
      </c>
      <c r="CX17" s="1936">
        <v>112</v>
      </c>
      <c r="CY17" s="1953">
        <v>19</v>
      </c>
      <c r="CZ17" s="1936">
        <v>90</v>
      </c>
      <c r="DA17" s="1936">
        <v>24</v>
      </c>
      <c r="DB17" s="1936">
        <v>140</v>
      </c>
      <c r="DC17" s="1936">
        <v>0</v>
      </c>
      <c r="DD17" s="1936">
        <v>83</v>
      </c>
      <c r="DE17" s="1936">
        <v>90</v>
      </c>
      <c r="DF17" s="1936">
        <v>77</v>
      </c>
      <c r="DG17" s="1936">
        <v>4</v>
      </c>
      <c r="DH17" s="1936">
        <v>90</v>
      </c>
      <c r="DI17" s="2054">
        <v>54</v>
      </c>
      <c r="DJ17" s="2067">
        <v>110</v>
      </c>
      <c r="DK17" s="2937">
        <v>56</v>
      </c>
      <c r="DL17" s="3069">
        <v>0</v>
      </c>
      <c r="DM17" s="3069">
        <v>100</v>
      </c>
      <c r="DN17" s="3435">
        <v>200</v>
      </c>
      <c r="DO17" s="3510">
        <v>40</v>
      </c>
      <c r="DP17" s="3678">
        <v>41</v>
      </c>
      <c r="DQ17" s="3710">
        <v>162</v>
      </c>
      <c r="DR17" s="3773">
        <v>116</v>
      </c>
      <c r="DS17" s="3838">
        <v>0</v>
      </c>
      <c r="DT17" s="3838">
        <v>17</v>
      </c>
      <c r="DU17" s="4035">
        <v>28</v>
      </c>
      <c r="DV17" s="3678">
        <v>0</v>
      </c>
      <c r="DW17" s="3678">
        <v>0</v>
      </c>
      <c r="DX17" s="759"/>
      <c r="DY17" s="1962">
        <v>610</v>
      </c>
      <c r="DZ17" s="1966">
        <v>0</v>
      </c>
      <c r="EA17" s="1966">
        <v>0</v>
      </c>
      <c r="EB17" s="1966">
        <v>0</v>
      </c>
      <c r="EC17" s="1966">
        <v>0</v>
      </c>
      <c r="ED17" s="896">
        <v>0</v>
      </c>
      <c r="EE17" s="896">
        <v>0</v>
      </c>
      <c r="EF17" s="896">
        <v>0</v>
      </c>
      <c r="EG17" s="1966">
        <v>0</v>
      </c>
      <c r="EH17" s="1966">
        <v>0</v>
      </c>
      <c r="EI17" s="1966">
        <v>0</v>
      </c>
      <c r="EJ17" s="1966">
        <v>88</v>
      </c>
      <c r="EK17" s="1966">
        <v>17</v>
      </c>
      <c r="EL17" s="1966">
        <v>0</v>
      </c>
      <c r="EM17" s="1966">
        <v>0</v>
      </c>
      <c r="EN17" s="1966">
        <v>0</v>
      </c>
      <c r="EO17" s="1966">
        <v>0</v>
      </c>
      <c r="EP17" s="1966">
        <v>0</v>
      </c>
      <c r="EQ17" s="896">
        <v>0</v>
      </c>
      <c r="ER17" s="1966">
        <v>0</v>
      </c>
      <c r="ES17" s="1966">
        <v>0</v>
      </c>
      <c r="ET17" s="1966">
        <v>24</v>
      </c>
      <c r="EU17" s="1966">
        <v>0</v>
      </c>
      <c r="EV17" s="1966">
        <v>52</v>
      </c>
      <c r="EW17" s="1966">
        <v>0</v>
      </c>
      <c r="EX17" s="1966">
        <v>22</v>
      </c>
      <c r="EY17" s="1966">
        <v>0</v>
      </c>
      <c r="EZ17" s="1966">
        <v>8</v>
      </c>
      <c r="FA17" s="1966">
        <v>0</v>
      </c>
      <c r="FB17" s="1966">
        <v>0</v>
      </c>
      <c r="FC17" s="1966">
        <v>199</v>
      </c>
      <c r="FD17" s="1966">
        <v>0</v>
      </c>
      <c r="FE17" s="1966">
        <v>0</v>
      </c>
      <c r="FF17" s="1973">
        <v>0</v>
      </c>
      <c r="FG17" s="1973">
        <v>0</v>
      </c>
      <c r="FH17" s="1973">
        <v>0</v>
      </c>
      <c r="FI17" s="1973">
        <v>0</v>
      </c>
      <c r="FJ17" s="1973">
        <v>11</v>
      </c>
      <c r="FK17" s="1973">
        <v>0</v>
      </c>
      <c r="FL17" s="1973">
        <v>202</v>
      </c>
      <c r="FM17" s="1973">
        <v>0</v>
      </c>
      <c r="FN17" s="1973">
        <v>393</v>
      </c>
      <c r="FO17" s="1973">
        <v>31</v>
      </c>
      <c r="FP17" s="1683">
        <v>0</v>
      </c>
      <c r="FQ17" s="1973">
        <v>94</v>
      </c>
      <c r="FR17" s="1973">
        <v>0</v>
      </c>
      <c r="FS17" s="1973">
        <v>47</v>
      </c>
      <c r="FT17" s="1973">
        <v>0</v>
      </c>
      <c r="FU17" s="1989">
        <v>0</v>
      </c>
      <c r="FV17" s="2162">
        <v>113</v>
      </c>
      <c r="FW17" s="2162">
        <v>0</v>
      </c>
      <c r="FX17" s="3681">
        <v>195</v>
      </c>
      <c r="FY17" s="3681">
        <v>0</v>
      </c>
      <c r="FZ17" s="3754">
        <v>0</v>
      </c>
      <c r="GA17" s="4417">
        <v>4</v>
      </c>
      <c r="GB17" s="4894">
        <v>69</v>
      </c>
      <c r="GC17" s="4980">
        <v>0</v>
      </c>
      <c r="GD17" s="928"/>
      <c r="GE17" s="910">
        <v>5156</v>
      </c>
      <c r="GF17" s="932">
        <v>2179</v>
      </c>
      <c r="GG17" s="919">
        <v>7335</v>
      </c>
      <c r="GH17" s="920">
        <v>1940</v>
      </c>
      <c r="GI17" s="649">
        <v>610</v>
      </c>
      <c r="GJ17" s="649">
        <v>1693</v>
      </c>
      <c r="GK17" s="650">
        <v>0</v>
      </c>
      <c r="GL17" s="650">
        <v>2539</v>
      </c>
      <c r="GM17" s="650">
        <v>199</v>
      </c>
      <c r="GN17" s="650">
        <v>73</v>
      </c>
      <c r="GO17" s="650">
        <v>0</v>
      </c>
      <c r="GP17" s="650">
        <v>32</v>
      </c>
      <c r="GQ17" s="650">
        <v>82</v>
      </c>
      <c r="GR17" s="4637">
        <v>167</v>
      </c>
      <c r="GS17" s="13">
        <v>0</v>
      </c>
      <c r="GT17" s="4639">
        <v>97.41</v>
      </c>
      <c r="GU17" s="13"/>
      <c r="GV17" s="13"/>
      <c r="GW17" s="181"/>
      <c r="GX17" s="181"/>
      <c r="GY17" s="181"/>
      <c r="GZ17" s="181"/>
      <c r="HA17" s="181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6"/>
      <c r="JK17" s="13"/>
      <c r="JL17" s="13"/>
      <c r="JM17" s="13"/>
    </row>
    <row r="18" spans="1:273" ht="21.75" customHeight="1" thickBot="1">
      <c r="A18" s="609">
        <v>0.58333333333333337</v>
      </c>
      <c r="B18" s="1927">
        <v>0</v>
      </c>
      <c r="C18" s="1928">
        <v>0</v>
      </c>
      <c r="D18" s="1928">
        <v>243</v>
      </c>
      <c r="E18" s="1928">
        <v>0</v>
      </c>
      <c r="F18" s="1936">
        <v>0</v>
      </c>
      <c r="G18" s="1936">
        <v>0</v>
      </c>
      <c r="H18" s="1928">
        <v>0</v>
      </c>
      <c r="I18" s="1928">
        <v>0</v>
      </c>
      <c r="J18" s="1928">
        <v>200</v>
      </c>
      <c r="K18" s="758"/>
      <c r="L18" s="758">
        <v>0</v>
      </c>
      <c r="M18" s="1928">
        <v>180</v>
      </c>
      <c r="N18" s="1928">
        <v>0</v>
      </c>
      <c r="O18" s="1928">
        <v>0</v>
      </c>
      <c r="P18" s="1928">
        <v>0</v>
      </c>
      <c r="Q18" s="1928">
        <v>15</v>
      </c>
      <c r="R18" s="1928">
        <v>0</v>
      </c>
      <c r="S18" s="758">
        <v>0</v>
      </c>
      <c r="T18" s="758">
        <v>0</v>
      </c>
      <c r="U18" s="1928">
        <v>0</v>
      </c>
      <c r="V18" s="1936">
        <v>24</v>
      </c>
      <c r="W18" s="1928">
        <v>0</v>
      </c>
      <c r="X18" s="1928">
        <v>10</v>
      </c>
      <c r="Y18" s="1928">
        <v>0</v>
      </c>
      <c r="Z18" s="758">
        <v>0</v>
      </c>
      <c r="AA18" s="1928">
        <v>0</v>
      </c>
      <c r="AB18" s="1928">
        <v>35</v>
      </c>
      <c r="AC18" s="1928">
        <v>35</v>
      </c>
      <c r="AD18" s="1928">
        <v>17</v>
      </c>
      <c r="AE18" s="1928">
        <v>16</v>
      </c>
      <c r="AF18" s="1928">
        <v>25</v>
      </c>
      <c r="AG18" s="1928">
        <v>6</v>
      </c>
      <c r="AH18" s="1928">
        <v>16</v>
      </c>
      <c r="AI18" s="1928">
        <v>33</v>
      </c>
      <c r="AJ18" s="1928">
        <v>0</v>
      </c>
      <c r="AK18" s="758">
        <v>0</v>
      </c>
      <c r="AL18" s="758">
        <v>35</v>
      </c>
      <c r="AM18" s="1928">
        <v>40</v>
      </c>
      <c r="AN18" s="1928">
        <v>0</v>
      </c>
      <c r="AO18" s="1928">
        <v>0</v>
      </c>
      <c r="AP18" s="1928">
        <v>0</v>
      </c>
      <c r="AQ18" s="1928">
        <v>0</v>
      </c>
      <c r="AR18" s="758">
        <v>0</v>
      </c>
      <c r="AS18" s="1928">
        <v>0</v>
      </c>
      <c r="AT18" s="758">
        <v>0</v>
      </c>
      <c r="AU18" s="758"/>
      <c r="AV18" s="1928">
        <v>22</v>
      </c>
      <c r="AW18" s="1928">
        <v>0</v>
      </c>
      <c r="AX18" s="1928">
        <v>0</v>
      </c>
      <c r="AY18" s="1928">
        <v>30</v>
      </c>
      <c r="AZ18" s="1928">
        <v>12</v>
      </c>
      <c r="BA18" s="1928">
        <v>0</v>
      </c>
      <c r="BB18" s="1928">
        <v>21</v>
      </c>
      <c r="BC18" s="1928">
        <v>0</v>
      </c>
      <c r="BD18" s="1928">
        <v>0</v>
      </c>
      <c r="BE18" s="758">
        <v>0</v>
      </c>
      <c r="BF18" s="758">
        <v>80</v>
      </c>
      <c r="BG18" s="1928">
        <v>190</v>
      </c>
      <c r="BH18" s="1928">
        <v>50</v>
      </c>
      <c r="BI18" s="1928">
        <v>193</v>
      </c>
      <c r="BJ18" s="1928">
        <v>8</v>
      </c>
      <c r="BK18" s="1928">
        <v>118</v>
      </c>
      <c r="BL18" s="758">
        <v>3</v>
      </c>
      <c r="BM18" s="1928">
        <v>5</v>
      </c>
      <c r="BN18" s="758">
        <v>0</v>
      </c>
      <c r="BO18" s="1936">
        <v>51</v>
      </c>
      <c r="BP18" s="759">
        <v>0</v>
      </c>
      <c r="BQ18" s="1936">
        <v>0</v>
      </c>
      <c r="BR18" s="1928">
        <v>8</v>
      </c>
      <c r="BS18" s="1936">
        <v>21</v>
      </c>
      <c r="BT18" s="1936">
        <v>11</v>
      </c>
      <c r="BU18" s="1936">
        <v>16</v>
      </c>
      <c r="BV18" s="1936">
        <v>9</v>
      </c>
      <c r="BW18" s="1947">
        <v>71</v>
      </c>
      <c r="BX18" s="1936">
        <v>48</v>
      </c>
      <c r="BY18" s="1936">
        <v>0</v>
      </c>
      <c r="BZ18" s="1936">
        <v>20</v>
      </c>
      <c r="CA18" s="1957">
        <v>2</v>
      </c>
      <c r="CB18" s="1936">
        <v>43</v>
      </c>
      <c r="CC18" s="1936">
        <v>0</v>
      </c>
      <c r="CD18" s="1936">
        <v>45</v>
      </c>
      <c r="CE18" s="4198">
        <v>0</v>
      </c>
      <c r="CF18" s="1936">
        <v>110</v>
      </c>
      <c r="CG18" s="1936">
        <v>0</v>
      </c>
      <c r="CH18" s="1936">
        <v>40</v>
      </c>
      <c r="CI18" s="1936">
        <v>75</v>
      </c>
      <c r="CJ18" s="1936">
        <v>0</v>
      </c>
      <c r="CK18" s="1936">
        <v>191</v>
      </c>
      <c r="CL18" s="1936">
        <v>18</v>
      </c>
      <c r="CM18" s="1936">
        <v>0</v>
      </c>
      <c r="CN18" s="1936">
        <v>10</v>
      </c>
      <c r="CO18" s="1936">
        <v>275</v>
      </c>
      <c r="CP18" s="1936">
        <v>21</v>
      </c>
      <c r="CQ18" s="1936">
        <v>8</v>
      </c>
      <c r="CR18" s="759">
        <v>0</v>
      </c>
      <c r="CS18" s="1936">
        <v>130</v>
      </c>
      <c r="CT18" s="1936">
        <v>0</v>
      </c>
      <c r="CU18" s="759">
        <v>0</v>
      </c>
      <c r="CV18" s="1936">
        <v>182</v>
      </c>
      <c r="CW18" s="759">
        <v>0</v>
      </c>
      <c r="CX18" s="1936">
        <v>70</v>
      </c>
      <c r="CY18" s="1953">
        <v>16</v>
      </c>
      <c r="CZ18" s="1936">
        <v>90</v>
      </c>
      <c r="DA18" s="1936">
        <v>36</v>
      </c>
      <c r="DB18" s="1936">
        <v>137</v>
      </c>
      <c r="DC18" s="1936">
        <v>0</v>
      </c>
      <c r="DD18" s="1936">
        <v>25</v>
      </c>
      <c r="DE18" s="1936">
        <v>90</v>
      </c>
      <c r="DF18" s="1936">
        <v>68</v>
      </c>
      <c r="DG18" s="1936">
        <v>3</v>
      </c>
      <c r="DH18" s="1936">
        <v>30</v>
      </c>
      <c r="DI18" s="2054">
        <v>54</v>
      </c>
      <c r="DJ18" s="2067">
        <v>110</v>
      </c>
      <c r="DK18" s="2937">
        <v>0</v>
      </c>
      <c r="DL18" s="3069">
        <v>0</v>
      </c>
      <c r="DM18" s="3069">
        <v>100</v>
      </c>
      <c r="DN18" s="3435">
        <v>200</v>
      </c>
      <c r="DO18" s="3510">
        <v>87</v>
      </c>
      <c r="DP18" s="3678">
        <v>35</v>
      </c>
      <c r="DQ18" s="3710">
        <v>162</v>
      </c>
      <c r="DR18" s="3773">
        <v>116</v>
      </c>
      <c r="DS18" s="3838">
        <v>0</v>
      </c>
      <c r="DT18" s="3838">
        <v>17</v>
      </c>
      <c r="DU18" s="4035">
        <v>26</v>
      </c>
      <c r="DV18" s="3678">
        <v>0</v>
      </c>
      <c r="DW18" s="3678">
        <v>0</v>
      </c>
      <c r="DX18" s="759"/>
      <c r="DY18" s="1962">
        <v>469</v>
      </c>
      <c r="DZ18" s="1966">
        <v>0</v>
      </c>
      <c r="EA18" s="1966">
        <v>0</v>
      </c>
      <c r="EB18" s="1966">
        <v>0</v>
      </c>
      <c r="EC18" s="1966">
        <v>0</v>
      </c>
      <c r="ED18" s="896">
        <v>0</v>
      </c>
      <c r="EE18" s="896">
        <v>0</v>
      </c>
      <c r="EF18" s="896">
        <v>0</v>
      </c>
      <c r="EG18" s="1966">
        <v>0</v>
      </c>
      <c r="EH18" s="1966">
        <v>0</v>
      </c>
      <c r="EI18" s="1966">
        <v>0</v>
      </c>
      <c r="EJ18" s="1966">
        <v>91</v>
      </c>
      <c r="EK18" s="1966">
        <v>13</v>
      </c>
      <c r="EL18" s="1966">
        <v>0</v>
      </c>
      <c r="EM18" s="1966">
        <v>0</v>
      </c>
      <c r="EN18" s="1966">
        <v>0</v>
      </c>
      <c r="EO18" s="1966">
        <v>0</v>
      </c>
      <c r="EP18" s="1966">
        <v>0</v>
      </c>
      <c r="EQ18" s="896">
        <v>0</v>
      </c>
      <c r="ER18" s="1966">
        <v>0</v>
      </c>
      <c r="ES18" s="1966">
        <v>0</v>
      </c>
      <c r="ET18" s="1966">
        <v>0</v>
      </c>
      <c r="EU18" s="1966">
        <v>0</v>
      </c>
      <c r="EV18" s="1966">
        <v>52</v>
      </c>
      <c r="EW18" s="1966">
        <v>0</v>
      </c>
      <c r="EX18" s="1966">
        <v>22</v>
      </c>
      <c r="EY18" s="1966">
        <v>0</v>
      </c>
      <c r="EZ18" s="1966">
        <v>8</v>
      </c>
      <c r="FA18" s="1966">
        <v>0</v>
      </c>
      <c r="FB18" s="1966">
        <v>0</v>
      </c>
      <c r="FC18" s="1966">
        <v>199</v>
      </c>
      <c r="FD18" s="1966">
        <v>0</v>
      </c>
      <c r="FE18" s="1966">
        <v>0</v>
      </c>
      <c r="FF18" s="1973">
        <v>0</v>
      </c>
      <c r="FG18" s="1973">
        <v>0</v>
      </c>
      <c r="FH18" s="1973">
        <v>0</v>
      </c>
      <c r="FI18" s="1973">
        <v>0</v>
      </c>
      <c r="FJ18" s="1973">
        <v>11</v>
      </c>
      <c r="FK18" s="1973">
        <v>0</v>
      </c>
      <c r="FL18" s="1973">
        <v>187</v>
      </c>
      <c r="FM18" s="1973">
        <v>0</v>
      </c>
      <c r="FN18" s="1973">
        <v>334</v>
      </c>
      <c r="FO18" s="1973">
        <v>17</v>
      </c>
      <c r="FP18" s="1683">
        <v>0</v>
      </c>
      <c r="FQ18" s="1973">
        <v>35</v>
      </c>
      <c r="FR18" s="1973">
        <v>0</v>
      </c>
      <c r="FS18" s="1973">
        <v>47</v>
      </c>
      <c r="FT18" s="1973">
        <v>0</v>
      </c>
      <c r="FU18" s="1989">
        <v>3</v>
      </c>
      <c r="FV18" s="2162">
        <v>70</v>
      </c>
      <c r="FW18" s="2162">
        <v>0</v>
      </c>
      <c r="FX18" s="3681">
        <v>220</v>
      </c>
      <c r="FY18" s="3681">
        <v>0</v>
      </c>
      <c r="FZ18" s="3754">
        <v>0</v>
      </c>
      <c r="GA18" s="4417">
        <v>2</v>
      </c>
      <c r="GB18" s="4894">
        <v>58</v>
      </c>
      <c r="GC18" s="4980">
        <v>0</v>
      </c>
      <c r="GD18" s="928"/>
      <c r="GE18" s="910">
        <v>4539</v>
      </c>
      <c r="GF18" s="932">
        <v>1838</v>
      </c>
      <c r="GG18" s="919">
        <v>6377</v>
      </c>
      <c r="GH18" s="920">
        <v>1926</v>
      </c>
      <c r="GI18" s="649">
        <v>469</v>
      </c>
      <c r="GJ18" s="649">
        <v>1559</v>
      </c>
      <c r="GK18" s="650">
        <v>0</v>
      </c>
      <c r="GL18" s="650">
        <v>1933</v>
      </c>
      <c r="GM18" s="650">
        <v>199</v>
      </c>
      <c r="GN18" s="650">
        <v>75</v>
      </c>
      <c r="GO18" s="650">
        <v>0</v>
      </c>
      <c r="GP18" s="650">
        <v>0</v>
      </c>
      <c r="GQ18" s="650">
        <v>71</v>
      </c>
      <c r="GR18" s="4637">
        <v>145</v>
      </c>
      <c r="GS18" s="13">
        <v>0</v>
      </c>
      <c r="GT18" s="4638">
        <v>97.41</v>
      </c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</row>
    <row r="19" spans="1:273" ht="22.5" customHeight="1" thickBot="1">
      <c r="A19" s="609">
        <v>0.625000000000003</v>
      </c>
      <c r="B19" s="1927">
        <v>0</v>
      </c>
      <c r="C19" s="1928">
        <v>0</v>
      </c>
      <c r="D19" s="1928">
        <v>240</v>
      </c>
      <c r="E19" s="1928">
        <v>0</v>
      </c>
      <c r="F19" s="1936">
        <v>0</v>
      </c>
      <c r="G19" s="1936">
        <v>0</v>
      </c>
      <c r="H19" s="1928">
        <v>0</v>
      </c>
      <c r="I19" s="1928">
        <v>0</v>
      </c>
      <c r="J19" s="1928">
        <v>214</v>
      </c>
      <c r="K19" s="758"/>
      <c r="L19" s="758">
        <v>0</v>
      </c>
      <c r="M19" s="1928">
        <v>180</v>
      </c>
      <c r="N19" s="1928">
        <v>0</v>
      </c>
      <c r="O19" s="1928">
        <v>0</v>
      </c>
      <c r="P19" s="1928">
        <v>0</v>
      </c>
      <c r="Q19" s="1928">
        <v>15</v>
      </c>
      <c r="R19" s="1928">
        <v>0</v>
      </c>
      <c r="S19" s="758">
        <v>0</v>
      </c>
      <c r="T19" s="758">
        <v>0</v>
      </c>
      <c r="U19" s="1928">
        <v>0</v>
      </c>
      <c r="V19" s="1936">
        <v>24</v>
      </c>
      <c r="W19" s="1928">
        <v>0</v>
      </c>
      <c r="X19" s="1928">
        <v>0</v>
      </c>
      <c r="Y19" s="1928">
        <v>0</v>
      </c>
      <c r="Z19" s="758">
        <v>0</v>
      </c>
      <c r="AA19" s="1928">
        <v>0</v>
      </c>
      <c r="AB19" s="1928">
        <v>35</v>
      </c>
      <c r="AC19" s="1928">
        <v>35</v>
      </c>
      <c r="AD19" s="1928">
        <v>17</v>
      </c>
      <c r="AE19" s="1928">
        <v>16</v>
      </c>
      <c r="AF19" s="1928">
        <v>25</v>
      </c>
      <c r="AG19" s="1928">
        <v>5</v>
      </c>
      <c r="AH19" s="1928">
        <v>16</v>
      </c>
      <c r="AI19" s="1928">
        <v>33</v>
      </c>
      <c r="AJ19" s="1928">
        <v>0</v>
      </c>
      <c r="AK19" s="758">
        <v>0</v>
      </c>
      <c r="AL19" s="758">
        <v>46</v>
      </c>
      <c r="AM19" s="1928">
        <v>40</v>
      </c>
      <c r="AN19" s="1928">
        <v>0</v>
      </c>
      <c r="AO19" s="1928">
        <v>0</v>
      </c>
      <c r="AP19" s="1928">
        <v>0</v>
      </c>
      <c r="AQ19" s="1928">
        <v>0</v>
      </c>
      <c r="AR19" s="758">
        <v>0</v>
      </c>
      <c r="AS19" s="1928">
        <v>0</v>
      </c>
      <c r="AT19" s="758">
        <v>0</v>
      </c>
      <c r="AU19" s="758"/>
      <c r="AV19" s="1928">
        <v>22</v>
      </c>
      <c r="AW19" s="1928">
        <v>0</v>
      </c>
      <c r="AX19" s="1928">
        <v>0</v>
      </c>
      <c r="AY19" s="1928">
        <v>10</v>
      </c>
      <c r="AZ19" s="1928">
        <v>12</v>
      </c>
      <c r="BA19" s="1928">
        <v>0</v>
      </c>
      <c r="BB19" s="1928">
        <v>21</v>
      </c>
      <c r="BC19" s="1928">
        <v>7</v>
      </c>
      <c r="BD19" s="1928">
        <v>0</v>
      </c>
      <c r="BE19" s="758">
        <v>0</v>
      </c>
      <c r="BF19" s="758">
        <v>80</v>
      </c>
      <c r="BG19" s="1928">
        <v>190</v>
      </c>
      <c r="BH19" s="1928">
        <v>45</v>
      </c>
      <c r="BI19" s="1928">
        <v>208</v>
      </c>
      <c r="BJ19" s="1928">
        <v>8</v>
      </c>
      <c r="BK19" s="1928">
        <v>120</v>
      </c>
      <c r="BL19" s="758">
        <v>3</v>
      </c>
      <c r="BM19" s="1928">
        <v>5</v>
      </c>
      <c r="BN19" s="758">
        <v>0</v>
      </c>
      <c r="BO19" s="1936">
        <v>51</v>
      </c>
      <c r="BP19" s="759">
        <v>0</v>
      </c>
      <c r="BQ19" s="1936">
        <v>0</v>
      </c>
      <c r="BR19" s="1928">
        <v>8</v>
      </c>
      <c r="BS19" s="1936">
        <v>21</v>
      </c>
      <c r="BT19" s="1936">
        <v>11</v>
      </c>
      <c r="BU19" s="1936">
        <v>16</v>
      </c>
      <c r="BV19" s="1936">
        <v>9</v>
      </c>
      <c r="BW19" s="1947">
        <v>67</v>
      </c>
      <c r="BX19" s="1936">
        <v>47</v>
      </c>
      <c r="BY19" s="1936">
        <v>0</v>
      </c>
      <c r="BZ19" s="1936">
        <v>20</v>
      </c>
      <c r="CA19" s="1957">
        <v>1</v>
      </c>
      <c r="CB19" s="1936">
        <v>43</v>
      </c>
      <c r="CC19" s="1936">
        <v>0</v>
      </c>
      <c r="CD19" s="1936">
        <v>45</v>
      </c>
      <c r="CE19" s="4198">
        <v>0</v>
      </c>
      <c r="CF19" s="1936">
        <v>110</v>
      </c>
      <c r="CG19" s="1936">
        <v>0</v>
      </c>
      <c r="CH19" s="1936">
        <v>40</v>
      </c>
      <c r="CI19" s="1936">
        <v>72</v>
      </c>
      <c r="CJ19" s="1936">
        <v>0</v>
      </c>
      <c r="CK19" s="1936">
        <v>178</v>
      </c>
      <c r="CL19" s="1936">
        <v>18</v>
      </c>
      <c r="CM19" s="1936">
        <v>0</v>
      </c>
      <c r="CN19" s="1936">
        <v>10</v>
      </c>
      <c r="CO19" s="1936">
        <v>285</v>
      </c>
      <c r="CP19" s="1936">
        <v>21</v>
      </c>
      <c r="CQ19" s="1936">
        <v>8</v>
      </c>
      <c r="CR19" s="759">
        <v>0</v>
      </c>
      <c r="CS19" s="1936">
        <v>95</v>
      </c>
      <c r="CT19" s="1936">
        <v>0</v>
      </c>
      <c r="CU19" s="759">
        <v>0</v>
      </c>
      <c r="CV19" s="1936">
        <v>150</v>
      </c>
      <c r="CW19" s="759">
        <v>0</v>
      </c>
      <c r="CX19" s="1936">
        <v>20</v>
      </c>
      <c r="CY19" s="1953">
        <v>13</v>
      </c>
      <c r="CZ19" s="1936">
        <v>90</v>
      </c>
      <c r="DA19" s="1936">
        <v>36</v>
      </c>
      <c r="DB19" s="1936">
        <v>140</v>
      </c>
      <c r="DC19" s="1936">
        <v>0</v>
      </c>
      <c r="DD19" s="1936">
        <v>8</v>
      </c>
      <c r="DE19" s="1936">
        <v>90</v>
      </c>
      <c r="DF19" s="1936">
        <v>34</v>
      </c>
      <c r="DG19" s="1936">
        <v>2</v>
      </c>
      <c r="DH19" s="1936">
        <v>30</v>
      </c>
      <c r="DI19" s="2054">
        <v>54</v>
      </c>
      <c r="DJ19" s="2067">
        <v>110</v>
      </c>
      <c r="DK19" s="2937">
        <v>0</v>
      </c>
      <c r="DL19" s="3069">
        <v>0</v>
      </c>
      <c r="DM19" s="3069">
        <v>70</v>
      </c>
      <c r="DN19" s="3435">
        <v>200</v>
      </c>
      <c r="DO19" s="3510">
        <v>62</v>
      </c>
      <c r="DP19" s="3678">
        <v>23</v>
      </c>
      <c r="DQ19" s="3710">
        <v>126</v>
      </c>
      <c r="DR19" s="3773">
        <v>116</v>
      </c>
      <c r="DS19" s="3838">
        <v>0</v>
      </c>
      <c r="DT19" s="3838">
        <v>17</v>
      </c>
      <c r="DU19" s="4035">
        <v>17</v>
      </c>
      <c r="DV19" s="3678">
        <v>0</v>
      </c>
      <c r="DW19" s="3678">
        <v>0</v>
      </c>
      <c r="DX19" s="759"/>
      <c r="DY19" s="1962">
        <v>469</v>
      </c>
      <c r="DZ19" s="1966">
        <v>0</v>
      </c>
      <c r="EA19" s="1966">
        <v>0</v>
      </c>
      <c r="EB19" s="1966">
        <v>0</v>
      </c>
      <c r="EC19" s="1966">
        <v>0</v>
      </c>
      <c r="ED19" s="896">
        <v>0</v>
      </c>
      <c r="EE19" s="896">
        <v>0</v>
      </c>
      <c r="EF19" s="896">
        <v>0</v>
      </c>
      <c r="EG19" s="1966">
        <v>0</v>
      </c>
      <c r="EH19" s="1966">
        <v>0</v>
      </c>
      <c r="EI19" s="1966">
        <v>0</v>
      </c>
      <c r="EJ19" s="1966">
        <v>89</v>
      </c>
      <c r="EK19" s="1966">
        <v>12</v>
      </c>
      <c r="EL19" s="1966">
        <v>0</v>
      </c>
      <c r="EM19" s="1966">
        <v>0</v>
      </c>
      <c r="EN19" s="1966">
        <v>0</v>
      </c>
      <c r="EO19" s="1966">
        <v>0</v>
      </c>
      <c r="EP19" s="1966">
        <v>0</v>
      </c>
      <c r="EQ19" s="896">
        <v>0</v>
      </c>
      <c r="ER19" s="1966">
        <v>0</v>
      </c>
      <c r="ES19" s="1966">
        <v>0</v>
      </c>
      <c r="ET19" s="1966">
        <v>0</v>
      </c>
      <c r="EU19" s="1966">
        <v>0</v>
      </c>
      <c r="EV19" s="1966">
        <v>52</v>
      </c>
      <c r="EW19" s="1966">
        <v>0</v>
      </c>
      <c r="EX19" s="1966">
        <v>22</v>
      </c>
      <c r="EY19" s="1966">
        <v>0</v>
      </c>
      <c r="EZ19" s="1966">
        <v>8</v>
      </c>
      <c r="FA19" s="1966">
        <v>0</v>
      </c>
      <c r="FB19" s="1966">
        <v>0</v>
      </c>
      <c r="FC19" s="1966">
        <v>199</v>
      </c>
      <c r="FD19" s="1966">
        <v>0</v>
      </c>
      <c r="FE19" s="1966">
        <v>0</v>
      </c>
      <c r="FF19" s="1973">
        <v>0</v>
      </c>
      <c r="FG19" s="1973">
        <v>0</v>
      </c>
      <c r="FH19" s="1973">
        <v>0</v>
      </c>
      <c r="FI19" s="1973">
        <v>0</v>
      </c>
      <c r="FJ19" s="1973">
        <v>11</v>
      </c>
      <c r="FK19" s="1973">
        <v>0</v>
      </c>
      <c r="FL19" s="1973">
        <v>185</v>
      </c>
      <c r="FM19" s="1973">
        <v>0</v>
      </c>
      <c r="FN19" s="1973">
        <v>365</v>
      </c>
      <c r="FO19" s="1973">
        <v>17</v>
      </c>
      <c r="FP19" s="1683">
        <v>0</v>
      </c>
      <c r="FQ19" s="1973">
        <v>35</v>
      </c>
      <c r="FR19" s="1973">
        <v>0</v>
      </c>
      <c r="FS19" s="1973">
        <v>54</v>
      </c>
      <c r="FT19" s="1973">
        <v>0</v>
      </c>
      <c r="FU19" s="1989">
        <v>2</v>
      </c>
      <c r="FV19" s="2162">
        <v>35</v>
      </c>
      <c r="FW19" s="2162">
        <v>0</v>
      </c>
      <c r="FX19" s="3681">
        <v>220</v>
      </c>
      <c r="FY19" s="3681">
        <v>0</v>
      </c>
      <c r="FZ19" s="3754">
        <v>0</v>
      </c>
      <c r="GA19" s="4417">
        <v>3</v>
      </c>
      <c r="GB19" s="4894">
        <v>40</v>
      </c>
      <c r="GC19" s="4980">
        <v>0</v>
      </c>
      <c r="GD19" s="928"/>
      <c r="GE19" s="910">
        <v>4256</v>
      </c>
      <c r="GF19" s="932">
        <v>1818</v>
      </c>
      <c r="GG19" s="919">
        <v>6074</v>
      </c>
      <c r="GH19" s="920">
        <v>1916</v>
      </c>
      <c r="GI19" s="649">
        <v>469</v>
      </c>
      <c r="GJ19" s="649">
        <v>1617</v>
      </c>
      <c r="GK19" s="650">
        <v>0</v>
      </c>
      <c r="GL19" s="650">
        <v>1619</v>
      </c>
      <c r="GM19" s="650">
        <v>199</v>
      </c>
      <c r="GN19" s="650">
        <v>86</v>
      </c>
      <c r="GO19" s="650">
        <v>0</v>
      </c>
      <c r="GP19" s="650">
        <v>0</v>
      </c>
      <c r="GQ19" s="650">
        <v>67</v>
      </c>
      <c r="GR19" s="4637">
        <v>101</v>
      </c>
      <c r="GS19" s="13">
        <v>0</v>
      </c>
      <c r="GT19" s="4638">
        <v>97.4</v>
      </c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</row>
    <row r="20" spans="1:273" ht="24" customHeight="1" thickBot="1">
      <c r="A20" s="609">
        <v>0.66666666666666996</v>
      </c>
      <c r="B20" s="1927">
        <v>0</v>
      </c>
      <c r="C20" s="1928">
        <v>0</v>
      </c>
      <c r="D20" s="1928">
        <v>240</v>
      </c>
      <c r="E20" s="1928">
        <v>0</v>
      </c>
      <c r="F20" s="1936">
        <v>0</v>
      </c>
      <c r="G20" s="1936">
        <v>0</v>
      </c>
      <c r="H20" s="1928">
        <v>0</v>
      </c>
      <c r="I20" s="1928">
        <v>0</v>
      </c>
      <c r="J20" s="1928">
        <v>210</v>
      </c>
      <c r="K20" s="758"/>
      <c r="L20" s="758">
        <v>0</v>
      </c>
      <c r="M20" s="1928">
        <v>180</v>
      </c>
      <c r="N20" s="1928">
        <v>0</v>
      </c>
      <c r="O20" s="1928">
        <v>0</v>
      </c>
      <c r="P20" s="1928">
        <v>0</v>
      </c>
      <c r="Q20" s="1928">
        <v>15</v>
      </c>
      <c r="R20" s="1928">
        <v>0</v>
      </c>
      <c r="S20" s="758">
        <v>0</v>
      </c>
      <c r="T20" s="758">
        <v>0</v>
      </c>
      <c r="U20" s="1928">
        <v>0</v>
      </c>
      <c r="V20" s="1936">
        <v>24</v>
      </c>
      <c r="W20" s="1928">
        <v>0</v>
      </c>
      <c r="X20" s="1928">
        <v>0</v>
      </c>
      <c r="Y20" s="1928">
        <v>0</v>
      </c>
      <c r="Z20" s="758">
        <v>0</v>
      </c>
      <c r="AA20" s="1928">
        <v>0</v>
      </c>
      <c r="AB20" s="1928">
        <v>35</v>
      </c>
      <c r="AC20" s="1928">
        <v>55</v>
      </c>
      <c r="AD20" s="1928">
        <v>17</v>
      </c>
      <c r="AE20" s="1928">
        <v>16</v>
      </c>
      <c r="AF20" s="1928">
        <v>25</v>
      </c>
      <c r="AG20" s="1928">
        <v>9</v>
      </c>
      <c r="AH20" s="1928">
        <v>16</v>
      </c>
      <c r="AI20" s="1928">
        <v>33</v>
      </c>
      <c r="AJ20" s="1928">
        <v>0</v>
      </c>
      <c r="AK20" s="758">
        <v>0</v>
      </c>
      <c r="AL20" s="758">
        <v>46</v>
      </c>
      <c r="AM20" s="1928">
        <v>40</v>
      </c>
      <c r="AN20" s="1928">
        <v>0</v>
      </c>
      <c r="AO20" s="1928">
        <v>0</v>
      </c>
      <c r="AP20" s="1928">
        <v>0</v>
      </c>
      <c r="AQ20" s="1928">
        <v>0</v>
      </c>
      <c r="AR20" s="758">
        <v>0</v>
      </c>
      <c r="AS20" s="1928">
        <v>0</v>
      </c>
      <c r="AT20" s="758">
        <v>0</v>
      </c>
      <c r="AU20" s="758"/>
      <c r="AV20" s="1928">
        <v>22</v>
      </c>
      <c r="AW20" s="1928">
        <v>0</v>
      </c>
      <c r="AX20" s="1928">
        <v>0</v>
      </c>
      <c r="AY20" s="1928">
        <v>0</v>
      </c>
      <c r="AZ20" s="1928">
        <v>12</v>
      </c>
      <c r="BA20" s="1928">
        <v>0</v>
      </c>
      <c r="BB20" s="1928">
        <v>0</v>
      </c>
      <c r="BC20" s="1928">
        <v>16</v>
      </c>
      <c r="BD20" s="1928">
        <v>0</v>
      </c>
      <c r="BE20" s="758">
        <v>0</v>
      </c>
      <c r="BF20" s="758">
        <v>80</v>
      </c>
      <c r="BG20" s="1928">
        <v>200</v>
      </c>
      <c r="BH20" s="1928">
        <v>55</v>
      </c>
      <c r="BI20" s="1928">
        <v>214</v>
      </c>
      <c r="BJ20" s="1928">
        <v>8</v>
      </c>
      <c r="BK20" s="1928">
        <v>119</v>
      </c>
      <c r="BL20" s="758">
        <v>3</v>
      </c>
      <c r="BM20" s="1928">
        <v>5</v>
      </c>
      <c r="BN20" s="758">
        <v>0</v>
      </c>
      <c r="BO20" s="1936">
        <v>51</v>
      </c>
      <c r="BP20" s="759">
        <v>0</v>
      </c>
      <c r="BQ20" s="1936">
        <v>0</v>
      </c>
      <c r="BR20" s="1928">
        <v>8</v>
      </c>
      <c r="BS20" s="1936">
        <v>21</v>
      </c>
      <c r="BT20" s="1936">
        <v>11</v>
      </c>
      <c r="BU20" s="1936">
        <v>33</v>
      </c>
      <c r="BV20" s="1936">
        <v>9</v>
      </c>
      <c r="BW20" s="1947">
        <v>62</v>
      </c>
      <c r="BX20" s="1936">
        <v>47</v>
      </c>
      <c r="BY20" s="1936">
        <v>0</v>
      </c>
      <c r="BZ20" s="1936">
        <v>20</v>
      </c>
      <c r="CA20" s="1957">
        <v>1</v>
      </c>
      <c r="CB20" s="1936">
        <v>43</v>
      </c>
      <c r="CC20" s="1936">
        <v>0</v>
      </c>
      <c r="CD20" s="1936">
        <v>48</v>
      </c>
      <c r="CE20" s="4198">
        <v>0</v>
      </c>
      <c r="CF20" s="1936">
        <v>110</v>
      </c>
      <c r="CG20" s="1936">
        <v>0</v>
      </c>
      <c r="CH20" s="1936">
        <v>40</v>
      </c>
      <c r="CI20" s="1936">
        <v>75</v>
      </c>
      <c r="CJ20" s="1936">
        <v>0</v>
      </c>
      <c r="CK20" s="1936">
        <v>190</v>
      </c>
      <c r="CL20" s="1936">
        <v>18</v>
      </c>
      <c r="CM20" s="1936">
        <v>0</v>
      </c>
      <c r="CN20" s="1936">
        <v>10</v>
      </c>
      <c r="CO20" s="1936">
        <v>310</v>
      </c>
      <c r="CP20" s="1936">
        <v>21</v>
      </c>
      <c r="CQ20" s="1936">
        <v>8</v>
      </c>
      <c r="CR20" s="759">
        <v>0</v>
      </c>
      <c r="CS20" s="1936">
        <v>100</v>
      </c>
      <c r="CT20" s="1936">
        <v>0</v>
      </c>
      <c r="CU20" s="759">
        <v>0</v>
      </c>
      <c r="CV20" s="1936">
        <v>130</v>
      </c>
      <c r="CW20" s="759">
        <v>0</v>
      </c>
      <c r="CX20" s="1936">
        <v>17</v>
      </c>
      <c r="CY20" s="1953">
        <v>7</v>
      </c>
      <c r="CZ20" s="1936">
        <v>90</v>
      </c>
      <c r="DA20" s="1936">
        <v>36</v>
      </c>
      <c r="DB20" s="1936">
        <v>130</v>
      </c>
      <c r="DC20" s="1936">
        <v>0</v>
      </c>
      <c r="DD20" s="1936">
        <v>8</v>
      </c>
      <c r="DE20" s="1936">
        <v>90</v>
      </c>
      <c r="DF20" s="1936">
        <v>17</v>
      </c>
      <c r="DG20" s="1936">
        <v>1</v>
      </c>
      <c r="DH20" s="1936">
        <v>30</v>
      </c>
      <c r="DI20" s="2054">
        <v>54</v>
      </c>
      <c r="DJ20" s="2067">
        <v>110</v>
      </c>
      <c r="DK20" s="2937">
        <v>0</v>
      </c>
      <c r="DL20" s="3069">
        <v>0</v>
      </c>
      <c r="DM20" s="3069">
        <v>50</v>
      </c>
      <c r="DN20" s="3435">
        <v>200</v>
      </c>
      <c r="DO20" s="3510">
        <v>34</v>
      </c>
      <c r="DP20" s="3678">
        <v>10</v>
      </c>
      <c r="DQ20" s="3710">
        <v>126</v>
      </c>
      <c r="DR20" s="3773">
        <v>116</v>
      </c>
      <c r="DS20" s="3838">
        <v>0</v>
      </c>
      <c r="DT20" s="3838">
        <v>17</v>
      </c>
      <c r="DU20" s="4035">
        <v>8</v>
      </c>
      <c r="DV20" s="3678">
        <v>0</v>
      </c>
      <c r="DW20" s="3678">
        <v>0</v>
      </c>
      <c r="DX20" s="759"/>
      <c r="DY20" s="1962">
        <v>469</v>
      </c>
      <c r="DZ20" s="1966">
        <v>0</v>
      </c>
      <c r="EA20" s="1966">
        <v>0</v>
      </c>
      <c r="EB20" s="1966">
        <v>0</v>
      </c>
      <c r="EC20" s="1966">
        <v>0</v>
      </c>
      <c r="ED20" s="896">
        <v>0</v>
      </c>
      <c r="EE20" s="896">
        <v>0</v>
      </c>
      <c r="EF20" s="896">
        <v>0</v>
      </c>
      <c r="EG20" s="1966">
        <v>6</v>
      </c>
      <c r="EH20" s="1966">
        <v>0</v>
      </c>
      <c r="EI20" s="1966">
        <v>0</v>
      </c>
      <c r="EJ20" s="1966">
        <v>90</v>
      </c>
      <c r="EK20" s="1966">
        <v>12</v>
      </c>
      <c r="EL20" s="1966">
        <v>0</v>
      </c>
      <c r="EM20" s="1966">
        <v>0</v>
      </c>
      <c r="EN20" s="1966">
        <v>0</v>
      </c>
      <c r="EO20" s="1966">
        <v>0</v>
      </c>
      <c r="EP20" s="1966">
        <v>0</v>
      </c>
      <c r="EQ20" s="896">
        <v>0</v>
      </c>
      <c r="ER20" s="1966">
        <v>0</v>
      </c>
      <c r="ES20" s="1966">
        <v>0</v>
      </c>
      <c r="ET20" s="1966">
        <v>0</v>
      </c>
      <c r="EU20" s="1966">
        <v>0</v>
      </c>
      <c r="EV20" s="1966">
        <v>52</v>
      </c>
      <c r="EW20" s="1966">
        <v>0</v>
      </c>
      <c r="EX20" s="1966">
        <v>22</v>
      </c>
      <c r="EY20" s="1966">
        <v>0</v>
      </c>
      <c r="EZ20" s="1966">
        <v>8</v>
      </c>
      <c r="FA20" s="1966">
        <v>0</v>
      </c>
      <c r="FB20" s="1966">
        <v>0</v>
      </c>
      <c r="FC20" s="1966">
        <v>199</v>
      </c>
      <c r="FD20" s="1966">
        <v>0</v>
      </c>
      <c r="FE20" s="1966">
        <v>0</v>
      </c>
      <c r="FF20" s="1973">
        <v>0</v>
      </c>
      <c r="FG20" s="1973">
        <v>0</v>
      </c>
      <c r="FH20" s="1973">
        <v>0</v>
      </c>
      <c r="FI20" s="1973">
        <v>0</v>
      </c>
      <c r="FJ20" s="1973">
        <v>11</v>
      </c>
      <c r="FK20" s="1973">
        <v>0</v>
      </c>
      <c r="FL20" s="1973">
        <v>182</v>
      </c>
      <c r="FM20" s="1973">
        <v>0</v>
      </c>
      <c r="FN20" s="1973">
        <v>395</v>
      </c>
      <c r="FO20" s="1973">
        <v>17</v>
      </c>
      <c r="FP20" s="1683">
        <v>0</v>
      </c>
      <c r="FQ20" s="1973">
        <v>35</v>
      </c>
      <c r="FR20" s="1973">
        <v>0</v>
      </c>
      <c r="FS20" s="1973">
        <v>54</v>
      </c>
      <c r="FT20" s="1973">
        <v>0</v>
      </c>
      <c r="FU20" s="1989">
        <v>1</v>
      </c>
      <c r="FV20" s="2162">
        <v>35</v>
      </c>
      <c r="FW20" s="2162">
        <v>0</v>
      </c>
      <c r="FX20" s="3681">
        <v>220</v>
      </c>
      <c r="FY20" s="3681">
        <v>0</v>
      </c>
      <c r="FZ20" s="3754">
        <v>0</v>
      </c>
      <c r="GA20" s="4417">
        <v>1</v>
      </c>
      <c r="GB20" s="4894">
        <v>19</v>
      </c>
      <c r="GC20" s="4980">
        <v>0</v>
      </c>
      <c r="GD20" s="928"/>
      <c r="GE20" s="910">
        <v>4212</v>
      </c>
      <c r="GF20" s="932">
        <v>1828</v>
      </c>
      <c r="GG20" s="919">
        <v>6040</v>
      </c>
      <c r="GH20" s="920">
        <v>1951</v>
      </c>
      <c r="GI20" s="649">
        <v>469</v>
      </c>
      <c r="GJ20" s="649">
        <v>1683</v>
      </c>
      <c r="GK20" s="650">
        <v>0</v>
      </c>
      <c r="GL20" s="650">
        <v>1536</v>
      </c>
      <c r="GM20" s="650">
        <v>199</v>
      </c>
      <c r="GN20" s="650">
        <v>86</v>
      </c>
      <c r="GO20" s="650">
        <v>0</v>
      </c>
      <c r="GP20" s="650">
        <v>6</v>
      </c>
      <c r="GQ20" s="650">
        <v>62</v>
      </c>
      <c r="GR20" s="4637">
        <v>48</v>
      </c>
      <c r="GS20" s="13">
        <v>0</v>
      </c>
      <c r="GT20" s="4638">
        <v>97.39</v>
      </c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6"/>
      <c r="HP20" s="136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</row>
    <row r="21" spans="1:273" ht="21.75" customHeight="1" thickBot="1">
      <c r="A21" s="609">
        <v>0.70833333333333337</v>
      </c>
      <c r="B21" s="1927">
        <v>0</v>
      </c>
      <c r="C21" s="1928">
        <v>0</v>
      </c>
      <c r="D21" s="1928">
        <v>240</v>
      </c>
      <c r="E21" s="1928">
        <v>0</v>
      </c>
      <c r="F21" s="1936">
        <v>0</v>
      </c>
      <c r="G21" s="1936">
        <v>0</v>
      </c>
      <c r="H21" s="1928">
        <v>0</v>
      </c>
      <c r="I21" s="1928">
        <v>0</v>
      </c>
      <c r="J21" s="1928">
        <v>212</v>
      </c>
      <c r="K21" s="758"/>
      <c r="L21" s="758">
        <v>0</v>
      </c>
      <c r="M21" s="1928">
        <v>180</v>
      </c>
      <c r="N21" s="1928">
        <v>0</v>
      </c>
      <c r="O21" s="1928">
        <v>0</v>
      </c>
      <c r="P21" s="1928">
        <v>0</v>
      </c>
      <c r="Q21" s="1928">
        <v>15</v>
      </c>
      <c r="R21" s="1928">
        <v>0</v>
      </c>
      <c r="S21" s="758">
        <v>0</v>
      </c>
      <c r="T21" s="758">
        <v>0</v>
      </c>
      <c r="U21" s="1928">
        <v>0</v>
      </c>
      <c r="V21" s="1936">
        <v>72</v>
      </c>
      <c r="W21" s="1928">
        <v>0</v>
      </c>
      <c r="X21" s="1928">
        <v>0</v>
      </c>
      <c r="Y21" s="1928">
        <v>0</v>
      </c>
      <c r="Z21" s="758">
        <v>0</v>
      </c>
      <c r="AA21" s="1928">
        <v>0</v>
      </c>
      <c r="AB21" s="1928">
        <v>35</v>
      </c>
      <c r="AC21" s="1928">
        <v>55</v>
      </c>
      <c r="AD21" s="1928">
        <v>17</v>
      </c>
      <c r="AE21" s="1928">
        <v>16</v>
      </c>
      <c r="AF21" s="1928">
        <v>25</v>
      </c>
      <c r="AG21" s="1928">
        <v>9</v>
      </c>
      <c r="AH21" s="1928">
        <v>16</v>
      </c>
      <c r="AI21" s="1928">
        <v>33</v>
      </c>
      <c r="AJ21" s="1928">
        <v>0</v>
      </c>
      <c r="AK21" s="758">
        <v>0</v>
      </c>
      <c r="AL21" s="758">
        <v>38</v>
      </c>
      <c r="AM21" s="1928">
        <v>40</v>
      </c>
      <c r="AN21" s="1928">
        <v>0</v>
      </c>
      <c r="AO21" s="1928">
        <v>0</v>
      </c>
      <c r="AP21" s="1928">
        <v>0</v>
      </c>
      <c r="AQ21" s="1928">
        <v>0</v>
      </c>
      <c r="AR21" s="758">
        <v>0</v>
      </c>
      <c r="AS21" s="1928">
        <v>0</v>
      </c>
      <c r="AT21" s="758">
        <v>0</v>
      </c>
      <c r="AU21" s="758"/>
      <c r="AV21" s="1928">
        <v>22</v>
      </c>
      <c r="AW21" s="1928">
        <v>0</v>
      </c>
      <c r="AX21" s="1928">
        <v>0</v>
      </c>
      <c r="AY21" s="1928">
        <v>0</v>
      </c>
      <c r="AZ21" s="1928">
        <v>12</v>
      </c>
      <c r="BA21" s="1928">
        <v>0</v>
      </c>
      <c r="BB21" s="1928">
        <v>21</v>
      </c>
      <c r="BC21" s="1928">
        <v>13</v>
      </c>
      <c r="BD21" s="1928">
        <v>0</v>
      </c>
      <c r="BE21" s="758">
        <v>0</v>
      </c>
      <c r="BF21" s="758">
        <v>80</v>
      </c>
      <c r="BG21" s="1928">
        <v>200</v>
      </c>
      <c r="BH21" s="1928">
        <v>85</v>
      </c>
      <c r="BI21" s="1928">
        <v>208</v>
      </c>
      <c r="BJ21" s="1928">
        <v>8</v>
      </c>
      <c r="BK21" s="1928">
        <v>118</v>
      </c>
      <c r="BL21" s="758">
        <v>3</v>
      </c>
      <c r="BM21" s="1928">
        <v>5</v>
      </c>
      <c r="BN21" s="758">
        <v>0</v>
      </c>
      <c r="BO21" s="1936">
        <v>51</v>
      </c>
      <c r="BP21" s="759">
        <v>0</v>
      </c>
      <c r="BQ21" s="1936">
        <v>0</v>
      </c>
      <c r="BR21" s="1928">
        <v>8</v>
      </c>
      <c r="BS21" s="1936">
        <v>21</v>
      </c>
      <c r="BT21" s="1936">
        <v>5</v>
      </c>
      <c r="BU21" s="1936">
        <v>33</v>
      </c>
      <c r="BV21" s="1936">
        <v>9</v>
      </c>
      <c r="BW21" s="1947">
        <v>72</v>
      </c>
      <c r="BX21" s="1936">
        <v>48</v>
      </c>
      <c r="BY21" s="1936">
        <v>0</v>
      </c>
      <c r="BZ21" s="1936">
        <v>22</v>
      </c>
      <c r="CA21" s="1957">
        <v>0</v>
      </c>
      <c r="CB21" s="1936">
        <v>43</v>
      </c>
      <c r="CC21" s="1936">
        <v>0</v>
      </c>
      <c r="CD21" s="1936">
        <v>48</v>
      </c>
      <c r="CE21" s="4198">
        <v>0</v>
      </c>
      <c r="CF21" s="1936">
        <v>163</v>
      </c>
      <c r="CG21" s="1936">
        <v>0</v>
      </c>
      <c r="CH21" s="1936">
        <v>68</v>
      </c>
      <c r="CI21" s="1936">
        <v>78</v>
      </c>
      <c r="CJ21" s="1936">
        <v>0</v>
      </c>
      <c r="CK21" s="1936">
        <v>190</v>
      </c>
      <c r="CL21" s="1936">
        <v>18</v>
      </c>
      <c r="CM21" s="1936">
        <v>0</v>
      </c>
      <c r="CN21" s="1936">
        <v>10</v>
      </c>
      <c r="CO21" s="1936">
        <v>300</v>
      </c>
      <c r="CP21" s="1936">
        <v>21</v>
      </c>
      <c r="CQ21" s="1936">
        <v>8</v>
      </c>
      <c r="CR21" s="759">
        <v>0</v>
      </c>
      <c r="CS21" s="1936">
        <v>110</v>
      </c>
      <c r="CT21" s="1936">
        <v>0</v>
      </c>
      <c r="CU21" s="759">
        <v>0</v>
      </c>
      <c r="CV21" s="1936">
        <v>136</v>
      </c>
      <c r="CW21" s="759">
        <v>0</v>
      </c>
      <c r="CX21" s="1936">
        <v>17</v>
      </c>
      <c r="CY21" s="1953">
        <v>1</v>
      </c>
      <c r="CZ21" s="1936">
        <v>90</v>
      </c>
      <c r="DA21" s="1936">
        <v>36</v>
      </c>
      <c r="DB21" s="1936">
        <v>137</v>
      </c>
      <c r="DC21" s="1936">
        <v>0</v>
      </c>
      <c r="DD21" s="1936">
        <v>10</v>
      </c>
      <c r="DE21" s="1936">
        <v>90</v>
      </c>
      <c r="DF21" s="1936">
        <v>17</v>
      </c>
      <c r="DG21" s="1936">
        <v>0</v>
      </c>
      <c r="DH21" s="1936">
        <v>30</v>
      </c>
      <c r="DI21" s="2054">
        <v>54</v>
      </c>
      <c r="DJ21" s="2067">
        <v>110</v>
      </c>
      <c r="DK21" s="2937">
        <v>0</v>
      </c>
      <c r="DL21" s="3069">
        <v>0</v>
      </c>
      <c r="DM21" s="3069">
        <v>50</v>
      </c>
      <c r="DN21" s="3435">
        <v>200</v>
      </c>
      <c r="DO21" s="3510">
        <v>35</v>
      </c>
      <c r="DP21" s="3678">
        <v>1</v>
      </c>
      <c r="DQ21" s="3710">
        <v>126</v>
      </c>
      <c r="DR21" s="3773">
        <v>116</v>
      </c>
      <c r="DS21" s="3838">
        <v>0</v>
      </c>
      <c r="DT21" s="3838">
        <v>17</v>
      </c>
      <c r="DU21" s="4035">
        <v>2</v>
      </c>
      <c r="DV21" s="3678">
        <v>0</v>
      </c>
      <c r="DW21" s="3678">
        <v>0</v>
      </c>
      <c r="DX21" s="759"/>
      <c r="DY21" s="1962">
        <v>469</v>
      </c>
      <c r="DZ21" s="1966">
        <v>0</v>
      </c>
      <c r="EA21" s="1966">
        <v>0</v>
      </c>
      <c r="EB21" s="1966">
        <v>0</v>
      </c>
      <c r="EC21" s="1966">
        <v>0</v>
      </c>
      <c r="ED21" s="896">
        <v>0</v>
      </c>
      <c r="EE21" s="896">
        <v>0</v>
      </c>
      <c r="EF21" s="896">
        <v>0</v>
      </c>
      <c r="EG21" s="1966">
        <v>6</v>
      </c>
      <c r="EH21" s="1966">
        <v>0</v>
      </c>
      <c r="EI21" s="1966">
        <v>0</v>
      </c>
      <c r="EJ21" s="1966">
        <v>92</v>
      </c>
      <c r="EK21" s="1966">
        <v>13</v>
      </c>
      <c r="EL21" s="1966">
        <v>0</v>
      </c>
      <c r="EM21" s="1966">
        <v>0</v>
      </c>
      <c r="EN21" s="1966">
        <v>0</v>
      </c>
      <c r="EO21" s="1966">
        <v>0</v>
      </c>
      <c r="EP21" s="1966">
        <v>0</v>
      </c>
      <c r="EQ21" s="896">
        <v>0</v>
      </c>
      <c r="ER21" s="1966">
        <v>0</v>
      </c>
      <c r="ES21" s="1966">
        <v>0</v>
      </c>
      <c r="ET21" s="1966">
        <v>0</v>
      </c>
      <c r="EU21" s="1966">
        <v>0</v>
      </c>
      <c r="EV21" s="1966">
        <v>52</v>
      </c>
      <c r="EW21" s="1966">
        <v>0</v>
      </c>
      <c r="EX21" s="1966">
        <v>22</v>
      </c>
      <c r="EY21" s="1966">
        <v>0</v>
      </c>
      <c r="EZ21" s="1966">
        <v>8</v>
      </c>
      <c r="FA21" s="1966">
        <v>0</v>
      </c>
      <c r="FB21" s="1966">
        <v>0</v>
      </c>
      <c r="FC21" s="1966">
        <v>199</v>
      </c>
      <c r="FD21" s="1966">
        <v>0</v>
      </c>
      <c r="FE21" s="1966">
        <v>0</v>
      </c>
      <c r="FF21" s="1973">
        <v>0</v>
      </c>
      <c r="FG21" s="1973">
        <v>0</v>
      </c>
      <c r="FH21" s="1973">
        <v>0</v>
      </c>
      <c r="FI21" s="1973">
        <v>0</v>
      </c>
      <c r="FJ21" s="1973">
        <v>11</v>
      </c>
      <c r="FK21" s="1973">
        <v>0</v>
      </c>
      <c r="FL21" s="1973">
        <v>169</v>
      </c>
      <c r="FM21" s="1973">
        <v>0</v>
      </c>
      <c r="FN21" s="1973">
        <v>385</v>
      </c>
      <c r="FO21" s="1973">
        <v>17</v>
      </c>
      <c r="FP21" s="1683">
        <v>0</v>
      </c>
      <c r="FQ21" s="1973">
        <v>35</v>
      </c>
      <c r="FR21" s="1973">
        <v>0</v>
      </c>
      <c r="FS21" s="1973">
        <v>103</v>
      </c>
      <c r="FT21" s="1973">
        <v>0</v>
      </c>
      <c r="FU21" s="1989">
        <v>0</v>
      </c>
      <c r="FV21" s="2162">
        <v>50</v>
      </c>
      <c r="FW21" s="2162">
        <v>0</v>
      </c>
      <c r="FX21" s="3681">
        <v>220</v>
      </c>
      <c r="FY21" s="3681">
        <v>0</v>
      </c>
      <c r="FZ21" s="3754">
        <v>0</v>
      </c>
      <c r="GA21" s="4417">
        <v>0</v>
      </c>
      <c r="GB21" s="4894">
        <v>4</v>
      </c>
      <c r="GC21" s="4980">
        <v>0</v>
      </c>
      <c r="GD21" s="928"/>
      <c r="GE21" s="910">
        <v>4379</v>
      </c>
      <c r="GF21" s="933">
        <v>1855</v>
      </c>
      <c r="GG21" s="921">
        <v>6234</v>
      </c>
      <c r="GH21" s="922">
        <v>2009</v>
      </c>
      <c r="GI21" s="650">
        <v>469</v>
      </c>
      <c r="GJ21" s="650">
        <v>1719</v>
      </c>
      <c r="GK21" s="650">
        <v>0</v>
      </c>
      <c r="GL21" s="650">
        <v>1674</v>
      </c>
      <c r="GM21" s="650">
        <v>199</v>
      </c>
      <c r="GN21" s="650">
        <v>78</v>
      </c>
      <c r="GO21" s="650">
        <v>0</v>
      </c>
      <c r="GP21" s="650">
        <v>6</v>
      </c>
      <c r="GQ21" s="650">
        <v>72</v>
      </c>
      <c r="GR21" s="4637">
        <v>8</v>
      </c>
      <c r="GS21" s="13">
        <v>0</v>
      </c>
      <c r="GT21" s="4638">
        <v>97.38</v>
      </c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</row>
    <row r="22" spans="1:273" ht="21.75" customHeight="1" thickBot="1">
      <c r="A22" s="609">
        <v>0.75</v>
      </c>
      <c r="B22" s="1927">
        <v>0</v>
      </c>
      <c r="C22" s="1928">
        <v>0</v>
      </c>
      <c r="D22" s="1928">
        <v>240</v>
      </c>
      <c r="E22" s="1928">
        <v>0</v>
      </c>
      <c r="F22" s="1936">
        <v>0</v>
      </c>
      <c r="G22" s="1936">
        <v>0</v>
      </c>
      <c r="H22" s="1928">
        <v>0</v>
      </c>
      <c r="I22" s="1928">
        <v>0</v>
      </c>
      <c r="J22" s="1928">
        <v>211</v>
      </c>
      <c r="K22" s="758"/>
      <c r="L22" s="758">
        <v>0</v>
      </c>
      <c r="M22" s="1928">
        <v>180</v>
      </c>
      <c r="N22" s="1928">
        <v>0</v>
      </c>
      <c r="O22" s="1928">
        <v>0</v>
      </c>
      <c r="P22" s="1928">
        <v>0</v>
      </c>
      <c r="Q22" s="1928">
        <v>35</v>
      </c>
      <c r="R22" s="1928">
        <v>0</v>
      </c>
      <c r="S22" s="758">
        <v>0</v>
      </c>
      <c r="T22" s="758">
        <v>0</v>
      </c>
      <c r="U22" s="1928">
        <v>0</v>
      </c>
      <c r="V22" s="1936">
        <v>93</v>
      </c>
      <c r="W22" s="1928">
        <v>16</v>
      </c>
      <c r="X22" s="1928">
        <v>16</v>
      </c>
      <c r="Y22" s="1928">
        <v>0</v>
      </c>
      <c r="Z22" s="758">
        <v>0</v>
      </c>
      <c r="AA22" s="1928">
        <v>0</v>
      </c>
      <c r="AB22" s="1928">
        <v>35</v>
      </c>
      <c r="AC22" s="1928">
        <v>55</v>
      </c>
      <c r="AD22" s="1928">
        <v>35</v>
      </c>
      <c r="AE22" s="1928">
        <v>16</v>
      </c>
      <c r="AF22" s="1928">
        <v>25</v>
      </c>
      <c r="AG22" s="1928">
        <v>9</v>
      </c>
      <c r="AH22" s="1928">
        <v>16</v>
      </c>
      <c r="AI22" s="1928">
        <v>33</v>
      </c>
      <c r="AJ22" s="1928">
        <v>7</v>
      </c>
      <c r="AK22" s="758">
        <v>0</v>
      </c>
      <c r="AL22" s="758">
        <v>39</v>
      </c>
      <c r="AM22" s="1928">
        <v>40</v>
      </c>
      <c r="AN22" s="1928">
        <v>0</v>
      </c>
      <c r="AO22" s="1928">
        <v>0</v>
      </c>
      <c r="AP22" s="1928">
        <v>14</v>
      </c>
      <c r="AQ22" s="1928">
        <v>0</v>
      </c>
      <c r="AR22" s="758">
        <v>0</v>
      </c>
      <c r="AS22" s="1928">
        <v>0</v>
      </c>
      <c r="AT22" s="758">
        <v>0</v>
      </c>
      <c r="AU22" s="758"/>
      <c r="AV22" s="1928">
        <v>22</v>
      </c>
      <c r="AW22" s="1928">
        <v>0</v>
      </c>
      <c r="AX22" s="1928">
        <v>51</v>
      </c>
      <c r="AY22" s="1928">
        <v>10</v>
      </c>
      <c r="AZ22" s="1928">
        <v>12</v>
      </c>
      <c r="BA22" s="1928">
        <v>0</v>
      </c>
      <c r="BB22" s="1928">
        <v>21</v>
      </c>
      <c r="BC22" s="1928">
        <v>0</v>
      </c>
      <c r="BD22" s="1928">
        <v>0</v>
      </c>
      <c r="BE22" s="758">
        <v>0</v>
      </c>
      <c r="BF22" s="758">
        <v>80</v>
      </c>
      <c r="BG22" s="1928">
        <v>180</v>
      </c>
      <c r="BH22" s="1928">
        <v>195</v>
      </c>
      <c r="BI22" s="1928">
        <v>208</v>
      </c>
      <c r="BJ22" s="1928">
        <v>8</v>
      </c>
      <c r="BK22" s="1928">
        <v>132</v>
      </c>
      <c r="BL22" s="758">
        <v>3</v>
      </c>
      <c r="BM22" s="1928">
        <v>5</v>
      </c>
      <c r="BN22" s="758">
        <v>0</v>
      </c>
      <c r="BO22" s="1936">
        <v>51</v>
      </c>
      <c r="BP22" s="759">
        <v>0</v>
      </c>
      <c r="BQ22" s="1936">
        <v>50</v>
      </c>
      <c r="BR22" s="1928">
        <v>8</v>
      </c>
      <c r="BS22" s="1936">
        <v>19</v>
      </c>
      <c r="BT22" s="1936">
        <v>11</v>
      </c>
      <c r="BU22" s="1936">
        <v>30</v>
      </c>
      <c r="BV22" s="1936">
        <v>9</v>
      </c>
      <c r="BW22" s="1947">
        <v>88</v>
      </c>
      <c r="BX22" s="1936">
        <v>50</v>
      </c>
      <c r="BY22" s="1936">
        <v>0</v>
      </c>
      <c r="BZ22" s="1936">
        <v>22</v>
      </c>
      <c r="CA22" s="1957">
        <v>0</v>
      </c>
      <c r="CB22" s="1936">
        <v>43</v>
      </c>
      <c r="CC22" s="1936">
        <v>0</v>
      </c>
      <c r="CD22" s="1936">
        <v>51</v>
      </c>
      <c r="CE22" s="4198">
        <v>0</v>
      </c>
      <c r="CF22" s="1936">
        <v>163</v>
      </c>
      <c r="CG22" s="1936">
        <v>0</v>
      </c>
      <c r="CH22" s="1936">
        <v>63</v>
      </c>
      <c r="CI22" s="1936">
        <v>79</v>
      </c>
      <c r="CJ22" s="1936">
        <v>0</v>
      </c>
      <c r="CK22" s="1936">
        <v>190</v>
      </c>
      <c r="CL22" s="1936">
        <v>18</v>
      </c>
      <c r="CM22" s="1936">
        <v>0</v>
      </c>
      <c r="CN22" s="1936">
        <v>10</v>
      </c>
      <c r="CO22" s="1936">
        <v>270</v>
      </c>
      <c r="CP22" s="1936">
        <v>24</v>
      </c>
      <c r="CQ22" s="1936">
        <v>11</v>
      </c>
      <c r="CR22" s="759">
        <v>0</v>
      </c>
      <c r="CS22" s="1936">
        <v>205</v>
      </c>
      <c r="CT22" s="1936">
        <v>51</v>
      </c>
      <c r="CU22" s="759">
        <v>25</v>
      </c>
      <c r="CV22" s="1936">
        <v>183</v>
      </c>
      <c r="CW22" s="759">
        <v>35</v>
      </c>
      <c r="CX22" s="1936">
        <v>49</v>
      </c>
      <c r="CY22" s="1953">
        <v>0</v>
      </c>
      <c r="CZ22" s="1936">
        <v>90</v>
      </c>
      <c r="DA22" s="1936">
        <v>36</v>
      </c>
      <c r="DB22" s="1936">
        <v>143</v>
      </c>
      <c r="DC22" s="1936">
        <v>0</v>
      </c>
      <c r="DD22" s="1936">
        <v>47</v>
      </c>
      <c r="DE22" s="1936">
        <v>100</v>
      </c>
      <c r="DF22" s="1936">
        <v>48</v>
      </c>
      <c r="DG22" s="1936">
        <v>0</v>
      </c>
      <c r="DH22" s="1936">
        <v>38</v>
      </c>
      <c r="DI22" s="2054">
        <v>54</v>
      </c>
      <c r="DJ22" s="2067">
        <v>110</v>
      </c>
      <c r="DK22" s="2937">
        <v>0</v>
      </c>
      <c r="DL22" s="3069">
        <v>0</v>
      </c>
      <c r="DM22" s="3069">
        <v>60</v>
      </c>
      <c r="DN22" s="3435">
        <v>201</v>
      </c>
      <c r="DO22" s="3510">
        <v>50</v>
      </c>
      <c r="DP22" s="3678">
        <v>0</v>
      </c>
      <c r="DQ22" s="3710">
        <v>150</v>
      </c>
      <c r="DR22" s="3773">
        <v>116</v>
      </c>
      <c r="DS22" s="3838">
        <v>0</v>
      </c>
      <c r="DT22" s="3838">
        <v>17</v>
      </c>
      <c r="DU22" s="4035">
        <v>0</v>
      </c>
      <c r="DV22" s="3678">
        <v>0</v>
      </c>
      <c r="DW22" s="3678">
        <v>9</v>
      </c>
      <c r="DX22" s="759"/>
      <c r="DY22" s="1962">
        <v>599</v>
      </c>
      <c r="DZ22" s="1966">
        <v>0</v>
      </c>
      <c r="EA22" s="1966">
        <v>0</v>
      </c>
      <c r="EB22" s="1966">
        <v>0</v>
      </c>
      <c r="EC22" s="1966">
        <v>0</v>
      </c>
      <c r="ED22" s="896">
        <v>0</v>
      </c>
      <c r="EE22" s="896">
        <v>0</v>
      </c>
      <c r="EF22" s="896">
        <v>0</v>
      </c>
      <c r="EG22" s="1966">
        <v>22</v>
      </c>
      <c r="EH22" s="1966">
        <v>0</v>
      </c>
      <c r="EI22" s="1966">
        <v>0</v>
      </c>
      <c r="EJ22" s="1966">
        <v>91</v>
      </c>
      <c r="EK22" s="1966">
        <v>16</v>
      </c>
      <c r="EL22" s="1966">
        <v>16</v>
      </c>
      <c r="EM22" s="1966">
        <v>0</v>
      </c>
      <c r="EN22" s="1966">
        <v>0</v>
      </c>
      <c r="EO22" s="1966">
        <v>0</v>
      </c>
      <c r="EP22" s="1966">
        <v>50</v>
      </c>
      <c r="EQ22" s="896">
        <v>5</v>
      </c>
      <c r="ER22" s="1966">
        <v>100</v>
      </c>
      <c r="ES22" s="1966">
        <v>0</v>
      </c>
      <c r="ET22" s="1966">
        <v>34</v>
      </c>
      <c r="EU22" s="1966">
        <v>32</v>
      </c>
      <c r="EV22" s="1966">
        <v>52</v>
      </c>
      <c r="EW22" s="1966">
        <v>0</v>
      </c>
      <c r="EX22" s="1966">
        <v>22</v>
      </c>
      <c r="EY22" s="1966">
        <v>0</v>
      </c>
      <c r="EZ22" s="1966">
        <v>8</v>
      </c>
      <c r="FA22" s="1966">
        <v>0</v>
      </c>
      <c r="FB22" s="1966">
        <v>0</v>
      </c>
      <c r="FC22" s="1966">
        <v>200</v>
      </c>
      <c r="FD22" s="1966">
        <v>0</v>
      </c>
      <c r="FE22" s="1966">
        <v>0</v>
      </c>
      <c r="FF22" s="1973">
        <v>0</v>
      </c>
      <c r="FG22" s="1973">
        <v>0</v>
      </c>
      <c r="FH22" s="1973">
        <v>0</v>
      </c>
      <c r="FI22" s="1973">
        <v>0</v>
      </c>
      <c r="FJ22" s="1973">
        <v>11</v>
      </c>
      <c r="FK22" s="1973">
        <v>10</v>
      </c>
      <c r="FL22" s="1973">
        <v>181</v>
      </c>
      <c r="FM22" s="1973">
        <v>0</v>
      </c>
      <c r="FN22" s="1973">
        <v>342</v>
      </c>
      <c r="FO22" s="1973">
        <v>62</v>
      </c>
      <c r="FP22" s="1683">
        <v>0</v>
      </c>
      <c r="FQ22" s="1973">
        <v>70</v>
      </c>
      <c r="FR22" s="1973">
        <v>67</v>
      </c>
      <c r="FS22" s="1973">
        <v>112</v>
      </c>
      <c r="FT22" s="1973">
        <v>0</v>
      </c>
      <c r="FU22" s="1989">
        <v>0</v>
      </c>
      <c r="FV22" s="2162">
        <v>113</v>
      </c>
      <c r="FW22" s="2162">
        <v>0</v>
      </c>
      <c r="FX22" s="3681">
        <v>221</v>
      </c>
      <c r="FY22" s="3681">
        <v>0</v>
      </c>
      <c r="FZ22" s="3754">
        <v>17</v>
      </c>
      <c r="GA22" s="4417">
        <v>0</v>
      </c>
      <c r="GB22" s="4894">
        <v>0</v>
      </c>
      <c r="GC22" s="4980">
        <v>0</v>
      </c>
      <c r="GD22" s="928"/>
      <c r="GE22" s="910">
        <v>5119</v>
      </c>
      <c r="GF22" s="934">
        <v>2453</v>
      </c>
      <c r="GG22" s="909">
        <v>7572</v>
      </c>
      <c r="GH22" s="895">
        <v>2129</v>
      </c>
      <c r="GI22" s="650">
        <v>599</v>
      </c>
      <c r="GJ22" s="650">
        <v>1640</v>
      </c>
      <c r="GK22" s="650">
        <v>121</v>
      </c>
      <c r="GL22" s="650">
        <v>2390</v>
      </c>
      <c r="GM22" s="650">
        <v>200</v>
      </c>
      <c r="GN22" s="650">
        <v>79</v>
      </c>
      <c r="GO22" s="650">
        <v>0</v>
      </c>
      <c r="GP22" s="650">
        <v>326</v>
      </c>
      <c r="GQ22" s="650">
        <v>88</v>
      </c>
      <c r="GR22" s="4637">
        <v>0</v>
      </c>
      <c r="GS22" s="13">
        <v>0</v>
      </c>
      <c r="GT22" s="4638">
        <v>97.37</v>
      </c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</row>
    <row r="23" spans="1:273" ht="23.25" customHeight="1" thickBot="1">
      <c r="A23" s="609">
        <v>0.77083333333333337</v>
      </c>
      <c r="B23" s="1929">
        <v>0</v>
      </c>
      <c r="C23" s="1930">
        <v>0</v>
      </c>
      <c r="D23" s="1930">
        <v>0</v>
      </c>
      <c r="E23" s="1930">
        <v>0</v>
      </c>
      <c r="F23" s="1930">
        <v>0</v>
      </c>
      <c r="G23" s="1930">
        <v>0</v>
      </c>
      <c r="H23" s="1930">
        <v>0</v>
      </c>
      <c r="I23" s="1930">
        <v>0</v>
      </c>
      <c r="J23" s="1930">
        <v>0</v>
      </c>
      <c r="K23" s="897"/>
      <c r="L23" s="897">
        <v>0</v>
      </c>
      <c r="M23" s="1944">
        <v>0</v>
      </c>
      <c r="N23" s="1930">
        <v>0</v>
      </c>
      <c r="O23" s="1930">
        <v>0</v>
      </c>
      <c r="P23" s="1930">
        <v>0</v>
      </c>
      <c r="Q23" s="1930">
        <v>0</v>
      </c>
      <c r="R23" s="1930">
        <v>0</v>
      </c>
      <c r="S23" s="897">
        <v>0</v>
      </c>
      <c r="T23" s="897">
        <v>0</v>
      </c>
      <c r="U23" s="1930">
        <v>0</v>
      </c>
      <c r="V23" s="1930">
        <v>0</v>
      </c>
      <c r="W23" s="1930">
        <v>0</v>
      </c>
      <c r="X23" s="1930">
        <v>0</v>
      </c>
      <c r="Y23" s="1930">
        <v>0</v>
      </c>
      <c r="Z23" s="897">
        <v>0</v>
      </c>
      <c r="AA23" s="1930">
        <v>0</v>
      </c>
      <c r="AB23" s="1930">
        <v>0</v>
      </c>
      <c r="AC23" s="1930">
        <v>0</v>
      </c>
      <c r="AD23" s="1930">
        <v>0</v>
      </c>
      <c r="AE23" s="1930">
        <v>0</v>
      </c>
      <c r="AF23" s="1930">
        <v>0</v>
      </c>
      <c r="AG23" s="1930">
        <v>0</v>
      </c>
      <c r="AH23" s="1930">
        <v>0</v>
      </c>
      <c r="AI23" s="1930">
        <v>0</v>
      </c>
      <c r="AJ23" s="1930">
        <v>0</v>
      </c>
      <c r="AK23" s="897">
        <v>0</v>
      </c>
      <c r="AL23" s="897">
        <v>0</v>
      </c>
      <c r="AM23" s="1930">
        <v>0</v>
      </c>
      <c r="AN23" s="1930">
        <v>0</v>
      </c>
      <c r="AO23" s="1930">
        <v>0</v>
      </c>
      <c r="AP23" s="1930">
        <v>0</v>
      </c>
      <c r="AQ23" s="1930">
        <v>0</v>
      </c>
      <c r="AR23" s="897">
        <v>0</v>
      </c>
      <c r="AS23" s="1930">
        <v>0</v>
      </c>
      <c r="AT23" s="897">
        <v>0</v>
      </c>
      <c r="AU23" s="897"/>
      <c r="AV23" s="1930">
        <v>0</v>
      </c>
      <c r="AW23" s="1930">
        <v>0</v>
      </c>
      <c r="AX23" s="1930">
        <v>0</v>
      </c>
      <c r="AY23" s="1930">
        <v>0</v>
      </c>
      <c r="AZ23" s="1930">
        <v>0</v>
      </c>
      <c r="BA23" s="1930">
        <v>0</v>
      </c>
      <c r="BB23" s="1930">
        <v>0</v>
      </c>
      <c r="BC23" s="1930">
        <v>0</v>
      </c>
      <c r="BD23" s="1930">
        <v>0</v>
      </c>
      <c r="BE23" s="897">
        <v>0</v>
      </c>
      <c r="BF23" s="897">
        <v>0</v>
      </c>
      <c r="BG23" s="1930">
        <v>0</v>
      </c>
      <c r="BH23" s="1930">
        <v>0</v>
      </c>
      <c r="BI23" s="1930">
        <v>0</v>
      </c>
      <c r="BJ23" s="1930">
        <v>0</v>
      </c>
      <c r="BK23" s="1930">
        <v>0</v>
      </c>
      <c r="BL23" s="897">
        <v>0</v>
      </c>
      <c r="BM23" s="1930">
        <v>0</v>
      </c>
      <c r="BN23" s="897">
        <v>0</v>
      </c>
      <c r="BO23" s="1930">
        <v>0</v>
      </c>
      <c r="BP23" s="897">
        <v>0</v>
      </c>
      <c r="BQ23" s="1930">
        <v>0</v>
      </c>
      <c r="BR23" s="1930">
        <v>0</v>
      </c>
      <c r="BS23" s="1930">
        <v>0</v>
      </c>
      <c r="BT23" s="1930">
        <v>0</v>
      </c>
      <c r="BU23" s="1930">
        <v>0</v>
      </c>
      <c r="BV23" s="1930">
        <v>0</v>
      </c>
      <c r="BW23" s="1948">
        <v>0</v>
      </c>
      <c r="BX23" s="1930">
        <v>0</v>
      </c>
      <c r="BY23" s="1930">
        <v>0</v>
      </c>
      <c r="BZ23" s="1930">
        <v>0</v>
      </c>
      <c r="CA23" s="1958">
        <v>0</v>
      </c>
      <c r="CB23" s="1930">
        <v>0</v>
      </c>
      <c r="CC23" s="1930">
        <v>0</v>
      </c>
      <c r="CD23" s="1930">
        <v>0</v>
      </c>
      <c r="CE23" s="4199">
        <v>0</v>
      </c>
      <c r="CF23" s="1930">
        <v>0</v>
      </c>
      <c r="CG23" s="1930">
        <v>0</v>
      </c>
      <c r="CH23" s="1930">
        <v>0</v>
      </c>
      <c r="CI23" s="1930">
        <v>0</v>
      </c>
      <c r="CJ23" s="1930">
        <v>0</v>
      </c>
      <c r="CK23" s="1930">
        <v>0</v>
      </c>
      <c r="CL23" s="1930">
        <v>0</v>
      </c>
      <c r="CM23" s="1930">
        <v>0</v>
      </c>
      <c r="CN23" s="1930">
        <v>0</v>
      </c>
      <c r="CO23" s="1930">
        <v>0</v>
      </c>
      <c r="CP23" s="1930">
        <v>0</v>
      </c>
      <c r="CQ23" s="1930">
        <v>0</v>
      </c>
      <c r="CR23" s="897">
        <v>0</v>
      </c>
      <c r="CS23" s="1930">
        <v>0</v>
      </c>
      <c r="CT23" s="1930">
        <v>0</v>
      </c>
      <c r="CU23" s="897">
        <v>0</v>
      </c>
      <c r="CV23" s="1930">
        <v>0</v>
      </c>
      <c r="CW23" s="897">
        <v>0</v>
      </c>
      <c r="CX23" s="1930">
        <v>0</v>
      </c>
      <c r="CY23" s="1954">
        <v>0</v>
      </c>
      <c r="CZ23" s="1930">
        <v>0</v>
      </c>
      <c r="DA23" s="1930">
        <v>0</v>
      </c>
      <c r="DB23" s="1930">
        <v>0</v>
      </c>
      <c r="DC23" s="1930">
        <v>0</v>
      </c>
      <c r="DD23" s="1930">
        <v>0</v>
      </c>
      <c r="DE23" s="1944">
        <v>0</v>
      </c>
      <c r="DF23" s="1930">
        <v>0</v>
      </c>
      <c r="DG23" s="1930">
        <v>0</v>
      </c>
      <c r="DH23" s="1930">
        <v>0</v>
      </c>
      <c r="DI23" s="2055">
        <v>0</v>
      </c>
      <c r="DJ23" s="2068">
        <v>0</v>
      </c>
      <c r="DK23" s="2938">
        <v>0</v>
      </c>
      <c r="DL23" s="3070">
        <v>0</v>
      </c>
      <c r="DM23" s="3070">
        <v>0</v>
      </c>
      <c r="DN23" s="3436">
        <v>0</v>
      </c>
      <c r="DO23" s="3511">
        <v>0</v>
      </c>
      <c r="DP23" s="3679">
        <v>0</v>
      </c>
      <c r="DQ23" s="3711">
        <v>0</v>
      </c>
      <c r="DR23" s="3774">
        <v>0</v>
      </c>
      <c r="DS23" s="3839">
        <v>0</v>
      </c>
      <c r="DT23" s="3839">
        <v>0</v>
      </c>
      <c r="DU23" s="4036">
        <v>0</v>
      </c>
      <c r="DV23" s="3679">
        <v>0</v>
      </c>
      <c r="DW23" s="3679">
        <v>0</v>
      </c>
      <c r="DX23" s="897"/>
      <c r="DY23" s="1948">
        <v>0</v>
      </c>
      <c r="DZ23" s="1967">
        <v>0</v>
      </c>
      <c r="EA23" s="1967">
        <v>0</v>
      </c>
      <c r="EB23" s="1967">
        <v>0</v>
      </c>
      <c r="EC23" s="1967">
        <v>0</v>
      </c>
      <c r="ED23" s="898">
        <v>0</v>
      </c>
      <c r="EE23" s="898">
        <v>0</v>
      </c>
      <c r="EF23" s="898">
        <v>0</v>
      </c>
      <c r="EG23" s="1967">
        <v>0</v>
      </c>
      <c r="EH23" s="1967">
        <v>0</v>
      </c>
      <c r="EI23" s="1967">
        <v>0</v>
      </c>
      <c r="EJ23" s="1967">
        <v>0</v>
      </c>
      <c r="EK23" s="1967">
        <v>0</v>
      </c>
      <c r="EL23" s="1967">
        <v>0</v>
      </c>
      <c r="EM23" s="1967">
        <v>0</v>
      </c>
      <c r="EN23" s="1967">
        <v>0</v>
      </c>
      <c r="EO23" s="1971">
        <v>0</v>
      </c>
      <c r="EP23" s="1967">
        <v>0</v>
      </c>
      <c r="EQ23" s="898">
        <v>0</v>
      </c>
      <c r="ER23" s="1967">
        <v>0</v>
      </c>
      <c r="ES23" s="1967">
        <v>0</v>
      </c>
      <c r="ET23" s="1967">
        <v>0</v>
      </c>
      <c r="EU23" s="1967">
        <v>0</v>
      </c>
      <c r="EV23" s="1967">
        <v>0</v>
      </c>
      <c r="EW23" s="1967">
        <v>0</v>
      </c>
      <c r="EX23" s="1967">
        <v>0</v>
      </c>
      <c r="EY23" s="1967">
        <v>0</v>
      </c>
      <c r="EZ23" s="1967">
        <v>0</v>
      </c>
      <c r="FA23" s="1967">
        <v>0</v>
      </c>
      <c r="FB23" s="1967">
        <v>0</v>
      </c>
      <c r="FC23" s="1967">
        <v>0</v>
      </c>
      <c r="FD23" s="1967">
        <v>0</v>
      </c>
      <c r="FE23" s="1967">
        <v>0</v>
      </c>
      <c r="FF23" s="1974">
        <v>0</v>
      </c>
      <c r="FG23" s="1974">
        <v>0</v>
      </c>
      <c r="FH23" s="1974">
        <v>0</v>
      </c>
      <c r="FI23" s="1974">
        <v>0</v>
      </c>
      <c r="FJ23" s="1974">
        <v>0</v>
      </c>
      <c r="FK23" s="1974">
        <v>0</v>
      </c>
      <c r="FL23" s="1974">
        <v>0</v>
      </c>
      <c r="FM23" s="1974">
        <v>0</v>
      </c>
      <c r="FN23" s="1974">
        <v>0</v>
      </c>
      <c r="FO23" s="1974">
        <v>0</v>
      </c>
      <c r="FP23" s="1684">
        <v>0</v>
      </c>
      <c r="FQ23" s="1974">
        <v>0</v>
      </c>
      <c r="FR23" s="1974">
        <v>0</v>
      </c>
      <c r="FS23" s="1974">
        <v>0</v>
      </c>
      <c r="FT23" s="1974">
        <v>0</v>
      </c>
      <c r="FU23" s="1990">
        <v>0</v>
      </c>
      <c r="FV23" s="2163">
        <v>0</v>
      </c>
      <c r="FW23" s="2163">
        <v>0</v>
      </c>
      <c r="FX23" s="3682">
        <v>0</v>
      </c>
      <c r="FY23" s="3682">
        <v>0</v>
      </c>
      <c r="FZ23" s="3755">
        <v>0</v>
      </c>
      <c r="GA23" s="4418">
        <v>0</v>
      </c>
      <c r="GB23" s="4895">
        <v>0</v>
      </c>
      <c r="GC23" s="4981">
        <v>0</v>
      </c>
      <c r="GD23" s="929"/>
      <c r="GE23" s="936">
        <v>0</v>
      </c>
      <c r="GF23" s="934">
        <v>0</v>
      </c>
      <c r="GG23" s="921">
        <v>0</v>
      </c>
      <c r="GH23" s="923">
        <v>0</v>
      </c>
      <c r="GI23" s="924">
        <v>0</v>
      </c>
      <c r="GJ23" s="924">
        <v>0</v>
      </c>
      <c r="GK23" s="650">
        <v>0</v>
      </c>
      <c r="GL23" s="650">
        <v>0</v>
      </c>
      <c r="GM23" s="650">
        <v>0</v>
      </c>
      <c r="GN23" s="650">
        <v>0</v>
      </c>
      <c r="GO23" s="650">
        <v>0</v>
      </c>
      <c r="GP23" s="650">
        <v>0</v>
      </c>
      <c r="GQ23" s="650">
        <v>0</v>
      </c>
      <c r="GR23" s="4637">
        <v>0</v>
      </c>
      <c r="GS23" s="13">
        <v>0</v>
      </c>
      <c r="GT23" s="4639">
        <v>0</v>
      </c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</row>
    <row r="24" spans="1:273" ht="24" customHeight="1" thickBot="1">
      <c r="A24" s="609">
        <v>0.79166666666666663</v>
      </c>
      <c r="B24" s="1927">
        <v>0</v>
      </c>
      <c r="C24" s="1928">
        <v>0</v>
      </c>
      <c r="D24" s="1928">
        <v>240</v>
      </c>
      <c r="E24" s="1928">
        <v>0</v>
      </c>
      <c r="F24" s="1928">
        <v>0</v>
      </c>
      <c r="G24" s="1928">
        <v>0</v>
      </c>
      <c r="H24" s="1928">
        <v>0</v>
      </c>
      <c r="I24" s="1928">
        <v>0</v>
      </c>
      <c r="J24" s="1928">
        <v>223</v>
      </c>
      <c r="K24" s="758"/>
      <c r="L24" s="758">
        <v>0</v>
      </c>
      <c r="M24" s="1928">
        <v>180</v>
      </c>
      <c r="N24" s="1928">
        <v>0</v>
      </c>
      <c r="O24" s="1928">
        <v>0</v>
      </c>
      <c r="P24" s="1928">
        <v>0</v>
      </c>
      <c r="Q24" s="1928">
        <v>55</v>
      </c>
      <c r="R24" s="1928">
        <v>0</v>
      </c>
      <c r="S24" s="758">
        <v>0</v>
      </c>
      <c r="T24" s="758">
        <v>0</v>
      </c>
      <c r="U24" s="1928">
        <v>0</v>
      </c>
      <c r="V24" s="1928">
        <v>102</v>
      </c>
      <c r="W24" s="1928">
        <v>16</v>
      </c>
      <c r="X24" s="1928">
        <v>23</v>
      </c>
      <c r="Y24" s="1928">
        <v>0</v>
      </c>
      <c r="Z24" s="758">
        <v>0</v>
      </c>
      <c r="AA24" s="1928">
        <v>0</v>
      </c>
      <c r="AB24" s="1928">
        <v>35</v>
      </c>
      <c r="AC24" s="1928">
        <v>55</v>
      </c>
      <c r="AD24" s="1928">
        <v>35</v>
      </c>
      <c r="AE24" s="1928">
        <v>16</v>
      </c>
      <c r="AF24" s="1928">
        <v>25</v>
      </c>
      <c r="AG24" s="1928">
        <v>9</v>
      </c>
      <c r="AH24" s="1928">
        <v>16</v>
      </c>
      <c r="AI24" s="1928">
        <v>33</v>
      </c>
      <c r="AJ24" s="1928">
        <v>40</v>
      </c>
      <c r="AK24" s="758">
        <v>0</v>
      </c>
      <c r="AL24" s="758">
        <v>37</v>
      </c>
      <c r="AM24" s="1928">
        <v>40</v>
      </c>
      <c r="AN24" s="1928">
        <v>0</v>
      </c>
      <c r="AO24" s="1928">
        <v>0</v>
      </c>
      <c r="AP24" s="1928">
        <v>17</v>
      </c>
      <c r="AQ24" s="1928">
        <v>0</v>
      </c>
      <c r="AR24" s="758">
        <v>0</v>
      </c>
      <c r="AS24" s="1928">
        <v>0</v>
      </c>
      <c r="AT24" s="758">
        <v>0</v>
      </c>
      <c r="AU24" s="758"/>
      <c r="AV24" s="1928">
        <v>22</v>
      </c>
      <c r="AW24" s="1928">
        <v>0</v>
      </c>
      <c r="AX24" s="1928">
        <v>51</v>
      </c>
      <c r="AY24" s="1928">
        <v>10</v>
      </c>
      <c r="AZ24" s="1928">
        <v>12</v>
      </c>
      <c r="BA24" s="1928">
        <v>0</v>
      </c>
      <c r="BB24" s="1928">
        <v>21</v>
      </c>
      <c r="BC24" s="1928">
        <v>12</v>
      </c>
      <c r="BD24" s="1928">
        <v>0</v>
      </c>
      <c r="BE24" s="758">
        <v>0</v>
      </c>
      <c r="BF24" s="758">
        <v>80</v>
      </c>
      <c r="BG24" s="1928">
        <v>150</v>
      </c>
      <c r="BH24" s="1928">
        <v>310</v>
      </c>
      <c r="BI24" s="1928">
        <v>175</v>
      </c>
      <c r="BJ24" s="1928">
        <v>8</v>
      </c>
      <c r="BK24" s="1928">
        <v>130</v>
      </c>
      <c r="BL24" s="758">
        <v>3</v>
      </c>
      <c r="BM24" s="1928">
        <v>5</v>
      </c>
      <c r="BN24" s="758">
        <v>0</v>
      </c>
      <c r="BO24" s="1928">
        <v>51</v>
      </c>
      <c r="BP24" s="758">
        <v>0</v>
      </c>
      <c r="BQ24" s="1928">
        <v>50</v>
      </c>
      <c r="BR24" s="1928">
        <v>8</v>
      </c>
      <c r="BS24" s="1928">
        <v>20</v>
      </c>
      <c r="BT24" s="1928">
        <v>11</v>
      </c>
      <c r="BU24" s="1928">
        <v>33</v>
      </c>
      <c r="BV24" s="1928">
        <v>9</v>
      </c>
      <c r="BW24" s="1949">
        <v>86</v>
      </c>
      <c r="BX24" s="1928">
        <v>50</v>
      </c>
      <c r="BY24" s="1928">
        <v>0</v>
      </c>
      <c r="BZ24" s="1928">
        <v>22</v>
      </c>
      <c r="CA24" s="1959">
        <v>0</v>
      </c>
      <c r="CB24" s="1928">
        <v>43</v>
      </c>
      <c r="CC24" s="1928">
        <v>0</v>
      </c>
      <c r="CD24" s="1928">
        <v>49</v>
      </c>
      <c r="CE24" s="4200">
        <v>0</v>
      </c>
      <c r="CF24" s="1928">
        <v>163</v>
      </c>
      <c r="CG24" s="1928">
        <v>0</v>
      </c>
      <c r="CH24" s="1928">
        <v>64</v>
      </c>
      <c r="CI24" s="1928">
        <v>79</v>
      </c>
      <c r="CJ24" s="1928">
        <v>0</v>
      </c>
      <c r="CK24" s="1928">
        <v>190</v>
      </c>
      <c r="CL24" s="1928">
        <v>18</v>
      </c>
      <c r="CM24" s="1928">
        <v>0</v>
      </c>
      <c r="CN24" s="1928">
        <v>10</v>
      </c>
      <c r="CO24" s="1928">
        <v>280</v>
      </c>
      <c r="CP24" s="1928">
        <v>24</v>
      </c>
      <c r="CQ24" s="1928">
        <v>11</v>
      </c>
      <c r="CR24" s="758">
        <v>0</v>
      </c>
      <c r="CS24" s="1928">
        <v>265</v>
      </c>
      <c r="CT24" s="1928">
        <v>0</v>
      </c>
      <c r="CU24" s="758">
        <v>25</v>
      </c>
      <c r="CV24" s="1928">
        <v>183</v>
      </c>
      <c r="CW24" s="758">
        <v>25</v>
      </c>
      <c r="CX24" s="1928">
        <v>70</v>
      </c>
      <c r="CY24" s="1955">
        <v>0</v>
      </c>
      <c r="CZ24" s="1928">
        <v>90</v>
      </c>
      <c r="DA24" s="1928">
        <v>63</v>
      </c>
      <c r="DB24" s="1928">
        <v>140</v>
      </c>
      <c r="DC24" s="1928">
        <v>0</v>
      </c>
      <c r="DD24" s="1928">
        <v>100</v>
      </c>
      <c r="DE24" s="1928">
        <v>105</v>
      </c>
      <c r="DF24" s="1928">
        <v>105</v>
      </c>
      <c r="DG24" s="1928">
        <v>0</v>
      </c>
      <c r="DH24" s="1928">
        <v>65</v>
      </c>
      <c r="DI24" s="2056">
        <v>54</v>
      </c>
      <c r="DJ24" s="2069">
        <v>110</v>
      </c>
      <c r="DK24" s="2939">
        <v>17</v>
      </c>
      <c r="DL24" s="3071">
        <v>0</v>
      </c>
      <c r="DM24" s="3071">
        <v>90</v>
      </c>
      <c r="DN24" s="3437">
        <v>200</v>
      </c>
      <c r="DO24" s="3512">
        <v>91</v>
      </c>
      <c r="DP24" s="3680">
        <v>0</v>
      </c>
      <c r="DQ24" s="3712">
        <v>54</v>
      </c>
      <c r="DR24" s="3775">
        <v>116</v>
      </c>
      <c r="DS24" s="3840">
        <v>0</v>
      </c>
      <c r="DT24" s="3840">
        <v>17</v>
      </c>
      <c r="DU24" s="4037">
        <v>0</v>
      </c>
      <c r="DV24" s="3680">
        <v>0</v>
      </c>
      <c r="DW24" s="3680">
        <v>55</v>
      </c>
      <c r="DX24" s="758"/>
      <c r="DY24" s="1949">
        <v>656</v>
      </c>
      <c r="DZ24" s="1968">
        <v>0</v>
      </c>
      <c r="EA24" s="1968">
        <v>0</v>
      </c>
      <c r="EB24" s="1968">
        <v>0</v>
      </c>
      <c r="EC24" s="1968">
        <v>0</v>
      </c>
      <c r="ED24" s="899">
        <v>0</v>
      </c>
      <c r="EE24" s="899">
        <v>0</v>
      </c>
      <c r="EF24" s="899">
        <v>0</v>
      </c>
      <c r="EG24" s="1968">
        <v>34</v>
      </c>
      <c r="EH24" s="1968">
        <v>0</v>
      </c>
      <c r="EI24" s="1968">
        <v>0</v>
      </c>
      <c r="EJ24" s="1968">
        <v>91</v>
      </c>
      <c r="EK24" s="1968">
        <v>19</v>
      </c>
      <c r="EL24" s="1968">
        <v>0</v>
      </c>
      <c r="EM24" s="1968">
        <v>0</v>
      </c>
      <c r="EN24" s="1968">
        <v>0</v>
      </c>
      <c r="EO24" s="1968">
        <v>0</v>
      </c>
      <c r="EP24" s="1968">
        <v>50</v>
      </c>
      <c r="EQ24" s="899">
        <v>21</v>
      </c>
      <c r="ER24" s="1968">
        <v>100</v>
      </c>
      <c r="ES24" s="1968">
        <v>0</v>
      </c>
      <c r="ET24" s="1968">
        <v>34</v>
      </c>
      <c r="EU24" s="1968">
        <v>32</v>
      </c>
      <c r="EV24" s="1968">
        <v>52</v>
      </c>
      <c r="EW24" s="1968">
        <v>0</v>
      </c>
      <c r="EX24" s="1968">
        <v>22</v>
      </c>
      <c r="EY24" s="1968">
        <v>0</v>
      </c>
      <c r="EZ24" s="1968">
        <v>8</v>
      </c>
      <c r="FA24" s="1968">
        <v>0</v>
      </c>
      <c r="FB24" s="1968">
        <v>0</v>
      </c>
      <c r="FC24" s="1968">
        <v>199</v>
      </c>
      <c r="FD24" s="1968">
        <v>0</v>
      </c>
      <c r="FE24" s="1968">
        <v>0</v>
      </c>
      <c r="FF24" s="1975">
        <v>0</v>
      </c>
      <c r="FG24" s="1975">
        <v>0</v>
      </c>
      <c r="FH24" s="1975">
        <v>0</v>
      </c>
      <c r="FI24" s="1975">
        <v>0</v>
      </c>
      <c r="FJ24" s="1975">
        <v>11</v>
      </c>
      <c r="FK24" s="1975">
        <v>0</v>
      </c>
      <c r="FL24" s="1975">
        <v>184</v>
      </c>
      <c r="FM24" s="1975">
        <v>0</v>
      </c>
      <c r="FN24" s="1975">
        <v>377</v>
      </c>
      <c r="FO24" s="1975">
        <v>105</v>
      </c>
      <c r="FP24" s="1685">
        <v>0</v>
      </c>
      <c r="FQ24" s="1975">
        <v>90</v>
      </c>
      <c r="FR24" s="1975">
        <v>0</v>
      </c>
      <c r="FS24" s="1975">
        <v>112</v>
      </c>
      <c r="FT24" s="1975">
        <v>0</v>
      </c>
      <c r="FU24" s="1991">
        <v>0</v>
      </c>
      <c r="FV24" s="2164">
        <v>113</v>
      </c>
      <c r="FW24" s="2164">
        <v>70</v>
      </c>
      <c r="FX24" s="3683">
        <v>221</v>
      </c>
      <c r="FY24" s="3683">
        <v>0</v>
      </c>
      <c r="FZ24" s="3756">
        <v>0</v>
      </c>
      <c r="GA24" s="4419">
        <v>0</v>
      </c>
      <c r="GB24" s="4896">
        <v>0</v>
      </c>
      <c r="GC24" s="4982">
        <v>0</v>
      </c>
      <c r="GD24" s="930"/>
      <c r="GE24" s="937">
        <v>5497</v>
      </c>
      <c r="GF24" s="935">
        <v>2601</v>
      </c>
      <c r="GG24" s="909">
        <v>8098</v>
      </c>
      <c r="GH24" s="895">
        <v>2186</v>
      </c>
      <c r="GI24" s="909">
        <v>656</v>
      </c>
      <c r="GJ24" s="909">
        <v>1710</v>
      </c>
      <c r="GK24" s="909">
        <v>50</v>
      </c>
      <c r="GL24" s="909">
        <v>2710</v>
      </c>
      <c r="GM24" s="909">
        <v>269</v>
      </c>
      <c r="GN24" s="909">
        <v>77</v>
      </c>
      <c r="GO24" s="909">
        <v>0</v>
      </c>
      <c r="GP24" s="909">
        <v>354</v>
      </c>
      <c r="GQ24" s="909">
        <v>86</v>
      </c>
      <c r="GR24" s="4637">
        <v>0</v>
      </c>
      <c r="GS24" s="13">
        <v>0</v>
      </c>
      <c r="GT24" s="4638">
        <v>97.34</v>
      </c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</row>
    <row r="25" spans="1:273" ht="24.75" customHeight="1" thickBot="1">
      <c r="A25" s="609">
        <v>0.8125</v>
      </c>
      <c r="B25" s="1931">
        <v>0</v>
      </c>
      <c r="C25" s="1932">
        <v>0</v>
      </c>
      <c r="D25" s="1932">
        <v>240</v>
      </c>
      <c r="E25" s="1932">
        <v>0</v>
      </c>
      <c r="F25" s="1937">
        <v>0</v>
      </c>
      <c r="G25" s="1936">
        <v>0</v>
      </c>
      <c r="H25" s="1932">
        <v>0</v>
      </c>
      <c r="I25" s="1932">
        <v>0</v>
      </c>
      <c r="J25" s="1928">
        <v>222</v>
      </c>
      <c r="K25" s="758"/>
      <c r="L25" s="758">
        <v>0</v>
      </c>
      <c r="M25" s="1928">
        <v>180</v>
      </c>
      <c r="N25" s="1928">
        <v>0</v>
      </c>
      <c r="O25" s="1928">
        <v>0</v>
      </c>
      <c r="P25" s="1928">
        <v>0</v>
      </c>
      <c r="Q25" s="1928">
        <v>55</v>
      </c>
      <c r="R25" s="1928">
        <v>0</v>
      </c>
      <c r="S25" s="758">
        <v>0</v>
      </c>
      <c r="T25" s="758">
        <v>0</v>
      </c>
      <c r="U25" s="1928">
        <v>0</v>
      </c>
      <c r="V25" s="1936">
        <v>102</v>
      </c>
      <c r="W25" s="1928">
        <v>0</v>
      </c>
      <c r="X25" s="1928">
        <v>24</v>
      </c>
      <c r="Y25" s="1928">
        <v>0</v>
      </c>
      <c r="Z25" s="758">
        <v>0</v>
      </c>
      <c r="AA25" s="1928">
        <v>0</v>
      </c>
      <c r="AB25" s="1928">
        <v>35</v>
      </c>
      <c r="AC25" s="1928">
        <v>55</v>
      </c>
      <c r="AD25" s="1928">
        <v>35</v>
      </c>
      <c r="AE25" s="1928">
        <v>16</v>
      </c>
      <c r="AF25" s="1928">
        <v>25</v>
      </c>
      <c r="AG25" s="1928">
        <v>9</v>
      </c>
      <c r="AH25" s="1928">
        <v>16</v>
      </c>
      <c r="AI25" s="1928">
        <v>33</v>
      </c>
      <c r="AJ25" s="1928">
        <v>25</v>
      </c>
      <c r="AK25" s="758">
        <v>0</v>
      </c>
      <c r="AL25" s="758">
        <v>38</v>
      </c>
      <c r="AM25" s="1928">
        <v>40</v>
      </c>
      <c r="AN25" s="1928">
        <v>0</v>
      </c>
      <c r="AO25" s="1928">
        <v>0</v>
      </c>
      <c r="AP25" s="1928">
        <v>17</v>
      </c>
      <c r="AQ25" s="1928">
        <v>0</v>
      </c>
      <c r="AR25" s="758">
        <v>0</v>
      </c>
      <c r="AS25" s="1928">
        <v>0</v>
      </c>
      <c r="AT25" s="758">
        <v>0</v>
      </c>
      <c r="AU25" s="758"/>
      <c r="AV25" s="1928">
        <v>22</v>
      </c>
      <c r="AW25" s="1928">
        <v>0</v>
      </c>
      <c r="AX25" s="1928">
        <v>40</v>
      </c>
      <c r="AY25" s="1928">
        <v>10</v>
      </c>
      <c r="AZ25" s="1928">
        <v>12</v>
      </c>
      <c r="BA25" s="1928">
        <v>0</v>
      </c>
      <c r="BB25" s="1928">
        <v>21</v>
      </c>
      <c r="BC25" s="1928">
        <v>10</v>
      </c>
      <c r="BD25" s="1928">
        <v>0</v>
      </c>
      <c r="BE25" s="758">
        <v>0</v>
      </c>
      <c r="BF25" s="758">
        <v>80</v>
      </c>
      <c r="BG25" s="1928">
        <v>150</v>
      </c>
      <c r="BH25" s="1928">
        <v>310</v>
      </c>
      <c r="BI25" s="1928">
        <v>168</v>
      </c>
      <c r="BJ25" s="1928">
        <v>8</v>
      </c>
      <c r="BK25" s="1928">
        <v>132</v>
      </c>
      <c r="BL25" s="758">
        <v>3</v>
      </c>
      <c r="BM25" s="1928">
        <v>5</v>
      </c>
      <c r="BN25" s="758">
        <v>0</v>
      </c>
      <c r="BO25" s="1936">
        <v>51</v>
      </c>
      <c r="BP25" s="759">
        <v>0</v>
      </c>
      <c r="BQ25" s="1936">
        <v>0</v>
      </c>
      <c r="BR25" s="1928">
        <v>8</v>
      </c>
      <c r="BS25" s="1936">
        <v>20</v>
      </c>
      <c r="BT25" s="1936">
        <v>11</v>
      </c>
      <c r="BU25" s="1936">
        <v>33</v>
      </c>
      <c r="BV25" s="1936">
        <v>9</v>
      </c>
      <c r="BW25" s="1947">
        <v>88</v>
      </c>
      <c r="BX25" s="1936">
        <v>50</v>
      </c>
      <c r="BY25" s="1936">
        <v>0</v>
      </c>
      <c r="BZ25" s="1936">
        <v>22</v>
      </c>
      <c r="CA25" s="1957">
        <v>0</v>
      </c>
      <c r="CB25" s="1936">
        <v>43</v>
      </c>
      <c r="CC25" s="1936">
        <v>0</v>
      </c>
      <c r="CD25" s="1936">
        <v>51</v>
      </c>
      <c r="CE25" s="4198">
        <v>0</v>
      </c>
      <c r="CF25" s="1936">
        <v>163</v>
      </c>
      <c r="CG25" s="1936">
        <v>0</v>
      </c>
      <c r="CH25" s="1936">
        <v>70</v>
      </c>
      <c r="CI25" s="1936">
        <v>79</v>
      </c>
      <c r="CJ25" s="1936">
        <v>0</v>
      </c>
      <c r="CK25" s="1936">
        <v>190</v>
      </c>
      <c r="CL25" s="1936">
        <v>18</v>
      </c>
      <c r="CM25" s="1936">
        <v>0</v>
      </c>
      <c r="CN25" s="1936">
        <v>10</v>
      </c>
      <c r="CO25" s="1936">
        <v>300</v>
      </c>
      <c r="CP25" s="1936">
        <v>24</v>
      </c>
      <c r="CQ25" s="1936">
        <v>11</v>
      </c>
      <c r="CR25" s="759">
        <v>0</v>
      </c>
      <c r="CS25" s="1936">
        <v>265</v>
      </c>
      <c r="CT25" s="1936">
        <v>0</v>
      </c>
      <c r="CU25" s="759">
        <v>0</v>
      </c>
      <c r="CV25" s="1936">
        <v>183</v>
      </c>
      <c r="CW25" s="759">
        <v>0</v>
      </c>
      <c r="CX25" s="1936">
        <v>70</v>
      </c>
      <c r="CY25" s="1953">
        <v>0</v>
      </c>
      <c r="CZ25" s="1936">
        <v>90</v>
      </c>
      <c r="DA25" s="1936">
        <v>100</v>
      </c>
      <c r="DB25" s="1936">
        <v>142</v>
      </c>
      <c r="DC25" s="1936">
        <v>0</v>
      </c>
      <c r="DD25" s="1936">
        <v>112</v>
      </c>
      <c r="DE25" s="1936">
        <v>105</v>
      </c>
      <c r="DF25" s="1936">
        <v>105</v>
      </c>
      <c r="DG25" s="1936">
        <v>0</v>
      </c>
      <c r="DH25" s="1936">
        <v>65</v>
      </c>
      <c r="DI25" s="2054">
        <v>54</v>
      </c>
      <c r="DJ25" s="2067">
        <v>110</v>
      </c>
      <c r="DK25" s="2937">
        <v>17</v>
      </c>
      <c r="DL25" s="3069">
        <v>0</v>
      </c>
      <c r="DM25" s="3069">
        <v>90</v>
      </c>
      <c r="DN25" s="3435">
        <v>200</v>
      </c>
      <c r="DO25" s="3510">
        <v>104</v>
      </c>
      <c r="DP25" s="3678">
        <v>0</v>
      </c>
      <c r="DQ25" s="3710">
        <v>54</v>
      </c>
      <c r="DR25" s="3773">
        <v>116</v>
      </c>
      <c r="DS25" s="3838">
        <v>0</v>
      </c>
      <c r="DT25" s="3838">
        <v>17</v>
      </c>
      <c r="DU25" s="4035">
        <v>0</v>
      </c>
      <c r="DV25" s="3678">
        <v>0</v>
      </c>
      <c r="DW25" s="3678">
        <v>55</v>
      </c>
      <c r="DX25" s="759"/>
      <c r="DY25" s="1962">
        <v>658</v>
      </c>
      <c r="DZ25" s="1966">
        <v>0</v>
      </c>
      <c r="EA25" s="1966">
        <v>0</v>
      </c>
      <c r="EB25" s="1966">
        <v>0</v>
      </c>
      <c r="EC25" s="1966">
        <v>0</v>
      </c>
      <c r="ED25" s="896">
        <v>0</v>
      </c>
      <c r="EE25" s="896">
        <v>0</v>
      </c>
      <c r="EF25" s="896">
        <v>0</v>
      </c>
      <c r="EG25" s="1966">
        <v>34</v>
      </c>
      <c r="EH25" s="1966">
        <v>0</v>
      </c>
      <c r="EI25" s="1966">
        <v>0</v>
      </c>
      <c r="EJ25" s="1966">
        <v>91</v>
      </c>
      <c r="EK25" s="1966">
        <v>20</v>
      </c>
      <c r="EL25" s="1966">
        <v>0</v>
      </c>
      <c r="EM25" s="1966">
        <v>0</v>
      </c>
      <c r="EN25" s="1966">
        <v>0</v>
      </c>
      <c r="EO25" s="1966">
        <v>0</v>
      </c>
      <c r="EP25" s="1966">
        <v>50</v>
      </c>
      <c r="EQ25" s="896">
        <v>25</v>
      </c>
      <c r="ER25" s="1966">
        <v>100</v>
      </c>
      <c r="ES25" s="1966">
        <v>0</v>
      </c>
      <c r="ET25" s="1966">
        <v>34</v>
      </c>
      <c r="EU25" s="1966">
        <v>32</v>
      </c>
      <c r="EV25" s="1966">
        <v>43</v>
      </c>
      <c r="EW25" s="1966">
        <v>0</v>
      </c>
      <c r="EX25" s="1966">
        <v>22</v>
      </c>
      <c r="EY25" s="1966">
        <v>0</v>
      </c>
      <c r="EZ25" s="1966">
        <v>8</v>
      </c>
      <c r="FA25" s="1966">
        <v>0</v>
      </c>
      <c r="FB25" s="1966">
        <v>0</v>
      </c>
      <c r="FC25" s="1966">
        <v>199</v>
      </c>
      <c r="FD25" s="1966">
        <v>0</v>
      </c>
      <c r="FE25" s="1966">
        <v>0</v>
      </c>
      <c r="FF25" s="1973">
        <v>0</v>
      </c>
      <c r="FG25" s="1973">
        <v>0</v>
      </c>
      <c r="FH25" s="1973">
        <v>0</v>
      </c>
      <c r="FI25" s="1973">
        <v>0</v>
      </c>
      <c r="FJ25" s="1973">
        <v>11</v>
      </c>
      <c r="FK25" s="1973">
        <v>0</v>
      </c>
      <c r="FL25" s="1973">
        <v>185</v>
      </c>
      <c r="FM25" s="1973">
        <v>0</v>
      </c>
      <c r="FN25" s="1973">
        <v>409</v>
      </c>
      <c r="FO25" s="1973">
        <v>105</v>
      </c>
      <c r="FP25" s="1683">
        <v>0</v>
      </c>
      <c r="FQ25" s="1973">
        <v>113</v>
      </c>
      <c r="FR25" s="1973">
        <v>0</v>
      </c>
      <c r="FS25" s="1973">
        <v>112</v>
      </c>
      <c r="FT25" s="1973">
        <v>0</v>
      </c>
      <c r="FU25" s="1989">
        <v>0</v>
      </c>
      <c r="FV25" s="2162">
        <v>113</v>
      </c>
      <c r="FW25" s="2162">
        <v>190</v>
      </c>
      <c r="FX25" s="3681">
        <v>221</v>
      </c>
      <c r="FY25" s="3681">
        <v>0</v>
      </c>
      <c r="FZ25" s="3754">
        <v>0</v>
      </c>
      <c r="GA25" s="4417">
        <v>0</v>
      </c>
      <c r="GB25" s="4894">
        <v>0</v>
      </c>
      <c r="GC25" s="4980">
        <v>0</v>
      </c>
      <c r="GD25" s="928"/>
      <c r="GE25" s="910">
        <v>5443</v>
      </c>
      <c r="GF25" s="932">
        <v>2775</v>
      </c>
      <c r="GG25" s="925">
        <v>8218</v>
      </c>
      <c r="GH25" s="907">
        <v>2188</v>
      </c>
      <c r="GI25" s="894">
        <v>658</v>
      </c>
      <c r="GJ25" s="894">
        <v>1762</v>
      </c>
      <c r="GK25" s="893">
        <v>0</v>
      </c>
      <c r="GL25" s="893">
        <v>2774</v>
      </c>
      <c r="GM25" s="893">
        <v>389</v>
      </c>
      <c r="GN25" s="893">
        <v>78</v>
      </c>
      <c r="GO25" s="893">
        <v>0</v>
      </c>
      <c r="GP25" s="893">
        <v>281</v>
      </c>
      <c r="GQ25" s="893">
        <v>88</v>
      </c>
      <c r="GR25" s="4637">
        <v>0</v>
      </c>
      <c r="GS25" s="13">
        <v>0</v>
      </c>
      <c r="GT25" s="4639">
        <v>0</v>
      </c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</row>
    <row r="26" spans="1:273" ht="23.25" customHeight="1" thickBot="1">
      <c r="A26" s="609">
        <v>0.83333333333333337</v>
      </c>
      <c r="B26" s="1931">
        <v>0</v>
      </c>
      <c r="C26" s="1932">
        <v>0</v>
      </c>
      <c r="D26" s="1932">
        <v>240</v>
      </c>
      <c r="E26" s="1932">
        <v>0</v>
      </c>
      <c r="F26" s="1937">
        <v>0</v>
      </c>
      <c r="G26" s="1936">
        <v>0</v>
      </c>
      <c r="H26" s="1932">
        <v>0</v>
      </c>
      <c r="I26" s="1932">
        <v>0</v>
      </c>
      <c r="J26" s="1928">
        <v>224</v>
      </c>
      <c r="K26" s="758"/>
      <c r="L26" s="758">
        <v>0</v>
      </c>
      <c r="M26" s="1928">
        <v>180</v>
      </c>
      <c r="N26" s="1928">
        <v>0</v>
      </c>
      <c r="O26" s="1928">
        <v>0</v>
      </c>
      <c r="P26" s="1928">
        <v>0</v>
      </c>
      <c r="Q26" s="1928">
        <v>30</v>
      </c>
      <c r="R26" s="1928">
        <v>0</v>
      </c>
      <c r="S26" s="758">
        <v>0</v>
      </c>
      <c r="T26" s="758">
        <v>0</v>
      </c>
      <c r="U26" s="1928">
        <v>0</v>
      </c>
      <c r="V26" s="1936">
        <v>102</v>
      </c>
      <c r="W26" s="1928">
        <v>0</v>
      </c>
      <c r="X26" s="1928">
        <v>24</v>
      </c>
      <c r="Y26" s="1928">
        <v>0</v>
      </c>
      <c r="Z26" s="758">
        <v>0</v>
      </c>
      <c r="AA26" s="1928">
        <v>0</v>
      </c>
      <c r="AB26" s="1928">
        <v>35</v>
      </c>
      <c r="AC26" s="1928">
        <v>55</v>
      </c>
      <c r="AD26" s="1928">
        <v>35</v>
      </c>
      <c r="AE26" s="1928">
        <v>16</v>
      </c>
      <c r="AF26" s="1928">
        <v>25</v>
      </c>
      <c r="AG26" s="1928">
        <v>9</v>
      </c>
      <c r="AH26" s="1928">
        <v>16</v>
      </c>
      <c r="AI26" s="1928">
        <v>33</v>
      </c>
      <c r="AJ26" s="1928">
        <v>25</v>
      </c>
      <c r="AK26" s="758">
        <v>0</v>
      </c>
      <c r="AL26" s="758">
        <v>39</v>
      </c>
      <c r="AM26" s="1928">
        <v>40</v>
      </c>
      <c r="AN26" s="1928">
        <v>0</v>
      </c>
      <c r="AO26" s="1928">
        <v>0</v>
      </c>
      <c r="AP26" s="1928">
        <v>17</v>
      </c>
      <c r="AQ26" s="1928">
        <v>0</v>
      </c>
      <c r="AR26" s="758">
        <v>0</v>
      </c>
      <c r="AS26" s="1928">
        <v>0</v>
      </c>
      <c r="AT26" s="758">
        <v>0</v>
      </c>
      <c r="AU26" s="758"/>
      <c r="AV26" s="1928">
        <v>22</v>
      </c>
      <c r="AW26" s="1928">
        <v>0</v>
      </c>
      <c r="AX26" s="1928">
        <v>34</v>
      </c>
      <c r="AY26" s="1928">
        <v>10</v>
      </c>
      <c r="AZ26" s="1928">
        <v>12</v>
      </c>
      <c r="BA26" s="1928">
        <v>0</v>
      </c>
      <c r="BB26" s="1928">
        <v>21</v>
      </c>
      <c r="BC26" s="1928">
        <v>14</v>
      </c>
      <c r="BD26" s="1928">
        <v>0</v>
      </c>
      <c r="BE26" s="758">
        <v>0</v>
      </c>
      <c r="BF26" s="758">
        <v>80</v>
      </c>
      <c r="BG26" s="1928">
        <v>150</v>
      </c>
      <c r="BH26" s="1928">
        <v>310</v>
      </c>
      <c r="BI26" s="1928">
        <v>163</v>
      </c>
      <c r="BJ26" s="1928">
        <v>8</v>
      </c>
      <c r="BK26" s="1928">
        <v>132</v>
      </c>
      <c r="BL26" s="758">
        <v>3</v>
      </c>
      <c r="BM26" s="1928">
        <v>5</v>
      </c>
      <c r="BN26" s="758">
        <v>0</v>
      </c>
      <c r="BO26" s="1936">
        <v>51</v>
      </c>
      <c r="BP26" s="759">
        <v>0</v>
      </c>
      <c r="BQ26" s="1936">
        <v>0</v>
      </c>
      <c r="BR26" s="1928">
        <v>8</v>
      </c>
      <c r="BS26" s="1936">
        <v>21</v>
      </c>
      <c r="BT26" s="1936">
        <v>11</v>
      </c>
      <c r="BU26" s="1936">
        <v>33</v>
      </c>
      <c r="BV26" s="1936">
        <v>9</v>
      </c>
      <c r="BW26" s="1947">
        <v>86</v>
      </c>
      <c r="BX26" s="1936">
        <v>50</v>
      </c>
      <c r="BY26" s="1936">
        <v>0</v>
      </c>
      <c r="BZ26" s="1936">
        <v>22</v>
      </c>
      <c r="CA26" s="1957">
        <v>0</v>
      </c>
      <c r="CB26" s="1936">
        <v>43</v>
      </c>
      <c r="CC26" s="1936">
        <v>0</v>
      </c>
      <c r="CD26" s="1936">
        <v>51</v>
      </c>
      <c r="CE26" s="4198">
        <v>0</v>
      </c>
      <c r="CF26" s="1936">
        <v>163</v>
      </c>
      <c r="CG26" s="1936">
        <v>0</v>
      </c>
      <c r="CH26" s="1936">
        <v>70</v>
      </c>
      <c r="CI26" s="1936">
        <v>79</v>
      </c>
      <c r="CJ26" s="1936">
        <v>0</v>
      </c>
      <c r="CK26" s="1936">
        <v>190</v>
      </c>
      <c r="CL26" s="1936">
        <v>18</v>
      </c>
      <c r="CM26" s="1936">
        <v>0</v>
      </c>
      <c r="CN26" s="1936">
        <v>10</v>
      </c>
      <c r="CO26" s="1936">
        <v>290</v>
      </c>
      <c r="CP26" s="1936">
        <v>24</v>
      </c>
      <c r="CQ26" s="1936">
        <v>11</v>
      </c>
      <c r="CR26" s="759">
        <v>0</v>
      </c>
      <c r="CS26" s="1936">
        <v>265</v>
      </c>
      <c r="CT26" s="1936">
        <v>0</v>
      </c>
      <c r="CU26" s="759">
        <v>0</v>
      </c>
      <c r="CV26" s="1936">
        <v>183</v>
      </c>
      <c r="CW26" s="759">
        <v>0</v>
      </c>
      <c r="CX26" s="1936">
        <v>70</v>
      </c>
      <c r="CY26" s="1953">
        <v>0</v>
      </c>
      <c r="CZ26" s="1936">
        <v>90</v>
      </c>
      <c r="DA26" s="1936">
        <v>100</v>
      </c>
      <c r="DB26" s="1936">
        <v>142</v>
      </c>
      <c r="DC26" s="1936">
        <v>0</v>
      </c>
      <c r="DD26" s="1936">
        <v>112</v>
      </c>
      <c r="DE26" s="1936">
        <v>105</v>
      </c>
      <c r="DF26" s="1936">
        <v>105</v>
      </c>
      <c r="DG26" s="1936">
        <v>0</v>
      </c>
      <c r="DH26" s="1936">
        <v>30</v>
      </c>
      <c r="DI26" s="2054">
        <v>54</v>
      </c>
      <c r="DJ26" s="2067">
        <v>110</v>
      </c>
      <c r="DK26" s="2937">
        <v>0</v>
      </c>
      <c r="DL26" s="3069">
        <v>0</v>
      </c>
      <c r="DM26" s="3069">
        <v>100</v>
      </c>
      <c r="DN26" s="3435">
        <v>270</v>
      </c>
      <c r="DO26" s="3510">
        <v>101</v>
      </c>
      <c r="DP26" s="3678">
        <v>0</v>
      </c>
      <c r="DQ26" s="3710">
        <v>54</v>
      </c>
      <c r="DR26" s="3773">
        <v>116</v>
      </c>
      <c r="DS26" s="3838">
        <v>0</v>
      </c>
      <c r="DT26" s="3838">
        <v>17</v>
      </c>
      <c r="DU26" s="4035">
        <v>0</v>
      </c>
      <c r="DV26" s="3678">
        <v>0</v>
      </c>
      <c r="DW26" s="3678">
        <v>55</v>
      </c>
      <c r="DX26" s="759"/>
      <c r="DY26" s="1962">
        <v>657</v>
      </c>
      <c r="DZ26" s="1966">
        <v>0</v>
      </c>
      <c r="EA26" s="1966">
        <v>0</v>
      </c>
      <c r="EB26" s="1966">
        <v>0</v>
      </c>
      <c r="EC26" s="1966">
        <v>0</v>
      </c>
      <c r="ED26" s="896">
        <v>0</v>
      </c>
      <c r="EE26" s="896">
        <v>0</v>
      </c>
      <c r="EF26" s="896">
        <v>0</v>
      </c>
      <c r="EG26" s="1966">
        <v>10</v>
      </c>
      <c r="EH26" s="1966">
        <v>0</v>
      </c>
      <c r="EI26" s="1966">
        <v>0</v>
      </c>
      <c r="EJ26" s="1966">
        <v>91</v>
      </c>
      <c r="EK26" s="1966">
        <v>21</v>
      </c>
      <c r="EL26" s="1966">
        <v>0</v>
      </c>
      <c r="EM26" s="1966">
        <v>0</v>
      </c>
      <c r="EN26" s="1966">
        <v>0</v>
      </c>
      <c r="EO26" s="1966">
        <v>0</v>
      </c>
      <c r="EP26" s="1966">
        <v>50</v>
      </c>
      <c r="EQ26" s="896">
        <v>0</v>
      </c>
      <c r="ER26" s="1966">
        <v>100</v>
      </c>
      <c r="ES26" s="1966">
        <v>0</v>
      </c>
      <c r="ET26" s="1966">
        <v>34</v>
      </c>
      <c r="EU26" s="1966">
        <v>32</v>
      </c>
      <c r="EV26" s="1966">
        <v>43</v>
      </c>
      <c r="EW26" s="1966">
        <v>0</v>
      </c>
      <c r="EX26" s="1966">
        <v>22</v>
      </c>
      <c r="EY26" s="1966">
        <v>0</v>
      </c>
      <c r="EZ26" s="1966">
        <v>8</v>
      </c>
      <c r="FA26" s="1966">
        <v>0</v>
      </c>
      <c r="FB26" s="1966">
        <v>0</v>
      </c>
      <c r="FC26" s="1966">
        <v>199</v>
      </c>
      <c r="FD26" s="1966">
        <v>0</v>
      </c>
      <c r="FE26" s="1966">
        <v>0</v>
      </c>
      <c r="FF26" s="1973">
        <v>0</v>
      </c>
      <c r="FG26" s="1973">
        <v>0</v>
      </c>
      <c r="FH26" s="1973">
        <v>0</v>
      </c>
      <c r="FI26" s="1973">
        <v>0</v>
      </c>
      <c r="FJ26" s="1973">
        <v>11</v>
      </c>
      <c r="FK26" s="1973">
        <v>0</v>
      </c>
      <c r="FL26" s="1973">
        <v>186</v>
      </c>
      <c r="FM26" s="1973">
        <v>0</v>
      </c>
      <c r="FN26" s="1973">
        <v>395</v>
      </c>
      <c r="FO26" s="1973">
        <v>105</v>
      </c>
      <c r="FP26" s="1683">
        <v>0</v>
      </c>
      <c r="FQ26" s="1973">
        <v>113</v>
      </c>
      <c r="FR26" s="1973">
        <v>0</v>
      </c>
      <c r="FS26" s="1973">
        <v>112</v>
      </c>
      <c r="FT26" s="1973">
        <v>0</v>
      </c>
      <c r="FU26" s="1989">
        <v>0</v>
      </c>
      <c r="FV26" s="2162">
        <v>113</v>
      </c>
      <c r="FW26" s="2162">
        <v>210</v>
      </c>
      <c r="FX26" s="3681">
        <v>223</v>
      </c>
      <c r="FY26" s="3681">
        <v>0</v>
      </c>
      <c r="FZ26" s="3754">
        <v>0</v>
      </c>
      <c r="GA26" s="4417">
        <v>0</v>
      </c>
      <c r="GB26" s="4894">
        <v>0</v>
      </c>
      <c r="GC26" s="4980">
        <v>0</v>
      </c>
      <c r="GD26" s="928"/>
      <c r="GE26" s="910">
        <v>5428</v>
      </c>
      <c r="GF26" s="932">
        <v>2735</v>
      </c>
      <c r="GG26" s="926">
        <v>8163</v>
      </c>
      <c r="GH26" s="908">
        <v>2255</v>
      </c>
      <c r="GI26" s="892">
        <v>657</v>
      </c>
      <c r="GJ26" s="892">
        <v>1747</v>
      </c>
      <c r="GK26" s="893">
        <v>0</v>
      </c>
      <c r="GL26" s="893">
        <v>2704</v>
      </c>
      <c r="GM26" s="893">
        <v>409</v>
      </c>
      <c r="GN26" s="893">
        <v>79</v>
      </c>
      <c r="GO26" s="893">
        <v>0</v>
      </c>
      <c r="GP26" s="893">
        <v>226</v>
      </c>
      <c r="GQ26" s="893">
        <v>86</v>
      </c>
      <c r="GR26" s="4637">
        <v>0</v>
      </c>
      <c r="GS26" s="13">
        <v>0</v>
      </c>
      <c r="GT26" s="4638">
        <v>97.35</v>
      </c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</row>
    <row r="27" spans="1:273" ht="24" customHeight="1" thickBot="1">
      <c r="A27" s="609">
        <v>0.875</v>
      </c>
      <c r="B27" s="1931">
        <v>0</v>
      </c>
      <c r="C27" s="1932">
        <v>0</v>
      </c>
      <c r="D27" s="1932">
        <v>240</v>
      </c>
      <c r="E27" s="1932">
        <v>0</v>
      </c>
      <c r="F27" s="1937">
        <v>0</v>
      </c>
      <c r="G27" s="1936">
        <v>0</v>
      </c>
      <c r="H27" s="1932">
        <v>0</v>
      </c>
      <c r="I27" s="1932">
        <v>0</v>
      </c>
      <c r="J27" s="1928">
        <v>224</v>
      </c>
      <c r="K27" s="758"/>
      <c r="L27" s="758">
        <v>0</v>
      </c>
      <c r="M27" s="1928">
        <v>180</v>
      </c>
      <c r="N27" s="1928">
        <v>0</v>
      </c>
      <c r="O27" s="1928">
        <v>0</v>
      </c>
      <c r="P27" s="1928">
        <v>0</v>
      </c>
      <c r="Q27" s="1928">
        <v>0</v>
      </c>
      <c r="R27" s="1928">
        <v>0</v>
      </c>
      <c r="S27" s="758">
        <v>0</v>
      </c>
      <c r="T27" s="758">
        <v>0</v>
      </c>
      <c r="U27" s="1928">
        <v>0</v>
      </c>
      <c r="V27" s="1936">
        <v>58</v>
      </c>
      <c r="W27" s="1928">
        <v>0</v>
      </c>
      <c r="X27" s="1928">
        <v>24</v>
      </c>
      <c r="Y27" s="1928">
        <v>0</v>
      </c>
      <c r="Z27" s="758">
        <v>0</v>
      </c>
      <c r="AA27" s="1928">
        <v>0</v>
      </c>
      <c r="AB27" s="1928">
        <v>35</v>
      </c>
      <c r="AC27" s="1928">
        <v>55</v>
      </c>
      <c r="AD27" s="1928">
        <v>35</v>
      </c>
      <c r="AE27" s="1928">
        <v>16</v>
      </c>
      <c r="AF27" s="1928">
        <v>25</v>
      </c>
      <c r="AG27" s="1928">
        <v>9</v>
      </c>
      <c r="AH27" s="1928">
        <v>16</v>
      </c>
      <c r="AI27" s="1928">
        <v>33</v>
      </c>
      <c r="AJ27" s="1928">
        <v>0</v>
      </c>
      <c r="AK27" s="758">
        <v>0</v>
      </c>
      <c r="AL27" s="758">
        <v>46</v>
      </c>
      <c r="AM27" s="1928">
        <v>40</v>
      </c>
      <c r="AN27" s="1928">
        <v>0</v>
      </c>
      <c r="AO27" s="1928">
        <v>0</v>
      </c>
      <c r="AP27" s="1928">
        <v>0</v>
      </c>
      <c r="AQ27" s="1928">
        <v>0</v>
      </c>
      <c r="AR27" s="758">
        <v>0</v>
      </c>
      <c r="AS27" s="1928">
        <v>0</v>
      </c>
      <c r="AT27" s="758">
        <v>0</v>
      </c>
      <c r="AU27" s="758"/>
      <c r="AV27" s="1928">
        <v>22</v>
      </c>
      <c r="AW27" s="1928">
        <v>0</v>
      </c>
      <c r="AX27" s="1928">
        <v>0</v>
      </c>
      <c r="AY27" s="1928">
        <v>30</v>
      </c>
      <c r="AZ27" s="1928">
        <v>12</v>
      </c>
      <c r="BA27" s="1928">
        <v>0</v>
      </c>
      <c r="BB27" s="1928">
        <v>21</v>
      </c>
      <c r="BC27" s="1928">
        <v>16</v>
      </c>
      <c r="BD27" s="1928">
        <v>0</v>
      </c>
      <c r="BE27" s="758">
        <v>0</v>
      </c>
      <c r="BF27" s="758">
        <v>80</v>
      </c>
      <c r="BG27" s="1928">
        <v>150</v>
      </c>
      <c r="BH27" s="1928">
        <v>310</v>
      </c>
      <c r="BI27" s="1928">
        <v>151</v>
      </c>
      <c r="BJ27" s="1928">
        <v>8</v>
      </c>
      <c r="BK27" s="1928">
        <v>138</v>
      </c>
      <c r="BL27" s="758">
        <v>3</v>
      </c>
      <c r="BM27" s="1928">
        <v>5</v>
      </c>
      <c r="BN27" s="758">
        <v>0</v>
      </c>
      <c r="BO27" s="1936">
        <v>51</v>
      </c>
      <c r="BP27" s="759">
        <v>0</v>
      </c>
      <c r="BQ27" s="1936">
        <v>0</v>
      </c>
      <c r="BR27" s="1928">
        <v>8</v>
      </c>
      <c r="BS27" s="1936">
        <v>21</v>
      </c>
      <c r="BT27" s="1936">
        <v>11</v>
      </c>
      <c r="BU27" s="1936">
        <v>33</v>
      </c>
      <c r="BV27" s="1936">
        <v>9</v>
      </c>
      <c r="BW27" s="1947">
        <v>86</v>
      </c>
      <c r="BX27" s="1936">
        <v>50</v>
      </c>
      <c r="BY27" s="1936">
        <v>0</v>
      </c>
      <c r="BZ27" s="1936">
        <v>22</v>
      </c>
      <c r="CA27" s="1957">
        <v>0</v>
      </c>
      <c r="CB27" s="1936">
        <v>42</v>
      </c>
      <c r="CC27" s="1936">
        <v>0</v>
      </c>
      <c r="CD27" s="1936">
        <v>51</v>
      </c>
      <c r="CE27" s="4198">
        <v>0</v>
      </c>
      <c r="CF27" s="1936">
        <v>163</v>
      </c>
      <c r="CG27" s="1936">
        <v>0</v>
      </c>
      <c r="CH27" s="1936">
        <v>70</v>
      </c>
      <c r="CI27" s="1936">
        <v>79</v>
      </c>
      <c r="CJ27" s="1936">
        <v>0</v>
      </c>
      <c r="CK27" s="1936">
        <v>190</v>
      </c>
      <c r="CL27" s="1936">
        <v>18</v>
      </c>
      <c r="CM27" s="1936">
        <v>0</v>
      </c>
      <c r="CN27" s="1936">
        <v>10</v>
      </c>
      <c r="CO27" s="1936">
        <v>290</v>
      </c>
      <c r="CP27" s="1936">
        <v>24</v>
      </c>
      <c r="CQ27" s="1936">
        <v>11</v>
      </c>
      <c r="CR27" s="759">
        <v>0</v>
      </c>
      <c r="CS27" s="1936">
        <v>265</v>
      </c>
      <c r="CT27" s="1936">
        <v>0</v>
      </c>
      <c r="CU27" s="759">
        <v>0</v>
      </c>
      <c r="CV27" s="1936">
        <v>183</v>
      </c>
      <c r="CW27" s="759">
        <v>0</v>
      </c>
      <c r="CX27" s="1936">
        <v>0</v>
      </c>
      <c r="CY27" s="1953">
        <v>0</v>
      </c>
      <c r="CZ27" s="1936">
        <v>90</v>
      </c>
      <c r="DA27" s="1936">
        <v>68</v>
      </c>
      <c r="DB27" s="1936">
        <v>147</v>
      </c>
      <c r="DC27" s="1936">
        <v>0</v>
      </c>
      <c r="DD27" s="1936">
        <v>85</v>
      </c>
      <c r="DE27" s="1936">
        <v>105</v>
      </c>
      <c r="DF27" s="1936">
        <v>68</v>
      </c>
      <c r="DG27" s="1936">
        <v>0</v>
      </c>
      <c r="DH27" s="1936">
        <v>15</v>
      </c>
      <c r="DI27" s="2054">
        <v>54</v>
      </c>
      <c r="DJ27" s="2067">
        <v>110</v>
      </c>
      <c r="DK27" s="2937">
        <v>0</v>
      </c>
      <c r="DL27" s="3069">
        <v>20</v>
      </c>
      <c r="DM27" s="3069">
        <v>100</v>
      </c>
      <c r="DN27" s="3435">
        <v>401</v>
      </c>
      <c r="DO27" s="3510">
        <v>104</v>
      </c>
      <c r="DP27" s="3678">
        <v>0</v>
      </c>
      <c r="DQ27" s="3710">
        <v>54</v>
      </c>
      <c r="DR27" s="3773">
        <v>116</v>
      </c>
      <c r="DS27" s="3838">
        <v>0</v>
      </c>
      <c r="DT27" s="3838">
        <v>17</v>
      </c>
      <c r="DU27" s="4035">
        <v>0</v>
      </c>
      <c r="DV27" s="3678">
        <v>0</v>
      </c>
      <c r="DW27" s="3678">
        <v>55</v>
      </c>
      <c r="DX27" s="759"/>
      <c r="DY27" s="1962">
        <v>657</v>
      </c>
      <c r="DZ27" s="1966">
        <v>0</v>
      </c>
      <c r="EA27" s="1966">
        <v>0</v>
      </c>
      <c r="EB27" s="1966">
        <v>0</v>
      </c>
      <c r="EC27" s="1966">
        <v>0</v>
      </c>
      <c r="ED27" s="896">
        <v>0</v>
      </c>
      <c r="EE27" s="896">
        <v>0</v>
      </c>
      <c r="EF27" s="896">
        <v>0</v>
      </c>
      <c r="EG27" s="1966">
        <v>10</v>
      </c>
      <c r="EH27" s="1966">
        <v>0</v>
      </c>
      <c r="EI27" s="1966">
        <v>0</v>
      </c>
      <c r="EJ27" s="1966">
        <v>91</v>
      </c>
      <c r="EK27" s="1966">
        <v>23</v>
      </c>
      <c r="EL27" s="1966">
        <v>0</v>
      </c>
      <c r="EM27" s="1966">
        <v>0</v>
      </c>
      <c r="EN27" s="1966">
        <v>0</v>
      </c>
      <c r="EO27" s="1966">
        <v>0</v>
      </c>
      <c r="EP27" s="1966">
        <v>0</v>
      </c>
      <c r="EQ27" s="896">
        <v>0</v>
      </c>
      <c r="ER27" s="1966">
        <v>100</v>
      </c>
      <c r="ES27" s="1966">
        <v>0</v>
      </c>
      <c r="ET27" s="1966">
        <v>0</v>
      </c>
      <c r="EU27" s="1966">
        <v>0</v>
      </c>
      <c r="EV27" s="1966">
        <v>34</v>
      </c>
      <c r="EW27" s="1966">
        <v>0</v>
      </c>
      <c r="EX27" s="1966">
        <v>22</v>
      </c>
      <c r="EY27" s="1966">
        <v>0</v>
      </c>
      <c r="EZ27" s="1966">
        <v>8</v>
      </c>
      <c r="FA27" s="1966">
        <v>0</v>
      </c>
      <c r="FB27" s="1966">
        <v>0</v>
      </c>
      <c r="FC27" s="1966">
        <v>200</v>
      </c>
      <c r="FD27" s="1966">
        <v>0</v>
      </c>
      <c r="FE27" s="1966">
        <v>0</v>
      </c>
      <c r="FF27" s="1973">
        <v>0</v>
      </c>
      <c r="FG27" s="1973">
        <v>0</v>
      </c>
      <c r="FH27" s="1973">
        <v>0</v>
      </c>
      <c r="FI27" s="1973">
        <v>0</v>
      </c>
      <c r="FJ27" s="1973">
        <v>11</v>
      </c>
      <c r="FK27" s="1973">
        <v>0</v>
      </c>
      <c r="FL27" s="1973">
        <v>192</v>
      </c>
      <c r="FM27" s="1973">
        <v>0</v>
      </c>
      <c r="FN27" s="1973">
        <v>420</v>
      </c>
      <c r="FO27" s="1973">
        <v>105</v>
      </c>
      <c r="FP27" s="1683">
        <v>0</v>
      </c>
      <c r="FQ27" s="1973">
        <v>113</v>
      </c>
      <c r="FR27" s="1973">
        <v>0</v>
      </c>
      <c r="FS27" s="1973">
        <v>112</v>
      </c>
      <c r="FT27" s="1973">
        <v>0</v>
      </c>
      <c r="FU27" s="1989">
        <v>0</v>
      </c>
      <c r="FV27" s="2162">
        <v>113</v>
      </c>
      <c r="FW27" s="2162">
        <v>280</v>
      </c>
      <c r="FX27" s="3681">
        <v>224</v>
      </c>
      <c r="FY27" s="3681">
        <v>0</v>
      </c>
      <c r="FZ27" s="3754">
        <v>0</v>
      </c>
      <c r="GA27" s="4417">
        <v>0</v>
      </c>
      <c r="GB27" s="4894">
        <v>0</v>
      </c>
      <c r="GC27" s="4980">
        <v>0</v>
      </c>
      <c r="GD27" s="928"/>
      <c r="GE27" s="910">
        <v>5278</v>
      </c>
      <c r="GF27" s="934">
        <v>2715</v>
      </c>
      <c r="GG27" s="926">
        <v>7993</v>
      </c>
      <c r="GH27" s="908">
        <v>2385</v>
      </c>
      <c r="GI27" s="892">
        <v>657</v>
      </c>
      <c r="GJ27" s="892">
        <v>1777</v>
      </c>
      <c r="GK27" s="893">
        <v>0</v>
      </c>
      <c r="GL27" s="893">
        <v>2412</v>
      </c>
      <c r="GM27" s="893">
        <v>480</v>
      </c>
      <c r="GN27" s="893">
        <v>86</v>
      </c>
      <c r="GO27" s="893">
        <v>0</v>
      </c>
      <c r="GP27" s="893">
        <v>110</v>
      </c>
      <c r="GQ27" s="893">
        <v>86</v>
      </c>
      <c r="GR27" s="4637">
        <v>0</v>
      </c>
      <c r="GS27" s="13">
        <v>0</v>
      </c>
      <c r="GT27" s="4638">
        <v>97.34</v>
      </c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</row>
    <row r="28" spans="1:273" ht="24" customHeight="1" thickBot="1">
      <c r="A28" s="609">
        <v>0.91666666666666663</v>
      </c>
      <c r="B28" s="1931">
        <v>0</v>
      </c>
      <c r="C28" s="1932">
        <v>0</v>
      </c>
      <c r="D28" s="1932">
        <v>240</v>
      </c>
      <c r="E28" s="1932">
        <v>0</v>
      </c>
      <c r="F28" s="1937">
        <v>0</v>
      </c>
      <c r="G28" s="1936">
        <v>0</v>
      </c>
      <c r="H28" s="1932">
        <v>0</v>
      </c>
      <c r="I28" s="1932">
        <v>0</v>
      </c>
      <c r="J28" s="1928">
        <v>224</v>
      </c>
      <c r="K28" s="758"/>
      <c r="L28" s="758">
        <v>0</v>
      </c>
      <c r="M28" s="1928">
        <v>180</v>
      </c>
      <c r="N28" s="1928">
        <v>0</v>
      </c>
      <c r="O28" s="1928">
        <v>0</v>
      </c>
      <c r="P28" s="1928">
        <v>0</v>
      </c>
      <c r="Q28" s="1928">
        <v>0</v>
      </c>
      <c r="R28" s="1928">
        <v>0</v>
      </c>
      <c r="S28" s="758">
        <v>0</v>
      </c>
      <c r="T28" s="758">
        <v>0</v>
      </c>
      <c r="U28" s="1928">
        <v>0</v>
      </c>
      <c r="V28" s="1936">
        <v>7</v>
      </c>
      <c r="W28" s="1928">
        <v>0</v>
      </c>
      <c r="X28" s="1928">
        <v>0</v>
      </c>
      <c r="Y28" s="1928">
        <v>0</v>
      </c>
      <c r="Z28" s="758">
        <v>0</v>
      </c>
      <c r="AA28" s="1928">
        <v>0</v>
      </c>
      <c r="AB28" s="1928">
        <v>35</v>
      </c>
      <c r="AC28" s="1928">
        <v>55</v>
      </c>
      <c r="AD28" s="1928">
        <v>35</v>
      </c>
      <c r="AE28" s="1928">
        <v>16</v>
      </c>
      <c r="AF28" s="1928">
        <v>25</v>
      </c>
      <c r="AG28" s="1928">
        <v>9</v>
      </c>
      <c r="AH28" s="1928">
        <v>16</v>
      </c>
      <c r="AI28" s="1928">
        <v>33</v>
      </c>
      <c r="AJ28" s="1928">
        <v>0</v>
      </c>
      <c r="AK28" s="758">
        <v>0</v>
      </c>
      <c r="AL28" s="758">
        <v>46</v>
      </c>
      <c r="AM28" s="1928">
        <v>40</v>
      </c>
      <c r="AN28" s="1928">
        <v>0</v>
      </c>
      <c r="AO28" s="1928">
        <v>0</v>
      </c>
      <c r="AP28" s="1928">
        <v>0</v>
      </c>
      <c r="AQ28" s="1928">
        <v>0</v>
      </c>
      <c r="AR28" s="758">
        <v>0</v>
      </c>
      <c r="AS28" s="1928">
        <v>0</v>
      </c>
      <c r="AT28" s="758">
        <v>0</v>
      </c>
      <c r="AU28" s="758"/>
      <c r="AV28" s="1928">
        <v>22</v>
      </c>
      <c r="AW28" s="1928">
        <v>0</v>
      </c>
      <c r="AX28" s="1928">
        <v>0</v>
      </c>
      <c r="AY28" s="1928">
        <v>0</v>
      </c>
      <c r="AZ28" s="1928">
        <v>12</v>
      </c>
      <c r="BA28" s="1928">
        <v>0</v>
      </c>
      <c r="BB28" s="1928">
        <v>21</v>
      </c>
      <c r="BC28" s="1928">
        <v>16</v>
      </c>
      <c r="BD28" s="1928">
        <v>0</v>
      </c>
      <c r="BE28" s="758">
        <v>0</v>
      </c>
      <c r="BF28" s="758">
        <v>80</v>
      </c>
      <c r="BG28" s="1928">
        <v>150</v>
      </c>
      <c r="BH28" s="1928">
        <v>310</v>
      </c>
      <c r="BI28" s="1928">
        <v>144</v>
      </c>
      <c r="BJ28" s="1928">
        <v>8</v>
      </c>
      <c r="BK28" s="1928">
        <v>136</v>
      </c>
      <c r="BL28" s="758">
        <v>3</v>
      </c>
      <c r="BM28" s="1928">
        <v>5</v>
      </c>
      <c r="BN28" s="758">
        <v>0</v>
      </c>
      <c r="BO28" s="1936">
        <v>51</v>
      </c>
      <c r="BP28" s="759">
        <v>0</v>
      </c>
      <c r="BQ28" s="1936">
        <v>0</v>
      </c>
      <c r="BR28" s="1928">
        <v>8</v>
      </c>
      <c r="BS28" s="1936">
        <v>21</v>
      </c>
      <c r="BT28" s="1936">
        <v>11</v>
      </c>
      <c r="BU28" s="1936">
        <v>33</v>
      </c>
      <c r="BV28" s="1936">
        <v>9</v>
      </c>
      <c r="BW28" s="1947">
        <v>84</v>
      </c>
      <c r="BX28" s="1936">
        <v>50</v>
      </c>
      <c r="BY28" s="1936">
        <v>0</v>
      </c>
      <c r="BZ28" s="1936">
        <v>22</v>
      </c>
      <c r="CA28" s="1957">
        <v>0</v>
      </c>
      <c r="CB28" s="1936">
        <v>43</v>
      </c>
      <c r="CC28" s="1936">
        <v>0</v>
      </c>
      <c r="CD28" s="1936">
        <v>51</v>
      </c>
      <c r="CE28" s="4198">
        <v>0</v>
      </c>
      <c r="CF28" s="1936">
        <v>130</v>
      </c>
      <c r="CG28" s="1936">
        <v>0</v>
      </c>
      <c r="CH28" s="1936">
        <v>69</v>
      </c>
      <c r="CI28" s="1936">
        <v>79</v>
      </c>
      <c r="CJ28" s="1936">
        <v>0</v>
      </c>
      <c r="CK28" s="1936">
        <v>190</v>
      </c>
      <c r="CL28" s="1936">
        <v>18</v>
      </c>
      <c r="CM28" s="1936">
        <v>0</v>
      </c>
      <c r="CN28" s="1936">
        <v>10</v>
      </c>
      <c r="CO28" s="1936">
        <v>290</v>
      </c>
      <c r="CP28" s="1936">
        <v>16</v>
      </c>
      <c r="CQ28" s="1936">
        <v>11</v>
      </c>
      <c r="CR28" s="759">
        <v>0</v>
      </c>
      <c r="CS28" s="1936">
        <v>195</v>
      </c>
      <c r="CT28" s="1936">
        <v>0</v>
      </c>
      <c r="CU28" s="759">
        <v>0</v>
      </c>
      <c r="CV28" s="1936">
        <v>183</v>
      </c>
      <c r="CW28" s="759">
        <v>0</v>
      </c>
      <c r="CX28" s="1936">
        <v>0</v>
      </c>
      <c r="CY28" s="1953">
        <v>0</v>
      </c>
      <c r="CZ28" s="1936">
        <v>90</v>
      </c>
      <c r="DA28" s="1936">
        <v>17</v>
      </c>
      <c r="DB28" s="1936">
        <v>142</v>
      </c>
      <c r="DC28" s="1936">
        <v>0</v>
      </c>
      <c r="DD28" s="1936">
        <v>85</v>
      </c>
      <c r="DE28" s="1936">
        <v>105</v>
      </c>
      <c r="DF28" s="1936">
        <v>34</v>
      </c>
      <c r="DG28" s="1936">
        <v>0</v>
      </c>
      <c r="DH28" s="1936">
        <v>0</v>
      </c>
      <c r="DI28" s="2054">
        <v>54</v>
      </c>
      <c r="DJ28" s="2067">
        <v>110</v>
      </c>
      <c r="DK28" s="2937">
        <v>0</v>
      </c>
      <c r="DL28" s="3069">
        <v>108</v>
      </c>
      <c r="DM28" s="3069">
        <v>70</v>
      </c>
      <c r="DN28" s="3435">
        <v>402</v>
      </c>
      <c r="DO28" s="3510">
        <v>104</v>
      </c>
      <c r="DP28" s="3678">
        <v>0</v>
      </c>
      <c r="DQ28" s="3710">
        <v>54</v>
      </c>
      <c r="DR28" s="3773">
        <v>116</v>
      </c>
      <c r="DS28" s="3838">
        <v>0</v>
      </c>
      <c r="DT28" s="3838">
        <v>17</v>
      </c>
      <c r="DU28" s="4035">
        <v>0</v>
      </c>
      <c r="DV28" s="3678">
        <v>0</v>
      </c>
      <c r="DW28" s="3678">
        <v>55</v>
      </c>
      <c r="DX28" s="759"/>
      <c r="DY28" s="1962">
        <v>658</v>
      </c>
      <c r="DZ28" s="1966">
        <v>0</v>
      </c>
      <c r="EA28" s="1966">
        <v>0</v>
      </c>
      <c r="EB28" s="1966">
        <v>0</v>
      </c>
      <c r="EC28" s="1966">
        <v>0</v>
      </c>
      <c r="ED28" s="896">
        <v>0</v>
      </c>
      <c r="EE28" s="896">
        <v>0</v>
      </c>
      <c r="EF28" s="896">
        <v>0</v>
      </c>
      <c r="EG28" s="1966">
        <v>10</v>
      </c>
      <c r="EH28" s="1966">
        <v>0</v>
      </c>
      <c r="EI28" s="1966">
        <v>0</v>
      </c>
      <c r="EJ28" s="1966">
        <v>91</v>
      </c>
      <c r="EK28" s="1966">
        <v>23</v>
      </c>
      <c r="EL28" s="1966">
        <v>0</v>
      </c>
      <c r="EM28" s="1966">
        <v>0</v>
      </c>
      <c r="EN28" s="1966">
        <v>0</v>
      </c>
      <c r="EO28" s="1966">
        <v>0</v>
      </c>
      <c r="EP28" s="1966">
        <v>0</v>
      </c>
      <c r="EQ28" s="896">
        <v>0</v>
      </c>
      <c r="ER28" s="1966">
        <v>100</v>
      </c>
      <c r="ES28" s="1966">
        <v>0</v>
      </c>
      <c r="ET28" s="1966">
        <v>0</v>
      </c>
      <c r="EU28" s="1966">
        <v>0</v>
      </c>
      <c r="EV28" s="1966">
        <v>34</v>
      </c>
      <c r="EW28" s="1966">
        <v>0</v>
      </c>
      <c r="EX28" s="1966">
        <v>22</v>
      </c>
      <c r="EY28" s="1966">
        <v>0</v>
      </c>
      <c r="EZ28" s="1966">
        <v>8</v>
      </c>
      <c r="FA28" s="1966">
        <v>0</v>
      </c>
      <c r="FB28" s="1966">
        <v>0</v>
      </c>
      <c r="FC28" s="1966">
        <v>199</v>
      </c>
      <c r="FD28" s="1966">
        <v>0</v>
      </c>
      <c r="FE28" s="1966">
        <v>0</v>
      </c>
      <c r="FF28" s="1973">
        <v>0</v>
      </c>
      <c r="FG28" s="1973">
        <v>0</v>
      </c>
      <c r="FH28" s="1973">
        <v>0</v>
      </c>
      <c r="FI28" s="1973">
        <v>0</v>
      </c>
      <c r="FJ28" s="1973">
        <v>11</v>
      </c>
      <c r="FK28" s="1973">
        <v>0</v>
      </c>
      <c r="FL28" s="1973">
        <v>186</v>
      </c>
      <c r="FM28" s="1973">
        <v>0</v>
      </c>
      <c r="FN28" s="1973">
        <v>400</v>
      </c>
      <c r="FO28" s="1973">
        <v>70</v>
      </c>
      <c r="FP28" s="1683">
        <v>0</v>
      </c>
      <c r="FQ28" s="1973">
        <v>113</v>
      </c>
      <c r="FR28" s="1973">
        <v>0</v>
      </c>
      <c r="FS28" s="1973">
        <v>112</v>
      </c>
      <c r="FT28" s="1973">
        <v>0</v>
      </c>
      <c r="FU28" s="1989">
        <v>0</v>
      </c>
      <c r="FV28" s="2162">
        <v>113</v>
      </c>
      <c r="FW28" s="2162">
        <v>380</v>
      </c>
      <c r="FX28" s="3681">
        <v>224</v>
      </c>
      <c r="FY28" s="3681">
        <v>0</v>
      </c>
      <c r="FZ28" s="3754">
        <v>0</v>
      </c>
      <c r="GA28" s="4417">
        <v>0</v>
      </c>
      <c r="GB28" s="4894">
        <v>0</v>
      </c>
      <c r="GC28" s="4980">
        <v>0</v>
      </c>
      <c r="GD28" s="928"/>
      <c r="GE28" s="910">
        <v>5005</v>
      </c>
      <c r="GF28" s="932">
        <v>2754</v>
      </c>
      <c r="GG28" s="926">
        <v>7759</v>
      </c>
      <c r="GH28" s="908">
        <v>2363</v>
      </c>
      <c r="GI28" s="892">
        <v>658</v>
      </c>
      <c r="GJ28" s="892">
        <v>1724</v>
      </c>
      <c r="GK28" s="893">
        <v>0</v>
      </c>
      <c r="GL28" s="893">
        <v>2155</v>
      </c>
      <c r="GM28" s="893">
        <v>579</v>
      </c>
      <c r="GN28" s="893">
        <v>86</v>
      </c>
      <c r="GO28" s="893">
        <v>0</v>
      </c>
      <c r="GP28" s="893">
        <v>110</v>
      </c>
      <c r="GQ28" s="893">
        <v>84</v>
      </c>
      <c r="GR28" s="4637">
        <v>0</v>
      </c>
      <c r="GS28" s="13">
        <v>0</v>
      </c>
      <c r="GT28" s="4638">
        <v>97.33</v>
      </c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6"/>
      <c r="IU28" s="136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6"/>
    </row>
    <row r="29" spans="1:273" ht="21.75" customHeight="1" thickBot="1">
      <c r="A29" s="609">
        <v>0.95833333333333337</v>
      </c>
      <c r="B29" s="1931">
        <v>0</v>
      </c>
      <c r="C29" s="1932">
        <v>0</v>
      </c>
      <c r="D29" s="1932">
        <v>240</v>
      </c>
      <c r="E29" s="1932">
        <v>0</v>
      </c>
      <c r="F29" s="1937">
        <v>0</v>
      </c>
      <c r="G29" s="1936">
        <v>0</v>
      </c>
      <c r="H29" s="1932">
        <v>0</v>
      </c>
      <c r="I29" s="1932">
        <v>0</v>
      </c>
      <c r="J29" s="1928">
        <v>230</v>
      </c>
      <c r="K29" s="758"/>
      <c r="L29" s="758">
        <v>0</v>
      </c>
      <c r="M29" s="1928">
        <v>180</v>
      </c>
      <c r="N29" s="1928">
        <v>0</v>
      </c>
      <c r="O29" s="1928">
        <v>0</v>
      </c>
      <c r="P29" s="1928">
        <v>0</v>
      </c>
      <c r="Q29" s="1928">
        <v>0</v>
      </c>
      <c r="R29" s="1928">
        <v>0</v>
      </c>
      <c r="S29" s="758">
        <v>0</v>
      </c>
      <c r="T29" s="758">
        <v>0</v>
      </c>
      <c r="U29" s="1928">
        <v>0</v>
      </c>
      <c r="V29" s="1936">
        <v>0</v>
      </c>
      <c r="W29" s="1928">
        <v>0</v>
      </c>
      <c r="X29" s="1928">
        <v>0</v>
      </c>
      <c r="Y29" s="1928">
        <v>0</v>
      </c>
      <c r="Z29" s="758">
        <v>0</v>
      </c>
      <c r="AA29" s="1928">
        <v>0</v>
      </c>
      <c r="AB29" s="1928">
        <v>35</v>
      </c>
      <c r="AC29" s="1928">
        <v>55</v>
      </c>
      <c r="AD29" s="1928">
        <v>35</v>
      </c>
      <c r="AE29" s="1928">
        <v>16</v>
      </c>
      <c r="AF29" s="1928">
        <v>25</v>
      </c>
      <c r="AG29" s="1928">
        <v>9</v>
      </c>
      <c r="AH29" s="1928">
        <v>16</v>
      </c>
      <c r="AI29" s="1928">
        <v>33</v>
      </c>
      <c r="AJ29" s="1928">
        <v>0</v>
      </c>
      <c r="AK29" s="758">
        <v>0</v>
      </c>
      <c r="AL29" s="758">
        <v>37</v>
      </c>
      <c r="AM29" s="1928">
        <v>40</v>
      </c>
      <c r="AN29" s="1928">
        <v>0</v>
      </c>
      <c r="AO29" s="1928">
        <v>0</v>
      </c>
      <c r="AP29" s="1928">
        <v>0</v>
      </c>
      <c r="AQ29" s="1928">
        <v>0</v>
      </c>
      <c r="AR29" s="758">
        <v>0</v>
      </c>
      <c r="AS29" s="1928">
        <v>0</v>
      </c>
      <c r="AT29" s="758">
        <v>0</v>
      </c>
      <c r="AU29" s="758"/>
      <c r="AV29" s="1928">
        <v>22</v>
      </c>
      <c r="AW29" s="1928">
        <v>0</v>
      </c>
      <c r="AX29" s="1928">
        <v>0</v>
      </c>
      <c r="AY29" s="1928">
        <v>0</v>
      </c>
      <c r="AZ29" s="1928">
        <v>12</v>
      </c>
      <c r="BA29" s="1928">
        <v>0</v>
      </c>
      <c r="BB29" s="1928">
        <v>21</v>
      </c>
      <c r="BC29" s="1928">
        <v>16</v>
      </c>
      <c r="BD29" s="1928">
        <v>0</v>
      </c>
      <c r="BE29" s="758">
        <v>0</v>
      </c>
      <c r="BF29" s="758">
        <v>80</v>
      </c>
      <c r="BG29" s="1928">
        <v>150</v>
      </c>
      <c r="BH29" s="1928">
        <v>310</v>
      </c>
      <c r="BI29" s="1928">
        <v>142</v>
      </c>
      <c r="BJ29" s="1928">
        <v>8</v>
      </c>
      <c r="BK29" s="1928">
        <v>133</v>
      </c>
      <c r="BL29" s="758">
        <v>3</v>
      </c>
      <c r="BM29" s="1928">
        <v>5</v>
      </c>
      <c r="BN29" s="758">
        <v>0</v>
      </c>
      <c r="BO29" s="1936">
        <v>51</v>
      </c>
      <c r="BP29" s="759">
        <v>0</v>
      </c>
      <c r="BQ29" s="1936">
        <v>0</v>
      </c>
      <c r="BR29" s="1928">
        <v>8</v>
      </c>
      <c r="BS29" s="1936">
        <v>21</v>
      </c>
      <c r="BT29" s="1936">
        <v>11</v>
      </c>
      <c r="BU29" s="1936">
        <v>33</v>
      </c>
      <c r="BV29" s="1936">
        <v>9</v>
      </c>
      <c r="BW29" s="1947">
        <v>76</v>
      </c>
      <c r="BX29" s="1936">
        <v>52</v>
      </c>
      <c r="BY29" s="1936">
        <v>0</v>
      </c>
      <c r="BZ29" s="1936">
        <v>22</v>
      </c>
      <c r="CA29" s="1957">
        <v>0</v>
      </c>
      <c r="CB29" s="1936">
        <v>42</v>
      </c>
      <c r="CC29" s="1936">
        <v>0</v>
      </c>
      <c r="CD29" s="1936">
        <v>50</v>
      </c>
      <c r="CE29" s="4198">
        <v>0</v>
      </c>
      <c r="CF29" s="1936">
        <v>130</v>
      </c>
      <c r="CG29" s="1936">
        <v>0</v>
      </c>
      <c r="CH29" s="1936">
        <v>71</v>
      </c>
      <c r="CI29" s="1936">
        <v>79</v>
      </c>
      <c r="CJ29" s="1936">
        <v>0</v>
      </c>
      <c r="CK29" s="1936">
        <v>190</v>
      </c>
      <c r="CL29" s="1936">
        <v>18</v>
      </c>
      <c r="CM29" s="1936">
        <v>0</v>
      </c>
      <c r="CN29" s="1936">
        <v>10</v>
      </c>
      <c r="CO29" s="1936">
        <v>295</v>
      </c>
      <c r="CP29" s="1936">
        <v>22</v>
      </c>
      <c r="CQ29" s="1936">
        <v>11</v>
      </c>
      <c r="CR29" s="759">
        <v>0</v>
      </c>
      <c r="CS29" s="1936">
        <v>145</v>
      </c>
      <c r="CT29" s="1936">
        <v>0</v>
      </c>
      <c r="CU29" s="759">
        <v>0</v>
      </c>
      <c r="CV29" s="1936">
        <v>200</v>
      </c>
      <c r="CW29" s="759">
        <v>0</v>
      </c>
      <c r="CX29" s="1936">
        <v>0</v>
      </c>
      <c r="CY29" s="1953">
        <v>0</v>
      </c>
      <c r="CZ29" s="1936">
        <v>90</v>
      </c>
      <c r="DA29" s="1936">
        <v>0</v>
      </c>
      <c r="DB29" s="1936">
        <v>138</v>
      </c>
      <c r="DC29" s="1936">
        <v>0</v>
      </c>
      <c r="DD29" s="1936">
        <v>55</v>
      </c>
      <c r="DE29" s="1936">
        <v>70</v>
      </c>
      <c r="DF29" s="1936">
        <v>34</v>
      </c>
      <c r="DG29" s="1936">
        <v>0</v>
      </c>
      <c r="DH29" s="1936">
        <v>0</v>
      </c>
      <c r="DI29" s="2054">
        <v>54</v>
      </c>
      <c r="DJ29" s="2067">
        <v>110</v>
      </c>
      <c r="DK29" s="2937">
        <v>0</v>
      </c>
      <c r="DL29" s="3069">
        <v>75</v>
      </c>
      <c r="DM29" s="3069">
        <v>50</v>
      </c>
      <c r="DN29" s="3435">
        <v>400</v>
      </c>
      <c r="DO29" s="3510">
        <v>72</v>
      </c>
      <c r="DP29" s="3678">
        <v>0</v>
      </c>
      <c r="DQ29" s="3710">
        <v>54</v>
      </c>
      <c r="DR29" s="3773">
        <v>116</v>
      </c>
      <c r="DS29" s="3838">
        <v>0</v>
      </c>
      <c r="DT29" s="3838">
        <v>17</v>
      </c>
      <c r="DU29" s="4035">
        <v>0</v>
      </c>
      <c r="DV29" s="3678">
        <v>0</v>
      </c>
      <c r="DW29" s="3678">
        <v>55</v>
      </c>
      <c r="DX29" s="759"/>
      <c r="DY29" s="1962">
        <v>610</v>
      </c>
      <c r="DZ29" s="1966">
        <v>0</v>
      </c>
      <c r="EA29" s="1966">
        <v>0</v>
      </c>
      <c r="EB29" s="1966">
        <v>0</v>
      </c>
      <c r="EC29" s="1966">
        <v>0</v>
      </c>
      <c r="ED29" s="896">
        <v>0</v>
      </c>
      <c r="EE29" s="896">
        <v>0</v>
      </c>
      <c r="EF29" s="896">
        <v>0</v>
      </c>
      <c r="EG29" s="1966">
        <v>8</v>
      </c>
      <c r="EH29" s="1966">
        <v>0</v>
      </c>
      <c r="EI29" s="1966">
        <v>0</v>
      </c>
      <c r="EJ29" s="1966">
        <v>91</v>
      </c>
      <c r="EK29" s="1966">
        <v>22</v>
      </c>
      <c r="EL29" s="1966">
        <v>0</v>
      </c>
      <c r="EM29" s="1966">
        <v>0</v>
      </c>
      <c r="EN29" s="1966">
        <v>0</v>
      </c>
      <c r="EO29" s="1966">
        <v>0</v>
      </c>
      <c r="EP29" s="1966">
        <v>0</v>
      </c>
      <c r="EQ29" s="896">
        <v>0</v>
      </c>
      <c r="ER29" s="1966">
        <v>0</v>
      </c>
      <c r="ES29" s="1966">
        <v>0</v>
      </c>
      <c r="ET29" s="1966">
        <v>0</v>
      </c>
      <c r="EU29" s="1966">
        <v>0</v>
      </c>
      <c r="EV29" s="3398">
        <v>25</v>
      </c>
      <c r="EW29" s="1966">
        <v>0</v>
      </c>
      <c r="EX29" s="1966">
        <v>22</v>
      </c>
      <c r="EY29" s="1966">
        <v>0</v>
      </c>
      <c r="EZ29" s="1966">
        <v>8</v>
      </c>
      <c r="FA29" s="1966">
        <v>0</v>
      </c>
      <c r="FB29" s="1966">
        <v>0</v>
      </c>
      <c r="FC29" s="1966">
        <v>199</v>
      </c>
      <c r="FD29" s="1966">
        <v>0</v>
      </c>
      <c r="FE29" s="1966">
        <v>0</v>
      </c>
      <c r="FF29" s="1973">
        <v>0</v>
      </c>
      <c r="FG29" s="1973">
        <v>0</v>
      </c>
      <c r="FH29" s="1973">
        <v>0</v>
      </c>
      <c r="FI29" s="1973">
        <v>0</v>
      </c>
      <c r="FJ29" s="1973">
        <v>11</v>
      </c>
      <c r="FK29" s="1973">
        <v>0</v>
      </c>
      <c r="FL29" s="1973">
        <v>170</v>
      </c>
      <c r="FM29" s="1973">
        <v>0</v>
      </c>
      <c r="FN29" s="1973">
        <v>354</v>
      </c>
      <c r="FO29" s="1973">
        <v>35</v>
      </c>
      <c r="FP29" s="1683">
        <v>0</v>
      </c>
      <c r="FQ29" s="1973">
        <v>70</v>
      </c>
      <c r="FR29" s="1973">
        <v>0</v>
      </c>
      <c r="FS29" s="1973">
        <v>112</v>
      </c>
      <c r="FT29" s="1973">
        <v>0</v>
      </c>
      <c r="FU29" s="1989">
        <v>0</v>
      </c>
      <c r="FV29" s="2162">
        <v>113</v>
      </c>
      <c r="FW29" s="2162">
        <v>370</v>
      </c>
      <c r="FX29" s="3681">
        <v>223</v>
      </c>
      <c r="FY29" s="3681">
        <v>0</v>
      </c>
      <c r="FZ29" s="3754">
        <v>0</v>
      </c>
      <c r="GA29" s="4417">
        <v>0</v>
      </c>
      <c r="GB29" s="4894">
        <v>0</v>
      </c>
      <c r="GC29" s="4980">
        <v>0</v>
      </c>
      <c r="GD29" s="928"/>
      <c r="GE29" s="910">
        <v>4789</v>
      </c>
      <c r="GF29" s="932">
        <v>2443</v>
      </c>
      <c r="GG29" s="926">
        <v>7232</v>
      </c>
      <c r="GH29" s="908">
        <v>2349</v>
      </c>
      <c r="GI29" s="892">
        <v>610</v>
      </c>
      <c r="GJ29" s="892">
        <v>1686</v>
      </c>
      <c r="GK29" s="893">
        <v>0</v>
      </c>
      <c r="GL29" s="893">
        <v>1857</v>
      </c>
      <c r="GM29" s="893">
        <v>569</v>
      </c>
      <c r="GN29" s="893">
        <v>77</v>
      </c>
      <c r="GO29" s="893">
        <v>0</v>
      </c>
      <c r="GP29" s="893">
        <v>8</v>
      </c>
      <c r="GQ29" s="893">
        <v>76</v>
      </c>
      <c r="GR29" s="4637">
        <v>0</v>
      </c>
      <c r="GS29" s="13">
        <v>0</v>
      </c>
      <c r="GT29" s="4638">
        <v>97.32</v>
      </c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6"/>
    </row>
    <row r="30" spans="1:273" ht="24.75" customHeight="1" thickBot="1">
      <c r="A30" s="610" t="s">
        <v>24</v>
      </c>
      <c r="B30" s="1933">
        <v>0</v>
      </c>
      <c r="C30" s="1934">
        <v>0</v>
      </c>
      <c r="D30" s="1934">
        <v>240</v>
      </c>
      <c r="E30" s="1934">
        <v>0</v>
      </c>
      <c r="F30" s="1938">
        <v>0</v>
      </c>
      <c r="G30" s="1942">
        <v>0</v>
      </c>
      <c r="H30" s="1934">
        <v>0</v>
      </c>
      <c r="I30" s="1934">
        <v>0</v>
      </c>
      <c r="J30" s="1943">
        <v>230</v>
      </c>
      <c r="K30" s="902"/>
      <c r="L30" s="902">
        <v>0</v>
      </c>
      <c r="M30" s="1943">
        <v>180</v>
      </c>
      <c r="N30" s="1943">
        <v>0</v>
      </c>
      <c r="O30" s="1943">
        <v>0</v>
      </c>
      <c r="P30" s="1943">
        <v>0</v>
      </c>
      <c r="Q30" s="1943">
        <v>0</v>
      </c>
      <c r="R30" s="1943">
        <v>0</v>
      </c>
      <c r="S30" s="902">
        <v>0</v>
      </c>
      <c r="T30" s="902">
        <v>0</v>
      </c>
      <c r="U30" s="1943">
        <v>0</v>
      </c>
      <c r="V30" s="1942">
        <v>0</v>
      </c>
      <c r="W30" s="1943">
        <v>0</v>
      </c>
      <c r="X30" s="1943">
        <v>0</v>
      </c>
      <c r="Y30" s="1943">
        <v>0</v>
      </c>
      <c r="Z30" s="902">
        <v>0</v>
      </c>
      <c r="AA30" s="1943">
        <v>0</v>
      </c>
      <c r="AB30" s="1943">
        <v>35</v>
      </c>
      <c r="AC30" s="1943">
        <v>55</v>
      </c>
      <c r="AD30" s="1943">
        <v>35</v>
      </c>
      <c r="AE30" s="1943">
        <v>16</v>
      </c>
      <c r="AF30" s="1943">
        <v>25</v>
      </c>
      <c r="AG30" s="1943">
        <v>9</v>
      </c>
      <c r="AH30" s="1943">
        <v>16</v>
      </c>
      <c r="AI30" s="1943">
        <v>33</v>
      </c>
      <c r="AJ30" s="1943">
        <v>0</v>
      </c>
      <c r="AK30" s="902">
        <v>0</v>
      </c>
      <c r="AL30" s="902">
        <v>35</v>
      </c>
      <c r="AM30" s="1943">
        <v>40</v>
      </c>
      <c r="AN30" s="1943">
        <v>0</v>
      </c>
      <c r="AO30" s="1943">
        <v>0</v>
      </c>
      <c r="AP30" s="1943">
        <v>0</v>
      </c>
      <c r="AQ30" s="1943">
        <v>0</v>
      </c>
      <c r="AR30" s="902">
        <v>0</v>
      </c>
      <c r="AS30" s="1943">
        <v>0</v>
      </c>
      <c r="AT30" s="902">
        <v>0</v>
      </c>
      <c r="AU30" s="902"/>
      <c r="AV30" s="1943">
        <v>22</v>
      </c>
      <c r="AW30" s="1943">
        <v>0</v>
      </c>
      <c r="AX30" s="1943">
        <v>0</v>
      </c>
      <c r="AY30" s="1943">
        <v>0</v>
      </c>
      <c r="AZ30" s="1943">
        <v>12</v>
      </c>
      <c r="BA30" s="1943">
        <v>0</v>
      </c>
      <c r="BB30" s="1943">
        <v>21</v>
      </c>
      <c r="BC30" s="1943">
        <v>30</v>
      </c>
      <c r="BD30" s="1943">
        <v>0</v>
      </c>
      <c r="BE30" s="902">
        <v>0</v>
      </c>
      <c r="BF30" s="902">
        <v>80</v>
      </c>
      <c r="BG30" s="1943">
        <v>150</v>
      </c>
      <c r="BH30" s="1943">
        <v>310</v>
      </c>
      <c r="BI30" s="1943">
        <v>142</v>
      </c>
      <c r="BJ30" s="1943">
        <v>8</v>
      </c>
      <c r="BK30" s="1943">
        <v>135</v>
      </c>
      <c r="BL30" s="902">
        <v>3</v>
      </c>
      <c r="BM30" s="1943">
        <v>5</v>
      </c>
      <c r="BN30" s="902">
        <v>0</v>
      </c>
      <c r="BO30" s="1942">
        <v>51</v>
      </c>
      <c r="BP30" s="901">
        <v>0</v>
      </c>
      <c r="BQ30" s="1942">
        <v>0</v>
      </c>
      <c r="BR30" s="1943">
        <v>8</v>
      </c>
      <c r="BS30" s="1942">
        <v>21</v>
      </c>
      <c r="BT30" s="1942">
        <v>11</v>
      </c>
      <c r="BU30" s="1942">
        <v>33</v>
      </c>
      <c r="BV30" s="1942">
        <v>9</v>
      </c>
      <c r="BW30" s="1950">
        <v>71</v>
      </c>
      <c r="BX30" s="1942">
        <v>52</v>
      </c>
      <c r="BY30" s="1942">
        <v>0</v>
      </c>
      <c r="BZ30" s="1942">
        <v>22</v>
      </c>
      <c r="CA30" s="1960">
        <v>0</v>
      </c>
      <c r="CB30" s="1942">
        <v>42</v>
      </c>
      <c r="CC30" s="1942">
        <v>0</v>
      </c>
      <c r="CD30" s="1942">
        <v>50</v>
      </c>
      <c r="CE30" s="4201">
        <v>0</v>
      </c>
      <c r="CF30" s="1942">
        <v>130</v>
      </c>
      <c r="CG30" s="1942">
        <v>0</v>
      </c>
      <c r="CH30" s="1942">
        <v>71</v>
      </c>
      <c r="CI30" s="1942">
        <v>79</v>
      </c>
      <c r="CJ30" s="1942">
        <v>0</v>
      </c>
      <c r="CK30" s="1942">
        <v>190</v>
      </c>
      <c r="CL30" s="1942">
        <v>18</v>
      </c>
      <c r="CM30" s="1942">
        <v>0</v>
      </c>
      <c r="CN30" s="1942">
        <v>10</v>
      </c>
      <c r="CO30" s="1942">
        <v>290</v>
      </c>
      <c r="CP30" s="1942">
        <v>22</v>
      </c>
      <c r="CQ30" s="1942">
        <v>11</v>
      </c>
      <c r="CR30" s="901">
        <v>0</v>
      </c>
      <c r="CS30" s="1942">
        <v>95</v>
      </c>
      <c r="CT30" s="1942">
        <v>0</v>
      </c>
      <c r="CU30" s="901">
        <v>0</v>
      </c>
      <c r="CV30" s="1942">
        <v>200</v>
      </c>
      <c r="CW30" s="901">
        <v>0</v>
      </c>
      <c r="CX30" s="1942">
        <v>0</v>
      </c>
      <c r="CY30" s="901">
        <v>0</v>
      </c>
      <c r="CZ30" s="1942">
        <v>90</v>
      </c>
      <c r="DA30" s="1942">
        <v>0</v>
      </c>
      <c r="DB30" s="1942">
        <v>146</v>
      </c>
      <c r="DC30" s="1942">
        <v>0</v>
      </c>
      <c r="DD30" s="1942">
        <v>25</v>
      </c>
      <c r="DE30" s="1942">
        <v>35</v>
      </c>
      <c r="DF30" s="1942">
        <v>0</v>
      </c>
      <c r="DG30" s="1942">
        <v>0</v>
      </c>
      <c r="DH30" s="1942">
        <v>0</v>
      </c>
      <c r="DI30" s="2057">
        <v>54</v>
      </c>
      <c r="DJ30" s="2070">
        <v>110</v>
      </c>
      <c r="DK30" s="2940">
        <v>0</v>
      </c>
      <c r="DL30" s="3072">
        <v>75</v>
      </c>
      <c r="DM30" s="3369">
        <v>50</v>
      </c>
      <c r="DN30" s="3438">
        <v>400</v>
      </c>
      <c r="DO30" s="3438">
        <v>34</v>
      </c>
      <c r="DP30" s="3438">
        <v>0</v>
      </c>
      <c r="DQ30" s="3713">
        <v>17</v>
      </c>
      <c r="DR30" s="3776">
        <v>116</v>
      </c>
      <c r="DS30" s="3841">
        <v>0</v>
      </c>
      <c r="DT30" s="3841">
        <v>17</v>
      </c>
      <c r="DU30" s="4038">
        <v>0</v>
      </c>
      <c r="DV30" s="4790">
        <v>0</v>
      </c>
      <c r="DW30" s="4790">
        <v>55</v>
      </c>
      <c r="DX30" s="901"/>
      <c r="DY30" s="1963">
        <v>469</v>
      </c>
      <c r="DZ30" s="1969">
        <v>0</v>
      </c>
      <c r="EA30" s="1969">
        <v>0</v>
      </c>
      <c r="EB30" s="1969">
        <v>0</v>
      </c>
      <c r="EC30" s="1969">
        <v>0</v>
      </c>
      <c r="ED30" s="903">
        <v>0</v>
      </c>
      <c r="EE30" s="903">
        <v>0</v>
      </c>
      <c r="EF30" s="903">
        <v>0</v>
      </c>
      <c r="EG30" s="1969">
        <v>8</v>
      </c>
      <c r="EH30" s="1969">
        <v>0</v>
      </c>
      <c r="EI30" s="1969">
        <v>0</v>
      </c>
      <c r="EJ30" s="1969">
        <v>91</v>
      </c>
      <c r="EK30" s="1969">
        <v>21</v>
      </c>
      <c r="EL30" s="1969">
        <v>0</v>
      </c>
      <c r="EM30" s="1969">
        <v>0</v>
      </c>
      <c r="EN30" s="1969">
        <v>0</v>
      </c>
      <c r="EO30" s="1969">
        <v>0</v>
      </c>
      <c r="EP30" s="1969">
        <v>0</v>
      </c>
      <c r="EQ30" s="903">
        <v>0</v>
      </c>
      <c r="ER30" s="1969">
        <v>0</v>
      </c>
      <c r="ES30" s="1969">
        <v>0</v>
      </c>
      <c r="ET30" s="1969">
        <v>0</v>
      </c>
      <c r="EU30" s="1969">
        <v>0</v>
      </c>
      <c r="EV30" s="1969">
        <v>25</v>
      </c>
      <c r="EW30" s="1969">
        <v>0</v>
      </c>
      <c r="EX30" s="1969">
        <v>22</v>
      </c>
      <c r="EY30" s="1969">
        <v>0</v>
      </c>
      <c r="EZ30" s="1969">
        <v>8</v>
      </c>
      <c r="FA30" s="1969">
        <v>0</v>
      </c>
      <c r="FB30" s="1969">
        <v>0</v>
      </c>
      <c r="FC30" s="1969">
        <v>199</v>
      </c>
      <c r="FD30" s="1969">
        <v>0</v>
      </c>
      <c r="FE30" s="1969">
        <v>0</v>
      </c>
      <c r="FF30" s="1976">
        <v>0</v>
      </c>
      <c r="FG30" s="1976">
        <v>0</v>
      </c>
      <c r="FH30" s="1976">
        <v>0</v>
      </c>
      <c r="FI30" s="1976">
        <v>0</v>
      </c>
      <c r="FJ30" s="1976">
        <v>11</v>
      </c>
      <c r="FK30" s="1976">
        <v>0</v>
      </c>
      <c r="FL30" s="1976">
        <v>166</v>
      </c>
      <c r="FM30" s="1976">
        <v>0</v>
      </c>
      <c r="FN30" s="1976">
        <v>354</v>
      </c>
      <c r="FO30" s="1976">
        <v>0</v>
      </c>
      <c r="FP30" s="1686">
        <v>0</v>
      </c>
      <c r="FQ30" s="1976">
        <v>0</v>
      </c>
      <c r="FR30" s="1976">
        <v>0</v>
      </c>
      <c r="FS30" s="1976">
        <v>112</v>
      </c>
      <c r="FT30" s="1976">
        <v>0</v>
      </c>
      <c r="FU30" s="1992">
        <v>0</v>
      </c>
      <c r="FV30" s="2165">
        <v>70</v>
      </c>
      <c r="FW30" s="3142">
        <v>320</v>
      </c>
      <c r="FX30" s="3684">
        <v>224</v>
      </c>
      <c r="FY30" s="3684">
        <v>0</v>
      </c>
      <c r="FZ30" s="3757">
        <v>0</v>
      </c>
      <c r="GA30" s="4420">
        <v>0</v>
      </c>
      <c r="GB30" s="4420">
        <v>0</v>
      </c>
      <c r="GC30" s="4983">
        <v>0</v>
      </c>
      <c r="GD30" s="931"/>
      <c r="GE30" s="910">
        <v>4577</v>
      </c>
      <c r="GF30" s="934">
        <v>2100</v>
      </c>
      <c r="GG30" s="893">
        <v>6677</v>
      </c>
      <c r="GH30" s="906">
        <v>2347</v>
      </c>
      <c r="GI30" s="893">
        <v>469</v>
      </c>
      <c r="GJ30" s="893">
        <v>1695</v>
      </c>
      <c r="GK30" s="893">
        <v>0</v>
      </c>
      <c r="GL30" s="893">
        <v>1493</v>
      </c>
      <c r="GM30" s="893">
        <v>519</v>
      </c>
      <c r="GN30" s="893">
        <v>75</v>
      </c>
      <c r="GO30" s="893">
        <v>0</v>
      </c>
      <c r="GP30" s="893">
        <v>8</v>
      </c>
      <c r="GQ30" s="893">
        <v>71</v>
      </c>
      <c r="GR30" s="4637">
        <v>0</v>
      </c>
      <c r="GS30" s="13">
        <v>0</v>
      </c>
      <c r="GT30" s="4638">
        <v>97.31</v>
      </c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</row>
    <row r="31" spans="1:273" s="105" customFormat="1" ht="33" customHeight="1" thickBot="1">
      <c r="A31" s="887" t="s">
        <v>15</v>
      </c>
      <c r="B31" s="1939">
        <v>0</v>
      </c>
      <c r="C31" s="1940">
        <v>0</v>
      </c>
      <c r="D31" s="1940">
        <v>5146000</v>
      </c>
      <c r="E31" s="1940">
        <v>0</v>
      </c>
      <c r="F31" s="1941">
        <v>0</v>
      </c>
      <c r="G31" s="1941">
        <v>0</v>
      </c>
      <c r="H31" s="1940">
        <v>0</v>
      </c>
      <c r="I31" s="1428">
        <v>0</v>
      </c>
      <c r="J31" s="1428">
        <v>5166000</v>
      </c>
      <c r="K31" s="1428"/>
      <c r="L31" s="1428">
        <v>0</v>
      </c>
      <c r="M31" s="1940">
        <v>4190750</v>
      </c>
      <c r="N31" s="1940">
        <v>0</v>
      </c>
      <c r="O31" s="1940">
        <v>0</v>
      </c>
      <c r="P31" s="1940">
        <v>0</v>
      </c>
      <c r="Q31" s="1940">
        <v>424788</v>
      </c>
      <c r="R31" s="1940">
        <v>0</v>
      </c>
      <c r="S31" s="1428">
        <v>0</v>
      </c>
      <c r="T31" s="1428">
        <v>0</v>
      </c>
      <c r="U31" s="1940">
        <v>0</v>
      </c>
      <c r="V31" s="1941">
        <v>1256544</v>
      </c>
      <c r="W31" s="1940">
        <v>63840</v>
      </c>
      <c r="X31" s="1940">
        <v>126484</v>
      </c>
      <c r="Y31" s="1940">
        <v>0</v>
      </c>
      <c r="Z31" s="1428">
        <v>0</v>
      </c>
      <c r="AA31" s="1940">
        <v>0</v>
      </c>
      <c r="AB31" s="1940">
        <v>876600</v>
      </c>
      <c r="AC31" s="1940">
        <v>1151874</v>
      </c>
      <c r="AD31" s="1940">
        <v>720579</v>
      </c>
      <c r="AE31" s="1940">
        <v>408816</v>
      </c>
      <c r="AF31" s="1940">
        <v>600000</v>
      </c>
      <c r="AG31" s="1940">
        <v>197100</v>
      </c>
      <c r="AH31" s="1940">
        <v>568000</v>
      </c>
      <c r="AI31" s="1940">
        <v>839200</v>
      </c>
      <c r="AJ31" s="1940">
        <v>108480</v>
      </c>
      <c r="AK31" s="1428">
        <v>0</v>
      </c>
      <c r="AL31" s="1428">
        <v>838800</v>
      </c>
      <c r="AM31" s="1940">
        <v>976000</v>
      </c>
      <c r="AN31" s="1940">
        <v>0</v>
      </c>
      <c r="AO31" s="1945">
        <v>0</v>
      </c>
      <c r="AP31" s="1940">
        <v>56071</v>
      </c>
      <c r="AQ31" s="4245">
        <v>0</v>
      </c>
      <c r="AR31" s="1440">
        <v>0</v>
      </c>
      <c r="AS31" s="1940">
        <v>0</v>
      </c>
      <c r="AT31" s="1440">
        <v>0</v>
      </c>
      <c r="AU31" s="1428"/>
      <c r="AV31" s="1940">
        <v>515040</v>
      </c>
      <c r="AW31" s="1940">
        <v>0</v>
      </c>
      <c r="AX31" s="1940">
        <v>141029</v>
      </c>
      <c r="AY31" s="1940">
        <v>334560</v>
      </c>
      <c r="AZ31" s="1940">
        <v>319680</v>
      </c>
      <c r="BA31" s="1940">
        <v>342240</v>
      </c>
      <c r="BB31" s="1940">
        <v>457440</v>
      </c>
      <c r="BC31" s="1940">
        <v>364320</v>
      </c>
      <c r="BD31" s="1940">
        <v>0</v>
      </c>
      <c r="BE31" s="1428">
        <v>0</v>
      </c>
      <c r="BF31" s="1428">
        <v>1973546</v>
      </c>
      <c r="BG31" s="1940">
        <v>4327900</v>
      </c>
      <c r="BH31" s="1940">
        <v>5778000</v>
      </c>
      <c r="BI31" s="1940">
        <v>3462000</v>
      </c>
      <c r="BJ31" s="1940">
        <v>217454</v>
      </c>
      <c r="BK31" s="1940">
        <v>3072740</v>
      </c>
      <c r="BL31" s="1428">
        <v>159696</v>
      </c>
      <c r="BM31" s="1940">
        <v>149280</v>
      </c>
      <c r="BN31" s="1428">
        <v>0</v>
      </c>
      <c r="BO31" s="1941">
        <v>1255256</v>
      </c>
      <c r="BP31" s="1429">
        <v>0</v>
      </c>
      <c r="BQ31" s="1941">
        <v>88248</v>
      </c>
      <c r="BR31" s="1940">
        <v>180552</v>
      </c>
      <c r="BS31" s="1941">
        <v>483408</v>
      </c>
      <c r="BT31" s="1941">
        <v>245340</v>
      </c>
      <c r="BU31" s="1941">
        <v>698400</v>
      </c>
      <c r="BV31" s="1941">
        <v>239680</v>
      </c>
      <c r="BW31" s="1951">
        <v>1943040</v>
      </c>
      <c r="BX31" s="1941">
        <v>1186560</v>
      </c>
      <c r="BY31" s="1941">
        <v>0</v>
      </c>
      <c r="BZ31" s="1941">
        <v>484596</v>
      </c>
      <c r="CA31" s="1429">
        <v>11900</v>
      </c>
      <c r="CB31" s="1941">
        <v>1013000</v>
      </c>
      <c r="CC31" s="1941">
        <v>0</v>
      </c>
      <c r="CD31" s="1941">
        <v>1169400</v>
      </c>
      <c r="CE31" s="4202">
        <v>0</v>
      </c>
      <c r="CF31" s="1941">
        <v>3566045</v>
      </c>
      <c r="CG31" s="1941">
        <v>0</v>
      </c>
      <c r="CH31" s="1941">
        <v>1520352</v>
      </c>
      <c r="CI31" s="1941">
        <v>1867200</v>
      </c>
      <c r="CJ31" s="1941">
        <v>0</v>
      </c>
      <c r="CK31" s="1941">
        <v>4518080</v>
      </c>
      <c r="CL31" s="1941">
        <v>420000</v>
      </c>
      <c r="CM31" s="1941">
        <v>0</v>
      </c>
      <c r="CN31" s="1941">
        <v>252540</v>
      </c>
      <c r="CO31" s="1941">
        <v>7324500</v>
      </c>
      <c r="CP31" s="1941">
        <v>523896</v>
      </c>
      <c r="CQ31" s="1941">
        <v>211200</v>
      </c>
      <c r="CR31" s="1429">
        <v>0</v>
      </c>
      <c r="CS31" s="1941">
        <v>3858980</v>
      </c>
      <c r="CT31" s="1941">
        <v>70596</v>
      </c>
      <c r="CU31" s="1429">
        <v>40738</v>
      </c>
      <c r="CV31" s="1941">
        <v>4092000</v>
      </c>
      <c r="CW31" s="1429">
        <v>52983</v>
      </c>
      <c r="CX31" s="1941">
        <v>745488</v>
      </c>
      <c r="CY31" s="1429">
        <v>133110</v>
      </c>
      <c r="CZ31" s="1941">
        <v>2079360</v>
      </c>
      <c r="DA31" s="1941">
        <v>493440</v>
      </c>
      <c r="DB31" s="1941">
        <v>3400654</v>
      </c>
      <c r="DC31" s="1941">
        <v>0</v>
      </c>
      <c r="DD31" s="1941">
        <v>913200</v>
      </c>
      <c r="DE31" s="1941">
        <v>2010000</v>
      </c>
      <c r="DF31" s="1429">
        <v>960145</v>
      </c>
      <c r="DG31" s="1941">
        <v>27600</v>
      </c>
      <c r="DH31" s="1941">
        <v>647345</v>
      </c>
      <c r="DI31" s="1941">
        <v>1347607</v>
      </c>
      <c r="DJ31" s="1941">
        <v>2154463</v>
      </c>
      <c r="DK31" s="1941">
        <v>102600</v>
      </c>
      <c r="DL31" s="1941">
        <v>373800</v>
      </c>
      <c r="DM31" s="1941">
        <v>1582080</v>
      </c>
      <c r="DN31" s="1941">
        <v>7415900</v>
      </c>
      <c r="DO31" s="1941">
        <v>1228800</v>
      </c>
      <c r="DP31" s="1941">
        <v>248960</v>
      </c>
      <c r="DQ31" s="1941">
        <v>3034080</v>
      </c>
      <c r="DR31" s="1941">
        <v>2655873</v>
      </c>
      <c r="DS31" s="1941">
        <v>0</v>
      </c>
      <c r="DT31" s="1941">
        <v>439920</v>
      </c>
      <c r="DU31" s="1941">
        <v>180071</v>
      </c>
      <c r="DV31" s="1941">
        <v>0</v>
      </c>
      <c r="DW31" s="1941">
        <v>385200</v>
      </c>
      <c r="DX31" s="1567"/>
      <c r="DY31" s="1964">
        <v>12730909</v>
      </c>
      <c r="DZ31" s="1970">
        <v>0</v>
      </c>
      <c r="EA31" s="1970">
        <v>0</v>
      </c>
      <c r="EB31" s="1970">
        <v>0</v>
      </c>
      <c r="EC31" s="1970">
        <v>0</v>
      </c>
      <c r="ED31" s="1430">
        <v>0</v>
      </c>
      <c r="EE31" s="1430">
        <v>0</v>
      </c>
      <c r="EF31" s="1430">
        <v>0</v>
      </c>
      <c r="EG31" s="1970">
        <v>107520</v>
      </c>
      <c r="EH31" s="1970">
        <v>0</v>
      </c>
      <c r="EI31" s="1970">
        <v>0</v>
      </c>
      <c r="EJ31" s="1970">
        <v>2213104</v>
      </c>
      <c r="EK31" s="1970">
        <v>386400</v>
      </c>
      <c r="EL31" s="1970">
        <v>68640</v>
      </c>
      <c r="EM31" s="1970">
        <v>0</v>
      </c>
      <c r="EN31" s="1970">
        <v>0</v>
      </c>
      <c r="EO31" s="1970">
        <v>0</v>
      </c>
      <c r="EP31" s="1970">
        <v>178080</v>
      </c>
      <c r="EQ31" s="1430">
        <v>29235</v>
      </c>
      <c r="ER31" s="1970">
        <v>508540</v>
      </c>
      <c r="ES31" s="1970">
        <v>0</v>
      </c>
      <c r="ET31" s="1970">
        <v>117683</v>
      </c>
      <c r="EU31" s="1970">
        <v>87795</v>
      </c>
      <c r="EV31" s="1970">
        <v>1150560</v>
      </c>
      <c r="EW31" s="1970">
        <v>0</v>
      </c>
      <c r="EX31" s="1970">
        <v>519600</v>
      </c>
      <c r="EY31" s="1970">
        <v>0</v>
      </c>
      <c r="EZ31" s="1970">
        <v>189126</v>
      </c>
      <c r="FA31" s="1970">
        <v>0</v>
      </c>
      <c r="FB31" s="1970">
        <v>0</v>
      </c>
      <c r="FC31" s="1970">
        <v>4844700</v>
      </c>
      <c r="FD31" s="1970">
        <v>0</v>
      </c>
      <c r="FE31" s="1970">
        <v>0</v>
      </c>
      <c r="FF31" s="1977">
        <v>0</v>
      </c>
      <c r="FG31" s="1977">
        <v>0</v>
      </c>
      <c r="FH31" s="1977">
        <v>0</v>
      </c>
      <c r="FI31" s="1977">
        <v>0</v>
      </c>
      <c r="FJ31" s="1977">
        <v>272637</v>
      </c>
      <c r="FK31" s="1977">
        <v>28800</v>
      </c>
      <c r="FL31" s="1977">
        <v>4567509</v>
      </c>
      <c r="FM31" s="1977">
        <v>0</v>
      </c>
      <c r="FN31" s="1977">
        <v>8896400</v>
      </c>
      <c r="FO31" s="1977">
        <v>791040</v>
      </c>
      <c r="FP31" s="1431">
        <v>0</v>
      </c>
      <c r="FQ31" s="1977">
        <v>1517856</v>
      </c>
      <c r="FR31" s="1977">
        <v>44928</v>
      </c>
      <c r="FS31" s="1977">
        <v>2196240</v>
      </c>
      <c r="FT31" s="1977">
        <v>0</v>
      </c>
      <c r="FU31" s="1977">
        <v>14577</v>
      </c>
      <c r="FV31" s="1977">
        <v>1937376</v>
      </c>
      <c r="FW31" s="1977">
        <v>1840000</v>
      </c>
      <c r="FX31" s="1977">
        <v>5271224</v>
      </c>
      <c r="FY31" s="1977">
        <v>0</v>
      </c>
      <c r="FZ31" s="1977">
        <v>42000</v>
      </c>
      <c r="GA31" s="1977">
        <v>26700</v>
      </c>
      <c r="GB31" s="1977">
        <v>445680</v>
      </c>
      <c r="GC31" s="1977">
        <v>0</v>
      </c>
      <c r="GD31" s="1432"/>
      <c r="GE31" s="653">
        <v>115209037</v>
      </c>
      <c r="GF31" s="910">
        <v>51024859</v>
      </c>
      <c r="GG31" s="1426">
        <v>166233896</v>
      </c>
      <c r="GH31" s="650">
        <v>52920589</v>
      </c>
      <c r="GI31" s="650">
        <v>12730909</v>
      </c>
      <c r="GJ31" s="3411">
        <v>40869006</v>
      </c>
      <c r="GK31" s="650">
        <v>193117</v>
      </c>
      <c r="GL31" s="650">
        <v>46784850</v>
      </c>
      <c r="GM31" s="650">
        <v>6684700</v>
      </c>
      <c r="GN31" s="650">
        <v>1814800</v>
      </c>
      <c r="GO31" s="650">
        <v>0</v>
      </c>
      <c r="GP31" s="650">
        <v>1204287</v>
      </c>
      <c r="GQ31" s="909">
        <v>1943040</v>
      </c>
      <c r="GR31" s="909">
        <v>1088598</v>
      </c>
      <c r="GS31" s="909">
        <v>0</v>
      </c>
      <c r="GT31" s="909"/>
    </row>
    <row r="32" spans="1:273" s="5" customFormat="1" ht="33" customHeight="1" thickBot="1">
      <c r="A32" s="887" t="s">
        <v>269</v>
      </c>
      <c r="B32" s="1433">
        <v>0</v>
      </c>
      <c r="C32" s="1434">
        <v>0</v>
      </c>
      <c r="D32" s="1435">
        <v>7513160</v>
      </c>
      <c r="E32" s="1435">
        <v>0</v>
      </c>
      <c r="F32" s="1435">
        <v>0</v>
      </c>
      <c r="G32" s="1435">
        <v>0</v>
      </c>
      <c r="H32" s="1435">
        <v>0</v>
      </c>
      <c r="I32" s="1435">
        <v>0</v>
      </c>
      <c r="J32" s="1435">
        <v>5320980</v>
      </c>
      <c r="K32" s="1436"/>
      <c r="L32" s="1435">
        <v>0</v>
      </c>
      <c r="M32" s="1435">
        <v>4567917.5</v>
      </c>
      <c r="N32" s="1436">
        <v>0</v>
      </c>
      <c r="O32" s="1435">
        <v>0</v>
      </c>
      <c r="P32" s="1435">
        <v>0</v>
      </c>
      <c r="Q32" s="1435">
        <v>3593706.4800000004</v>
      </c>
      <c r="R32" s="1435">
        <v>0</v>
      </c>
      <c r="S32" s="1435">
        <v>0</v>
      </c>
      <c r="T32" s="1435">
        <v>0</v>
      </c>
      <c r="U32" s="1435">
        <v>0</v>
      </c>
      <c r="V32" s="1435">
        <v>11459681.279999999</v>
      </c>
      <c r="W32" s="1435">
        <v>628185.59999999998</v>
      </c>
      <c r="X32" s="1435">
        <v>1166182.48</v>
      </c>
      <c r="Y32" s="1435">
        <v>0</v>
      </c>
      <c r="Z32" s="1435">
        <v>0</v>
      </c>
      <c r="AA32" s="1435">
        <v>0</v>
      </c>
      <c r="AB32" s="1435">
        <v>6399180</v>
      </c>
      <c r="AC32" s="1435">
        <v>8903986.0200000014</v>
      </c>
      <c r="AD32" s="1435">
        <v>7104908.9399999995</v>
      </c>
      <c r="AE32" s="1435">
        <v>306612</v>
      </c>
      <c r="AF32" s="1435">
        <v>450000</v>
      </c>
      <c r="AG32" s="1435">
        <v>0</v>
      </c>
      <c r="AH32" s="1435">
        <v>0</v>
      </c>
      <c r="AI32" s="1435">
        <v>0</v>
      </c>
      <c r="AJ32" s="1435">
        <v>1049001.6000000001</v>
      </c>
      <c r="AK32" s="1435">
        <v>0</v>
      </c>
      <c r="AL32" s="1435">
        <v>226476.00000000003</v>
      </c>
      <c r="AM32" s="1435">
        <v>263520</v>
      </c>
      <c r="AN32" s="1436">
        <v>0</v>
      </c>
      <c r="AO32" s="1577">
        <v>0</v>
      </c>
      <c r="AP32" s="1435">
        <v>520899.58999999997</v>
      </c>
      <c r="AQ32" s="4246">
        <v>0</v>
      </c>
      <c r="AR32" s="4246">
        <v>0</v>
      </c>
      <c r="AS32" s="1435">
        <v>0</v>
      </c>
      <c r="AT32" s="4246">
        <v>0</v>
      </c>
      <c r="AU32" s="1435"/>
      <c r="AV32" s="1435">
        <v>0</v>
      </c>
      <c r="AW32" s="1435">
        <v>0</v>
      </c>
      <c r="AX32" s="1434">
        <v>1367981.2999999998</v>
      </c>
      <c r="AY32" s="1435">
        <v>3195048.0000000005</v>
      </c>
      <c r="AZ32" s="1435">
        <v>2781216</v>
      </c>
      <c r="BA32" s="1435">
        <v>2710540.8</v>
      </c>
      <c r="BB32" s="1435">
        <v>576374.4</v>
      </c>
      <c r="BC32" s="1435">
        <v>1082030.4000000001</v>
      </c>
      <c r="BD32" s="1435">
        <v>0</v>
      </c>
      <c r="BE32" s="1435">
        <v>0</v>
      </c>
      <c r="BF32" s="1435">
        <v>2901112.62</v>
      </c>
      <c r="BG32" s="1435">
        <v>3202646</v>
      </c>
      <c r="BH32" s="1435">
        <v>5778000</v>
      </c>
      <c r="BI32" s="1435">
        <v>3185040</v>
      </c>
      <c r="BJ32" s="1435">
        <v>280515.66000000003</v>
      </c>
      <c r="BK32" s="1435">
        <v>3533650.9999999995</v>
      </c>
      <c r="BL32" s="1435">
        <v>180456.47999999998</v>
      </c>
      <c r="BM32" s="1435">
        <v>208992</v>
      </c>
      <c r="BN32" s="1435">
        <v>0</v>
      </c>
      <c r="BO32" s="1435">
        <v>2146487.7599999998</v>
      </c>
      <c r="BP32" s="1435">
        <v>0</v>
      </c>
      <c r="BQ32" s="1435">
        <v>891304.79999999993</v>
      </c>
      <c r="BR32" s="1435">
        <v>1724271.6</v>
      </c>
      <c r="BS32" s="1435">
        <v>613928.16</v>
      </c>
      <c r="BT32" s="1435">
        <v>184005</v>
      </c>
      <c r="BU32" s="1436">
        <v>1222200</v>
      </c>
      <c r="BV32" s="1435">
        <v>179760</v>
      </c>
      <c r="BW32" s="1435">
        <v>14572800</v>
      </c>
      <c r="BX32" s="1435">
        <v>1257753.6000000001</v>
      </c>
      <c r="BY32" s="1435">
        <v>0</v>
      </c>
      <c r="BZ32" s="1435">
        <v>615436.92000000004</v>
      </c>
      <c r="CA32" s="1435">
        <v>189686</v>
      </c>
      <c r="CB32" s="1435">
        <v>1661320</v>
      </c>
      <c r="CC32" s="1435">
        <v>0</v>
      </c>
      <c r="CD32" s="1435">
        <v>2081532</v>
      </c>
      <c r="CE32" s="4203">
        <v>0</v>
      </c>
      <c r="CF32" s="1435">
        <v>4065291.3</v>
      </c>
      <c r="CG32" s="1435">
        <v>0</v>
      </c>
      <c r="CH32" s="1435">
        <v>2995093.44</v>
      </c>
      <c r="CI32" s="1435">
        <v>3566352</v>
      </c>
      <c r="CJ32" s="1435">
        <v>0</v>
      </c>
      <c r="CK32" s="1435">
        <v>7816278.4000000004</v>
      </c>
      <c r="CL32" s="1435">
        <v>919800</v>
      </c>
      <c r="CM32" s="1435">
        <v>0</v>
      </c>
      <c r="CN32" s="1435">
        <v>515181.60000000003</v>
      </c>
      <c r="CO32" s="1435">
        <v>7397745</v>
      </c>
      <c r="CP32" s="1435">
        <v>392922</v>
      </c>
      <c r="CQ32" s="1435">
        <v>160512</v>
      </c>
      <c r="CR32" s="1434">
        <v>0</v>
      </c>
      <c r="CS32" s="1577">
        <v>29173888.799999997</v>
      </c>
      <c r="CT32" s="1436">
        <v>1198720.08</v>
      </c>
      <c r="CU32" s="1434">
        <v>681139.36</v>
      </c>
      <c r="CV32" s="1577">
        <v>21278400</v>
      </c>
      <c r="CW32" s="1434">
        <v>885875.75999999989</v>
      </c>
      <c r="CX32" s="1436">
        <v>7335601.9199999999</v>
      </c>
      <c r="CY32" s="1436">
        <v>1556055.9</v>
      </c>
      <c r="CZ32" s="1436">
        <v>16946784</v>
      </c>
      <c r="DA32" s="1436">
        <v>5353824</v>
      </c>
      <c r="DB32" s="1436">
        <v>23974610.699999999</v>
      </c>
      <c r="DC32" s="1436">
        <v>0</v>
      </c>
      <c r="DD32" s="1436">
        <v>8328383.9999999991</v>
      </c>
      <c r="DE32" s="1436">
        <v>18994500</v>
      </c>
      <c r="DF32" s="1436">
        <v>8362862.9500000011</v>
      </c>
      <c r="DG32" s="1436">
        <v>0</v>
      </c>
      <c r="DH32" s="1436">
        <v>4893928.2</v>
      </c>
      <c r="DI32" s="1435">
        <v>11737656.970000001</v>
      </c>
      <c r="DJ32" s="1435">
        <v>18937729.77</v>
      </c>
      <c r="DK32" s="1435">
        <v>1023948</v>
      </c>
      <c r="DL32" s="1435">
        <v>3203466</v>
      </c>
      <c r="DM32" s="1435">
        <v>10536652.800000001</v>
      </c>
      <c r="DN32" s="1435">
        <v>0</v>
      </c>
      <c r="DO32" s="1435">
        <v>0</v>
      </c>
      <c r="DP32" s="1435">
        <v>0</v>
      </c>
      <c r="DQ32" s="1435">
        <v>0</v>
      </c>
      <c r="DR32" s="1435">
        <v>0</v>
      </c>
      <c r="DS32" s="1435">
        <v>0</v>
      </c>
      <c r="DT32" s="1435">
        <v>0</v>
      </c>
      <c r="DU32" s="1435">
        <v>0</v>
      </c>
      <c r="DV32" s="1435">
        <v>0</v>
      </c>
      <c r="DW32" s="1435">
        <v>0</v>
      </c>
      <c r="DX32" s="1568"/>
      <c r="DY32" s="1435">
        <v>73330035.840000004</v>
      </c>
      <c r="DZ32" s="1434">
        <v>0</v>
      </c>
      <c r="EA32" s="1435">
        <v>0</v>
      </c>
      <c r="EB32" s="1435">
        <v>0</v>
      </c>
      <c r="EC32" s="1436">
        <v>0</v>
      </c>
      <c r="ED32" s="1435">
        <v>0</v>
      </c>
      <c r="EE32" s="1435">
        <v>0</v>
      </c>
      <c r="EF32" s="1436">
        <v>0</v>
      </c>
      <c r="EG32" s="1435">
        <v>1127884.8</v>
      </c>
      <c r="EH32" s="1435">
        <v>0</v>
      </c>
      <c r="EI32" s="1435">
        <v>0</v>
      </c>
      <c r="EJ32" s="1435">
        <v>2500807.5199999996</v>
      </c>
      <c r="EK32" s="1435">
        <v>598920</v>
      </c>
      <c r="EL32" s="1435">
        <v>669926.40000000002</v>
      </c>
      <c r="EM32" s="1435">
        <v>0</v>
      </c>
      <c r="EN32" s="1435">
        <v>0</v>
      </c>
      <c r="EO32" s="1435">
        <v>0</v>
      </c>
      <c r="EP32" s="1435">
        <v>1752307.2</v>
      </c>
      <c r="EQ32" s="1435">
        <v>297027.59999999998</v>
      </c>
      <c r="ER32" s="1435">
        <v>4500579</v>
      </c>
      <c r="ES32" s="1435">
        <v>0</v>
      </c>
      <c r="ET32" s="1436">
        <v>1591074.16</v>
      </c>
      <c r="EU32" s="1435">
        <v>850733.54999999993</v>
      </c>
      <c r="EV32" s="1435">
        <v>11148926.399999999</v>
      </c>
      <c r="EW32" s="1435">
        <v>0</v>
      </c>
      <c r="EX32" s="1435">
        <v>997632</v>
      </c>
      <c r="EY32" s="1435">
        <v>0</v>
      </c>
      <c r="EZ32" s="1435">
        <v>143168.38200000001</v>
      </c>
      <c r="FA32" s="1435">
        <v>0</v>
      </c>
      <c r="FB32" s="1435">
        <v>0</v>
      </c>
      <c r="FC32" s="1435">
        <v>26258274</v>
      </c>
      <c r="FD32" s="1435">
        <v>0</v>
      </c>
      <c r="FE32" s="1435">
        <v>0</v>
      </c>
      <c r="FF32" s="1437">
        <v>0</v>
      </c>
      <c r="FG32" s="1437">
        <v>0</v>
      </c>
      <c r="FH32" s="1437">
        <v>0</v>
      </c>
      <c r="FI32" s="1437">
        <v>0</v>
      </c>
      <c r="FJ32" s="1437">
        <v>408955.5</v>
      </c>
      <c r="FK32" s="1437">
        <v>489888.00000000006</v>
      </c>
      <c r="FL32" s="1437">
        <v>5343985.5299999993</v>
      </c>
      <c r="FM32" s="1437">
        <v>0</v>
      </c>
      <c r="FN32" s="1437">
        <v>8807436</v>
      </c>
      <c r="FO32" s="1437">
        <v>8258457.5999999996</v>
      </c>
      <c r="FP32" s="1437">
        <v>0</v>
      </c>
      <c r="FQ32" s="1437">
        <v>14404453.439999999</v>
      </c>
      <c r="FR32" s="1437">
        <v>424120.31999999995</v>
      </c>
      <c r="FS32" s="1437">
        <v>17042822.399999999</v>
      </c>
      <c r="FT32" s="1437">
        <v>0</v>
      </c>
      <c r="FU32" s="1437">
        <v>161075.85</v>
      </c>
      <c r="FV32" s="1437">
        <v>14317208.639999999</v>
      </c>
      <c r="FW32" s="1437">
        <v>8077599.9999999991</v>
      </c>
      <c r="FX32" s="1437">
        <v>0</v>
      </c>
      <c r="FY32" s="1437">
        <v>0</v>
      </c>
      <c r="FZ32" s="1437">
        <v>0</v>
      </c>
      <c r="GA32" s="1437">
        <v>0</v>
      </c>
      <c r="GB32" s="1437">
        <v>0</v>
      </c>
      <c r="GC32" s="1437">
        <v>0</v>
      </c>
      <c r="GD32" s="1438"/>
      <c r="GE32" s="653">
        <v>340031692.94</v>
      </c>
      <c r="GF32" s="910">
        <v>203503300.13199997</v>
      </c>
      <c r="GG32" s="909">
        <v>543534993.07200003</v>
      </c>
      <c r="GH32" s="650">
        <v>53634023.452000007</v>
      </c>
      <c r="GI32" s="650">
        <v>73330035.840000004</v>
      </c>
      <c r="GJ32" s="3411">
        <v>42045968.719999999</v>
      </c>
      <c r="GK32" s="650">
        <v>3255623.1999999997</v>
      </c>
      <c r="GL32" s="650">
        <v>308547850.25999993</v>
      </c>
      <c r="GM32" s="650">
        <v>34335874</v>
      </c>
      <c r="GN32" s="650">
        <v>489996</v>
      </c>
      <c r="GO32" s="650">
        <v>0</v>
      </c>
      <c r="GP32" s="650">
        <v>11416003.850000001</v>
      </c>
      <c r="GQ32" s="909">
        <v>14572800</v>
      </c>
      <c r="GR32" s="909">
        <v>1906817.75</v>
      </c>
      <c r="GS32" s="909">
        <v>0</v>
      </c>
      <c r="GT32" s="909"/>
    </row>
    <row r="33" spans="1:202" ht="33" customHeight="1" thickBot="1">
      <c r="A33" s="887" t="s">
        <v>819</v>
      </c>
      <c r="B33" s="1439">
        <v>0</v>
      </c>
      <c r="C33" s="1440">
        <v>0</v>
      </c>
      <c r="D33" s="1440">
        <v>231</v>
      </c>
      <c r="E33" s="1440">
        <v>0</v>
      </c>
      <c r="F33" s="1440">
        <v>0</v>
      </c>
      <c r="G33" s="1440">
        <v>0</v>
      </c>
      <c r="H33" s="1440">
        <v>0</v>
      </c>
      <c r="I33" s="1440">
        <v>0</v>
      </c>
      <c r="J33" s="1440">
        <v>202</v>
      </c>
      <c r="K33" s="1440"/>
      <c r="L33" s="1440">
        <v>0</v>
      </c>
      <c r="M33" s="1440">
        <v>180</v>
      </c>
      <c r="N33" s="1440">
        <v>0</v>
      </c>
      <c r="O33" s="1440">
        <v>0</v>
      </c>
      <c r="P33" s="1440">
        <v>0</v>
      </c>
      <c r="Q33" s="1440">
        <v>16</v>
      </c>
      <c r="R33" s="1440">
        <v>0</v>
      </c>
      <c r="S33" s="1440">
        <v>0</v>
      </c>
      <c r="T33" s="1440">
        <v>0</v>
      </c>
      <c r="U33" s="1440">
        <v>0</v>
      </c>
      <c r="V33" s="1440">
        <v>84</v>
      </c>
      <c r="W33" s="1440">
        <v>6</v>
      </c>
      <c r="X33" s="1440">
        <v>0</v>
      </c>
      <c r="Y33" s="1440">
        <v>0</v>
      </c>
      <c r="Z33" s="1440">
        <v>0</v>
      </c>
      <c r="AA33" s="1440">
        <v>0</v>
      </c>
      <c r="AB33" s="1440">
        <v>35</v>
      </c>
      <c r="AC33" s="1440">
        <v>35</v>
      </c>
      <c r="AD33" s="1440">
        <v>17</v>
      </c>
      <c r="AE33" s="1440">
        <v>16</v>
      </c>
      <c r="AF33" s="1440">
        <v>25</v>
      </c>
      <c r="AG33" s="1440">
        <v>9</v>
      </c>
      <c r="AH33" s="1440">
        <v>16</v>
      </c>
      <c r="AI33" s="1440">
        <v>33</v>
      </c>
      <c r="AJ33" s="1440">
        <v>2</v>
      </c>
      <c r="AK33" s="1440">
        <v>0</v>
      </c>
      <c r="AL33" s="1440">
        <v>43</v>
      </c>
      <c r="AM33" s="1440">
        <v>40</v>
      </c>
      <c r="AN33" s="1440">
        <v>0</v>
      </c>
      <c r="AO33" s="1440">
        <v>0</v>
      </c>
      <c r="AP33" s="1440">
        <v>0</v>
      </c>
      <c r="AQ33" s="1440">
        <v>0</v>
      </c>
      <c r="AR33" s="1440">
        <v>0</v>
      </c>
      <c r="AS33" s="1440">
        <v>0</v>
      </c>
      <c r="AT33" s="1440">
        <v>0</v>
      </c>
      <c r="AU33" s="1440"/>
      <c r="AV33" s="1440">
        <v>19</v>
      </c>
      <c r="AW33" s="1440">
        <v>0</v>
      </c>
      <c r="AX33" s="1440">
        <v>0</v>
      </c>
      <c r="AY33" s="1440">
        <v>40</v>
      </c>
      <c r="AZ33" s="1440">
        <v>12</v>
      </c>
      <c r="BA33" s="1440">
        <v>0</v>
      </c>
      <c r="BB33" s="1440">
        <v>21</v>
      </c>
      <c r="BC33" s="1440">
        <v>0</v>
      </c>
      <c r="BD33" s="1440">
        <v>0</v>
      </c>
      <c r="BE33" s="1440">
        <v>0</v>
      </c>
      <c r="BF33" s="1440">
        <v>80</v>
      </c>
      <c r="BG33" s="1440">
        <v>140</v>
      </c>
      <c r="BH33" s="1440">
        <v>270</v>
      </c>
      <c r="BI33" s="1440">
        <v>162</v>
      </c>
      <c r="BJ33" s="1440">
        <v>8</v>
      </c>
      <c r="BK33" s="1440">
        <v>125</v>
      </c>
      <c r="BL33" s="1440">
        <v>3</v>
      </c>
      <c r="BM33" s="1440">
        <v>5</v>
      </c>
      <c r="BN33" s="1440">
        <v>0</v>
      </c>
      <c r="BO33" s="1440">
        <v>51</v>
      </c>
      <c r="BP33" s="1440">
        <v>0</v>
      </c>
      <c r="BQ33" s="1440">
        <v>0</v>
      </c>
      <c r="BR33" s="1440">
        <v>8</v>
      </c>
      <c r="BS33" s="1440">
        <v>21</v>
      </c>
      <c r="BT33" s="1440">
        <v>11</v>
      </c>
      <c r="BU33" s="1440">
        <v>14</v>
      </c>
      <c r="BV33" s="1440">
        <v>9</v>
      </c>
      <c r="BW33" s="1440">
        <v>80</v>
      </c>
      <c r="BX33" s="1440">
        <v>49</v>
      </c>
      <c r="BY33" s="1440">
        <v>0</v>
      </c>
      <c r="BZ33" s="1440">
        <v>20</v>
      </c>
      <c r="CA33" s="1440">
        <v>2</v>
      </c>
      <c r="CB33" s="1440">
        <v>43</v>
      </c>
      <c r="CC33" s="1440">
        <v>0</v>
      </c>
      <c r="CD33" s="1440">
        <v>51</v>
      </c>
      <c r="CE33" s="4204">
        <v>0</v>
      </c>
      <c r="CF33" s="1440">
        <v>163</v>
      </c>
      <c r="CG33" s="1440">
        <v>0</v>
      </c>
      <c r="CH33" s="1440">
        <v>64</v>
      </c>
      <c r="CI33" s="1440">
        <v>75</v>
      </c>
      <c r="CJ33" s="1440">
        <v>0</v>
      </c>
      <c r="CK33" s="3674">
        <v>165</v>
      </c>
      <c r="CL33" s="1440">
        <v>18</v>
      </c>
      <c r="CM33" s="1440">
        <v>0</v>
      </c>
      <c r="CN33" s="1440">
        <v>10</v>
      </c>
      <c r="CO33" s="1440">
        <v>290</v>
      </c>
      <c r="CP33" s="1440">
        <v>21</v>
      </c>
      <c r="CQ33" s="1440">
        <v>0</v>
      </c>
      <c r="CR33" s="1440">
        <v>0</v>
      </c>
      <c r="CS33" s="1440">
        <v>163</v>
      </c>
      <c r="CT33" s="1440">
        <v>0</v>
      </c>
      <c r="CU33" s="1440">
        <v>0</v>
      </c>
      <c r="CV33" s="1440">
        <v>171</v>
      </c>
      <c r="CW33" s="1440">
        <v>0</v>
      </c>
      <c r="CX33" s="1440">
        <v>33</v>
      </c>
      <c r="CY33" s="1440">
        <v>19</v>
      </c>
      <c r="CZ33" s="1440">
        <v>90</v>
      </c>
      <c r="DA33" s="1440">
        <v>2</v>
      </c>
      <c r="DB33" s="1440">
        <v>135</v>
      </c>
      <c r="DC33" s="1440">
        <v>0</v>
      </c>
      <c r="DD33" s="1440">
        <v>50</v>
      </c>
      <c r="DE33" s="1440">
        <v>87</v>
      </c>
      <c r="DF33" s="1440">
        <v>61</v>
      </c>
      <c r="DG33" s="1440">
        <v>4</v>
      </c>
      <c r="DH33" s="1440">
        <v>40</v>
      </c>
      <c r="DI33" s="1440">
        <v>54</v>
      </c>
      <c r="DJ33" s="1440">
        <v>104</v>
      </c>
      <c r="DK33" s="1440">
        <v>29</v>
      </c>
      <c r="DL33" s="1440">
        <v>0</v>
      </c>
      <c r="DM33" s="1440">
        <v>100</v>
      </c>
      <c r="DN33" s="1440">
        <v>200</v>
      </c>
      <c r="DO33" s="1440">
        <v>35</v>
      </c>
      <c r="DP33" s="1440">
        <v>43</v>
      </c>
      <c r="DQ33" s="1440">
        <v>162</v>
      </c>
      <c r="DR33" s="1440">
        <v>116</v>
      </c>
      <c r="DS33" s="1440">
        <v>0</v>
      </c>
      <c r="DT33" s="1440">
        <v>17</v>
      </c>
      <c r="DU33" s="1440">
        <v>25</v>
      </c>
      <c r="DV33" s="1440">
        <v>0</v>
      </c>
      <c r="DW33" s="1440">
        <v>0</v>
      </c>
      <c r="DX33" s="1569"/>
      <c r="DY33" s="1440">
        <v>610</v>
      </c>
      <c r="DZ33" s="1440">
        <v>0</v>
      </c>
      <c r="EA33" s="1440">
        <v>0</v>
      </c>
      <c r="EB33" s="1440">
        <v>0</v>
      </c>
      <c r="EC33" s="1440">
        <v>0</v>
      </c>
      <c r="ED33" s="1440">
        <v>0</v>
      </c>
      <c r="EE33" s="1440">
        <v>0</v>
      </c>
      <c r="EF33" s="1440">
        <v>0</v>
      </c>
      <c r="EG33" s="1440">
        <v>0</v>
      </c>
      <c r="EH33" s="1440">
        <v>0</v>
      </c>
      <c r="EI33" s="1440">
        <v>0</v>
      </c>
      <c r="EJ33" s="1440">
        <v>91</v>
      </c>
      <c r="EK33" s="1440">
        <v>16</v>
      </c>
      <c r="EL33" s="1440">
        <v>0</v>
      </c>
      <c r="EM33" s="1440">
        <v>0</v>
      </c>
      <c r="EN33" s="1440">
        <v>0</v>
      </c>
      <c r="EO33" s="1440">
        <v>0</v>
      </c>
      <c r="EP33" s="1440">
        <v>0</v>
      </c>
      <c r="EQ33" s="1440">
        <v>0</v>
      </c>
      <c r="ER33" s="1440">
        <v>0</v>
      </c>
      <c r="ES33" s="1440">
        <v>0</v>
      </c>
      <c r="ET33" s="1440">
        <v>0</v>
      </c>
      <c r="EU33" s="1440">
        <v>0</v>
      </c>
      <c r="EV33" s="1440">
        <v>52</v>
      </c>
      <c r="EW33" s="1440">
        <v>0</v>
      </c>
      <c r="EX33" s="1440">
        <v>22</v>
      </c>
      <c r="EY33" s="1440">
        <v>0</v>
      </c>
      <c r="EZ33" s="1440">
        <v>8</v>
      </c>
      <c r="FA33" s="1440">
        <v>0</v>
      </c>
      <c r="FB33" s="1440">
        <v>0</v>
      </c>
      <c r="FC33" s="1440">
        <v>199</v>
      </c>
      <c r="FD33" s="1440">
        <v>0</v>
      </c>
      <c r="FE33" s="1440">
        <v>0</v>
      </c>
      <c r="FF33" s="1441">
        <v>0</v>
      </c>
      <c r="FG33" s="1441">
        <v>0</v>
      </c>
      <c r="FH33" s="1441">
        <v>0</v>
      </c>
      <c r="FI33" s="1441">
        <v>0</v>
      </c>
      <c r="FJ33" s="1441">
        <v>11</v>
      </c>
      <c r="FK33" s="1441">
        <v>0</v>
      </c>
      <c r="FL33" s="1441">
        <v>208</v>
      </c>
      <c r="FM33" s="1441">
        <v>0</v>
      </c>
      <c r="FN33" s="1441">
        <v>414</v>
      </c>
      <c r="FO33" s="1441">
        <v>17</v>
      </c>
      <c r="FP33" s="1441">
        <v>0</v>
      </c>
      <c r="FQ33" s="1441">
        <v>94</v>
      </c>
      <c r="FR33" s="1441">
        <v>0</v>
      </c>
      <c r="FS33" s="1441">
        <v>49</v>
      </c>
      <c r="FT33" s="1441">
        <v>0</v>
      </c>
      <c r="FU33" s="1441">
        <v>0</v>
      </c>
      <c r="FV33" s="1441">
        <v>90</v>
      </c>
      <c r="FW33" s="1441">
        <v>0</v>
      </c>
      <c r="FX33" s="1441">
        <v>194</v>
      </c>
      <c r="FY33" s="1441">
        <v>0</v>
      </c>
      <c r="FZ33" s="1441">
        <v>0</v>
      </c>
      <c r="GA33" s="1441">
        <v>5</v>
      </c>
      <c r="GB33" s="1441">
        <v>72</v>
      </c>
      <c r="GC33" s="1441">
        <v>0</v>
      </c>
      <c r="GD33" s="1442"/>
      <c r="GE33" s="1415">
        <v>6932</v>
      </c>
      <c r="GF33" s="947" t="s">
        <v>794</v>
      </c>
      <c r="GG33" s="909"/>
      <c r="GH33" s="909"/>
      <c r="GI33" s="909"/>
      <c r="GJ33" s="909"/>
      <c r="GK33" s="909"/>
      <c r="GL33" s="909"/>
      <c r="GM33" s="909"/>
      <c r="GN33" s="909"/>
      <c r="GO33" s="909"/>
      <c r="GP33" s="909"/>
      <c r="GQ33" s="909"/>
      <c r="GR33" s="909"/>
      <c r="GS33" s="909"/>
      <c r="GT33" s="909"/>
    </row>
    <row r="34" spans="1:202" ht="35.25" customHeight="1" thickBot="1">
      <c r="A34" s="887" t="s">
        <v>820</v>
      </c>
      <c r="B34" s="1439">
        <v>0</v>
      </c>
      <c r="C34" s="1440">
        <v>0</v>
      </c>
      <c r="D34" s="1440">
        <v>240</v>
      </c>
      <c r="E34" s="1440">
        <v>0</v>
      </c>
      <c r="F34" s="1440">
        <v>0</v>
      </c>
      <c r="G34" s="1440">
        <v>0</v>
      </c>
      <c r="H34" s="1440">
        <v>0</v>
      </c>
      <c r="I34" s="1440">
        <v>0</v>
      </c>
      <c r="J34" s="1440">
        <v>222</v>
      </c>
      <c r="K34" s="1440">
        <v>0</v>
      </c>
      <c r="L34" s="1440">
        <v>0</v>
      </c>
      <c r="M34" s="1440">
        <v>180</v>
      </c>
      <c r="N34" s="1440">
        <v>0</v>
      </c>
      <c r="O34" s="1440">
        <v>0</v>
      </c>
      <c r="P34" s="1440">
        <v>0</v>
      </c>
      <c r="Q34" s="1440">
        <v>55</v>
      </c>
      <c r="R34" s="1440">
        <v>0</v>
      </c>
      <c r="S34" s="1440">
        <v>0</v>
      </c>
      <c r="T34" s="1440">
        <v>0</v>
      </c>
      <c r="U34" s="1440">
        <v>0</v>
      </c>
      <c r="V34" s="1440">
        <v>102</v>
      </c>
      <c r="W34" s="1440">
        <v>0</v>
      </c>
      <c r="X34" s="1440">
        <v>24</v>
      </c>
      <c r="Y34" s="1440">
        <v>0</v>
      </c>
      <c r="Z34" s="1440">
        <v>0</v>
      </c>
      <c r="AA34" s="1440">
        <v>0</v>
      </c>
      <c r="AB34" s="1440">
        <v>35</v>
      </c>
      <c r="AC34" s="1440">
        <v>55</v>
      </c>
      <c r="AD34" s="1440">
        <v>35</v>
      </c>
      <c r="AE34" s="1440">
        <v>16</v>
      </c>
      <c r="AF34" s="1440">
        <v>25</v>
      </c>
      <c r="AG34" s="1440">
        <v>9</v>
      </c>
      <c r="AH34" s="1440">
        <v>16</v>
      </c>
      <c r="AI34" s="1440">
        <v>33</v>
      </c>
      <c r="AJ34" s="1440">
        <v>25</v>
      </c>
      <c r="AK34" s="1440">
        <v>0</v>
      </c>
      <c r="AL34" s="1440">
        <v>38</v>
      </c>
      <c r="AM34" s="1440">
        <v>40</v>
      </c>
      <c r="AN34" s="1440">
        <v>0</v>
      </c>
      <c r="AO34" s="1440">
        <v>0</v>
      </c>
      <c r="AP34" s="1440">
        <v>17</v>
      </c>
      <c r="AQ34" s="1440">
        <v>0</v>
      </c>
      <c r="AR34" s="1440">
        <v>0</v>
      </c>
      <c r="AS34" s="1440">
        <v>0</v>
      </c>
      <c r="AT34" s="1440">
        <v>0</v>
      </c>
      <c r="AU34" s="1440">
        <v>0</v>
      </c>
      <c r="AV34" s="1440">
        <v>22</v>
      </c>
      <c r="AW34" s="1440">
        <v>0</v>
      </c>
      <c r="AX34" s="1440">
        <v>40</v>
      </c>
      <c r="AY34" s="1440">
        <v>10</v>
      </c>
      <c r="AZ34" s="1440">
        <v>12</v>
      </c>
      <c r="BA34" s="1440">
        <v>0</v>
      </c>
      <c r="BB34" s="1440">
        <v>21</v>
      </c>
      <c r="BC34" s="1440">
        <v>10</v>
      </c>
      <c r="BD34" s="1440">
        <v>0</v>
      </c>
      <c r="BE34" s="1440">
        <v>0</v>
      </c>
      <c r="BF34" s="1440">
        <v>80</v>
      </c>
      <c r="BG34" s="1440">
        <v>150</v>
      </c>
      <c r="BH34" s="1440">
        <v>310</v>
      </c>
      <c r="BI34" s="1440">
        <v>168</v>
      </c>
      <c r="BJ34" s="1440">
        <v>8</v>
      </c>
      <c r="BK34" s="1440">
        <v>132</v>
      </c>
      <c r="BL34" s="1440">
        <v>3</v>
      </c>
      <c r="BM34" s="1440">
        <v>5</v>
      </c>
      <c r="BN34" s="1440">
        <v>0</v>
      </c>
      <c r="BO34" s="1440">
        <v>51</v>
      </c>
      <c r="BP34" s="1440">
        <v>0</v>
      </c>
      <c r="BQ34" s="1440">
        <v>0</v>
      </c>
      <c r="BR34" s="1440">
        <v>8</v>
      </c>
      <c r="BS34" s="1440">
        <v>20</v>
      </c>
      <c r="BT34" s="1440">
        <v>11</v>
      </c>
      <c r="BU34" s="1440">
        <v>33</v>
      </c>
      <c r="BV34" s="1440">
        <v>9</v>
      </c>
      <c r="BW34" s="1440">
        <v>88</v>
      </c>
      <c r="BX34" s="1440">
        <v>50</v>
      </c>
      <c r="BY34" s="1440">
        <v>0</v>
      </c>
      <c r="BZ34" s="1440">
        <v>22</v>
      </c>
      <c r="CA34" s="1440">
        <v>0</v>
      </c>
      <c r="CB34" s="1440">
        <v>43</v>
      </c>
      <c r="CC34" s="1440">
        <v>0</v>
      </c>
      <c r="CD34" s="1440">
        <v>51</v>
      </c>
      <c r="CE34" s="4204">
        <v>0</v>
      </c>
      <c r="CF34" s="1440">
        <v>163</v>
      </c>
      <c r="CG34" s="1440">
        <v>0</v>
      </c>
      <c r="CH34" s="1440">
        <v>70</v>
      </c>
      <c r="CI34" s="1440">
        <v>79</v>
      </c>
      <c r="CJ34" s="1440">
        <v>0</v>
      </c>
      <c r="CK34" s="3674">
        <v>190</v>
      </c>
      <c r="CL34" s="1440">
        <v>18</v>
      </c>
      <c r="CM34" s="1440">
        <v>0</v>
      </c>
      <c r="CN34" s="1440">
        <v>10</v>
      </c>
      <c r="CO34" s="1440">
        <v>300</v>
      </c>
      <c r="CP34" s="1440">
        <v>24</v>
      </c>
      <c r="CQ34" s="1440">
        <v>11</v>
      </c>
      <c r="CR34" s="1440">
        <v>0</v>
      </c>
      <c r="CS34" s="1440">
        <v>265</v>
      </c>
      <c r="CT34" s="1440">
        <v>0</v>
      </c>
      <c r="CU34" s="1440">
        <v>0</v>
      </c>
      <c r="CV34" s="1440">
        <v>183</v>
      </c>
      <c r="CW34" s="1440">
        <v>0</v>
      </c>
      <c r="CX34" s="1440">
        <v>70</v>
      </c>
      <c r="CY34" s="1440">
        <v>0</v>
      </c>
      <c r="CZ34" s="1440">
        <v>90</v>
      </c>
      <c r="DA34" s="1440">
        <v>100</v>
      </c>
      <c r="DB34" s="1440">
        <v>142</v>
      </c>
      <c r="DC34" s="1440">
        <v>0</v>
      </c>
      <c r="DD34" s="1440">
        <v>112</v>
      </c>
      <c r="DE34" s="1440">
        <v>105</v>
      </c>
      <c r="DF34" s="1440">
        <v>105</v>
      </c>
      <c r="DG34" s="1440">
        <v>0</v>
      </c>
      <c r="DH34" s="1440">
        <v>65</v>
      </c>
      <c r="DI34" s="1440">
        <v>54</v>
      </c>
      <c r="DJ34" s="1440">
        <v>110</v>
      </c>
      <c r="DK34" s="1440">
        <v>17</v>
      </c>
      <c r="DL34" s="1440">
        <v>0</v>
      </c>
      <c r="DM34" s="1440">
        <v>90</v>
      </c>
      <c r="DN34" s="1440">
        <v>200</v>
      </c>
      <c r="DO34" s="1440">
        <v>104</v>
      </c>
      <c r="DP34" s="1440">
        <v>0</v>
      </c>
      <c r="DQ34" s="1440">
        <v>54</v>
      </c>
      <c r="DR34" s="1440">
        <v>116</v>
      </c>
      <c r="DS34" s="1440">
        <v>0</v>
      </c>
      <c r="DT34" s="1440">
        <v>17</v>
      </c>
      <c r="DU34" s="1440">
        <v>0</v>
      </c>
      <c r="DV34" s="1440">
        <v>0</v>
      </c>
      <c r="DW34" s="1440">
        <v>55</v>
      </c>
      <c r="DX34" s="1569"/>
      <c r="DY34" s="1440">
        <v>658</v>
      </c>
      <c r="DZ34" s="1440">
        <v>0</v>
      </c>
      <c r="EA34" s="1440">
        <v>0</v>
      </c>
      <c r="EB34" s="1440">
        <v>0</v>
      </c>
      <c r="EC34" s="1440">
        <v>0</v>
      </c>
      <c r="ED34" s="1440">
        <v>0</v>
      </c>
      <c r="EE34" s="1440">
        <v>0</v>
      </c>
      <c r="EF34" s="1440">
        <v>0</v>
      </c>
      <c r="EG34" s="1440">
        <v>34</v>
      </c>
      <c r="EH34" s="1440">
        <v>0</v>
      </c>
      <c r="EI34" s="1440">
        <v>0</v>
      </c>
      <c r="EJ34" s="1440">
        <v>91</v>
      </c>
      <c r="EK34" s="1440">
        <v>20</v>
      </c>
      <c r="EL34" s="1440">
        <v>0</v>
      </c>
      <c r="EM34" s="1440">
        <v>0</v>
      </c>
      <c r="EN34" s="1440">
        <v>0</v>
      </c>
      <c r="EO34" s="1440">
        <v>0</v>
      </c>
      <c r="EP34" s="1440">
        <v>50</v>
      </c>
      <c r="EQ34" s="1440">
        <v>25</v>
      </c>
      <c r="ER34" s="1440">
        <v>100</v>
      </c>
      <c r="ES34" s="1440">
        <v>0</v>
      </c>
      <c r="ET34" s="1440">
        <v>34</v>
      </c>
      <c r="EU34" s="1440">
        <v>32</v>
      </c>
      <c r="EV34" s="1440">
        <v>43</v>
      </c>
      <c r="EW34" s="1440">
        <v>0</v>
      </c>
      <c r="EX34" s="1440">
        <v>22</v>
      </c>
      <c r="EY34" s="1440">
        <v>0</v>
      </c>
      <c r="EZ34" s="1440">
        <v>8</v>
      </c>
      <c r="FA34" s="1440">
        <v>0</v>
      </c>
      <c r="FB34" s="1440">
        <v>0</v>
      </c>
      <c r="FC34" s="1440">
        <v>199</v>
      </c>
      <c r="FD34" s="1440">
        <v>0</v>
      </c>
      <c r="FE34" s="1440">
        <v>0</v>
      </c>
      <c r="FF34" s="1441">
        <v>0</v>
      </c>
      <c r="FG34" s="1441">
        <v>0</v>
      </c>
      <c r="FH34" s="1441">
        <v>0</v>
      </c>
      <c r="FI34" s="1441">
        <v>0</v>
      </c>
      <c r="FJ34" s="1441">
        <v>11</v>
      </c>
      <c r="FK34" s="1441">
        <v>0</v>
      </c>
      <c r="FL34" s="1441">
        <v>185</v>
      </c>
      <c r="FM34" s="1441">
        <v>0</v>
      </c>
      <c r="FN34" s="1441">
        <v>409</v>
      </c>
      <c r="FO34" s="1441">
        <v>105</v>
      </c>
      <c r="FP34" s="1441">
        <v>0</v>
      </c>
      <c r="FQ34" s="1441">
        <v>113</v>
      </c>
      <c r="FR34" s="1441">
        <v>0</v>
      </c>
      <c r="FS34" s="1441">
        <v>112</v>
      </c>
      <c r="FT34" s="1441">
        <v>0</v>
      </c>
      <c r="FU34" s="1441">
        <v>0</v>
      </c>
      <c r="FV34" s="1441">
        <v>113</v>
      </c>
      <c r="FW34" s="1441">
        <v>190</v>
      </c>
      <c r="FX34" s="1441">
        <v>221</v>
      </c>
      <c r="FY34" s="1441">
        <v>0</v>
      </c>
      <c r="FZ34" s="1441">
        <v>0</v>
      </c>
      <c r="GA34" s="1441">
        <v>0</v>
      </c>
      <c r="GB34" s="1441">
        <v>0</v>
      </c>
      <c r="GC34" s="1441">
        <v>0</v>
      </c>
      <c r="GD34" s="1442"/>
      <c r="GE34" s="651">
        <v>8218</v>
      </c>
      <c r="GF34" s="948" t="s">
        <v>795</v>
      </c>
      <c r="GG34" s="909"/>
      <c r="GH34" s="909"/>
      <c r="GI34" s="909"/>
      <c r="GJ34" s="909"/>
      <c r="GK34" s="909"/>
      <c r="GL34" s="909"/>
      <c r="GM34" s="909"/>
      <c r="GN34" s="909"/>
      <c r="GO34" s="909"/>
      <c r="GP34" s="909"/>
      <c r="GQ34" s="909"/>
      <c r="GR34" s="909"/>
      <c r="GS34" s="909"/>
      <c r="GT34" s="909"/>
    </row>
    <row r="35" spans="1:202" ht="36.75" customHeight="1" thickBot="1">
      <c r="A35" s="654" t="s">
        <v>744</v>
      </c>
      <c r="B35" s="1106">
        <v>0</v>
      </c>
      <c r="C35" s="938">
        <v>0</v>
      </c>
      <c r="D35" s="938">
        <v>180</v>
      </c>
      <c r="E35" s="938">
        <v>0</v>
      </c>
      <c r="F35" s="4030">
        <v>0</v>
      </c>
      <c r="G35" s="938">
        <v>0</v>
      </c>
      <c r="H35" s="3419">
        <v>0</v>
      </c>
      <c r="I35" s="1665">
        <v>0</v>
      </c>
      <c r="J35" s="938">
        <v>250</v>
      </c>
      <c r="K35" s="938">
        <v>0</v>
      </c>
      <c r="L35" s="938">
        <v>0</v>
      </c>
      <c r="M35" s="938">
        <v>180</v>
      </c>
      <c r="N35" s="1231">
        <v>0</v>
      </c>
      <c r="O35" s="1650">
        <v>0</v>
      </c>
      <c r="P35" s="3419">
        <v>0</v>
      </c>
      <c r="Q35" s="938">
        <v>55</v>
      </c>
      <c r="R35" s="938">
        <v>0</v>
      </c>
      <c r="S35" s="938">
        <v>0</v>
      </c>
      <c r="T35" s="938">
        <v>0</v>
      </c>
      <c r="U35" s="1650">
        <v>0</v>
      </c>
      <c r="V35" s="938">
        <v>102</v>
      </c>
      <c r="W35" s="938">
        <v>149</v>
      </c>
      <c r="X35" s="938">
        <v>35</v>
      </c>
      <c r="Y35" s="938">
        <v>0</v>
      </c>
      <c r="Z35" s="1650">
        <v>0</v>
      </c>
      <c r="AA35" s="938">
        <v>51</v>
      </c>
      <c r="AB35" s="938">
        <v>35</v>
      </c>
      <c r="AC35" s="938">
        <v>55</v>
      </c>
      <c r="AD35" s="938">
        <v>35</v>
      </c>
      <c r="AE35" s="938">
        <v>19</v>
      </c>
      <c r="AF35" s="938">
        <v>25</v>
      </c>
      <c r="AG35" s="938">
        <v>10</v>
      </c>
      <c r="AH35" s="938">
        <v>20</v>
      </c>
      <c r="AI35" s="938">
        <v>33</v>
      </c>
      <c r="AJ35" s="938">
        <v>51</v>
      </c>
      <c r="AK35" s="938">
        <v>0</v>
      </c>
      <c r="AL35" s="938">
        <v>40</v>
      </c>
      <c r="AM35" s="938">
        <v>40</v>
      </c>
      <c r="AN35" s="938">
        <v>0</v>
      </c>
      <c r="AO35" s="938">
        <v>0</v>
      </c>
      <c r="AP35" s="938">
        <v>25</v>
      </c>
      <c r="AQ35" s="938">
        <v>0</v>
      </c>
      <c r="AR35" s="938">
        <v>0</v>
      </c>
      <c r="AS35" s="938">
        <v>0</v>
      </c>
      <c r="AT35" s="938">
        <v>0</v>
      </c>
      <c r="AU35" s="938">
        <v>0</v>
      </c>
      <c r="AV35" s="938">
        <v>22</v>
      </c>
      <c r="AW35" s="938"/>
      <c r="AX35" s="938">
        <v>70</v>
      </c>
      <c r="AY35" s="938">
        <v>100</v>
      </c>
      <c r="AZ35" s="938">
        <v>6</v>
      </c>
      <c r="BA35" s="938">
        <v>50</v>
      </c>
      <c r="BB35" s="938">
        <v>21</v>
      </c>
      <c r="BC35" s="938">
        <v>10</v>
      </c>
      <c r="BD35" s="938">
        <v>0</v>
      </c>
      <c r="BE35" s="938">
        <v>0</v>
      </c>
      <c r="BF35" s="938">
        <v>80</v>
      </c>
      <c r="BG35" s="938">
        <v>220</v>
      </c>
      <c r="BH35" s="938">
        <v>300</v>
      </c>
      <c r="BI35" s="938">
        <v>180</v>
      </c>
      <c r="BJ35" s="938">
        <v>8</v>
      </c>
      <c r="BK35" s="938">
        <v>137</v>
      </c>
      <c r="BL35" s="938">
        <v>3</v>
      </c>
      <c r="BM35" s="938">
        <v>5</v>
      </c>
      <c r="BN35" s="1650">
        <v>0</v>
      </c>
      <c r="BO35" s="938">
        <v>51</v>
      </c>
      <c r="BP35" s="1650">
        <v>0</v>
      </c>
      <c r="BQ35" s="938">
        <v>50</v>
      </c>
      <c r="BR35" s="938">
        <v>52</v>
      </c>
      <c r="BS35" s="938">
        <v>22</v>
      </c>
      <c r="BT35" s="938">
        <v>11</v>
      </c>
      <c r="BU35" s="938">
        <v>33</v>
      </c>
      <c r="BV35" s="938">
        <v>9</v>
      </c>
      <c r="BW35" s="938">
        <v>163</v>
      </c>
      <c r="BX35" s="938">
        <v>50</v>
      </c>
      <c r="BY35" s="938">
        <v>0</v>
      </c>
      <c r="BZ35" s="938">
        <v>22</v>
      </c>
      <c r="CA35" s="1650">
        <v>0</v>
      </c>
      <c r="CB35" s="938">
        <v>42</v>
      </c>
      <c r="CC35" s="938">
        <v>0</v>
      </c>
      <c r="CD35" s="938">
        <v>51</v>
      </c>
      <c r="CE35" s="3419">
        <v>0</v>
      </c>
      <c r="CF35" s="938">
        <v>163</v>
      </c>
      <c r="CG35" s="938">
        <v>0</v>
      </c>
      <c r="CH35" s="938">
        <v>72</v>
      </c>
      <c r="CI35" s="938">
        <v>81</v>
      </c>
      <c r="CJ35" s="938">
        <v>0</v>
      </c>
      <c r="CK35" s="1231">
        <v>190</v>
      </c>
      <c r="CL35" s="938">
        <v>18</v>
      </c>
      <c r="CM35" s="938">
        <v>0</v>
      </c>
      <c r="CN35" s="938">
        <v>10</v>
      </c>
      <c r="CO35" s="938">
        <v>330</v>
      </c>
      <c r="CP35" s="938">
        <v>24</v>
      </c>
      <c r="CQ35" s="938">
        <v>11</v>
      </c>
      <c r="CR35" s="938">
        <v>200</v>
      </c>
      <c r="CS35" s="938">
        <v>300</v>
      </c>
      <c r="CT35" s="938">
        <v>300</v>
      </c>
      <c r="CU35" s="938">
        <v>100</v>
      </c>
      <c r="CV35" s="938">
        <v>200</v>
      </c>
      <c r="CW35" s="938">
        <v>100</v>
      </c>
      <c r="CX35" s="938">
        <v>149</v>
      </c>
      <c r="CY35" s="1650">
        <v>0</v>
      </c>
      <c r="CZ35" s="938">
        <v>90</v>
      </c>
      <c r="DA35" s="938">
        <v>200</v>
      </c>
      <c r="DB35" s="938">
        <v>150</v>
      </c>
      <c r="DC35" s="938">
        <v>0</v>
      </c>
      <c r="DD35" s="938">
        <v>115</v>
      </c>
      <c r="DE35" s="938">
        <v>105</v>
      </c>
      <c r="DF35" s="938">
        <v>105</v>
      </c>
      <c r="DG35" s="1881">
        <v>0</v>
      </c>
      <c r="DH35" s="938">
        <v>300</v>
      </c>
      <c r="DI35" s="938">
        <v>54</v>
      </c>
      <c r="DJ35" s="938">
        <v>110</v>
      </c>
      <c r="DK35" s="938">
        <v>114</v>
      </c>
      <c r="DL35" s="938">
        <v>113</v>
      </c>
      <c r="DM35" s="938">
        <v>100</v>
      </c>
      <c r="DN35" s="938">
        <v>400</v>
      </c>
      <c r="DO35" s="938">
        <v>104</v>
      </c>
      <c r="DP35" s="3419">
        <v>0</v>
      </c>
      <c r="DQ35" s="3919">
        <v>162</v>
      </c>
      <c r="DR35" s="938">
        <v>116</v>
      </c>
      <c r="DS35" s="3985">
        <v>0</v>
      </c>
      <c r="DT35" s="3985">
        <v>17</v>
      </c>
      <c r="DU35" s="3419"/>
      <c r="DV35" s="3419"/>
      <c r="DW35" s="3985">
        <v>55</v>
      </c>
      <c r="DX35" s="1570"/>
      <c r="DY35" s="938">
        <v>715</v>
      </c>
      <c r="DZ35" s="938">
        <v>0</v>
      </c>
      <c r="EA35" s="938">
        <v>0</v>
      </c>
      <c r="EB35" s="3631">
        <v>0</v>
      </c>
      <c r="EC35" s="938">
        <v>0</v>
      </c>
      <c r="ED35" s="938">
        <v>220</v>
      </c>
      <c r="EE35" s="1650">
        <v>0</v>
      </c>
      <c r="EF35" s="1650">
        <v>0</v>
      </c>
      <c r="EG35" s="938">
        <v>35</v>
      </c>
      <c r="EH35" s="938">
        <v>40</v>
      </c>
      <c r="EI35" s="1650">
        <v>0</v>
      </c>
      <c r="EJ35" s="938">
        <v>91</v>
      </c>
      <c r="EK35" s="938">
        <v>24</v>
      </c>
      <c r="EL35" s="938">
        <v>110</v>
      </c>
      <c r="EM35" s="938">
        <v>0</v>
      </c>
      <c r="EN35" s="938">
        <v>0</v>
      </c>
      <c r="EO35" s="938">
        <v>0</v>
      </c>
      <c r="EP35" s="938">
        <v>50</v>
      </c>
      <c r="EQ35" s="938">
        <v>30</v>
      </c>
      <c r="ER35" s="938">
        <v>100</v>
      </c>
      <c r="ES35" s="938">
        <v>25</v>
      </c>
      <c r="ET35" s="938">
        <v>43</v>
      </c>
      <c r="EU35" s="938">
        <v>32</v>
      </c>
      <c r="EV35" s="938">
        <v>52</v>
      </c>
      <c r="EW35" s="938">
        <v>0</v>
      </c>
      <c r="EX35" s="938">
        <v>22</v>
      </c>
      <c r="EY35" s="3734">
        <v>0</v>
      </c>
      <c r="EZ35" s="938">
        <v>11</v>
      </c>
      <c r="FA35" s="938">
        <v>0</v>
      </c>
      <c r="FB35" s="938">
        <v>0</v>
      </c>
      <c r="FC35" s="938">
        <v>200</v>
      </c>
      <c r="FD35" s="938">
        <v>0</v>
      </c>
      <c r="FE35" s="938">
        <v>0</v>
      </c>
      <c r="FF35" s="938">
        <v>0</v>
      </c>
      <c r="FG35" s="938">
        <v>0</v>
      </c>
      <c r="FH35" s="938">
        <v>0</v>
      </c>
      <c r="FI35" s="938">
        <v>0</v>
      </c>
      <c r="FJ35" s="938">
        <v>11</v>
      </c>
      <c r="FK35" s="938">
        <v>100</v>
      </c>
      <c r="FL35" s="938">
        <v>200</v>
      </c>
      <c r="FM35" s="938">
        <v>0</v>
      </c>
      <c r="FN35" s="938">
        <v>400</v>
      </c>
      <c r="FO35" s="938">
        <v>105</v>
      </c>
      <c r="FP35" s="938">
        <v>200</v>
      </c>
      <c r="FQ35" s="938">
        <v>113</v>
      </c>
      <c r="FR35" s="938">
        <v>100</v>
      </c>
      <c r="FS35" s="938">
        <v>113</v>
      </c>
      <c r="FT35" s="938">
        <v>0</v>
      </c>
      <c r="FU35" s="1881">
        <v>0</v>
      </c>
      <c r="FV35" s="2924">
        <v>113</v>
      </c>
      <c r="FW35" s="2924">
        <v>620</v>
      </c>
      <c r="FX35" s="2924">
        <v>220</v>
      </c>
      <c r="FY35" s="2924"/>
      <c r="FZ35" s="2924">
        <v>150</v>
      </c>
      <c r="GA35" s="4459"/>
      <c r="GB35" s="4459"/>
      <c r="GC35" s="4459"/>
      <c r="GD35" s="656"/>
    </row>
    <row r="36" spans="1:202" ht="36.75" customHeight="1" thickBot="1">
      <c r="A36" s="654" t="s">
        <v>745</v>
      </c>
      <c r="B36" s="656">
        <v>0</v>
      </c>
      <c r="C36" s="656">
        <v>0</v>
      </c>
      <c r="D36" s="656">
        <v>180</v>
      </c>
      <c r="E36" s="656">
        <v>0</v>
      </c>
      <c r="F36" s="938">
        <v>0</v>
      </c>
      <c r="G36" s="656">
        <v>0</v>
      </c>
      <c r="H36" s="3961">
        <v>0</v>
      </c>
      <c r="I36" s="1666">
        <v>0</v>
      </c>
      <c r="J36" s="656">
        <v>250</v>
      </c>
      <c r="K36" s="656">
        <v>0</v>
      </c>
      <c r="L36" s="656">
        <v>0</v>
      </c>
      <c r="M36" s="656">
        <v>180</v>
      </c>
      <c r="N36" s="656">
        <v>0</v>
      </c>
      <c r="O36" s="1676">
        <v>0</v>
      </c>
      <c r="P36" s="3961">
        <v>0</v>
      </c>
      <c r="Q36" s="656">
        <v>55</v>
      </c>
      <c r="R36" s="656">
        <v>0</v>
      </c>
      <c r="S36" s="656">
        <v>0</v>
      </c>
      <c r="T36" s="656">
        <v>0</v>
      </c>
      <c r="U36" s="1676">
        <v>0</v>
      </c>
      <c r="V36" s="656">
        <v>102</v>
      </c>
      <c r="W36" s="656">
        <v>149</v>
      </c>
      <c r="X36" s="656">
        <v>35</v>
      </c>
      <c r="Y36" s="656">
        <v>0</v>
      </c>
      <c r="Z36" s="1676">
        <v>0</v>
      </c>
      <c r="AA36" s="656">
        <v>51</v>
      </c>
      <c r="AB36" s="656">
        <v>35</v>
      </c>
      <c r="AC36" s="656">
        <v>55</v>
      </c>
      <c r="AD36" s="656">
        <v>35</v>
      </c>
      <c r="AE36" s="656">
        <v>19</v>
      </c>
      <c r="AF36" s="656">
        <v>25</v>
      </c>
      <c r="AG36" s="656">
        <v>10</v>
      </c>
      <c r="AH36" s="656">
        <v>20</v>
      </c>
      <c r="AI36" s="656">
        <v>33</v>
      </c>
      <c r="AJ36" s="656">
        <v>51</v>
      </c>
      <c r="AK36" s="656">
        <v>0</v>
      </c>
      <c r="AL36" s="656">
        <v>40</v>
      </c>
      <c r="AM36" s="656">
        <v>40</v>
      </c>
      <c r="AN36" s="656">
        <v>0</v>
      </c>
      <c r="AO36" s="656">
        <v>0</v>
      </c>
      <c r="AP36" s="656">
        <v>25</v>
      </c>
      <c r="AQ36" s="656">
        <v>0</v>
      </c>
      <c r="AR36" s="656">
        <v>0</v>
      </c>
      <c r="AS36" s="656">
        <v>0</v>
      </c>
      <c r="AT36" s="656">
        <v>0</v>
      </c>
      <c r="AU36" s="656">
        <v>0</v>
      </c>
      <c r="AV36" s="656">
        <v>22</v>
      </c>
      <c r="AW36" s="656"/>
      <c r="AX36" s="656">
        <v>52</v>
      </c>
      <c r="AY36" s="656">
        <v>100</v>
      </c>
      <c r="AZ36" s="656">
        <v>6</v>
      </c>
      <c r="BA36" s="656">
        <v>50</v>
      </c>
      <c r="BB36" s="656">
        <v>20</v>
      </c>
      <c r="BC36" s="656">
        <v>5</v>
      </c>
      <c r="BD36" s="656">
        <v>0</v>
      </c>
      <c r="BE36" s="656">
        <v>0</v>
      </c>
      <c r="BF36" s="656">
        <v>80</v>
      </c>
      <c r="BG36" s="656">
        <v>220</v>
      </c>
      <c r="BH36" s="656">
        <v>300</v>
      </c>
      <c r="BI36" s="656">
        <v>165</v>
      </c>
      <c r="BJ36" s="656">
        <v>8</v>
      </c>
      <c r="BK36" s="656">
        <v>137</v>
      </c>
      <c r="BL36" s="656">
        <v>3</v>
      </c>
      <c r="BM36" s="656">
        <v>5</v>
      </c>
      <c r="BN36" s="1676">
        <v>0</v>
      </c>
      <c r="BO36" s="656">
        <v>51</v>
      </c>
      <c r="BP36" s="1676">
        <v>0</v>
      </c>
      <c r="BQ36" s="656">
        <v>50</v>
      </c>
      <c r="BR36" s="656">
        <v>52</v>
      </c>
      <c r="BS36" s="656">
        <v>22</v>
      </c>
      <c r="BT36" s="656">
        <v>11</v>
      </c>
      <c r="BU36" s="656">
        <v>33</v>
      </c>
      <c r="BV36" s="656">
        <v>9</v>
      </c>
      <c r="BW36" s="656">
        <v>138</v>
      </c>
      <c r="BX36" s="656">
        <v>50</v>
      </c>
      <c r="BY36" s="656">
        <v>0</v>
      </c>
      <c r="BZ36" s="656">
        <v>22</v>
      </c>
      <c r="CA36" s="656">
        <v>1.6</v>
      </c>
      <c r="CB36" s="656">
        <v>42</v>
      </c>
      <c r="CC36" s="656">
        <v>0</v>
      </c>
      <c r="CD36" s="656">
        <v>51</v>
      </c>
      <c r="CE36" s="3961">
        <v>0</v>
      </c>
      <c r="CF36" s="656">
        <v>163</v>
      </c>
      <c r="CG36" s="656">
        <v>0</v>
      </c>
      <c r="CH36" s="656">
        <v>72</v>
      </c>
      <c r="CI36" s="656">
        <v>81</v>
      </c>
      <c r="CJ36" s="656">
        <v>0</v>
      </c>
      <c r="CK36" s="3732">
        <v>190</v>
      </c>
      <c r="CL36" s="656">
        <v>18</v>
      </c>
      <c r="CM36" s="656">
        <v>0</v>
      </c>
      <c r="CN36" s="656">
        <v>10</v>
      </c>
      <c r="CO36" s="656">
        <v>330</v>
      </c>
      <c r="CP36" s="656">
        <v>24</v>
      </c>
      <c r="CQ36" s="656">
        <v>11</v>
      </c>
      <c r="CR36" s="656">
        <v>0</v>
      </c>
      <c r="CS36" s="656">
        <v>300</v>
      </c>
      <c r="CT36" s="656">
        <v>300</v>
      </c>
      <c r="CU36" s="656">
        <v>100</v>
      </c>
      <c r="CV36" s="656">
        <v>200</v>
      </c>
      <c r="CW36" s="656">
        <v>50</v>
      </c>
      <c r="CX36" s="656">
        <v>149</v>
      </c>
      <c r="CY36" s="656">
        <v>20</v>
      </c>
      <c r="CZ36" s="656">
        <v>90</v>
      </c>
      <c r="DA36" s="656">
        <v>200</v>
      </c>
      <c r="DB36" s="656">
        <v>150</v>
      </c>
      <c r="DC36" s="656">
        <v>0</v>
      </c>
      <c r="DD36" s="656">
        <v>115</v>
      </c>
      <c r="DE36" s="656">
        <v>105</v>
      </c>
      <c r="DF36" s="656">
        <v>105</v>
      </c>
      <c r="DG36" s="656">
        <v>5</v>
      </c>
      <c r="DH36" s="656">
        <v>300</v>
      </c>
      <c r="DI36" s="656">
        <v>54</v>
      </c>
      <c r="DJ36" s="656">
        <v>110</v>
      </c>
      <c r="DK36" s="656">
        <v>114</v>
      </c>
      <c r="DL36" s="656">
        <v>113</v>
      </c>
      <c r="DM36" s="656">
        <v>100</v>
      </c>
      <c r="DN36" s="656">
        <v>400</v>
      </c>
      <c r="DO36" s="656">
        <v>104</v>
      </c>
      <c r="DP36" s="656">
        <v>50</v>
      </c>
      <c r="DQ36" s="656">
        <v>162</v>
      </c>
      <c r="DR36" s="656">
        <v>116</v>
      </c>
      <c r="DS36" s="656">
        <v>0</v>
      </c>
      <c r="DT36" s="4030">
        <v>17</v>
      </c>
      <c r="DU36" s="4030">
        <v>30</v>
      </c>
      <c r="DV36" s="4030"/>
      <c r="DW36" s="4030">
        <v>55</v>
      </c>
      <c r="DX36" s="1571"/>
      <c r="DY36" s="656">
        <v>667</v>
      </c>
      <c r="DZ36" s="656">
        <v>0</v>
      </c>
      <c r="EA36" s="656">
        <v>0</v>
      </c>
      <c r="EB36" s="3632">
        <v>0</v>
      </c>
      <c r="EC36" s="656">
        <v>0</v>
      </c>
      <c r="ED36" s="656">
        <v>0</v>
      </c>
      <c r="EE36" s="1676">
        <v>0</v>
      </c>
      <c r="EF36" s="1676">
        <v>0</v>
      </c>
      <c r="EG36" s="656">
        <v>0</v>
      </c>
      <c r="EH36" s="656">
        <v>0</v>
      </c>
      <c r="EI36" s="1676">
        <v>0</v>
      </c>
      <c r="EJ36" s="656">
        <v>91</v>
      </c>
      <c r="EK36" s="656">
        <v>24</v>
      </c>
      <c r="EL36" s="656">
        <v>110</v>
      </c>
      <c r="EM36" s="656">
        <v>0</v>
      </c>
      <c r="EN36" s="656">
        <v>0</v>
      </c>
      <c r="EO36" s="656">
        <v>0</v>
      </c>
      <c r="EP36" s="656">
        <v>50</v>
      </c>
      <c r="EQ36" s="656">
        <v>30</v>
      </c>
      <c r="ER36" s="656">
        <v>90</v>
      </c>
      <c r="ES36" s="656">
        <v>25</v>
      </c>
      <c r="ET36" s="656">
        <v>43</v>
      </c>
      <c r="EU36" s="656">
        <v>32</v>
      </c>
      <c r="EV36" s="656">
        <v>43</v>
      </c>
      <c r="EW36" s="656">
        <v>0</v>
      </c>
      <c r="EX36" s="656">
        <v>22</v>
      </c>
      <c r="EY36" s="3735">
        <v>0</v>
      </c>
      <c r="EZ36" s="656">
        <v>11</v>
      </c>
      <c r="FA36" s="656">
        <v>0</v>
      </c>
      <c r="FB36" s="656">
        <v>0</v>
      </c>
      <c r="FC36" s="656">
        <v>200</v>
      </c>
      <c r="FD36" s="656">
        <v>0</v>
      </c>
      <c r="FE36" s="656">
        <v>0</v>
      </c>
      <c r="FF36" s="656">
        <v>0</v>
      </c>
      <c r="FG36" s="656">
        <v>0</v>
      </c>
      <c r="FH36" s="656">
        <v>0</v>
      </c>
      <c r="FI36" s="656">
        <v>0</v>
      </c>
      <c r="FJ36" s="656">
        <v>11</v>
      </c>
      <c r="FK36" s="656">
        <v>50</v>
      </c>
      <c r="FL36" s="656">
        <v>200</v>
      </c>
      <c r="FM36" s="656">
        <v>0</v>
      </c>
      <c r="FN36" s="656">
        <v>400</v>
      </c>
      <c r="FO36" s="656">
        <v>105</v>
      </c>
      <c r="FP36" s="656">
        <v>0</v>
      </c>
      <c r="FQ36" s="656">
        <v>113</v>
      </c>
      <c r="FR36" s="656">
        <v>0</v>
      </c>
      <c r="FS36" s="656">
        <v>113</v>
      </c>
      <c r="FT36" s="656">
        <v>0</v>
      </c>
      <c r="FU36" s="656">
        <v>8</v>
      </c>
      <c r="FV36" s="656">
        <v>113</v>
      </c>
      <c r="FW36" s="656">
        <v>620</v>
      </c>
      <c r="FX36" s="656">
        <v>200</v>
      </c>
      <c r="FY36" s="656"/>
      <c r="FZ36" s="656">
        <v>0</v>
      </c>
      <c r="GA36" s="4030">
        <v>6</v>
      </c>
      <c r="GB36" s="4030">
        <v>11</v>
      </c>
      <c r="GC36" s="4030"/>
      <c r="GD36" s="656"/>
      <c r="GH36" s="139"/>
    </row>
    <row r="37" spans="1:202" ht="36.75" customHeight="1" thickBot="1">
      <c r="A37" s="887" t="s">
        <v>828</v>
      </c>
      <c r="B37" s="1443">
        <f>Master!B21</f>
        <v>0</v>
      </c>
      <c r="C37" s="1443">
        <f>Master!C21</f>
        <v>0</v>
      </c>
      <c r="D37" s="1443">
        <f>Master!D21</f>
        <v>242</v>
      </c>
      <c r="E37" s="1443">
        <f>Master!E21</f>
        <v>0</v>
      </c>
      <c r="F37" s="1443">
        <f>Master!F21</f>
        <v>0</v>
      </c>
      <c r="G37" s="1443">
        <f>Master!G21</f>
        <v>0</v>
      </c>
      <c r="H37" s="1443">
        <f>Master!H21</f>
        <v>0</v>
      </c>
      <c r="I37" s="1443">
        <f>Master!I21</f>
        <v>0</v>
      </c>
      <c r="J37" s="1443">
        <f>Master!J21</f>
        <v>272</v>
      </c>
      <c r="K37" s="1443">
        <f>Master!K21</f>
        <v>0</v>
      </c>
      <c r="L37" s="1443">
        <f>Master!L21</f>
        <v>0</v>
      </c>
      <c r="M37" s="1443">
        <f>Master!M21</f>
        <v>180</v>
      </c>
      <c r="N37" s="1443">
        <f>Master!N21</f>
        <v>0</v>
      </c>
      <c r="O37" s="1443">
        <f>Master!O21</f>
        <v>0</v>
      </c>
      <c r="P37" s="1443">
        <f>Master!P21</f>
        <v>0</v>
      </c>
      <c r="Q37" s="1443">
        <f>Master!Q21</f>
        <v>0</v>
      </c>
      <c r="R37" s="1443">
        <f>Master!R21</f>
        <v>0</v>
      </c>
      <c r="S37" s="1443">
        <f>Master!S21</f>
        <v>0</v>
      </c>
      <c r="T37" s="1443">
        <f>Master!T21</f>
        <v>0</v>
      </c>
      <c r="U37" s="1443">
        <f>Master!U21</f>
        <v>0</v>
      </c>
      <c r="V37" s="1443">
        <f>Master!V21</f>
        <v>10</v>
      </c>
      <c r="W37" s="1443">
        <f>Master!W21</f>
        <v>0</v>
      </c>
      <c r="X37" s="1443">
        <f>Master!X21</f>
        <v>0</v>
      </c>
      <c r="Y37" s="1443">
        <f>Master!Y21</f>
        <v>0</v>
      </c>
      <c r="Z37" s="1443">
        <f>Master!Z21</f>
        <v>0</v>
      </c>
      <c r="AA37" s="1443">
        <f>Master!AA21</f>
        <v>0</v>
      </c>
      <c r="AB37" s="1443">
        <f>Master!AB21</f>
        <v>0</v>
      </c>
      <c r="AC37" s="1443">
        <f>Master!AC21</f>
        <v>55</v>
      </c>
      <c r="AD37" s="1443">
        <f>Master!AD21</f>
        <v>35</v>
      </c>
      <c r="AE37" s="1443">
        <f>Master!AE21</f>
        <v>0</v>
      </c>
      <c r="AF37" s="1443">
        <f>Master!AF21</f>
        <v>25</v>
      </c>
      <c r="AG37" s="1443">
        <f>Master!AG21</f>
        <v>0</v>
      </c>
      <c r="AH37" s="1443">
        <f>Master!AH21</f>
        <v>14</v>
      </c>
      <c r="AI37" s="1443">
        <f>Master!AI21</f>
        <v>33</v>
      </c>
      <c r="AJ37" s="1443">
        <f>Master!AJ21</f>
        <v>0</v>
      </c>
      <c r="AK37" s="1443">
        <f>Master!AK21</f>
        <v>0</v>
      </c>
      <c r="AL37" s="1443">
        <f>Master!AL21</f>
        <v>40</v>
      </c>
      <c r="AM37" s="1443">
        <f>Master!AM21</f>
        <v>40</v>
      </c>
      <c r="AN37" s="1443">
        <f>Master!AN21</f>
        <v>0</v>
      </c>
      <c r="AO37" s="1443">
        <f>Master!AO21</f>
        <v>0</v>
      </c>
      <c r="AP37" s="1443">
        <f>Master!AP21</f>
        <v>0</v>
      </c>
      <c r="AQ37" s="1443">
        <f>Master!AQ21</f>
        <v>0</v>
      </c>
      <c r="AR37" s="1443">
        <f>Master!AR21</f>
        <v>0</v>
      </c>
      <c r="AS37" s="1443">
        <f>Master!AS21</f>
        <v>0</v>
      </c>
      <c r="AT37" s="1443">
        <f>Master!AT21</f>
        <v>0</v>
      </c>
      <c r="AU37" s="1443">
        <f>Master!AU21</f>
        <v>0</v>
      </c>
      <c r="AV37" s="1443">
        <f>Master!AV21</f>
        <v>22</v>
      </c>
      <c r="AW37" s="1443">
        <f>Master!AW21</f>
        <v>0</v>
      </c>
      <c r="AX37" s="1443">
        <f>Master!AX21</f>
        <v>0</v>
      </c>
      <c r="AY37" s="1443">
        <f>Master!AY21</f>
        <v>0</v>
      </c>
      <c r="AZ37" s="1443">
        <f>Master!AZ21</f>
        <v>6</v>
      </c>
      <c r="BA37" s="1443">
        <f>Master!BA21</f>
        <v>0</v>
      </c>
      <c r="BB37" s="1443">
        <f>Master!BB21</f>
        <v>21</v>
      </c>
      <c r="BC37" s="1443">
        <f>Master!BC21</f>
        <v>2</v>
      </c>
      <c r="BD37" s="1443">
        <f>Master!BD21</f>
        <v>0</v>
      </c>
      <c r="BE37" s="1443">
        <f>Master!BE21</f>
        <v>0</v>
      </c>
      <c r="BF37" s="1443">
        <f>Master!BF21</f>
        <v>80</v>
      </c>
      <c r="BG37" s="1443">
        <f>Master!BG21</f>
        <v>150</v>
      </c>
      <c r="BH37" s="1443">
        <f>Master!BH21</f>
        <v>275</v>
      </c>
      <c r="BI37" s="1443">
        <f>Master!BI21</f>
        <v>162</v>
      </c>
      <c r="BJ37" s="1443">
        <f>Master!BJ21</f>
        <v>8</v>
      </c>
      <c r="BK37" s="1443">
        <f>Master!BK21</f>
        <v>137</v>
      </c>
      <c r="BL37" s="1443">
        <f>Master!BL21</f>
        <v>3</v>
      </c>
      <c r="BM37" s="1443">
        <f>Master!BM21</f>
        <v>5</v>
      </c>
      <c r="BN37" s="1443">
        <f>Master!BN21</f>
        <v>0</v>
      </c>
      <c r="BO37" s="1443">
        <f>Master!BO21</f>
        <v>51</v>
      </c>
      <c r="BP37" s="1443">
        <f>Master!BP21</f>
        <v>0</v>
      </c>
      <c r="BQ37" s="1443">
        <f>Master!BQ21</f>
        <v>0</v>
      </c>
      <c r="BR37" s="1443">
        <f>Master!BR21</f>
        <v>25</v>
      </c>
      <c r="BS37" s="1443">
        <f>Master!BS21</f>
        <v>19</v>
      </c>
      <c r="BT37" s="1443">
        <f>Master!BT21</f>
        <v>11</v>
      </c>
      <c r="BU37" s="1443">
        <f>Master!BU21</f>
        <v>33</v>
      </c>
      <c r="BV37" s="1443">
        <f>Master!BV21</f>
        <v>9</v>
      </c>
      <c r="BW37" s="1443">
        <f>Master!BW21</f>
        <v>67</v>
      </c>
      <c r="BX37" s="1443">
        <f>Master!BX21</f>
        <v>52</v>
      </c>
      <c r="BY37" s="1443">
        <f>Master!BY21</f>
        <v>0</v>
      </c>
      <c r="BZ37" s="1443">
        <f>Master!BZ21</f>
        <v>22</v>
      </c>
      <c r="CA37" s="1443">
        <f>Master!CA21</f>
        <v>0</v>
      </c>
      <c r="CB37" s="1443">
        <f>Master!CB21</f>
        <v>42</v>
      </c>
      <c r="CC37" s="1443">
        <f>Master!CC21</f>
        <v>0</v>
      </c>
      <c r="CD37" s="1443">
        <f>Master!CD21</f>
        <v>51</v>
      </c>
      <c r="CE37" s="1443">
        <f>Master!CE21</f>
        <v>0</v>
      </c>
      <c r="CF37" s="1443">
        <f>Master!CF21</f>
        <v>130</v>
      </c>
      <c r="CG37" s="1443">
        <f>Master!CG21</f>
        <v>0</v>
      </c>
      <c r="CH37" s="1443">
        <f>Master!CH21</f>
        <v>40</v>
      </c>
      <c r="CI37" s="1443">
        <f>Master!CI21</f>
        <v>78</v>
      </c>
      <c r="CJ37" s="1443">
        <f>Master!CJ21</f>
        <v>0</v>
      </c>
      <c r="CK37" s="1443">
        <f>Master!CK21</f>
        <v>190</v>
      </c>
      <c r="CL37" s="1443">
        <f>Master!CL21</f>
        <v>18</v>
      </c>
      <c r="CM37" s="1443">
        <f>Master!CM21</f>
        <v>0</v>
      </c>
      <c r="CN37" s="1443">
        <f>Master!CN21</f>
        <v>10</v>
      </c>
      <c r="CO37" s="1443">
        <f>Master!CO21</f>
        <v>265</v>
      </c>
      <c r="CP37" s="1443">
        <f>Master!CP21</f>
        <v>22</v>
      </c>
      <c r="CQ37" s="1443">
        <f>Master!CQ21</f>
        <v>8</v>
      </c>
      <c r="CR37" s="1443">
        <f>Master!CR21</f>
        <v>0</v>
      </c>
      <c r="CS37" s="1443">
        <f>Master!CS21</f>
        <v>195</v>
      </c>
      <c r="CT37" s="1443">
        <f>Master!CT21</f>
        <v>0</v>
      </c>
      <c r="CU37" s="1443">
        <f>Master!CU21</f>
        <v>0</v>
      </c>
      <c r="CV37" s="1443">
        <f>Master!CV21</f>
        <v>89</v>
      </c>
      <c r="CW37" s="1443">
        <f>Master!CW21</f>
        <v>0</v>
      </c>
      <c r="CX37" s="1443">
        <f>Master!CX21</f>
        <v>0</v>
      </c>
      <c r="CY37" s="1443">
        <f>Master!CY21</f>
        <v>9</v>
      </c>
      <c r="CZ37" s="1443">
        <f>Master!CZ21</f>
        <v>90</v>
      </c>
      <c r="DA37" s="1443">
        <f>Master!DA21</f>
        <v>0</v>
      </c>
      <c r="DB37" s="1443">
        <f>Master!DB21</f>
        <v>142</v>
      </c>
      <c r="DC37" s="1443">
        <f>Master!DC21</f>
        <v>0</v>
      </c>
      <c r="DD37" s="1443">
        <f>Master!DD21</f>
        <v>8</v>
      </c>
      <c r="DE37" s="1443">
        <f>Master!DE21</f>
        <v>52</v>
      </c>
      <c r="DF37" s="1443">
        <f>Master!DF21</f>
        <v>17</v>
      </c>
      <c r="DG37" s="1443">
        <f>Master!DG21</f>
        <v>1</v>
      </c>
      <c r="DH37" s="1443">
        <f>Master!DH21</f>
        <v>30</v>
      </c>
      <c r="DI37" s="1443">
        <f>Master!DI21</f>
        <v>54</v>
      </c>
      <c r="DJ37" s="1443">
        <f>Master!DJ21</f>
        <v>68</v>
      </c>
      <c r="DK37" s="1443">
        <f>Master!DK21</f>
        <v>0</v>
      </c>
      <c r="DL37" s="1443">
        <f>Master!DL21</f>
        <v>120</v>
      </c>
      <c r="DM37" s="1443">
        <f>Master!DM21</f>
        <v>30</v>
      </c>
      <c r="DN37" s="1443">
        <f>Master!DN21</f>
        <v>400</v>
      </c>
      <c r="DO37" s="1443">
        <f>Master!DO21</f>
        <v>70</v>
      </c>
      <c r="DP37" s="1443">
        <f>Master!DP21</f>
        <v>9</v>
      </c>
      <c r="DQ37" s="1443">
        <f>Master!DQ21</f>
        <v>89</v>
      </c>
      <c r="DR37" s="1443">
        <f>Master!DR21</f>
        <v>116</v>
      </c>
      <c r="DS37" s="1443">
        <f>Master!DS21</f>
        <v>0</v>
      </c>
      <c r="DT37" s="4031">
        <f>Master!DT21</f>
        <v>0</v>
      </c>
      <c r="DU37" s="4031">
        <f>Master!DU21</f>
        <v>7</v>
      </c>
      <c r="DV37" s="4031">
        <f>Master!DV21</f>
        <v>0</v>
      </c>
      <c r="DW37" s="4031">
        <f>Master!DW21</f>
        <v>0</v>
      </c>
      <c r="DX37" s="1443">
        <f>Master!DX21</f>
        <v>0</v>
      </c>
      <c r="DY37" s="1443">
        <f>Master!DY21</f>
        <v>657</v>
      </c>
      <c r="DZ37" s="1443">
        <f>Master!DZ21</f>
        <v>0</v>
      </c>
      <c r="EA37" s="1443">
        <f>Master!EA21</f>
        <v>0</v>
      </c>
      <c r="EB37" s="1443">
        <f>Master!EB21</f>
        <v>0</v>
      </c>
      <c r="EC37" s="1443">
        <f>Master!EC21</f>
        <v>0</v>
      </c>
      <c r="ED37" s="1443">
        <f>Master!ED21</f>
        <v>0</v>
      </c>
      <c r="EE37" s="1443">
        <f>Master!EE21</f>
        <v>0</v>
      </c>
      <c r="EF37" s="1443">
        <f>Master!EF21</f>
        <v>0</v>
      </c>
      <c r="EG37" s="1443">
        <f>Master!EG21</f>
        <v>0</v>
      </c>
      <c r="EH37" s="1443">
        <f>Master!EH21</f>
        <v>0</v>
      </c>
      <c r="EI37" s="1443">
        <f>Master!EI21</f>
        <v>0</v>
      </c>
      <c r="EJ37" s="1443">
        <f>Master!EJ21</f>
        <v>91</v>
      </c>
      <c r="EK37" s="1443">
        <f>Master!EK21</f>
        <v>15</v>
      </c>
      <c r="EL37" s="1443">
        <f>Master!EL21</f>
        <v>0</v>
      </c>
      <c r="EM37" s="1443">
        <f>Master!EM21</f>
        <v>0</v>
      </c>
      <c r="EN37" s="1443">
        <f>Master!EN21</f>
        <v>0</v>
      </c>
      <c r="EO37" s="1443">
        <f>Master!EO21</f>
        <v>0</v>
      </c>
      <c r="EP37" s="1443">
        <f>Master!EP21</f>
        <v>0</v>
      </c>
      <c r="EQ37" s="1443">
        <f>Master!EQ21</f>
        <v>0</v>
      </c>
      <c r="ER37" s="1443">
        <f>Master!ER21</f>
        <v>0</v>
      </c>
      <c r="ES37" s="1443">
        <f>Master!ES21</f>
        <v>0</v>
      </c>
      <c r="ET37" s="1443">
        <f>Master!ET21</f>
        <v>0</v>
      </c>
      <c r="EU37" s="1443">
        <f>Master!EU21</f>
        <v>0</v>
      </c>
      <c r="EV37" s="1443">
        <f>Master!EV21</f>
        <v>25</v>
      </c>
      <c r="EW37" s="1443">
        <f>Master!EW21</f>
        <v>0</v>
      </c>
      <c r="EX37" s="1443">
        <f>Master!EX21</f>
        <v>22</v>
      </c>
      <c r="EY37" s="1443">
        <f>Master!EY21</f>
        <v>0</v>
      </c>
      <c r="EZ37" s="1443">
        <f>Master!EZ21</f>
        <v>8</v>
      </c>
      <c r="FA37" s="1443">
        <f>Master!FA21</f>
        <v>0</v>
      </c>
      <c r="FB37" s="1443">
        <f>Master!FB21</f>
        <v>0</v>
      </c>
      <c r="FC37" s="1443">
        <f>Master!FC21</f>
        <v>199</v>
      </c>
      <c r="FD37" s="1443">
        <f>Master!FD21</f>
        <v>0</v>
      </c>
      <c r="FE37" s="1443">
        <f>Master!FE21</f>
        <v>0</v>
      </c>
      <c r="FF37" s="1443">
        <f>Master!FF21</f>
        <v>0</v>
      </c>
      <c r="FG37" s="1443">
        <f>Master!FG21</f>
        <v>0</v>
      </c>
      <c r="FH37" s="1443">
        <f>Master!FH21</f>
        <v>0</v>
      </c>
      <c r="FI37" s="1443">
        <f>Master!FI21</f>
        <v>0</v>
      </c>
      <c r="FJ37" s="1443">
        <f>Master!FJ21</f>
        <v>11</v>
      </c>
      <c r="FK37" s="1443">
        <f>Master!FK21</f>
        <v>0</v>
      </c>
      <c r="FL37" s="1443">
        <f>Master!FL21</f>
        <v>164</v>
      </c>
      <c r="FM37" s="1443">
        <f>Master!FM21</f>
        <v>0</v>
      </c>
      <c r="FN37" s="1443">
        <f>Master!FN21</f>
        <v>344</v>
      </c>
      <c r="FO37" s="1443">
        <f>Master!FO21</f>
        <v>0</v>
      </c>
      <c r="FP37" s="1443">
        <f>Master!FP21</f>
        <v>0</v>
      </c>
      <c r="FQ37" s="1443">
        <f>Master!FQ21</f>
        <v>52</v>
      </c>
      <c r="FR37" s="1443">
        <f>Master!FR21</f>
        <v>0</v>
      </c>
      <c r="FS37" s="1443">
        <f>Master!FS21</f>
        <v>111</v>
      </c>
      <c r="FT37" s="1443">
        <f>Master!FT21</f>
        <v>0</v>
      </c>
      <c r="FU37" s="1443">
        <f>Master!FU21</f>
        <v>1</v>
      </c>
      <c r="FV37" s="1443">
        <f>Master!FV21</f>
        <v>90</v>
      </c>
      <c r="FW37" s="1443">
        <f>Master!FW21</f>
        <v>300</v>
      </c>
      <c r="FX37" s="1443">
        <f>Master!FX21</f>
        <v>150</v>
      </c>
      <c r="FY37" s="1443">
        <f>Master!FY21</f>
        <v>0</v>
      </c>
      <c r="FZ37" s="1443">
        <f>Master!FZ21</f>
        <v>0</v>
      </c>
      <c r="GA37" s="4031">
        <f>Master!GA21</f>
        <v>0</v>
      </c>
      <c r="GB37" s="4031">
        <f>Master!GB21</f>
        <v>16</v>
      </c>
      <c r="GC37" s="4031">
        <f>Master!GC21</f>
        <v>0</v>
      </c>
      <c r="GD37" s="1443">
        <v>0</v>
      </c>
      <c r="GG37" s="139"/>
      <c r="GH37" s="139"/>
    </row>
    <row r="38" spans="1:202" ht="36.75" customHeight="1">
      <c r="A38" s="655"/>
      <c r="B38" s="1236"/>
      <c r="C38" s="1236"/>
      <c r="D38" s="1236"/>
      <c r="E38" s="1236"/>
      <c r="F38" s="1236"/>
      <c r="G38" s="1236"/>
      <c r="H38" s="1236"/>
      <c r="I38" s="1236"/>
      <c r="J38" s="1236"/>
      <c r="K38" s="1236"/>
      <c r="L38" s="1236"/>
      <c r="M38" s="1236"/>
      <c r="N38" s="1236"/>
      <c r="O38" s="1236"/>
      <c r="P38" s="1236"/>
      <c r="Q38" s="1236"/>
      <c r="R38" s="1236"/>
      <c r="S38" s="1237"/>
      <c r="T38" s="1236"/>
      <c r="U38" s="1236"/>
      <c r="V38" s="1236"/>
      <c r="W38" s="1236"/>
      <c r="X38" s="1236"/>
      <c r="Y38" s="1236"/>
      <c r="Z38" s="1236"/>
      <c r="AA38" s="1236"/>
      <c r="AB38" s="1236"/>
      <c r="AC38" s="1236"/>
      <c r="AD38" s="1236"/>
      <c r="AE38" s="1236"/>
      <c r="AF38" s="1236"/>
      <c r="AG38" s="1236"/>
      <c r="AH38" s="1236"/>
      <c r="AI38" s="1236"/>
      <c r="AJ38" s="1236"/>
      <c r="AK38" s="1236"/>
      <c r="AL38" s="1236"/>
      <c r="AM38" s="1236"/>
      <c r="AN38" s="1236"/>
      <c r="AO38" s="1236"/>
      <c r="AP38" s="1236"/>
      <c r="AQ38" s="1236"/>
      <c r="AR38" s="1236"/>
      <c r="AS38" s="1236"/>
      <c r="AT38" s="1236"/>
      <c r="AU38" s="1236"/>
      <c r="AV38" s="1236"/>
      <c r="AW38" s="1236"/>
      <c r="AX38" s="1236"/>
      <c r="AY38" s="1236"/>
      <c r="AZ38" s="1236"/>
      <c r="BA38" s="1236"/>
      <c r="BB38" s="1236"/>
      <c r="BC38" s="1236"/>
      <c r="BD38" s="1236"/>
      <c r="BE38" s="1236"/>
      <c r="BF38" s="1236"/>
      <c r="BG38" s="1236"/>
      <c r="BH38" s="1236"/>
      <c r="BI38" s="1236"/>
      <c r="BJ38" s="1236"/>
      <c r="BK38" s="1236"/>
      <c r="BL38" s="1236"/>
      <c r="BM38" s="1236"/>
      <c r="BN38" s="1236"/>
      <c r="BO38" s="1236"/>
      <c r="BP38" s="1236"/>
      <c r="BQ38" s="1236"/>
      <c r="BR38" s="1236"/>
      <c r="BS38" s="1236"/>
      <c r="BT38" s="1236"/>
      <c r="BU38" s="1236"/>
      <c r="BV38" s="1236"/>
      <c r="BW38" s="1236"/>
      <c r="BX38" s="1236"/>
      <c r="BY38" s="1236"/>
      <c r="BZ38" s="1236"/>
      <c r="CA38" s="1236"/>
      <c r="CB38" s="1236"/>
      <c r="CC38" s="1236"/>
      <c r="CD38" s="1236"/>
      <c r="CE38" s="1236"/>
      <c r="CF38" s="1236"/>
      <c r="CG38" s="1236"/>
      <c r="CH38" s="1236"/>
      <c r="CI38" s="1236"/>
      <c r="CJ38" s="1236"/>
      <c r="CK38" s="1236"/>
      <c r="CL38" s="1236"/>
      <c r="CM38" s="1236"/>
      <c r="CN38" s="1236"/>
      <c r="CO38" s="1236"/>
      <c r="CP38" s="1649"/>
      <c r="CQ38" s="1649"/>
      <c r="CR38" s="1236"/>
      <c r="CS38" s="1236"/>
      <c r="CT38" s="1236"/>
      <c r="CU38" s="1236"/>
      <c r="CV38" s="1236"/>
      <c r="CW38" s="1236"/>
      <c r="CX38" s="1236"/>
      <c r="CY38" s="1236"/>
      <c r="CZ38" s="1236"/>
      <c r="DA38" s="1236"/>
      <c r="DB38" s="1236"/>
      <c r="DC38" s="1236"/>
      <c r="DD38" s="1236"/>
      <c r="DE38" s="1236"/>
      <c r="DF38" s="1236"/>
      <c r="DG38" s="1236"/>
      <c r="DH38" s="1236"/>
      <c r="DI38" s="1236"/>
      <c r="DJ38" s="1236"/>
      <c r="DK38" s="1236"/>
      <c r="DL38" s="1236"/>
      <c r="DM38" s="1236"/>
      <c r="DN38" s="1236"/>
      <c r="DO38" s="1236"/>
      <c r="DP38" s="1236"/>
      <c r="DQ38" s="1236"/>
      <c r="DR38" s="1236"/>
      <c r="DS38" s="1236"/>
      <c r="DT38" s="1236"/>
      <c r="DU38" s="1236"/>
      <c r="DV38" s="1236"/>
      <c r="DW38" s="1236"/>
      <c r="DX38" s="1236"/>
      <c r="DY38" s="1236"/>
      <c r="DZ38" s="1236"/>
      <c r="EA38" s="1236"/>
      <c r="EB38" s="1236"/>
      <c r="EC38" s="1236"/>
      <c r="ED38" s="1236"/>
      <c r="EE38" s="1236"/>
      <c r="EF38" s="1236"/>
      <c r="EG38" s="1236"/>
      <c r="EH38" s="1236"/>
      <c r="EI38" s="1236"/>
      <c r="EJ38" s="1236"/>
      <c r="EK38" s="1236"/>
      <c r="EL38" s="1236"/>
      <c r="EM38" s="1236"/>
      <c r="EN38" s="1236"/>
      <c r="EO38" s="1236"/>
      <c r="EP38" s="1236"/>
      <c r="EQ38" s="1236"/>
      <c r="ER38" s="1236"/>
      <c r="ES38" s="1236"/>
      <c r="ET38" s="1236"/>
      <c r="EU38" s="1236"/>
      <c r="EV38" s="1236"/>
      <c r="EW38" s="1236"/>
      <c r="EX38" s="1236"/>
      <c r="EY38" s="1236"/>
      <c r="EZ38" s="1236"/>
      <c r="FA38" s="1236"/>
      <c r="FB38" s="1236"/>
      <c r="FC38" s="1236"/>
      <c r="FD38" s="1236"/>
      <c r="FE38" s="1236"/>
      <c r="FF38" s="1236"/>
      <c r="FG38" s="1236"/>
      <c r="FH38" s="1236"/>
      <c r="FI38" s="1236"/>
      <c r="FJ38" s="1236"/>
      <c r="FK38" s="1236"/>
      <c r="FL38" s="1236"/>
      <c r="FM38" s="1236"/>
      <c r="FN38" s="1236"/>
      <c r="FO38" s="1236"/>
      <c r="FP38" s="1236"/>
      <c r="FQ38" s="1236"/>
      <c r="FR38" s="1236"/>
      <c r="FS38" s="1236"/>
      <c r="FT38" s="1236"/>
      <c r="FU38" s="1236"/>
      <c r="FV38" s="1236"/>
      <c r="FW38" s="1236"/>
      <c r="FX38" s="1236"/>
      <c r="FY38" s="1236"/>
      <c r="FZ38" s="1236"/>
      <c r="GA38" s="1236"/>
      <c r="GB38" s="1236"/>
      <c r="GC38" s="1236"/>
      <c r="GD38" s="1236"/>
      <c r="GG38" s="139"/>
      <c r="GR38" s="143">
        <v>199</v>
      </c>
    </row>
    <row r="39" spans="1:202" ht="24.75" customHeight="1">
      <c r="B39" s="1029" t="s">
        <v>735</v>
      </c>
      <c r="C39" s="1030"/>
      <c r="D39" s="877">
        <f>MIN(GG5:GG13)</f>
        <v>5848</v>
      </c>
      <c r="E39" s="876">
        <f>INDEX(A5:A13,MATCH(D39,GG5:GG13,0))</f>
        <v>0.20833333333333401</v>
      </c>
      <c r="F39" s="652"/>
      <c r="G39" s="1059"/>
      <c r="H39" s="1060"/>
      <c r="I39" s="1060"/>
      <c r="J39" s="1060"/>
      <c r="K39" s="1060"/>
      <c r="L39" s="1060"/>
      <c r="M39" s="1060"/>
      <c r="N39" s="1060"/>
      <c r="O39" s="1060"/>
      <c r="P39" s="1060"/>
      <c r="Q39" s="1060"/>
      <c r="S39" s="1036"/>
      <c r="T39" s="181"/>
      <c r="U39" s="181"/>
      <c r="ED39" s="143"/>
    </row>
    <row r="40" spans="1:202" ht="24" customHeight="1">
      <c r="B40" s="1029" t="s">
        <v>736</v>
      </c>
      <c r="C40" s="1030"/>
      <c r="D40" s="877">
        <f>MAX(GG5:GG30)</f>
        <v>8218</v>
      </c>
      <c r="E40" s="876">
        <f>INDEX(A5:A30,MATCH(D40,GG5:GG30,0))</f>
        <v>0.8125</v>
      </c>
      <c r="F40" s="652"/>
      <c r="G40" s="1059"/>
      <c r="H40" s="1037"/>
      <c r="I40" s="1043"/>
      <c r="J40" s="1037"/>
      <c r="K40" s="1037"/>
      <c r="L40" s="1037"/>
      <c r="M40" s="1037"/>
      <c r="N40" s="1037"/>
      <c r="O40" s="1037"/>
      <c r="P40" s="1037"/>
      <c r="Q40" s="1060"/>
      <c r="S40" s="1037"/>
      <c r="T40" s="1038"/>
      <c r="U40" s="1039"/>
      <c r="ED40" s="143"/>
    </row>
    <row r="41" spans="1:202" ht="24" customHeight="1">
      <c r="A41" s="156"/>
      <c r="B41" s="1029" t="s">
        <v>737</v>
      </c>
      <c r="C41" s="1030"/>
      <c r="D41" s="1413">
        <v>6932</v>
      </c>
      <c r="E41" s="876">
        <v>0.5</v>
      </c>
      <c r="F41" s="652"/>
      <c r="G41" s="1044"/>
      <c r="H41" s="1045"/>
      <c r="I41" s="1046"/>
      <c r="J41" s="951"/>
      <c r="K41" s="951"/>
      <c r="L41" s="951"/>
      <c r="M41" s="951"/>
      <c r="N41" s="951"/>
      <c r="O41" s="951"/>
      <c r="P41" s="1047"/>
      <c r="Q41" s="951"/>
      <c r="S41" s="1040"/>
      <c r="T41" s="1041"/>
      <c r="U41" s="1042"/>
      <c r="ED41" s="143"/>
    </row>
    <row r="42" spans="1:202" ht="24" customHeight="1">
      <c r="A42" s="179"/>
      <c r="B42" s="1032" t="s">
        <v>738</v>
      </c>
      <c r="C42" s="1033"/>
      <c r="D42" s="941">
        <v>8218</v>
      </c>
      <c r="E42" s="876">
        <v>0.8125</v>
      </c>
      <c r="F42" s="652"/>
      <c r="G42" s="1044"/>
      <c r="H42" s="1045"/>
      <c r="I42" s="1046"/>
      <c r="J42" s="951"/>
      <c r="K42" s="951"/>
      <c r="L42" s="951"/>
      <c r="M42" s="951"/>
      <c r="N42" s="951"/>
      <c r="O42" s="951"/>
      <c r="P42" s="1047"/>
      <c r="Q42" s="951"/>
      <c r="S42" s="1040"/>
      <c r="T42" s="1041"/>
      <c r="U42" s="1042"/>
      <c r="ED42" s="143"/>
    </row>
    <row r="43" spans="1:202" ht="22.5" customHeight="1">
      <c r="A43" s="168"/>
      <c r="B43" s="1029" t="s">
        <v>831</v>
      </c>
      <c r="C43" s="1030"/>
      <c r="D43" s="877">
        <f>MAX(GI5:GI30)</f>
        <v>658</v>
      </c>
      <c r="E43" s="876">
        <f>INDEX(A5:A30,MATCH(D43,GI5:GI30,0))</f>
        <v>0.8125</v>
      </c>
      <c r="G43" s="1044"/>
      <c r="H43" s="1045"/>
      <c r="I43" s="1046"/>
      <c r="J43" s="951"/>
      <c r="K43" s="951"/>
      <c r="L43" s="951"/>
      <c r="M43" s="951"/>
      <c r="N43" s="951"/>
      <c r="O43" s="951"/>
      <c r="P43" s="1047"/>
      <c r="Q43" s="951"/>
      <c r="S43" s="1040"/>
      <c r="T43" s="1041"/>
      <c r="U43" s="1042"/>
    </row>
    <row r="44" spans="1:202">
      <c r="A44" s="169"/>
      <c r="B44" s="1029" t="s">
        <v>793</v>
      </c>
      <c r="C44" s="1030"/>
      <c r="D44" s="1141">
        <f>INDEX(GI21:GI30,MATCH(E44,A21:A30,0))</f>
        <v>658</v>
      </c>
      <c r="E44" s="942">
        <f>E42</f>
        <v>0.8125</v>
      </c>
      <c r="G44" s="1044"/>
      <c r="H44" s="1045"/>
      <c r="I44" s="1046"/>
      <c r="J44" s="951"/>
      <c r="K44" s="951"/>
      <c r="L44" s="951"/>
      <c r="M44" s="951"/>
      <c r="N44" s="951"/>
      <c r="O44" s="951"/>
      <c r="P44" s="1047"/>
      <c r="Q44" s="951"/>
      <c r="S44" s="1040"/>
      <c r="T44" s="1041"/>
      <c r="U44" s="1042"/>
    </row>
    <row r="45" spans="1:202">
      <c r="B45" s="1029" t="s">
        <v>780</v>
      </c>
      <c r="C45" s="1030"/>
      <c r="D45" s="1028">
        <f>GG31/(D40*1000*24)</f>
        <v>0.84283430680619775</v>
      </c>
      <c r="E45" s="1031"/>
      <c r="G45" s="1048"/>
      <c r="H45" s="1045"/>
      <c r="I45" s="1046"/>
      <c r="J45" s="951"/>
      <c r="K45" s="951"/>
      <c r="L45" s="951"/>
      <c r="M45" s="951"/>
      <c r="N45" s="951"/>
      <c r="O45" s="951"/>
      <c r="P45" s="1047"/>
      <c r="Q45" s="951"/>
      <c r="S45" s="1040"/>
      <c r="T45" s="1041"/>
      <c r="U45" s="1042"/>
    </row>
    <row r="46" spans="1:202">
      <c r="B46" s="1107"/>
      <c r="C46" s="181"/>
      <c r="D46" s="1108"/>
      <c r="E46" s="1109"/>
      <c r="G46" s="1048"/>
      <c r="H46" s="1045"/>
      <c r="I46" s="1046"/>
      <c r="J46" s="951"/>
      <c r="K46" s="951"/>
      <c r="L46" s="951"/>
      <c r="M46" s="951"/>
      <c r="N46" s="951"/>
      <c r="O46" s="951"/>
      <c r="P46" s="1047"/>
      <c r="Q46" s="951"/>
      <c r="S46" s="1040"/>
      <c r="T46" s="1041"/>
      <c r="U46" s="1042"/>
    </row>
    <row r="47" spans="1:202">
      <c r="B47" s="181"/>
      <c r="C47" s="181"/>
      <c r="D47" s="181"/>
      <c r="E47" s="181"/>
      <c r="G47" s="1048"/>
      <c r="H47" s="1045"/>
      <c r="I47" s="1046"/>
      <c r="J47" s="951"/>
      <c r="K47" s="951"/>
      <c r="L47" s="951"/>
      <c r="M47" s="951"/>
      <c r="N47" s="951"/>
      <c r="O47" s="951"/>
      <c r="P47" s="1047"/>
      <c r="Q47" s="951"/>
      <c r="S47" s="1040"/>
      <c r="T47" s="1041"/>
      <c r="U47" s="1042"/>
      <c r="FD47" s="139"/>
    </row>
    <row r="48" spans="1:202">
      <c r="G48" s="1048"/>
      <c r="H48" s="1045"/>
      <c r="I48" s="1046"/>
      <c r="J48" s="951"/>
      <c r="K48" s="951"/>
      <c r="L48" s="951"/>
      <c r="M48" s="1034"/>
      <c r="N48" s="951"/>
      <c r="O48" s="951"/>
      <c r="P48" s="1047"/>
      <c r="Q48" s="951"/>
      <c r="S48" s="1040"/>
      <c r="T48" s="1041"/>
      <c r="U48" s="1042"/>
    </row>
    <row r="49" spans="1:273" ht="33.75" customHeight="1">
      <c r="A49" s="1059"/>
      <c r="B49" s="1060"/>
      <c r="C49" s="1060"/>
      <c r="D49" s="1060"/>
      <c r="E49" s="1060"/>
      <c r="F49" s="1060"/>
      <c r="G49" s="1060"/>
      <c r="H49" s="1060"/>
      <c r="I49" s="1060"/>
      <c r="J49" s="5298"/>
      <c r="K49" s="1060"/>
      <c r="L49" s="951"/>
      <c r="M49" s="1036"/>
      <c r="N49" s="951"/>
      <c r="O49" s="951"/>
      <c r="P49" s="1047"/>
      <c r="Q49" s="951"/>
      <c r="R49" s="181"/>
      <c r="S49" s="1040"/>
      <c r="T49" s="1041"/>
      <c r="U49" s="1042"/>
      <c r="V49" s="181"/>
      <c r="W49" s="181"/>
      <c r="X49" s="181"/>
      <c r="Y49" s="181"/>
      <c r="Z49" s="181"/>
      <c r="AA49" s="181"/>
      <c r="AB49" s="181"/>
      <c r="AC49" s="181"/>
      <c r="AD49" s="181"/>
      <c r="AE49" s="181"/>
      <c r="AF49" s="181"/>
      <c r="AG49" s="181"/>
      <c r="AH49" s="181"/>
    </row>
    <row r="50" spans="1:273" s="5" customFormat="1">
      <c r="A50" s="1059"/>
      <c r="B50" s="1037"/>
      <c r="C50" s="1043"/>
      <c r="D50" s="1145"/>
      <c r="E50" s="1146"/>
      <c r="F50" s="1037"/>
      <c r="G50" s="1037"/>
      <c r="H50" s="1037"/>
      <c r="I50" s="1037"/>
      <c r="J50" s="5298"/>
      <c r="K50" s="1060"/>
      <c r="L50" s="951"/>
      <c r="M50" s="1037"/>
      <c r="N50" s="1038"/>
      <c r="O50" s="1038"/>
      <c r="P50" s="1039"/>
      <c r="Q50" s="951"/>
      <c r="R50" s="181"/>
      <c r="S50" s="1040"/>
      <c r="T50" s="1041"/>
      <c r="U50" s="1042"/>
      <c r="V50" s="181"/>
      <c r="W50" s="181"/>
      <c r="X50" s="181"/>
      <c r="Y50" s="181"/>
      <c r="Z50" s="181"/>
      <c r="AA50" s="181"/>
      <c r="AB50" s="181"/>
      <c r="AC50" s="181"/>
      <c r="AD50" s="181"/>
      <c r="AE50" s="181"/>
      <c r="AF50" s="181"/>
      <c r="AG50" s="181"/>
      <c r="AH50" s="181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30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</row>
    <row r="51" spans="1:273" s="5" customFormat="1">
      <c r="A51" s="1044"/>
      <c r="B51" s="1045"/>
      <c r="C51" s="1046"/>
      <c r="D51" s="1046"/>
      <c r="E51" s="951"/>
      <c r="F51" s="951"/>
      <c r="G51" s="951"/>
      <c r="H51" s="951"/>
      <c r="I51" s="1047"/>
      <c r="J51" s="951"/>
      <c r="K51" s="951"/>
      <c r="L51" s="951"/>
      <c r="M51" s="1040"/>
      <c r="N51" s="1041"/>
      <c r="O51" s="1041"/>
      <c r="P51" s="1042"/>
      <c r="Q51" s="951"/>
      <c r="R51" s="181"/>
      <c r="S51" s="1040"/>
      <c r="T51" s="1041"/>
      <c r="U51" s="1042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43"/>
      <c r="DI51" s="143"/>
      <c r="DJ51" s="143"/>
      <c r="DK51" s="143"/>
      <c r="DL51" s="143"/>
      <c r="DM51" s="143"/>
      <c r="DN51" s="143"/>
      <c r="DO51" s="143"/>
      <c r="DP51" s="143"/>
      <c r="DQ51" s="143"/>
      <c r="DR51" s="143"/>
      <c r="DS51" s="143"/>
      <c r="DT51" s="143"/>
      <c r="DU51" s="143"/>
      <c r="DV51" s="143"/>
      <c r="DW51" s="143"/>
      <c r="DX51" s="143"/>
      <c r="DY51" s="143"/>
      <c r="DZ51" s="143"/>
      <c r="EA51" s="143"/>
      <c r="EB51" s="143"/>
      <c r="EC51" s="143"/>
      <c r="ED51" s="130"/>
      <c r="EE51" s="143"/>
      <c r="EF51" s="143"/>
      <c r="EG51" s="143"/>
      <c r="EH51" s="143"/>
      <c r="EI51" s="143"/>
      <c r="EJ51" s="143"/>
      <c r="EK51" s="143"/>
      <c r="EL51" s="143"/>
      <c r="EM51" s="143"/>
      <c r="EN51" s="143"/>
      <c r="EO51" s="143"/>
      <c r="EP51" s="143"/>
      <c r="EQ51" s="143"/>
      <c r="ER51" s="143"/>
      <c r="ES51" s="143"/>
      <c r="ET51" s="143"/>
      <c r="EU51" s="143"/>
      <c r="EV51" s="143"/>
      <c r="EW51" s="143"/>
      <c r="EX51" s="143"/>
      <c r="EY51" s="143"/>
      <c r="EZ51" s="143"/>
      <c r="FA51" s="143"/>
      <c r="FB51" s="143"/>
      <c r="FC51" s="143"/>
      <c r="FD51" s="143"/>
      <c r="FE51" s="143"/>
      <c r="FF51" s="143"/>
      <c r="FG51" s="143"/>
      <c r="FH51" s="143"/>
      <c r="FI51" s="143"/>
      <c r="FJ51" s="143"/>
      <c r="FK51" s="143"/>
      <c r="FL51" s="143"/>
      <c r="FM51" s="143"/>
      <c r="FN51" s="143"/>
      <c r="FO51" s="143"/>
      <c r="FP51" s="143"/>
      <c r="FQ51" s="143"/>
      <c r="FR51" s="143"/>
      <c r="FS51" s="143"/>
      <c r="FT51" s="143"/>
      <c r="FU51" s="143"/>
      <c r="FV51" s="143"/>
      <c r="FW51" s="143"/>
      <c r="FX51" s="143"/>
      <c r="FY51" s="143"/>
      <c r="FZ51" s="143"/>
      <c r="GA51" s="143"/>
      <c r="GB51" s="143"/>
      <c r="GC51" s="143"/>
      <c r="GD51" s="143"/>
      <c r="GE51" s="143"/>
      <c r="GF51" s="143"/>
      <c r="GG51" s="143"/>
      <c r="GH51" s="143"/>
      <c r="GI51" s="143"/>
      <c r="GJ51" s="143"/>
      <c r="GK51" s="143"/>
      <c r="GL51" s="143"/>
      <c r="GM51" s="143"/>
      <c r="GN51" s="143"/>
      <c r="GO51" s="143"/>
      <c r="GP51" s="143"/>
      <c r="GQ51" s="143"/>
      <c r="GR51" s="143"/>
      <c r="GS51" s="143"/>
      <c r="GT51" s="143"/>
      <c r="GU51" s="143"/>
      <c r="GV51" s="143"/>
      <c r="GW51" s="143"/>
      <c r="GX51" s="143"/>
      <c r="GY51" s="143"/>
      <c r="GZ51" s="143"/>
      <c r="HA51" s="143"/>
      <c r="HB51" s="143"/>
      <c r="HC51" s="143"/>
      <c r="HD51" s="143"/>
      <c r="HE51" s="143"/>
      <c r="HF51" s="143"/>
      <c r="HG51" s="143"/>
      <c r="HH51" s="143"/>
      <c r="HI51" s="143"/>
      <c r="HJ51" s="143"/>
      <c r="HK51" s="143"/>
      <c r="HL51" s="143"/>
      <c r="HM51" s="143"/>
      <c r="HN51" s="143"/>
      <c r="HO51" s="143"/>
      <c r="HP51" s="143"/>
      <c r="HQ51" s="143"/>
      <c r="HR51" s="143"/>
      <c r="HS51" s="143"/>
      <c r="HT51" s="143"/>
      <c r="HU51" s="143"/>
      <c r="HV51" s="143"/>
      <c r="HW51" s="143"/>
      <c r="HX51" s="143"/>
      <c r="HY51" s="143"/>
      <c r="HZ51" s="143"/>
      <c r="IA51" s="143"/>
      <c r="IB51" s="143"/>
      <c r="IC51" s="143"/>
      <c r="ID51" s="143"/>
      <c r="IE51" s="143"/>
      <c r="IF51" s="143"/>
      <c r="IG51" s="143"/>
      <c r="IH51" s="143"/>
      <c r="II51" s="143"/>
      <c r="IJ51" s="143"/>
      <c r="IK51" s="143"/>
      <c r="IL51" s="143"/>
      <c r="IM51" s="143"/>
      <c r="IN51" s="143"/>
      <c r="IO51" s="143"/>
      <c r="IP51" s="143"/>
      <c r="IQ51" s="143"/>
      <c r="IR51" s="143"/>
      <c r="IS51" s="143"/>
      <c r="IT51" s="143"/>
      <c r="IU51" s="143"/>
      <c r="IV51" s="143"/>
      <c r="IW51" s="143"/>
      <c r="IX51" s="143"/>
      <c r="IY51" s="143"/>
      <c r="IZ51" s="143"/>
      <c r="JA51" s="143"/>
      <c r="JB51" s="143"/>
      <c r="JC51" s="143"/>
      <c r="JD51" s="143"/>
      <c r="JE51" s="143"/>
      <c r="JF51" s="143"/>
      <c r="JG51" s="143"/>
      <c r="JH51" s="143"/>
      <c r="JI51" s="143"/>
      <c r="JJ51" s="143"/>
      <c r="JK51" s="143"/>
      <c r="JL51" s="143"/>
      <c r="JM51" s="143"/>
    </row>
    <row r="52" spans="1:273" s="5" customFormat="1">
      <c r="A52" s="1044"/>
      <c r="B52" s="1045"/>
      <c r="C52" s="1046"/>
      <c r="D52" s="1046"/>
      <c r="E52" s="951"/>
      <c r="F52" s="951"/>
      <c r="G52" s="951"/>
      <c r="H52" s="951"/>
      <c r="I52" s="1047"/>
      <c r="J52" s="951"/>
      <c r="K52" s="951"/>
      <c r="L52" s="951"/>
      <c r="M52" s="1040"/>
      <c r="N52" s="1041"/>
      <c r="O52" s="1041"/>
      <c r="P52" s="1042"/>
      <c r="Q52" s="951"/>
      <c r="R52" s="181"/>
      <c r="S52" s="1040"/>
      <c r="T52" s="1041"/>
      <c r="U52" s="1042"/>
      <c r="V52" s="181"/>
      <c r="W52" s="181"/>
      <c r="X52" s="181"/>
      <c r="Y52" s="181"/>
      <c r="Z52" s="181"/>
      <c r="AA52" s="181"/>
      <c r="AB52" s="181"/>
      <c r="AC52" s="181"/>
      <c r="AD52" s="181"/>
      <c r="AE52" s="181"/>
      <c r="AF52" s="181"/>
      <c r="AG52" s="181"/>
      <c r="AH52" s="181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30"/>
      <c r="EE52" s="143"/>
      <c r="EF52" s="143"/>
      <c r="EG52" s="143"/>
      <c r="EH52" s="143"/>
      <c r="EI52" s="143"/>
      <c r="EJ52" s="143"/>
      <c r="EK52" s="143"/>
      <c r="EL52" s="143"/>
      <c r="EM52" s="143"/>
      <c r="EN52" s="143"/>
      <c r="EO52" s="143"/>
      <c r="EP52" s="143"/>
      <c r="EQ52" s="143"/>
      <c r="ER52" s="143"/>
      <c r="ES52" s="143"/>
      <c r="ET52" s="143"/>
      <c r="EU52" s="143"/>
      <c r="EV52" s="143"/>
      <c r="EW52" s="143"/>
      <c r="EX52" s="143"/>
      <c r="EY52" s="143"/>
      <c r="EZ52" s="143"/>
      <c r="FA52" s="143"/>
      <c r="FB52" s="143"/>
      <c r="FC52" s="143"/>
      <c r="FD52" s="143"/>
      <c r="FE52" s="143"/>
      <c r="FF52" s="143"/>
      <c r="FG52" s="143"/>
      <c r="FH52" s="143"/>
      <c r="FI52" s="143"/>
      <c r="FJ52" s="143"/>
      <c r="FK52" s="143"/>
      <c r="FL52" s="143"/>
      <c r="FM52" s="143"/>
      <c r="FN52" s="143"/>
      <c r="FO52" s="143"/>
      <c r="FP52" s="143"/>
      <c r="FQ52" s="143"/>
      <c r="FR52" s="143"/>
      <c r="FS52" s="143"/>
      <c r="FT52" s="143"/>
      <c r="FU52" s="143"/>
      <c r="FV52" s="143"/>
      <c r="FW52" s="143"/>
      <c r="FX52" s="143"/>
      <c r="FY52" s="143"/>
      <c r="FZ52" s="143"/>
      <c r="GA52" s="143"/>
      <c r="GB52" s="143"/>
      <c r="GC52" s="143"/>
      <c r="GD52" s="143"/>
      <c r="GE52" s="143"/>
      <c r="GF52" s="143"/>
      <c r="GG52" s="143"/>
      <c r="GH52" s="143"/>
      <c r="GI52" s="143"/>
      <c r="GJ52" s="143"/>
      <c r="GK52" s="143"/>
      <c r="GL52" s="143"/>
      <c r="GM52" s="143"/>
      <c r="GN52" s="143"/>
      <c r="GO52" s="143"/>
      <c r="GP52" s="143"/>
      <c r="GQ52" s="143"/>
      <c r="GR52" s="143"/>
      <c r="GS52" s="143"/>
      <c r="GT52" s="143"/>
      <c r="GU52" s="143"/>
      <c r="GV52" s="143"/>
      <c r="GW52" s="143"/>
      <c r="GX52" s="143"/>
      <c r="GY52" s="143"/>
      <c r="GZ52" s="143"/>
      <c r="HA52" s="143"/>
      <c r="HB52" s="143"/>
      <c r="HC52" s="143"/>
      <c r="HD52" s="143"/>
      <c r="HE52" s="143"/>
      <c r="HF52" s="143"/>
      <c r="HG52" s="143"/>
      <c r="HH52" s="143"/>
      <c r="HI52" s="143"/>
      <c r="HJ52" s="143"/>
      <c r="HK52" s="143"/>
      <c r="HL52" s="143"/>
      <c r="HM52" s="143"/>
      <c r="HN52" s="143"/>
      <c r="HO52" s="143"/>
      <c r="HP52" s="143"/>
      <c r="HQ52" s="143"/>
      <c r="HR52" s="143"/>
      <c r="HS52" s="143"/>
      <c r="HT52" s="143"/>
      <c r="HU52" s="143"/>
      <c r="HV52" s="143"/>
      <c r="HW52" s="143"/>
      <c r="HX52" s="143"/>
      <c r="HY52" s="143"/>
      <c r="HZ52" s="143"/>
      <c r="IA52" s="143"/>
      <c r="IB52" s="143"/>
      <c r="IC52" s="143"/>
      <c r="ID52" s="143"/>
      <c r="IE52" s="143"/>
      <c r="IF52" s="143"/>
      <c r="IG52" s="143"/>
      <c r="IH52" s="143"/>
      <c r="II52" s="143"/>
      <c r="IJ52" s="143"/>
      <c r="IK52" s="143"/>
      <c r="IL52" s="143"/>
      <c r="IM52" s="143"/>
      <c r="IN52" s="143"/>
      <c r="IO52" s="143"/>
      <c r="IP52" s="143"/>
      <c r="IQ52" s="143"/>
      <c r="IR52" s="143"/>
      <c r="IS52" s="143"/>
      <c r="IT52" s="143"/>
      <c r="IU52" s="143"/>
      <c r="IV52" s="143"/>
      <c r="IW52" s="143"/>
      <c r="IX52" s="143"/>
      <c r="IY52" s="143"/>
      <c r="IZ52" s="143"/>
      <c r="JA52" s="143"/>
      <c r="JB52" s="143"/>
      <c r="JC52" s="143"/>
      <c r="JD52" s="143"/>
      <c r="JE52" s="143"/>
      <c r="JF52" s="143"/>
      <c r="JG52" s="143"/>
      <c r="JH52" s="143"/>
      <c r="JI52" s="143"/>
      <c r="JJ52" s="143"/>
      <c r="JK52" s="143"/>
      <c r="JL52" s="143"/>
      <c r="JM52" s="143"/>
    </row>
    <row r="53" spans="1:273" s="5" customFormat="1">
      <c r="A53" s="1044"/>
      <c r="B53" s="1045"/>
      <c r="C53" s="1046"/>
      <c r="D53" s="1046"/>
      <c r="E53" s="951"/>
      <c r="F53" s="951"/>
      <c r="G53" s="951"/>
      <c r="H53" s="951"/>
      <c r="I53" s="1047"/>
      <c r="J53" s="951"/>
      <c r="K53" s="951"/>
      <c r="L53" s="951"/>
      <c r="M53" s="1040"/>
      <c r="N53" s="1041"/>
      <c r="O53" s="1041"/>
      <c r="P53" s="1042"/>
      <c r="Q53" s="951"/>
      <c r="R53" s="181"/>
      <c r="S53" s="1040"/>
      <c r="T53" s="1041"/>
      <c r="U53" s="1042"/>
      <c r="V53" s="181"/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30"/>
      <c r="EE53" s="143"/>
      <c r="EF53" s="143"/>
      <c r="EG53" s="143"/>
      <c r="EH53" s="143"/>
      <c r="EI53" s="143"/>
      <c r="EJ53" s="143"/>
      <c r="EK53" s="143"/>
      <c r="EL53" s="143"/>
      <c r="EM53" s="143"/>
      <c r="EN53" s="143"/>
      <c r="EO53" s="143"/>
      <c r="EP53" s="143"/>
      <c r="EQ53" s="143"/>
      <c r="ER53" s="143"/>
      <c r="ES53" s="143"/>
      <c r="ET53" s="143"/>
      <c r="EU53" s="143"/>
      <c r="EV53" s="143"/>
      <c r="EW53" s="143"/>
      <c r="EX53" s="143"/>
      <c r="EY53" s="143"/>
      <c r="EZ53" s="143"/>
      <c r="FA53" s="143"/>
      <c r="FB53" s="143"/>
      <c r="FC53" s="143"/>
      <c r="FD53" s="143"/>
      <c r="FE53" s="143"/>
      <c r="FF53" s="143"/>
      <c r="FG53" s="143"/>
      <c r="FH53" s="143"/>
      <c r="FI53" s="143"/>
      <c r="FJ53" s="143"/>
      <c r="FK53" s="143"/>
      <c r="FL53" s="143"/>
      <c r="FM53" s="143"/>
      <c r="FN53" s="143"/>
      <c r="FO53" s="143"/>
      <c r="FP53" s="143"/>
      <c r="FQ53" s="143"/>
      <c r="FR53" s="143"/>
      <c r="FS53" s="143"/>
      <c r="FT53" s="143"/>
      <c r="FU53" s="143"/>
      <c r="FV53" s="143"/>
      <c r="FW53" s="143"/>
      <c r="FX53" s="143"/>
      <c r="FY53" s="143"/>
      <c r="FZ53" s="143"/>
      <c r="GA53" s="143"/>
      <c r="GB53" s="143"/>
      <c r="GC53" s="143"/>
      <c r="GD53" s="143"/>
      <c r="GE53" s="143"/>
      <c r="GF53" s="143"/>
      <c r="GG53" s="143"/>
      <c r="GH53" s="143"/>
      <c r="GI53" s="143"/>
      <c r="GJ53" s="143"/>
      <c r="GK53" s="143"/>
      <c r="GL53" s="143"/>
      <c r="GM53" s="143"/>
      <c r="GN53" s="143"/>
      <c r="GO53" s="143"/>
      <c r="GP53" s="143"/>
      <c r="GQ53" s="143"/>
      <c r="GR53" s="143"/>
      <c r="GS53" s="143"/>
      <c r="GT53" s="143"/>
      <c r="GU53" s="143"/>
      <c r="GV53" s="143"/>
      <c r="GW53" s="143"/>
      <c r="GX53" s="143"/>
      <c r="GY53" s="143"/>
      <c r="GZ53" s="143"/>
      <c r="HA53" s="143"/>
      <c r="HB53" s="143"/>
      <c r="HC53" s="143"/>
      <c r="HD53" s="143"/>
      <c r="HE53" s="143"/>
      <c r="HF53" s="143"/>
      <c r="HG53" s="143"/>
      <c r="HH53" s="143"/>
      <c r="HI53" s="143"/>
      <c r="HJ53" s="143"/>
      <c r="HK53" s="143"/>
      <c r="HL53" s="143"/>
      <c r="HM53" s="143"/>
      <c r="HN53" s="143"/>
      <c r="HO53" s="143"/>
      <c r="HP53" s="143"/>
      <c r="HQ53" s="143"/>
      <c r="HR53" s="143"/>
      <c r="HS53" s="143"/>
      <c r="HT53" s="143"/>
      <c r="HU53" s="143"/>
      <c r="HV53" s="143"/>
      <c r="HW53" s="143"/>
      <c r="HX53" s="143"/>
      <c r="HY53" s="143"/>
      <c r="HZ53" s="143"/>
      <c r="IA53" s="143"/>
      <c r="IB53" s="143"/>
      <c r="IC53" s="143"/>
      <c r="ID53" s="143"/>
      <c r="IE53" s="143"/>
      <c r="IF53" s="143"/>
      <c r="IG53" s="143"/>
      <c r="IH53" s="143"/>
      <c r="II53" s="143"/>
      <c r="IJ53" s="143"/>
      <c r="IK53" s="143"/>
      <c r="IL53" s="143"/>
      <c r="IM53" s="143"/>
      <c r="IN53" s="143"/>
      <c r="IO53" s="143"/>
      <c r="IP53" s="143"/>
      <c r="IQ53" s="143"/>
      <c r="IR53" s="143"/>
      <c r="IS53" s="143"/>
      <c r="IT53" s="143"/>
      <c r="IU53" s="143"/>
      <c r="IV53" s="143"/>
      <c r="IW53" s="143"/>
      <c r="IX53" s="143"/>
      <c r="IY53" s="143"/>
      <c r="IZ53" s="143"/>
      <c r="JA53" s="143"/>
      <c r="JB53" s="143"/>
      <c r="JC53" s="143"/>
      <c r="JD53" s="143"/>
      <c r="JE53" s="143"/>
      <c r="JF53" s="143"/>
      <c r="JG53" s="143"/>
      <c r="JH53" s="143"/>
      <c r="JI53" s="143"/>
      <c r="JJ53" s="143"/>
      <c r="JK53" s="143"/>
      <c r="JL53" s="143"/>
      <c r="JM53" s="143"/>
    </row>
    <row r="54" spans="1:273" s="5" customFormat="1">
      <c r="A54" s="1044"/>
      <c r="B54" s="1045"/>
      <c r="C54" s="1046"/>
      <c r="D54" s="1046"/>
      <c r="E54" s="951"/>
      <c r="F54" s="951"/>
      <c r="G54" s="951"/>
      <c r="H54" s="951"/>
      <c r="I54" s="1047"/>
      <c r="J54" s="951"/>
      <c r="K54" s="951"/>
      <c r="L54" s="951"/>
      <c r="M54" s="1040"/>
      <c r="N54" s="1041"/>
      <c r="O54" s="1041"/>
      <c r="P54" s="1042"/>
      <c r="Q54" s="951"/>
      <c r="R54" s="181"/>
      <c r="S54" s="1040"/>
      <c r="T54" s="1041"/>
      <c r="U54" s="1042"/>
      <c r="V54" s="181"/>
      <c r="W54" s="181"/>
      <c r="X54" s="181"/>
      <c r="Y54" s="181"/>
      <c r="Z54" s="181"/>
      <c r="AA54" s="181"/>
      <c r="AB54" s="181"/>
      <c r="AC54" s="181"/>
      <c r="AD54" s="181"/>
      <c r="AE54" s="181"/>
      <c r="AF54" s="181"/>
      <c r="AG54" s="181"/>
      <c r="AH54" s="181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30"/>
      <c r="EE54" s="143"/>
      <c r="EF54" s="143"/>
      <c r="EG54" s="143"/>
      <c r="EH54" s="143"/>
      <c r="EI54" s="143"/>
      <c r="EJ54" s="143"/>
      <c r="EK54" s="143"/>
      <c r="EL54" s="143"/>
      <c r="EM54" s="143"/>
      <c r="EN54" s="143"/>
      <c r="EO54" s="143"/>
      <c r="EP54" s="143"/>
      <c r="EQ54" s="143"/>
      <c r="ER54" s="143"/>
      <c r="ES54" s="143"/>
      <c r="ET54" s="143"/>
      <c r="EU54" s="143"/>
      <c r="EV54" s="143"/>
      <c r="EW54" s="143"/>
      <c r="EX54" s="143"/>
      <c r="EY54" s="143"/>
      <c r="EZ54" s="143"/>
      <c r="FA54" s="143"/>
      <c r="FB54" s="143"/>
      <c r="FC54" s="143"/>
      <c r="FD54" s="143"/>
      <c r="FE54" s="143"/>
      <c r="FF54" s="143"/>
      <c r="FG54" s="143"/>
      <c r="FH54" s="143"/>
      <c r="FI54" s="143"/>
      <c r="FJ54" s="143"/>
      <c r="FK54" s="143"/>
      <c r="FL54" s="143"/>
      <c r="FM54" s="143"/>
      <c r="FN54" s="143"/>
      <c r="FO54" s="143"/>
      <c r="FP54" s="143"/>
      <c r="FQ54" s="143"/>
      <c r="FR54" s="143"/>
      <c r="FS54" s="143"/>
      <c r="FT54" s="143"/>
      <c r="FU54" s="143"/>
      <c r="FV54" s="143"/>
      <c r="FW54" s="143"/>
      <c r="FX54" s="143"/>
      <c r="FY54" s="143"/>
      <c r="FZ54" s="143"/>
      <c r="GA54" s="143"/>
      <c r="GB54" s="143"/>
      <c r="GC54" s="143"/>
      <c r="GD54" s="143"/>
      <c r="GE54" s="143"/>
      <c r="GF54" s="143"/>
      <c r="GG54" s="143"/>
      <c r="GH54" s="143"/>
      <c r="GI54" s="143"/>
      <c r="GJ54" s="143"/>
      <c r="GK54" s="143"/>
      <c r="GL54" s="143"/>
      <c r="GM54" s="143"/>
      <c r="GN54" s="143"/>
      <c r="GO54" s="143"/>
      <c r="GP54" s="143"/>
      <c r="GQ54" s="143"/>
      <c r="GR54" s="143"/>
      <c r="GS54" s="143"/>
      <c r="GT54" s="143"/>
      <c r="GU54" s="143"/>
      <c r="GV54" s="143"/>
      <c r="GW54" s="143"/>
      <c r="GX54" s="143"/>
      <c r="GY54" s="143"/>
      <c r="GZ54" s="143"/>
      <c r="HA54" s="143"/>
      <c r="HB54" s="143"/>
      <c r="HC54" s="143"/>
      <c r="HD54" s="143"/>
      <c r="HE54" s="143"/>
      <c r="HF54" s="143"/>
      <c r="HG54" s="143"/>
      <c r="HH54" s="143"/>
      <c r="HI54" s="143"/>
      <c r="HJ54" s="143"/>
      <c r="HK54" s="143"/>
      <c r="HL54" s="143"/>
      <c r="HM54" s="143"/>
      <c r="HN54" s="143"/>
      <c r="HO54" s="143"/>
      <c r="HP54" s="143"/>
      <c r="HQ54" s="143"/>
      <c r="HR54" s="143"/>
      <c r="HS54" s="143"/>
      <c r="HT54" s="143"/>
      <c r="HU54" s="143"/>
      <c r="HV54" s="143"/>
      <c r="HW54" s="143"/>
      <c r="HX54" s="143"/>
      <c r="HY54" s="143"/>
      <c r="HZ54" s="143"/>
      <c r="IA54" s="143"/>
      <c r="IB54" s="143"/>
      <c r="IC54" s="143"/>
      <c r="ID54" s="143"/>
      <c r="IE54" s="143"/>
      <c r="IF54" s="143"/>
      <c r="IG54" s="143"/>
      <c r="IH54" s="143"/>
      <c r="II54" s="143"/>
      <c r="IJ54" s="143"/>
      <c r="IK54" s="143"/>
      <c r="IL54" s="143"/>
      <c r="IM54" s="143"/>
      <c r="IN54" s="143"/>
      <c r="IO54" s="143"/>
      <c r="IP54" s="143"/>
      <c r="IQ54" s="143"/>
      <c r="IR54" s="143"/>
      <c r="IS54" s="143"/>
      <c r="IT54" s="143"/>
      <c r="IU54" s="143"/>
      <c r="IV54" s="143"/>
      <c r="IW54" s="143"/>
      <c r="IX54" s="143"/>
      <c r="IY54" s="143"/>
      <c r="IZ54" s="143"/>
      <c r="JA54" s="143"/>
      <c r="JB54" s="143"/>
      <c r="JC54" s="143"/>
      <c r="JD54" s="143"/>
      <c r="JE54" s="143"/>
      <c r="JF54" s="143"/>
      <c r="JG54" s="143"/>
      <c r="JH54" s="143"/>
      <c r="JI54" s="143"/>
      <c r="JJ54" s="143"/>
      <c r="JK54" s="143"/>
      <c r="JL54" s="143"/>
      <c r="JM54" s="143"/>
    </row>
    <row r="55" spans="1:273" s="5" customFormat="1">
      <c r="A55" s="1048"/>
      <c r="B55" s="1045"/>
      <c r="C55" s="1046"/>
      <c r="D55" s="1046"/>
      <c r="E55" s="951"/>
      <c r="F55" s="951"/>
      <c r="G55" s="951"/>
      <c r="H55" s="951"/>
      <c r="I55" s="1047"/>
      <c r="J55" s="951"/>
      <c r="K55" s="951"/>
      <c r="L55" s="951"/>
      <c r="M55" s="1040"/>
      <c r="N55" s="1041"/>
      <c r="O55" s="1041"/>
      <c r="P55" s="1042"/>
      <c r="Q55" s="951"/>
      <c r="R55" s="181"/>
      <c r="S55" s="1040"/>
      <c r="T55" s="1041"/>
      <c r="U55" s="1042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30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</row>
    <row r="56" spans="1:273" s="5" customFormat="1">
      <c r="A56" s="1048"/>
      <c r="B56" s="1045"/>
      <c r="C56" s="1046"/>
      <c r="D56" s="1046"/>
      <c r="E56" s="951"/>
      <c r="F56" s="951"/>
      <c r="G56" s="951"/>
      <c r="H56" s="951"/>
      <c r="I56" s="1047"/>
      <c r="J56" s="951"/>
      <c r="K56" s="951"/>
      <c r="L56" s="951"/>
      <c r="M56" s="1040"/>
      <c r="N56" s="1041"/>
      <c r="O56" s="1041"/>
      <c r="P56" s="1042"/>
      <c r="Q56" s="951"/>
      <c r="R56" s="181"/>
      <c r="S56" s="1040"/>
      <c r="T56" s="1041"/>
      <c r="U56" s="1042"/>
      <c r="V56" s="181"/>
      <c r="W56" s="181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81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30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</row>
    <row r="57" spans="1:273" s="5" customFormat="1">
      <c r="A57" s="1048"/>
      <c r="B57" s="1045"/>
      <c r="C57" s="1046"/>
      <c r="D57" s="1046"/>
      <c r="E57" s="951"/>
      <c r="F57" s="951"/>
      <c r="G57" s="951"/>
      <c r="H57" s="951"/>
      <c r="I57" s="1047"/>
      <c r="J57" s="951"/>
      <c r="K57" s="951"/>
      <c r="L57" s="951"/>
      <c r="M57" s="1040"/>
      <c r="N57" s="1041"/>
      <c r="O57" s="1041"/>
      <c r="P57" s="1042"/>
      <c r="Q57" s="951"/>
      <c r="R57" s="181"/>
      <c r="S57" s="1040"/>
      <c r="T57" s="1041"/>
      <c r="U57" s="1042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30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</row>
    <row r="58" spans="1:273" s="5" customFormat="1">
      <c r="A58" s="1048"/>
      <c r="B58" s="1045"/>
      <c r="C58" s="1046"/>
      <c r="D58" s="1046"/>
      <c r="E58" s="951"/>
      <c r="F58" s="951"/>
      <c r="G58" s="951"/>
      <c r="H58" s="951"/>
      <c r="I58" s="1047"/>
      <c r="J58" s="951"/>
      <c r="K58" s="951"/>
      <c r="L58" s="951"/>
      <c r="M58" s="1040"/>
      <c r="N58" s="1041"/>
      <c r="O58" s="1041"/>
      <c r="P58" s="1042"/>
      <c r="Q58" s="951"/>
      <c r="R58" s="181"/>
      <c r="S58" s="1040"/>
      <c r="T58" s="1041"/>
      <c r="U58" s="1042"/>
      <c r="V58" s="181"/>
      <c r="W58" s="181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30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</row>
    <row r="59" spans="1:273" s="5" customFormat="1">
      <c r="A59" s="1048"/>
      <c r="B59" s="1045"/>
      <c r="C59" s="1046"/>
      <c r="D59" s="1046"/>
      <c r="E59" s="951"/>
      <c r="F59" s="951"/>
      <c r="G59" s="951"/>
      <c r="H59" s="951"/>
      <c r="I59" s="1047"/>
      <c r="J59" s="951"/>
      <c r="K59" s="951"/>
      <c r="L59" s="951"/>
      <c r="M59" s="1040"/>
      <c r="N59" s="1041"/>
      <c r="O59" s="1041"/>
      <c r="P59" s="1042"/>
      <c r="Q59" s="951"/>
      <c r="R59" s="181"/>
      <c r="S59" s="1040"/>
      <c r="T59" s="1041"/>
      <c r="U59" s="1042"/>
      <c r="V59" s="181"/>
      <c r="W59" s="181"/>
      <c r="X59" s="181"/>
      <c r="Y59" s="181"/>
      <c r="Z59" s="181"/>
      <c r="AA59" s="181"/>
      <c r="AB59" s="181"/>
      <c r="AC59" s="181"/>
      <c r="AD59" s="181"/>
      <c r="AE59" s="181"/>
      <c r="AF59" s="181"/>
      <c r="AG59" s="181"/>
      <c r="AH59" s="181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30"/>
      <c r="EE59" s="143"/>
      <c r="EF59" s="143"/>
      <c r="EG59" s="143"/>
      <c r="EH59" s="143"/>
      <c r="EI59" s="143"/>
      <c r="EJ59" s="143"/>
      <c r="EK59" s="143"/>
      <c r="EL59" s="143"/>
      <c r="EM59" s="143"/>
      <c r="EN59" s="143"/>
      <c r="EO59" s="143"/>
      <c r="EP59" s="143"/>
      <c r="EQ59" s="143"/>
      <c r="ER59" s="143"/>
      <c r="ES59" s="143"/>
      <c r="ET59" s="143"/>
      <c r="EU59" s="143"/>
      <c r="EV59" s="143"/>
      <c r="EW59" s="143"/>
      <c r="EX59" s="143"/>
      <c r="EY59" s="143"/>
      <c r="EZ59" s="143"/>
      <c r="FA59" s="143"/>
      <c r="FB59" s="143"/>
      <c r="FC59" s="143"/>
      <c r="FD59" s="143"/>
      <c r="FE59" s="143"/>
      <c r="FF59" s="143"/>
      <c r="FG59" s="143"/>
      <c r="FH59" s="143"/>
      <c r="FI59" s="143"/>
      <c r="FJ59" s="143"/>
      <c r="FK59" s="143"/>
      <c r="FL59" s="143"/>
      <c r="FM59" s="143"/>
      <c r="FN59" s="143"/>
      <c r="FO59" s="143"/>
      <c r="FP59" s="143"/>
      <c r="FQ59" s="143"/>
      <c r="FR59" s="143"/>
      <c r="FS59" s="143"/>
      <c r="FT59" s="143"/>
      <c r="FU59" s="143"/>
      <c r="FV59" s="143"/>
      <c r="FW59" s="143"/>
      <c r="FX59" s="143"/>
      <c r="FY59" s="143"/>
      <c r="FZ59" s="143"/>
      <c r="GA59" s="143"/>
      <c r="GB59" s="143"/>
      <c r="GC59" s="143"/>
      <c r="GD59" s="143"/>
      <c r="GE59" s="143"/>
      <c r="GF59" s="143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</row>
    <row r="60" spans="1:273" s="5" customFormat="1">
      <c r="A60" s="1048"/>
      <c r="B60" s="1045"/>
      <c r="C60" s="1046"/>
      <c r="D60" s="1046"/>
      <c r="E60" s="951"/>
      <c r="F60" s="951"/>
      <c r="G60" s="951"/>
      <c r="H60" s="951"/>
      <c r="I60" s="1047"/>
      <c r="J60" s="951"/>
      <c r="K60" s="951"/>
      <c r="L60" s="951"/>
      <c r="M60" s="1040"/>
      <c r="N60" s="1041"/>
      <c r="O60" s="1041"/>
      <c r="P60" s="1042"/>
      <c r="Q60" s="951"/>
      <c r="R60" s="181"/>
      <c r="S60" s="1040"/>
      <c r="T60" s="1041"/>
      <c r="U60" s="1042"/>
      <c r="V60" s="181"/>
      <c r="W60" s="181"/>
      <c r="X60" s="181"/>
      <c r="Y60" s="181"/>
      <c r="Z60" s="181"/>
      <c r="AA60" s="181"/>
      <c r="AB60" s="181"/>
      <c r="AC60" s="181"/>
      <c r="AD60" s="181"/>
      <c r="AE60" s="181"/>
      <c r="AF60" s="181"/>
      <c r="AG60" s="181"/>
      <c r="AH60" s="181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30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</row>
    <row r="61" spans="1:273" s="5" customFormat="1">
      <c r="A61" s="1048"/>
      <c r="B61" s="1045"/>
      <c r="C61" s="1046"/>
      <c r="D61" s="1046"/>
      <c r="E61" s="951"/>
      <c r="F61" s="951"/>
      <c r="G61" s="951"/>
      <c r="H61" s="951"/>
      <c r="I61" s="1047"/>
      <c r="J61" s="951"/>
      <c r="K61" s="951"/>
      <c r="L61" s="951"/>
      <c r="M61" s="1040"/>
      <c r="N61" s="1041"/>
      <c r="O61" s="1041"/>
      <c r="P61" s="1042"/>
      <c r="Q61" s="951"/>
      <c r="R61" s="181"/>
      <c r="S61" s="1040"/>
      <c r="T61" s="1041"/>
      <c r="U61" s="1042"/>
      <c r="V61" s="181"/>
      <c r="W61" s="181"/>
      <c r="X61" s="181"/>
      <c r="Y61" s="181"/>
      <c r="Z61" s="181"/>
      <c r="AA61" s="181"/>
      <c r="AB61" s="181"/>
      <c r="AC61" s="181"/>
      <c r="AD61" s="181"/>
      <c r="AE61" s="181"/>
      <c r="AF61" s="181"/>
      <c r="AG61" s="181"/>
      <c r="AH61" s="181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30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  <c r="GG61" s="143"/>
      <c r="GH61" s="143"/>
      <c r="GI61" s="143"/>
      <c r="GJ61" s="143"/>
      <c r="GK61" s="143"/>
      <c r="GL61" s="143"/>
      <c r="GM61" s="143"/>
      <c r="GN61" s="143"/>
      <c r="GO61" s="143"/>
      <c r="GP61" s="143"/>
      <c r="GQ61" s="143"/>
      <c r="GR61" s="143"/>
      <c r="GS61" s="143"/>
      <c r="GT61" s="143"/>
      <c r="GU61" s="143"/>
      <c r="GV61" s="143"/>
      <c r="GW61" s="143"/>
      <c r="GX61" s="143"/>
      <c r="GY61" s="143"/>
      <c r="GZ61" s="143"/>
      <c r="HA61" s="143"/>
      <c r="HB61" s="143"/>
      <c r="HC61" s="143"/>
      <c r="HD61" s="143"/>
      <c r="HE61" s="143"/>
      <c r="HF61" s="143"/>
      <c r="HG61" s="143"/>
      <c r="HH61" s="143"/>
      <c r="HI61" s="143"/>
      <c r="HJ61" s="143"/>
      <c r="HK61" s="143"/>
      <c r="HL61" s="143"/>
      <c r="HM61" s="143"/>
      <c r="HN61" s="143"/>
      <c r="HO61" s="143"/>
      <c r="HP61" s="143"/>
      <c r="HQ61" s="143"/>
      <c r="HR61" s="143"/>
      <c r="HS61" s="143"/>
      <c r="HT61" s="143"/>
      <c r="HU61" s="143"/>
      <c r="HV61" s="143"/>
      <c r="HW61" s="143"/>
      <c r="HX61" s="143"/>
      <c r="HY61" s="143"/>
      <c r="HZ61" s="143"/>
      <c r="IA61" s="143"/>
      <c r="IB61" s="143"/>
      <c r="IC61" s="143"/>
      <c r="ID61" s="143"/>
      <c r="IE61" s="143"/>
      <c r="IF61" s="143"/>
      <c r="IG61" s="143"/>
      <c r="IH61" s="143"/>
      <c r="II61" s="143"/>
      <c r="IJ61" s="143"/>
      <c r="IK61" s="143"/>
      <c r="IL61" s="143"/>
      <c r="IM61" s="143"/>
      <c r="IN61" s="143"/>
      <c r="IO61" s="143"/>
      <c r="IP61" s="143"/>
      <c r="IQ61" s="143"/>
      <c r="IR61" s="143"/>
      <c r="IS61" s="143"/>
      <c r="IT61" s="143"/>
      <c r="IU61" s="143"/>
      <c r="IV61" s="143"/>
      <c r="IW61" s="143"/>
      <c r="IX61" s="143"/>
      <c r="IY61" s="143"/>
      <c r="IZ61" s="143"/>
      <c r="JA61" s="143"/>
      <c r="JB61" s="143"/>
      <c r="JC61" s="143"/>
      <c r="JD61" s="143"/>
      <c r="JE61" s="143"/>
      <c r="JF61" s="143"/>
      <c r="JG61" s="143"/>
      <c r="JH61" s="143"/>
      <c r="JI61" s="143"/>
      <c r="JJ61" s="143"/>
      <c r="JK61" s="143"/>
      <c r="JL61" s="143"/>
      <c r="JM61" s="143"/>
    </row>
    <row r="62" spans="1:273" s="5" customFormat="1">
      <c r="A62" s="1048"/>
      <c r="B62" s="1045"/>
      <c r="C62" s="1046"/>
      <c r="D62" s="1046"/>
      <c r="E62" s="951"/>
      <c r="F62" s="951"/>
      <c r="G62" s="951"/>
      <c r="H62" s="951"/>
      <c r="I62" s="1047"/>
      <c r="J62" s="951"/>
      <c r="K62" s="951"/>
      <c r="L62" s="951"/>
      <c r="M62" s="1040"/>
      <c r="N62" s="1041"/>
      <c r="O62" s="1041"/>
      <c r="P62" s="1042"/>
      <c r="Q62" s="951"/>
      <c r="R62" s="181"/>
      <c r="S62" s="1040"/>
      <c r="T62" s="1041"/>
      <c r="U62" s="1042"/>
      <c r="V62" s="181"/>
      <c r="W62" s="181"/>
      <c r="X62" s="181"/>
      <c r="Y62" s="181"/>
      <c r="Z62" s="181"/>
      <c r="AA62" s="181"/>
      <c r="AB62" s="181"/>
      <c r="AC62" s="181"/>
      <c r="AD62" s="181"/>
      <c r="AE62" s="181"/>
      <c r="AF62" s="181"/>
      <c r="AG62" s="181"/>
      <c r="AH62" s="181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30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  <c r="GG62" s="143"/>
      <c r="GH62" s="143"/>
      <c r="GI62" s="143"/>
      <c r="GJ62" s="143"/>
      <c r="GK62" s="143"/>
      <c r="GL62" s="143"/>
      <c r="GM62" s="143"/>
      <c r="GN62" s="143"/>
      <c r="GO62" s="143"/>
      <c r="GP62" s="143"/>
      <c r="GQ62" s="143"/>
      <c r="GR62" s="143"/>
      <c r="GS62" s="143"/>
      <c r="GT62" s="143"/>
      <c r="GU62" s="143"/>
      <c r="GV62" s="143"/>
      <c r="GW62" s="143"/>
      <c r="GX62" s="143"/>
      <c r="GY62" s="143"/>
      <c r="GZ62" s="143"/>
      <c r="HA62" s="143"/>
      <c r="HB62" s="143"/>
      <c r="HC62" s="143"/>
      <c r="HD62" s="143"/>
      <c r="HE62" s="143"/>
      <c r="HF62" s="143"/>
      <c r="HG62" s="143"/>
      <c r="HH62" s="143"/>
      <c r="HI62" s="143"/>
      <c r="HJ62" s="143"/>
      <c r="HK62" s="143"/>
      <c r="HL62" s="143"/>
      <c r="HM62" s="143"/>
      <c r="HN62" s="143"/>
      <c r="HO62" s="143"/>
      <c r="HP62" s="143"/>
      <c r="HQ62" s="143"/>
      <c r="HR62" s="143"/>
      <c r="HS62" s="143"/>
      <c r="HT62" s="143"/>
      <c r="HU62" s="143"/>
      <c r="HV62" s="143"/>
      <c r="HW62" s="143"/>
      <c r="HX62" s="143"/>
      <c r="HY62" s="143"/>
      <c r="HZ62" s="143"/>
      <c r="IA62" s="143"/>
      <c r="IB62" s="143"/>
      <c r="IC62" s="143"/>
      <c r="ID62" s="143"/>
      <c r="IE62" s="143"/>
      <c r="IF62" s="143"/>
      <c r="IG62" s="143"/>
      <c r="IH62" s="143"/>
      <c r="II62" s="143"/>
      <c r="IJ62" s="143"/>
      <c r="IK62" s="143"/>
      <c r="IL62" s="143"/>
      <c r="IM62" s="143"/>
      <c r="IN62" s="143"/>
      <c r="IO62" s="143"/>
      <c r="IP62" s="143"/>
      <c r="IQ62" s="143"/>
      <c r="IR62" s="143"/>
      <c r="IS62" s="143"/>
      <c r="IT62" s="143"/>
      <c r="IU62" s="143"/>
      <c r="IV62" s="143"/>
      <c r="IW62" s="143"/>
      <c r="IX62" s="143"/>
      <c r="IY62" s="143"/>
      <c r="IZ62" s="143"/>
      <c r="JA62" s="143"/>
      <c r="JB62" s="143"/>
      <c r="JC62" s="143"/>
      <c r="JD62" s="143"/>
      <c r="JE62" s="143"/>
      <c r="JF62" s="143"/>
      <c r="JG62" s="143"/>
      <c r="JH62" s="143"/>
      <c r="JI62" s="143"/>
      <c r="JJ62" s="143"/>
      <c r="JK62" s="143"/>
      <c r="JL62" s="143"/>
      <c r="JM62" s="143"/>
    </row>
    <row r="63" spans="1:273" s="5" customFormat="1">
      <c r="A63" s="1048"/>
      <c r="B63" s="1045"/>
      <c r="C63" s="1046"/>
      <c r="D63" s="1046"/>
      <c r="E63" s="951"/>
      <c r="F63" s="951"/>
      <c r="G63" s="951"/>
      <c r="H63" s="951"/>
      <c r="I63" s="1047"/>
      <c r="J63" s="951"/>
      <c r="K63" s="951"/>
      <c r="L63" s="951"/>
      <c r="M63" s="1040"/>
      <c r="N63" s="1041"/>
      <c r="O63" s="1041"/>
      <c r="P63" s="1042"/>
      <c r="Q63" s="951"/>
      <c r="R63" s="181"/>
      <c r="S63" s="1040"/>
      <c r="T63" s="1041"/>
      <c r="U63" s="1042"/>
      <c r="V63" s="181"/>
      <c r="W63" s="181"/>
      <c r="X63" s="181"/>
      <c r="Y63" s="181"/>
      <c r="Z63" s="181"/>
      <c r="AA63" s="181"/>
      <c r="AB63" s="181"/>
      <c r="AC63" s="181"/>
      <c r="AD63" s="181"/>
      <c r="AE63" s="181"/>
      <c r="AF63" s="181"/>
      <c r="AG63" s="181"/>
      <c r="AH63" s="181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30"/>
      <c r="EE63" s="143"/>
      <c r="EF63" s="143"/>
      <c r="EG63" s="143"/>
      <c r="EH63" s="143"/>
      <c r="EI63" s="143"/>
      <c r="EJ63" s="143"/>
      <c r="EK63" s="143"/>
      <c r="EL63" s="143"/>
      <c r="EM63" s="143"/>
      <c r="EN63" s="143"/>
      <c r="EO63" s="143"/>
      <c r="EP63" s="143"/>
      <c r="EQ63" s="143"/>
      <c r="ER63" s="143"/>
      <c r="ES63" s="143"/>
      <c r="ET63" s="143"/>
      <c r="EU63" s="143"/>
      <c r="EV63" s="143"/>
      <c r="EW63" s="143"/>
      <c r="EX63" s="143"/>
      <c r="EY63" s="143"/>
      <c r="EZ63" s="143"/>
      <c r="FA63" s="143"/>
      <c r="FB63" s="143"/>
      <c r="FC63" s="143"/>
      <c r="FD63" s="143"/>
      <c r="FE63" s="143"/>
      <c r="FF63" s="143"/>
      <c r="FG63" s="143"/>
      <c r="FH63" s="143"/>
      <c r="FI63" s="143"/>
      <c r="FJ63" s="143"/>
      <c r="FK63" s="143"/>
      <c r="FL63" s="143"/>
      <c r="FM63" s="143"/>
      <c r="FN63" s="143"/>
      <c r="FO63" s="143"/>
      <c r="FP63" s="143"/>
      <c r="FQ63" s="143"/>
      <c r="FR63" s="143"/>
      <c r="FS63" s="143"/>
      <c r="FT63" s="143"/>
      <c r="FU63" s="143"/>
      <c r="FV63" s="143"/>
      <c r="FW63" s="143"/>
      <c r="FX63" s="143"/>
      <c r="FY63" s="143"/>
      <c r="FZ63" s="143"/>
      <c r="GA63" s="143"/>
      <c r="GB63" s="143"/>
      <c r="GC63" s="143"/>
      <c r="GD63" s="143"/>
      <c r="GE63" s="143"/>
      <c r="GF63" s="143"/>
      <c r="GG63" s="143"/>
      <c r="GH63" s="143"/>
      <c r="GI63" s="143"/>
      <c r="GJ63" s="143"/>
      <c r="GK63" s="143"/>
      <c r="GL63" s="143"/>
      <c r="GM63" s="143"/>
      <c r="GN63" s="143"/>
      <c r="GO63" s="143"/>
      <c r="GP63" s="143"/>
      <c r="GQ63" s="143"/>
      <c r="GR63" s="143"/>
      <c r="GS63" s="143"/>
      <c r="GT63" s="143"/>
      <c r="GU63" s="143"/>
      <c r="GV63" s="143"/>
      <c r="GW63" s="143"/>
      <c r="GX63" s="143"/>
      <c r="GY63" s="143"/>
      <c r="GZ63" s="143"/>
      <c r="HA63" s="143"/>
      <c r="HB63" s="143"/>
      <c r="HC63" s="143"/>
      <c r="HD63" s="143"/>
      <c r="HE63" s="143"/>
      <c r="HF63" s="143"/>
      <c r="HG63" s="143"/>
      <c r="HH63" s="143"/>
      <c r="HI63" s="143"/>
      <c r="HJ63" s="143"/>
      <c r="HK63" s="143"/>
      <c r="HL63" s="143"/>
      <c r="HM63" s="143"/>
      <c r="HN63" s="143"/>
      <c r="HO63" s="143"/>
      <c r="HP63" s="143"/>
      <c r="HQ63" s="143"/>
      <c r="HR63" s="143"/>
      <c r="HS63" s="143"/>
      <c r="HT63" s="143"/>
      <c r="HU63" s="143"/>
      <c r="HV63" s="143"/>
      <c r="HW63" s="143"/>
      <c r="HX63" s="143"/>
      <c r="HY63" s="143"/>
      <c r="HZ63" s="143"/>
      <c r="IA63" s="143"/>
      <c r="IB63" s="143"/>
      <c r="IC63" s="143"/>
      <c r="ID63" s="143"/>
      <c r="IE63" s="143"/>
      <c r="IF63" s="143"/>
      <c r="IG63" s="143"/>
      <c r="IH63" s="143"/>
      <c r="II63" s="143"/>
      <c r="IJ63" s="143"/>
      <c r="IK63" s="143"/>
      <c r="IL63" s="143"/>
      <c r="IM63" s="143"/>
      <c r="IN63" s="143"/>
      <c r="IO63" s="143"/>
      <c r="IP63" s="143"/>
      <c r="IQ63" s="143"/>
      <c r="IR63" s="143"/>
      <c r="IS63" s="143"/>
      <c r="IT63" s="143"/>
      <c r="IU63" s="143"/>
      <c r="IV63" s="143"/>
      <c r="IW63" s="143"/>
      <c r="IX63" s="143"/>
      <c r="IY63" s="143"/>
      <c r="IZ63" s="143"/>
      <c r="JA63" s="143"/>
      <c r="JB63" s="143"/>
      <c r="JC63" s="143"/>
      <c r="JD63" s="143"/>
      <c r="JE63" s="143"/>
      <c r="JF63" s="143"/>
      <c r="JG63" s="143"/>
      <c r="JH63" s="143"/>
      <c r="JI63" s="143"/>
      <c r="JJ63" s="143"/>
      <c r="JK63" s="143"/>
      <c r="JL63" s="143"/>
      <c r="JM63" s="143"/>
    </row>
    <row r="64" spans="1:273" s="5" customFormat="1">
      <c r="A64" s="1048"/>
      <c r="B64" s="1045"/>
      <c r="C64" s="1046"/>
      <c r="D64" s="1046"/>
      <c r="E64" s="951"/>
      <c r="F64" s="951"/>
      <c r="G64" s="951"/>
      <c r="H64" s="951"/>
      <c r="I64" s="1047"/>
      <c r="J64" s="951"/>
      <c r="K64" s="951"/>
      <c r="L64" s="951"/>
      <c r="M64" s="1040"/>
      <c r="N64" s="1041"/>
      <c r="O64" s="1041"/>
      <c r="P64" s="1042"/>
      <c r="Q64" s="951"/>
      <c r="R64" s="181"/>
      <c r="S64" s="1040"/>
      <c r="T64" s="1041"/>
      <c r="U64" s="1042"/>
      <c r="V64" s="181"/>
      <c r="W64" s="181"/>
      <c r="X64" s="181"/>
      <c r="Y64" s="181"/>
      <c r="Z64" s="181"/>
      <c r="AA64" s="181"/>
      <c r="AB64" s="181"/>
      <c r="AC64" s="181"/>
      <c r="AD64" s="181"/>
      <c r="AE64" s="181"/>
      <c r="AF64" s="181"/>
      <c r="AG64" s="181"/>
      <c r="AH64" s="181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30"/>
      <c r="EE64" s="143"/>
      <c r="EF64" s="143"/>
      <c r="EG64" s="143"/>
      <c r="EH64" s="143"/>
      <c r="EI64" s="143"/>
      <c r="EJ64" s="143"/>
      <c r="EK64" s="143"/>
      <c r="EL64" s="143"/>
      <c r="EM64" s="143"/>
      <c r="EN64" s="143"/>
      <c r="EO64" s="143"/>
      <c r="EP64" s="143"/>
      <c r="EQ64" s="143"/>
      <c r="ER64" s="143"/>
      <c r="ES64" s="143"/>
      <c r="ET64" s="143"/>
      <c r="EU64" s="143"/>
      <c r="EV64" s="143"/>
      <c r="EW64" s="143"/>
      <c r="EX64" s="143"/>
      <c r="EY64" s="143"/>
      <c r="EZ64" s="143"/>
      <c r="FA64" s="143"/>
      <c r="FB64" s="143"/>
      <c r="FC64" s="143"/>
      <c r="FD64" s="143"/>
      <c r="FE64" s="143"/>
      <c r="FF64" s="143"/>
      <c r="FG64" s="143"/>
      <c r="FH64" s="143"/>
      <c r="FI64" s="143"/>
      <c r="FJ64" s="143"/>
      <c r="FK64" s="143"/>
      <c r="FL64" s="143"/>
      <c r="FM64" s="143"/>
      <c r="FN64" s="143"/>
      <c r="FO64" s="143"/>
      <c r="FP64" s="143"/>
      <c r="FQ64" s="143"/>
      <c r="FR64" s="143"/>
      <c r="FS64" s="143"/>
      <c r="FT64" s="143"/>
      <c r="FU64" s="143"/>
      <c r="FV64" s="143"/>
      <c r="FW64" s="143"/>
      <c r="FX64" s="143"/>
      <c r="FY64" s="143"/>
      <c r="FZ64" s="143"/>
      <c r="GA64" s="143"/>
      <c r="GB64" s="143"/>
      <c r="GC64" s="143"/>
      <c r="GD64" s="143"/>
      <c r="GE64" s="143"/>
      <c r="GF64" s="143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</row>
    <row r="65" spans="1:273" s="5" customFormat="1">
      <c r="A65" s="1048"/>
      <c r="B65" s="1045"/>
      <c r="C65" s="1046"/>
      <c r="D65" s="1046"/>
      <c r="E65" s="951"/>
      <c r="F65" s="951"/>
      <c r="G65" s="951"/>
      <c r="H65" s="951"/>
      <c r="I65" s="1047"/>
      <c r="J65" s="951"/>
      <c r="K65" s="951"/>
      <c r="L65" s="951"/>
      <c r="M65" s="1040"/>
      <c r="N65" s="1041"/>
      <c r="O65" s="1041"/>
      <c r="P65" s="1042"/>
      <c r="Q65" s="951"/>
      <c r="R65" s="181"/>
      <c r="S65" s="1040"/>
      <c r="T65" s="1041"/>
      <c r="U65" s="1042"/>
      <c r="V65" s="181"/>
      <c r="W65" s="181"/>
      <c r="X65" s="181"/>
      <c r="Y65" s="181"/>
      <c r="Z65" s="181"/>
      <c r="AA65" s="181"/>
      <c r="AB65" s="181"/>
      <c r="AC65" s="181"/>
      <c r="AD65" s="181"/>
      <c r="AE65" s="181"/>
      <c r="AF65" s="181"/>
      <c r="AG65" s="181"/>
      <c r="AH65" s="181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30"/>
      <c r="EE65" s="143"/>
      <c r="EF65" s="143"/>
      <c r="EG65" s="143"/>
      <c r="EH65" s="143"/>
      <c r="EI65" s="143"/>
      <c r="EJ65" s="143"/>
      <c r="EK65" s="143"/>
      <c r="EL65" s="143"/>
      <c r="EM65" s="143"/>
      <c r="EN65" s="143"/>
      <c r="EO65" s="143"/>
      <c r="EP65" s="143"/>
      <c r="EQ65" s="143"/>
      <c r="ER65" s="143"/>
      <c r="ES65" s="143"/>
      <c r="ET65" s="143"/>
      <c r="EU65" s="143"/>
      <c r="EV65" s="143"/>
      <c r="EW65" s="143"/>
      <c r="EX65" s="143"/>
      <c r="EY65" s="143"/>
      <c r="EZ65" s="143"/>
      <c r="FA65" s="143"/>
      <c r="FB65" s="143"/>
      <c r="FC65" s="143"/>
      <c r="FD65" s="143"/>
      <c r="FE65" s="143"/>
      <c r="FF65" s="143"/>
      <c r="FG65" s="143"/>
      <c r="FH65" s="143"/>
      <c r="FI65" s="143"/>
      <c r="FJ65" s="143"/>
      <c r="FK65" s="143"/>
      <c r="FL65" s="143"/>
      <c r="FM65" s="143"/>
      <c r="FN65" s="143"/>
      <c r="FO65" s="143"/>
      <c r="FP65" s="143"/>
      <c r="FQ65" s="143"/>
      <c r="FR65" s="143"/>
      <c r="FS65" s="143"/>
      <c r="FT65" s="143"/>
      <c r="FU65" s="143"/>
      <c r="FV65" s="143"/>
      <c r="FW65" s="143"/>
      <c r="FX65" s="143"/>
      <c r="FY65" s="143"/>
      <c r="FZ65" s="143"/>
      <c r="GA65" s="143"/>
      <c r="GB65" s="143"/>
      <c r="GC65" s="143"/>
      <c r="GD65" s="143"/>
      <c r="GE65" s="143"/>
      <c r="GF65" s="143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</row>
    <row r="66" spans="1:273" s="5" customFormat="1">
      <c r="A66" s="1048"/>
      <c r="B66" s="1045"/>
      <c r="C66" s="1046"/>
      <c r="D66" s="1046"/>
      <c r="E66" s="951"/>
      <c r="F66" s="951"/>
      <c r="G66" s="951"/>
      <c r="H66" s="951"/>
      <c r="I66" s="1047"/>
      <c r="J66" s="951"/>
      <c r="K66" s="951"/>
      <c r="L66" s="951"/>
      <c r="M66" s="1040"/>
      <c r="N66" s="1041"/>
      <c r="O66" s="1041"/>
      <c r="P66" s="1042"/>
      <c r="Q66" s="951"/>
      <c r="R66" s="181"/>
      <c r="S66" s="1040"/>
      <c r="T66" s="1041"/>
      <c r="U66" s="1042"/>
      <c r="V66" s="181"/>
      <c r="W66" s="181"/>
      <c r="X66" s="181"/>
      <c r="Y66" s="181"/>
      <c r="Z66" s="181"/>
      <c r="AA66" s="181"/>
      <c r="AB66" s="181"/>
      <c r="AC66" s="181"/>
      <c r="AD66" s="181"/>
      <c r="AE66" s="181"/>
      <c r="AF66" s="181"/>
      <c r="AG66" s="181"/>
      <c r="AH66" s="181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30"/>
      <c r="EE66" s="143"/>
      <c r="EF66" s="143"/>
      <c r="EG66" s="143"/>
      <c r="EH66" s="143"/>
      <c r="EI66" s="143"/>
      <c r="EJ66" s="143"/>
      <c r="EK66" s="143"/>
      <c r="EL66" s="143"/>
      <c r="EM66" s="143"/>
      <c r="EN66" s="143"/>
      <c r="EO66" s="143"/>
      <c r="EP66" s="143"/>
      <c r="EQ66" s="143"/>
      <c r="ER66" s="143"/>
      <c r="ES66" s="143"/>
      <c r="ET66" s="143"/>
      <c r="EU66" s="143"/>
      <c r="EV66" s="143"/>
      <c r="EW66" s="143"/>
      <c r="EX66" s="143"/>
      <c r="EY66" s="143"/>
      <c r="EZ66" s="143"/>
      <c r="FA66" s="143"/>
      <c r="FB66" s="143"/>
      <c r="FC66" s="143"/>
      <c r="FD66" s="143"/>
      <c r="FE66" s="143"/>
      <c r="FF66" s="143"/>
      <c r="FG66" s="143"/>
      <c r="FH66" s="143"/>
      <c r="FI66" s="143"/>
      <c r="FJ66" s="143"/>
      <c r="FK66" s="143"/>
      <c r="FL66" s="143"/>
      <c r="FM66" s="143"/>
      <c r="FN66" s="143"/>
      <c r="FO66" s="143"/>
      <c r="FP66" s="143"/>
      <c r="FQ66" s="143"/>
      <c r="FR66" s="143"/>
      <c r="FS66" s="143"/>
      <c r="FT66" s="143"/>
      <c r="FU66" s="143"/>
      <c r="FV66" s="143"/>
      <c r="FW66" s="143"/>
      <c r="FX66" s="143"/>
      <c r="FY66" s="143"/>
      <c r="FZ66" s="143"/>
      <c r="GA66" s="143"/>
      <c r="GB66" s="143"/>
      <c r="GC66" s="143"/>
      <c r="GD66" s="143"/>
      <c r="GE66" s="143"/>
      <c r="GF66" s="143"/>
      <c r="GG66" s="143"/>
      <c r="GH66" s="143"/>
      <c r="GI66" s="143"/>
      <c r="GJ66" s="143"/>
      <c r="GK66" s="143"/>
      <c r="GL66" s="143"/>
      <c r="GM66" s="143"/>
      <c r="GN66" s="143"/>
      <c r="GO66" s="143"/>
      <c r="GP66" s="143"/>
      <c r="GQ66" s="143"/>
      <c r="GR66" s="143"/>
      <c r="GS66" s="143"/>
      <c r="GT66" s="143"/>
      <c r="GU66" s="143"/>
      <c r="GV66" s="143"/>
      <c r="GW66" s="143"/>
      <c r="GX66" s="143"/>
      <c r="GY66" s="143"/>
      <c r="GZ66" s="143"/>
      <c r="HA66" s="143"/>
      <c r="HB66" s="143"/>
      <c r="HC66" s="143"/>
      <c r="HD66" s="143"/>
      <c r="HE66" s="143"/>
      <c r="HF66" s="143"/>
      <c r="HG66" s="143"/>
      <c r="HH66" s="143"/>
      <c r="HI66" s="143"/>
      <c r="HJ66" s="143"/>
      <c r="HK66" s="143"/>
      <c r="HL66" s="143"/>
      <c r="HM66" s="143"/>
      <c r="HN66" s="143"/>
      <c r="HO66" s="143"/>
      <c r="HP66" s="143"/>
      <c r="HQ66" s="143"/>
      <c r="HR66" s="143"/>
      <c r="HS66" s="143"/>
      <c r="HT66" s="143"/>
      <c r="HU66" s="143"/>
      <c r="HV66" s="143"/>
      <c r="HW66" s="143"/>
      <c r="HX66" s="143"/>
      <c r="HY66" s="143"/>
      <c r="HZ66" s="143"/>
      <c r="IA66" s="143"/>
      <c r="IB66" s="143"/>
      <c r="IC66" s="143"/>
      <c r="ID66" s="143"/>
      <c r="IE66" s="143"/>
      <c r="IF66" s="143"/>
      <c r="IG66" s="143"/>
      <c r="IH66" s="143"/>
      <c r="II66" s="143"/>
      <c r="IJ66" s="143"/>
      <c r="IK66" s="143"/>
      <c r="IL66" s="143"/>
      <c r="IM66" s="143"/>
      <c r="IN66" s="143"/>
      <c r="IO66" s="143"/>
      <c r="IP66" s="143"/>
      <c r="IQ66" s="143"/>
      <c r="IR66" s="143"/>
      <c r="IS66" s="143"/>
      <c r="IT66" s="143"/>
      <c r="IU66" s="143"/>
      <c r="IV66" s="143"/>
      <c r="IW66" s="143"/>
      <c r="IX66" s="143"/>
      <c r="IY66" s="143"/>
      <c r="IZ66" s="143"/>
      <c r="JA66" s="143"/>
      <c r="JB66" s="143"/>
      <c r="JC66" s="143"/>
      <c r="JD66" s="143"/>
      <c r="JE66" s="143"/>
      <c r="JF66" s="143"/>
      <c r="JG66" s="143"/>
      <c r="JH66" s="143"/>
      <c r="JI66" s="143"/>
      <c r="JJ66" s="143"/>
      <c r="JK66" s="143"/>
      <c r="JL66" s="143"/>
      <c r="JM66" s="143"/>
    </row>
    <row r="67" spans="1:273" s="5" customFormat="1">
      <c r="A67" s="1048"/>
      <c r="B67" s="1045"/>
      <c r="C67" s="1046"/>
      <c r="D67" s="1046"/>
      <c r="E67" s="951"/>
      <c r="F67" s="951"/>
      <c r="G67" s="951"/>
      <c r="H67" s="951"/>
      <c r="I67" s="1047"/>
      <c r="J67" s="951"/>
      <c r="K67" s="951"/>
      <c r="L67" s="951"/>
      <c r="M67" s="1040"/>
      <c r="N67" s="1041"/>
      <c r="O67" s="1041"/>
      <c r="P67" s="1042"/>
      <c r="Q67" s="951"/>
      <c r="R67" s="181"/>
      <c r="S67" s="1040"/>
      <c r="T67" s="1041"/>
      <c r="U67" s="1042"/>
      <c r="V67" s="181"/>
      <c r="W67" s="181"/>
      <c r="X67" s="181"/>
      <c r="Y67" s="181"/>
      <c r="Z67" s="181"/>
      <c r="AA67" s="181"/>
      <c r="AB67" s="181"/>
      <c r="AC67" s="181"/>
      <c r="AD67" s="181"/>
      <c r="AE67" s="181"/>
      <c r="AF67" s="181"/>
      <c r="AG67" s="181"/>
      <c r="AH67" s="181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143"/>
      <c r="CB67" s="143"/>
      <c r="CC67" s="143"/>
      <c r="CD67" s="143"/>
      <c r="CE67" s="143"/>
      <c r="CF67" s="143"/>
      <c r="CG67" s="143"/>
      <c r="CH67" s="143"/>
      <c r="CI67" s="143"/>
      <c r="CJ67" s="143"/>
      <c r="CK67" s="143"/>
      <c r="CL67" s="143"/>
      <c r="CM67" s="143"/>
      <c r="CN67" s="143"/>
      <c r="CO67" s="143"/>
      <c r="CP67" s="143"/>
      <c r="CQ67" s="143"/>
      <c r="CR67" s="143"/>
      <c r="CS67" s="143"/>
      <c r="CT67" s="143"/>
      <c r="CU67" s="143"/>
      <c r="CV67" s="143"/>
      <c r="CW67" s="143"/>
      <c r="CX67" s="143"/>
      <c r="CY67" s="143"/>
      <c r="CZ67" s="143"/>
      <c r="DA67" s="143"/>
      <c r="DB67" s="143"/>
      <c r="DC67" s="143"/>
      <c r="DD67" s="143"/>
      <c r="DE67" s="143"/>
      <c r="DF67" s="143"/>
      <c r="DG67" s="143"/>
      <c r="DH67" s="143"/>
      <c r="DI67" s="143"/>
      <c r="DJ67" s="143"/>
      <c r="DK67" s="143"/>
      <c r="DL67" s="143"/>
      <c r="DM67" s="143"/>
      <c r="DN67" s="143"/>
      <c r="DO67" s="143"/>
      <c r="DP67" s="143"/>
      <c r="DQ67" s="143"/>
      <c r="DR67" s="143"/>
      <c r="DS67" s="143"/>
      <c r="DT67" s="143"/>
      <c r="DU67" s="143"/>
      <c r="DV67" s="143"/>
      <c r="DW67" s="143"/>
      <c r="DX67" s="143"/>
      <c r="DY67" s="143"/>
      <c r="DZ67" s="143"/>
      <c r="EA67" s="143"/>
      <c r="EB67" s="143"/>
      <c r="EC67" s="143"/>
      <c r="ED67" s="130"/>
      <c r="EE67" s="143"/>
      <c r="EF67" s="143"/>
      <c r="EG67" s="143"/>
      <c r="EH67" s="143"/>
      <c r="EI67" s="143"/>
      <c r="EJ67" s="143"/>
      <c r="EK67" s="143"/>
      <c r="EL67" s="143"/>
      <c r="EM67" s="143"/>
      <c r="EN67" s="143"/>
      <c r="EO67" s="143"/>
      <c r="EP67" s="143"/>
      <c r="EQ67" s="143"/>
      <c r="ER67" s="143"/>
      <c r="ES67" s="143"/>
      <c r="ET67" s="143"/>
      <c r="EU67" s="143"/>
      <c r="EV67" s="143"/>
      <c r="EW67" s="143"/>
      <c r="EX67" s="143"/>
      <c r="EY67" s="143"/>
      <c r="EZ67" s="143"/>
      <c r="FA67" s="143"/>
      <c r="FB67" s="143"/>
      <c r="FC67" s="143"/>
      <c r="FD67" s="143"/>
      <c r="FE67" s="143"/>
      <c r="FF67" s="143"/>
      <c r="FG67" s="143"/>
      <c r="FH67" s="143"/>
      <c r="FI67" s="143"/>
      <c r="FJ67" s="143"/>
      <c r="FK67" s="143"/>
      <c r="FL67" s="143"/>
      <c r="FM67" s="143"/>
      <c r="FN67" s="143"/>
      <c r="FO67" s="143"/>
      <c r="FP67" s="143"/>
      <c r="FQ67" s="143"/>
      <c r="FR67" s="143"/>
      <c r="FS67" s="143"/>
      <c r="FT67" s="143"/>
      <c r="FU67" s="143"/>
      <c r="FV67" s="143"/>
      <c r="FW67" s="143"/>
      <c r="FX67" s="143"/>
      <c r="FY67" s="143"/>
      <c r="FZ67" s="143"/>
      <c r="GA67" s="143"/>
      <c r="GB67" s="143"/>
      <c r="GC67" s="143"/>
      <c r="GD67" s="143"/>
      <c r="GE67" s="143"/>
      <c r="GF67" s="143"/>
      <c r="GG67" s="143"/>
      <c r="GH67" s="143"/>
      <c r="GI67" s="143"/>
      <c r="GJ67" s="143"/>
      <c r="GK67" s="143"/>
      <c r="GL67" s="143"/>
      <c r="GM67" s="143"/>
      <c r="GN67" s="143"/>
      <c r="GO67" s="143"/>
      <c r="GP67" s="143"/>
      <c r="GQ67" s="143"/>
      <c r="GR67" s="143"/>
      <c r="GS67" s="143"/>
      <c r="GT67" s="143"/>
      <c r="GU67" s="143"/>
      <c r="GV67" s="143"/>
      <c r="GW67" s="143"/>
      <c r="GX67" s="143"/>
      <c r="GY67" s="143"/>
      <c r="GZ67" s="143"/>
      <c r="HA67" s="143"/>
      <c r="HB67" s="143"/>
      <c r="HC67" s="143"/>
      <c r="HD67" s="143"/>
      <c r="HE67" s="143"/>
      <c r="HF67" s="143"/>
      <c r="HG67" s="143"/>
      <c r="HH67" s="143"/>
      <c r="HI67" s="143"/>
      <c r="HJ67" s="143"/>
      <c r="HK67" s="143"/>
      <c r="HL67" s="143"/>
      <c r="HM67" s="143"/>
      <c r="HN67" s="143"/>
      <c r="HO67" s="143"/>
      <c r="HP67" s="143"/>
      <c r="HQ67" s="143"/>
      <c r="HR67" s="143"/>
      <c r="HS67" s="143"/>
      <c r="HT67" s="143"/>
      <c r="HU67" s="143"/>
      <c r="HV67" s="143"/>
      <c r="HW67" s="143"/>
      <c r="HX67" s="143"/>
      <c r="HY67" s="143"/>
      <c r="HZ67" s="143"/>
      <c r="IA67" s="143"/>
      <c r="IB67" s="143"/>
      <c r="IC67" s="143"/>
      <c r="ID67" s="143"/>
      <c r="IE67" s="143"/>
      <c r="IF67" s="143"/>
      <c r="IG67" s="143"/>
      <c r="IH67" s="143"/>
      <c r="II67" s="143"/>
      <c r="IJ67" s="143"/>
      <c r="IK67" s="143"/>
      <c r="IL67" s="143"/>
      <c r="IM67" s="143"/>
      <c r="IN67" s="143"/>
      <c r="IO67" s="143"/>
      <c r="IP67" s="143"/>
      <c r="IQ67" s="143"/>
      <c r="IR67" s="143"/>
      <c r="IS67" s="143"/>
      <c r="IT67" s="143"/>
      <c r="IU67" s="143"/>
      <c r="IV67" s="143"/>
      <c r="IW67" s="143"/>
      <c r="IX67" s="143"/>
      <c r="IY67" s="143"/>
      <c r="IZ67" s="143"/>
      <c r="JA67" s="143"/>
      <c r="JB67" s="143"/>
      <c r="JC67" s="143"/>
      <c r="JD67" s="143"/>
      <c r="JE67" s="143"/>
      <c r="JF67" s="143"/>
      <c r="JG67" s="143"/>
      <c r="JH67" s="143"/>
      <c r="JI67" s="143"/>
      <c r="JJ67" s="143"/>
      <c r="JK67" s="143"/>
      <c r="JL67" s="143"/>
      <c r="JM67" s="143"/>
    </row>
    <row r="68" spans="1:273" s="5" customFormat="1">
      <c r="A68" s="1048"/>
      <c r="B68" s="1045"/>
      <c r="C68" s="1046"/>
      <c r="D68" s="1046"/>
      <c r="E68" s="951"/>
      <c r="F68" s="951"/>
      <c r="G68" s="951"/>
      <c r="H68" s="951"/>
      <c r="I68" s="1047"/>
      <c r="J68" s="951"/>
      <c r="K68" s="951"/>
      <c r="L68" s="951"/>
      <c r="M68" s="1040"/>
      <c r="N68" s="1041"/>
      <c r="O68" s="1041"/>
      <c r="P68" s="1042"/>
      <c r="Q68" s="951"/>
      <c r="R68" s="181"/>
      <c r="S68" s="1040"/>
      <c r="T68" s="1041"/>
      <c r="U68" s="1042"/>
      <c r="V68" s="181"/>
      <c r="W68" s="181"/>
      <c r="X68" s="181"/>
      <c r="Y68" s="181"/>
      <c r="Z68" s="181"/>
      <c r="AA68" s="181"/>
      <c r="AB68" s="181"/>
      <c r="AC68" s="181"/>
      <c r="AD68" s="181"/>
      <c r="AE68" s="181"/>
      <c r="AF68" s="181"/>
      <c r="AG68" s="181"/>
      <c r="AH68" s="181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30"/>
      <c r="EE68" s="143"/>
      <c r="EF68" s="143"/>
      <c r="EG68" s="143"/>
      <c r="EH68" s="143"/>
      <c r="EI68" s="143"/>
      <c r="EJ68" s="143"/>
      <c r="EK68" s="143"/>
      <c r="EL68" s="143"/>
      <c r="EM68" s="143"/>
      <c r="EN68" s="143"/>
      <c r="EO68" s="143"/>
      <c r="EP68" s="143"/>
      <c r="EQ68" s="143"/>
      <c r="ER68" s="143"/>
      <c r="ES68" s="143"/>
      <c r="ET68" s="143"/>
      <c r="EU68" s="143"/>
      <c r="EV68" s="143"/>
      <c r="EW68" s="143"/>
      <c r="EX68" s="143"/>
      <c r="EY68" s="143"/>
      <c r="EZ68" s="143"/>
      <c r="FA68" s="143"/>
      <c r="FB68" s="143"/>
      <c r="FC68" s="143"/>
      <c r="FD68" s="143"/>
      <c r="FE68" s="143"/>
      <c r="FF68" s="143"/>
      <c r="FG68" s="143"/>
      <c r="FH68" s="143"/>
      <c r="FI68" s="143"/>
      <c r="FJ68" s="143"/>
      <c r="FK68" s="143"/>
      <c r="FL68" s="143"/>
      <c r="FM68" s="143"/>
      <c r="FN68" s="143"/>
      <c r="FO68" s="143"/>
      <c r="FP68" s="143"/>
      <c r="FQ68" s="143"/>
      <c r="FR68" s="143"/>
      <c r="FS68" s="143"/>
      <c r="FT68" s="143"/>
      <c r="FU68" s="143"/>
      <c r="FV68" s="143"/>
      <c r="FW68" s="143"/>
      <c r="FX68" s="143"/>
      <c r="FY68" s="143"/>
      <c r="FZ68" s="143"/>
      <c r="GA68" s="143"/>
      <c r="GB68" s="143"/>
      <c r="GC68" s="143"/>
      <c r="GD68" s="143"/>
      <c r="GE68" s="143"/>
      <c r="GF68" s="143"/>
      <c r="GG68" s="143"/>
      <c r="GH68" s="143"/>
      <c r="GI68" s="143"/>
      <c r="GJ68" s="143"/>
      <c r="GK68" s="143"/>
      <c r="GL68" s="143"/>
      <c r="GM68" s="143"/>
      <c r="GN68" s="143"/>
      <c r="GO68" s="143"/>
      <c r="GP68" s="143"/>
      <c r="GQ68" s="143"/>
      <c r="GR68" s="143"/>
      <c r="GS68" s="143"/>
      <c r="GT68" s="143"/>
      <c r="GU68" s="143"/>
      <c r="GV68" s="143"/>
      <c r="GW68" s="143"/>
      <c r="GX68" s="143"/>
      <c r="GY68" s="143"/>
      <c r="GZ68" s="143"/>
      <c r="HA68" s="143"/>
      <c r="HB68" s="143"/>
      <c r="HC68" s="143"/>
      <c r="HD68" s="143"/>
      <c r="HE68" s="143"/>
      <c r="HF68" s="143"/>
      <c r="HG68" s="143"/>
      <c r="HH68" s="143"/>
      <c r="HI68" s="143"/>
      <c r="HJ68" s="143"/>
      <c r="HK68" s="143"/>
      <c r="HL68" s="143"/>
      <c r="HM68" s="143"/>
      <c r="HN68" s="143"/>
      <c r="HO68" s="143"/>
      <c r="HP68" s="143"/>
      <c r="HQ68" s="143"/>
      <c r="HR68" s="143"/>
      <c r="HS68" s="143"/>
      <c r="HT68" s="143"/>
      <c r="HU68" s="143"/>
      <c r="HV68" s="143"/>
      <c r="HW68" s="143"/>
      <c r="HX68" s="143"/>
      <c r="HY68" s="143"/>
      <c r="HZ68" s="143"/>
      <c r="IA68" s="143"/>
      <c r="IB68" s="143"/>
      <c r="IC68" s="143"/>
      <c r="ID68" s="143"/>
      <c r="IE68" s="143"/>
      <c r="IF68" s="143"/>
      <c r="IG68" s="143"/>
      <c r="IH68" s="143"/>
      <c r="II68" s="143"/>
      <c r="IJ68" s="143"/>
      <c r="IK68" s="143"/>
      <c r="IL68" s="143"/>
      <c r="IM68" s="143"/>
      <c r="IN68" s="143"/>
      <c r="IO68" s="143"/>
      <c r="IP68" s="143"/>
      <c r="IQ68" s="143"/>
      <c r="IR68" s="143"/>
      <c r="IS68" s="143"/>
      <c r="IT68" s="143"/>
      <c r="IU68" s="143"/>
      <c r="IV68" s="143"/>
      <c r="IW68" s="143"/>
      <c r="IX68" s="143"/>
      <c r="IY68" s="143"/>
      <c r="IZ68" s="143"/>
      <c r="JA68" s="143"/>
      <c r="JB68" s="143"/>
      <c r="JC68" s="143"/>
      <c r="JD68" s="143"/>
      <c r="JE68" s="143"/>
      <c r="JF68" s="143"/>
      <c r="JG68" s="143"/>
      <c r="JH68" s="143"/>
      <c r="JI68" s="143"/>
      <c r="JJ68" s="143"/>
      <c r="JK68" s="143"/>
      <c r="JL68" s="143"/>
      <c r="JM68" s="143"/>
    </row>
    <row r="69" spans="1:273" s="5" customFormat="1">
      <c r="A69" s="1048"/>
      <c r="B69" s="1045"/>
      <c r="C69" s="1046"/>
      <c r="D69" s="1046"/>
      <c r="E69" s="951"/>
      <c r="F69" s="951"/>
      <c r="G69" s="951"/>
      <c r="H69" s="951"/>
      <c r="I69" s="1047"/>
      <c r="J69" s="951"/>
      <c r="K69" s="951"/>
      <c r="L69" s="951"/>
      <c r="M69" s="1040"/>
      <c r="N69" s="1041"/>
      <c r="O69" s="1041"/>
      <c r="P69" s="1042"/>
      <c r="Q69" s="951"/>
      <c r="R69" s="181"/>
      <c r="S69" s="1040"/>
      <c r="T69" s="1041"/>
      <c r="U69" s="1042"/>
      <c r="V69" s="181"/>
      <c r="W69" s="181"/>
      <c r="X69" s="181"/>
      <c r="Y69" s="181"/>
      <c r="Z69" s="181"/>
      <c r="AA69" s="181"/>
      <c r="AB69" s="181"/>
      <c r="AC69" s="181"/>
      <c r="AD69" s="181"/>
      <c r="AE69" s="181"/>
      <c r="AF69" s="181"/>
      <c r="AG69" s="181"/>
      <c r="AH69" s="181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30"/>
      <c r="EE69" s="143"/>
      <c r="EF69" s="143"/>
      <c r="EG69" s="143"/>
      <c r="EH69" s="143"/>
      <c r="EI69" s="143"/>
      <c r="EJ69" s="143"/>
      <c r="EK69" s="143"/>
      <c r="EL69" s="143"/>
      <c r="EM69" s="143"/>
      <c r="EN69" s="143"/>
      <c r="EO69" s="143"/>
      <c r="EP69" s="143"/>
      <c r="EQ69" s="143"/>
      <c r="ER69" s="143"/>
      <c r="ES69" s="143"/>
      <c r="ET69" s="143"/>
      <c r="EU69" s="143"/>
      <c r="EV69" s="143"/>
      <c r="EW69" s="143"/>
      <c r="EX69" s="143"/>
      <c r="EY69" s="143"/>
      <c r="EZ69" s="143"/>
      <c r="FA69" s="143"/>
      <c r="FB69" s="143"/>
      <c r="FC69" s="143"/>
      <c r="FD69" s="143"/>
      <c r="FE69" s="143"/>
      <c r="FF69" s="143"/>
      <c r="FG69" s="143"/>
      <c r="FH69" s="143"/>
      <c r="FI69" s="143"/>
      <c r="FJ69" s="143"/>
      <c r="FK69" s="143"/>
      <c r="FL69" s="143"/>
      <c r="FM69" s="143"/>
      <c r="FN69" s="143"/>
      <c r="FO69" s="143"/>
      <c r="FP69" s="143"/>
      <c r="FQ69" s="143"/>
      <c r="FR69" s="143"/>
      <c r="FS69" s="143"/>
      <c r="FT69" s="143"/>
      <c r="FU69" s="143"/>
      <c r="FV69" s="143"/>
      <c r="FW69" s="143"/>
      <c r="FX69" s="143"/>
      <c r="FY69" s="143"/>
      <c r="FZ69" s="143"/>
      <c r="GA69" s="143"/>
      <c r="GB69" s="143"/>
      <c r="GC69" s="143"/>
      <c r="GD69" s="143"/>
      <c r="GE69" s="143"/>
      <c r="GF69" s="143"/>
      <c r="GG69" s="143"/>
      <c r="GH69" s="143"/>
      <c r="GI69" s="143"/>
      <c r="GJ69" s="143"/>
      <c r="GK69" s="143"/>
      <c r="GL69" s="143"/>
      <c r="GM69" s="143"/>
      <c r="GN69" s="143"/>
      <c r="GO69" s="143"/>
      <c r="GP69" s="143"/>
      <c r="GQ69" s="143"/>
      <c r="GR69" s="143"/>
      <c r="GS69" s="143"/>
      <c r="GT69" s="143"/>
      <c r="GU69" s="143"/>
      <c r="GV69" s="143"/>
      <c r="GW69" s="143"/>
      <c r="GX69" s="143"/>
      <c r="GY69" s="143"/>
      <c r="GZ69" s="143"/>
      <c r="HA69" s="143"/>
      <c r="HB69" s="143"/>
      <c r="HC69" s="143"/>
      <c r="HD69" s="143"/>
      <c r="HE69" s="143"/>
      <c r="HF69" s="143"/>
      <c r="HG69" s="143"/>
      <c r="HH69" s="143"/>
      <c r="HI69" s="143"/>
      <c r="HJ69" s="143"/>
      <c r="HK69" s="143"/>
      <c r="HL69" s="143"/>
      <c r="HM69" s="143"/>
      <c r="HN69" s="143"/>
      <c r="HO69" s="143"/>
      <c r="HP69" s="143"/>
      <c r="HQ69" s="143"/>
      <c r="HR69" s="143"/>
      <c r="HS69" s="143"/>
      <c r="HT69" s="143"/>
      <c r="HU69" s="143"/>
      <c r="HV69" s="143"/>
      <c r="HW69" s="143"/>
      <c r="HX69" s="143"/>
      <c r="HY69" s="143"/>
      <c r="HZ69" s="143"/>
      <c r="IA69" s="143"/>
      <c r="IB69" s="143"/>
      <c r="IC69" s="143"/>
      <c r="ID69" s="143"/>
      <c r="IE69" s="143"/>
      <c r="IF69" s="143"/>
      <c r="IG69" s="143"/>
      <c r="IH69" s="143"/>
      <c r="II69" s="143"/>
      <c r="IJ69" s="143"/>
      <c r="IK69" s="143"/>
      <c r="IL69" s="143"/>
      <c r="IM69" s="143"/>
      <c r="IN69" s="143"/>
      <c r="IO69" s="143"/>
      <c r="IP69" s="143"/>
      <c r="IQ69" s="143"/>
      <c r="IR69" s="143"/>
      <c r="IS69" s="143"/>
      <c r="IT69" s="143"/>
      <c r="IU69" s="143"/>
      <c r="IV69" s="143"/>
      <c r="IW69" s="143"/>
      <c r="IX69" s="143"/>
      <c r="IY69" s="143"/>
      <c r="IZ69" s="143"/>
      <c r="JA69" s="143"/>
      <c r="JB69" s="143"/>
      <c r="JC69" s="143"/>
      <c r="JD69" s="143"/>
      <c r="JE69" s="143"/>
      <c r="JF69" s="143"/>
      <c r="JG69" s="143"/>
      <c r="JH69" s="143"/>
      <c r="JI69" s="143"/>
      <c r="JJ69" s="143"/>
      <c r="JK69" s="143"/>
      <c r="JL69" s="143"/>
      <c r="JM69" s="143"/>
    </row>
    <row r="70" spans="1:273" s="5" customFormat="1">
      <c r="A70" s="1048"/>
      <c r="B70" s="1045"/>
      <c r="C70" s="1046"/>
      <c r="D70" s="1046"/>
      <c r="E70" s="951"/>
      <c r="F70" s="951"/>
      <c r="G70" s="951"/>
      <c r="H70" s="951"/>
      <c r="I70" s="1047"/>
      <c r="J70" s="951"/>
      <c r="K70" s="951"/>
      <c r="L70" s="951"/>
      <c r="M70" s="1040"/>
      <c r="N70" s="1041"/>
      <c r="O70" s="1041"/>
      <c r="P70" s="1042"/>
      <c r="Q70" s="951"/>
      <c r="R70" s="181"/>
      <c r="S70" s="1040"/>
      <c r="T70" s="1041"/>
      <c r="U70" s="1042"/>
      <c r="V70" s="181"/>
      <c r="W70" s="181"/>
      <c r="X70" s="181"/>
      <c r="Y70" s="181"/>
      <c r="Z70" s="181"/>
      <c r="AA70" s="181"/>
      <c r="AB70" s="181"/>
      <c r="AC70" s="181"/>
      <c r="AD70" s="181"/>
      <c r="AE70" s="181"/>
      <c r="AF70" s="181"/>
      <c r="AG70" s="181"/>
      <c r="AH70" s="181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30"/>
      <c r="EE70" s="143"/>
      <c r="EF70" s="143"/>
      <c r="EG70" s="143"/>
      <c r="EH70" s="143"/>
      <c r="EI70" s="143"/>
      <c r="EJ70" s="143"/>
      <c r="EK70" s="143"/>
      <c r="EL70" s="143"/>
      <c r="EM70" s="143"/>
      <c r="EN70" s="143"/>
      <c r="EO70" s="143"/>
      <c r="EP70" s="143"/>
      <c r="EQ70" s="143"/>
      <c r="ER70" s="143"/>
      <c r="ES70" s="143"/>
      <c r="ET70" s="143"/>
      <c r="EU70" s="143"/>
      <c r="EV70" s="143"/>
      <c r="EW70" s="143"/>
      <c r="EX70" s="143"/>
      <c r="EY70" s="143"/>
      <c r="EZ70" s="143"/>
      <c r="FA70" s="143"/>
      <c r="FB70" s="143"/>
      <c r="FC70" s="143"/>
      <c r="FD70" s="143"/>
      <c r="FE70" s="143"/>
      <c r="FF70" s="143"/>
      <c r="FG70" s="143"/>
      <c r="FH70" s="143"/>
      <c r="FI70" s="143"/>
      <c r="FJ70" s="143"/>
      <c r="FK70" s="143"/>
      <c r="FL70" s="143"/>
      <c r="FM70" s="143"/>
      <c r="FN70" s="143"/>
      <c r="FO70" s="143"/>
      <c r="FP70" s="143"/>
      <c r="FQ70" s="143"/>
      <c r="FR70" s="143"/>
      <c r="FS70" s="143"/>
      <c r="FT70" s="143"/>
      <c r="FU70" s="143"/>
      <c r="FV70" s="143"/>
      <c r="FW70" s="143"/>
      <c r="FX70" s="143"/>
      <c r="FY70" s="143"/>
      <c r="FZ70" s="143"/>
      <c r="GA70" s="143"/>
      <c r="GB70" s="143"/>
      <c r="GC70" s="143"/>
      <c r="GD70" s="143"/>
      <c r="GE70" s="143"/>
      <c r="GF70" s="143"/>
      <c r="GG70" s="143"/>
      <c r="GH70" s="143"/>
      <c r="GI70" s="143"/>
      <c r="GJ70" s="143"/>
      <c r="GK70" s="143"/>
      <c r="GL70" s="143"/>
      <c r="GM70" s="143"/>
      <c r="GN70" s="143"/>
      <c r="GO70" s="143"/>
      <c r="GP70" s="143"/>
      <c r="GQ70" s="143"/>
      <c r="GR70" s="143"/>
      <c r="GS70" s="143"/>
      <c r="GT70" s="143"/>
      <c r="GU70" s="143"/>
      <c r="GV70" s="143"/>
      <c r="GW70" s="143"/>
      <c r="GX70" s="143"/>
      <c r="GY70" s="143"/>
      <c r="GZ70" s="143"/>
      <c r="HA70" s="143"/>
      <c r="HB70" s="143"/>
      <c r="HC70" s="143"/>
      <c r="HD70" s="143"/>
      <c r="HE70" s="143"/>
      <c r="HF70" s="143"/>
      <c r="HG70" s="143"/>
      <c r="HH70" s="143"/>
      <c r="HI70" s="143"/>
      <c r="HJ70" s="143"/>
      <c r="HK70" s="143"/>
      <c r="HL70" s="143"/>
      <c r="HM70" s="143"/>
      <c r="HN70" s="143"/>
      <c r="HO70" s="143"/>
      <c r="HP70" s="143"/>
      <c r="HQ70" s="143"/>
      <c r="HR70" s="143"/>
      <c r="HS70" s="143"/>
      <c r="HT70" s="143"/>
      <c r="HU70" s="143"/>
      <c r="HV70" s="143"/>
      <c r="HW70" s="143"/>
      <c r="HX70" s="143"/>
      <c r="HY70" s="143"/>
      <c r="HZ70" s="143"/>
      <c r="IA70" s="143"/>
      <c r="IB70" s="143"/>
      <c r="IC70" s="143"/>
      <c r="ID70" s="143"/>
      <c r="IE70" s="143"/>
      <c r="IF70" s="143"/>
      <c r="IG70" s="143"/>
      <c r="IH70" s="143"/>
      <c r="II70" s="143"/>
      <c r="IJ70" s="143"/>
      <c r="IK70" s="143"/>
      <c r="IL70" s="143"/>
      <c r="IM70" s="143"/>
      <c r="IN70" s="143"/>
      <c r="IO70" s="143"/>
      <c r="IP70" s="143"/>
      <c r="IQ70" s="143"/>
      <c r="IR70" s="143"/>
      <c r="IS70" s="143"/>
      <c r="IT70" s="143"/>
      <c r="IU70" s="143"/>
      <c r="IV70" s="143"/>
      <c r="IW70" s="143"/>
      <c r="IX70" s="143"/>
      <c r="IY70" s="143"/>
      <c r="IZ70" s="143"/>
      <c r="JA70" s="143"/>
      <c r="JB70" s="143"/>
      <c r="JC70" s="143"/>
      <c r="JD70" s="143"/>
      <c r="JE70" s="143"/>
      <c r="JF70" s="143"/>
      <c r="JG70" s="143"/>
      <c r="JH70" s="143"/>
      <c r="JI70" s="143"/>
      <c r="JJ70" s="143"/>
      <c r="JK70" s="143"/>
      <c r="JL70" s="143"/>
      <c r="JM70" s="143"/>
    </row>
    <row r="71" spans="1:273" s="5" customFormat="1">
      <c r="A71" s="1048"/>
      <c r="B71" s="1045"/>
      <c r="C71" s="1046"/>
      <c r="D71" s="1046"/>
      <c r="E71" s="951"/>
      <c r="F71" s="951"/>
      <c r="G71" s="951"/>
      <c r="H71" s="951"/>
      <c r="I71" s="1047"/>
      <c r="J71" s="951"/>
      <c r="K71" s="951"/>
      <c r="L71" s="951"/>
      <c r="M71" s="1040"/>
      <c r="N71" s="1041"/>
      <c r="O71" s="1041"/>
      <c r="P71" s="1042"/>
      <c r="Q71" s="951"/>
      <c r="R71" s="181"/>
      <c r="S71" s="1040"/>
      <c r="T71" s="1041"/>
      <c r="U71" s="1042"/>
      <c r="V71" s="181"/>
      <c r="W71" s="181"/>
      <c r="X71" s="181"/>
      <c r="Y71" s="181"/>
      <c r="Z71" s="181"/>
      <c r="AA71" s="181"/>
      <c r="AB71" s="181"/>
      <c r="AC71" s="181"/>
      <c r="AD71" s="181"/>
      <c r="AE71" s="181"/>
      <c r="AF71" s="181"/>
      <c r="AG71" s="181"/>
      <c r="AH71" s="181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30"/>
      <c r="EE71" s="143"/>
      <c r="EF71" s="143"/>
      <c r="EG71" s="143"/>
      <c r="EH71" s="143"/>
      <c r="EI71" s="143"/>
      <c r="EJ71" s="143"/>
      <c r="EK71" s="143"/>
      <c r="EL71" s="143"/>
      <c r="EM71" s="143"/>
      <c r="EN71" s="143"/>
      <c r="EO71" s="143"/>
      <c r="EP71" s="143"/>
      <c r="EQ71" s="143"/>
      <c r="ER71" s="143"/>
      <c r="ES71" s="143"/>
      <c r="ET71" s="143"/>
      <c r="EU71" s="143"/>
      <c r="EV71" s="143"/>
      <c r="EW71" s="143"/>
      <c r="EX71" s="143"/>
      <c r="EY71" s="143"/>
      <c r="EZ71" s="143"/>
      <c r="FA71" s="143"/>
      <c r="FB71" s="143"/>
      <c r="FC71" s="143"/>
      <c r="FD71" s="143"/>
      <c r="FE71" s="143"/>
      <c r="FF71" s="143"/>
      <c r="FG71" s="143"/>
      <c r="FH71" s="143"/>
      <c r="FI71" s="143"/>
      <c r="FJ71" s="143"/>
      <c r="FK71" s="143"/>
      <c r="FL71" s="143"/>
      <c r="FM71" s="143"/>
      <c r="FN71" s="143"/>
      <c r="FO71" s="143"/>
      <c r="FP71" s="143"/>
      <c r="FQ71" s="143"/>
      <c r="FR71" s="143"/>
      <c r="FS71" s="143"/>
      <c r="FT71" s="143"/>
      <c r="FU71" s="143"/>
      <c r="FV71" s="143"/>
      <c r="FW71" s="143"/>
      <c r="FX71" s="143"/>
      <c r="FY71" s="143"/>
      <c r="FZ71" s="143"/>
      <c r="GA71" s="143"/>
      <c r="GB71" s="143"/>
      <c r="GC71" s="143"/>
      <c r="GD71" s="143"/>
      <c r="GE71" s="143"/>
      <c r="GF71" s="143"/>
      <c r="GG71" s="143"/>
      <c r="GH71" s="143"/>
      <c r="GI71" s="143"/>
      <c r="GJ71" s="143"/>
      <c r="GK71" s="143"/>
      <c r="GL71" s="143"/>
      <c r="GM71" s="143"/>
      <c r="GN71" s="143"/>
      <c r="GO71" s="143"/>
      <c r="GP71" s="143"/>
      <c r="GQ71" s="143"/>
      <c r="GR71" s="143"/>
      <c r="GS71" s="143"/>
      <c r="GT71" s="143"/>
      <c r="GU71" s="143"/>
      <c r="GV71" s="143"/>
      <c r="GW71" s="143"/>
      <c r="GX71" s="143"/>
      <c r="GY71" s="143"/>
      <c r="GZ71" s="143"/>
      <c r="HA71" s="143"/>
      <c r="HB71" s="143"/>
      <c r="HC71" s="143"/>
      <c r="HD71" s="143"/>
      <c r="HE71" s="143"/>
      <c r="HF71" s="143"/>
      <c r="HG71" s="143"/>
      <c r="HH71" s="143"/>
      <c r="HI71" s="143"/>
      <c r="HJ71" s="143"/>
      <c r="HK71" s="143"/>
      <c r="HL71" s="143"/>
      <c r="HM71" s="143"/>
      <c r="HN71" s="143"/>
      <c r="HO71" s="143"/>
      <c r="HP71" s="143"/>
      <c r="HQ71" s="143"/>
      <c r="HR71" s="143"/>
      <c r="HS71" s="143"/>
      <c r="HT71" s="143"/>
      <c r="HU71" s="143"/>
      <c r="HV71" s="143"/>
      <c r="HW71" s="143"/>
      <c r="HX71" s="143"/>
      <c r="HY71" s="143"/>
      <c r="HZ71" s="143"/>
      <c r="IA71" s="143"/>
      <c r="IB71" s="143"/>
      <c r="IC71" s="143"/>
      <c r="ID71" s="143"/>
      <c r="IE71" s="143"/>
      <c r="IF71" s="143"/>
      <c r="IG71" s="143"/>
      <c r="IH71" s="143"/>
      <c r="II71" s="143"/>
      <c r="IJ71" s="143"/>
      <c r="IK71" s="143"/>
      <c r="IL71" s="143"/>
      <c r="IM71" s="143"/>
      <c r="IN71" s="143"/>
      <c r="IO71" s="143"/>
      <c r="IP71" s="143"/>
      <c r="IQ71" s="143"/>
      <c r="IR71" s="143"/>
      <c r="IS71" s="143"/>
      <c r="IT71" s="143"/>
      <c r="IU71" s="143"/>
      <c r="IV71" s="143"/>
      <c r="IW71" s="143"/>
      <c r="IX71" s="143"/>
      <c r="IY71" s="143"/>
      <c r="IZ71" s="143"/>
      <c r="JA71" s="143"/>
      <c r="JB71" s="143"/>
      <c r="JC71" s="143"/>
      <c r="JD71" s="143"/>
      <c r="JE71" s="143"/>
      <c r="JF71" s="143"/>
      <c r="JG71" s="143"/>
      <c r="JH71" s="143"/>
      <c r="JI71" s="143"/>
      <c r="JJ71" s="143"/>
      <c r="JK71" s="143"/>
      <c r="JL71" s="143"/>
      <c r="JM71" s="143"/>
    </row>
    <row r="72" spans="1:273" s="5" customFormat="1">
      <c r="A72" s="1048"/>
      <c r="B72" s="1045"/>
      <c r="C72" s="1046"/>
      <c r="D72" s="1046"/>
      <c r="E72" s="951"/>
      <c r="F72" s="951"/>
      <c r="G72" s="951"/>
      <c r="H72" s="951"/>
      <c r="I72" s="1047"/>
      <c r="J72" s="951"/>
      <c r="K72" s="951"/>
      <c r="L72" s="951"/>
      <c r="M72" s="1040"/>
      <c r="N72" s="1041"/>
      <c r="O72" s="1041"/>
      <c r="P72" s="1042"/>
      <c r="Q72" s="951"/>
      <c r="R72" s="181"/>
      <c r="S72" s="1040"/>
      <c r="T72" s="1041"/>
      <c r="U72" s="1042"/>
      <c r="V72" s="181"/>
      <c r="W72" s="181"/>
      <c r="X72" s="181"/>
      <c r="Y72" s="181"/>
      <c r="Z72" s="181"/>
      <c r="AA72" s="181"/>
      <c r="AB72" s="181"/>
      <c r="AC72" s="181"/>
      <c r="AD72" s="181"/>
      <c r="AE72" s="181"/>
      <c r="AF72" s="181"/>
      <c r="AG72" s="181"/>
      <c r="AH72" s="181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30"/>
      <c r="EE72" s="143"/>
      <c r="EF72" s="143"/>
      <c r="EG72" s="143"/>
      <c r="EH72" s="143"/>
      <c r="EI72" s="143"/>
      <c r="EJ72" s="143"/>
      <c r="EK72" s="143"/>
      <c r="EL72" s="143"/>
      <c r="EM72" s="143"/>
      <c r="EN72" s="143"/>
      <c r="EO72" s="143"/>
      <c r="EP72" s="143"/>
      <c r="EQ72" s="143"/>
      <c r="ER72" s="143"/>
      <c r="ES72" s="143"/>
      <c r="ET72" s="143"/>
      <c r="EU72" s="143"/>
      <c r="EV72" s="143"/>
      <c r="EW72" s="143"/>
      <c r="EX72" s="143"/>
      <c r="EY72" s="143"/>
      <c r="EZ72" s="143"/>
      <c r="FA72" s="143"/>
      <c r="FB72" s="143"/>
      <c r="FC72" s="143"/>
      <c r="FD72" s="143"/>
      <c r="FE72" s="143"/>
      <c r="FF72" s="143"/>
      <c r="FG72" s="143"/>
      <c r="FH72" s="143"/>
      <c r="FI72" s="143"/>
      <c r="FJ72" s="143"/>
      <c r="FK72" s="143"/>
      <c r="FL72" s="143"/>
      <c r="FM72" s="143"/>
      <c r="FN72" s="143"/>
      <c r="FO72" s="143"/>
      <c r="FP72" s="143"/>
      <c r="FQ72" s="143"/>
      <c r="FR72" s="143"/>
      <c r="FS72" s="143"/>
      <c r="FT72" s="143"/>
      <c r="FU72" s="143"/>
      <c r="FV72" s="143"/>
      <c r="FW72" s="143"/>
      <c r="FX72" s="143"/>
      <c r="FY72" s="143"/>
      <c r="FZ72" s="143"/>
      <c r="GA72" s="143"/>
      <c r="GB72" s="143"/>
      <c r="GC72" s="143"/>
      <c r="GD72" s="143"/>
      <c r="GE72" s="143"/>
      <c r="GF72" s="143"/>
      <c r="GG72" s="143"/>
      <c r="GH72" s="143"/>
      <c r="GI72" s="143"/>
      <c r="GJ72" s="143"/>
      <c r="GK72" s="143"/>
      <c r="GL72" s="143"/>
      <c r="GM72" s="143"/>
      <c r="GN72" s="143"/>
      <c r="GO72" s="143"/>
      <c r="GP72" s="143"/>
      <c r="GQ72" s="143"/>
      <c r="GR72" s="143"/>
      <c r="GS72" s="143"/>
      <c r="GT72" s="143"/>
      <c r="GU72" s="143"/>
      <c r="GV72" s="143"/>
      <c r="GW72" s="143"/>
      <c r="GX72" s="143"/>
      <c r="GY72" s="143"/>
      <c r="GZ72" s="143"/>
      <c r="HA72" s="143"/>
      <c r="HB72" s="143"/>
      <c r="HC72" s="143"/>
      <c r="HD72" s="143"/>
      <c r="HE72" s="143"/>
      <c r="HF72" s="143"/>
      <c r="HG72" s="143"/>
      <c r="HH72" s="143"/>
      <c r="HI72" s="143"/>
      <c r="HJ72" s="143"/>
      <c r="HK72" s="143"/>
      <c r="HL72" s="143"/>
      <c r="HM72" s="143"/>
      <c r="HN72" s="143"/>
      <c r="HO72" s="143"/>
      <c r="HP72" s="143"/>
      <c r="HQ72" s="143"/>
      <c r="HR72" s="143"/>
      <c r="HS72" s="143"/>
      <c r="HT72" s="143"/>
      <c r="HU72" s="143"/>
      <c r="HV72" s="143"/>
      <c r="HW72" s="143"/>
      <c r="HX72" s="143"/>
      <c r="HY72" s="143"/>
      <c r="HZ72" s="143"/>
      <c r="IA72" s="143"/>
      <c r="IB72" s="143"/>
      <c r="IC72" s="143"/>
      <c r="ID72" s="143"/>
      <c r="IE72" s="143"/>
      <c r="IF72" s="143"/>
      <c r="IG72" s="143"/>
      <c r="IH72" s="143"/>
      <c r="II72" s="143"/>
      <c r="IJ72" s="143"/>
      <c r="IK72" s="143"/>
      <c r="IL72" s="143"/>
      <c r="IM72" s="143"/>
      <c r="IN72" s="143"/>
      <c r="IO72" s="143"/>
      <c r="IP72" s="143"/>
      <c r="IQ72" s="143"/>
      <c r="IR72" s="143"/>
      <c r="IS72" s="143"/>
      <c r="IT72" s="143"/>
      <c r="IU72" s="143"/>
      <c r="IV72" s="143"/>
      <c r="IW72" s="143"/>
      <c r="IX72" s="143"/>
      <c r="IY72" s="143"/>
      <c r="IZ72" s="143"/>
      <c r="JA72" s="143"/>
      <c r="JB72" s="143"/>
      <c r="JC72" s="143"/>
      <c r="JD72" s="143"/>
      <c r="JE72" s="143"/>
      <c r="JF72" s="143"/>
      <c r="JG72" s="143"/>
      <c r="JH72" s="143"/>
      <c r="JI72" s="143"/>
      <c r="JJ72" s="143"/>
      <c r="JK72" s="143"/>
      <c r="JL72" s="143"/>
      <c r="JM72" s="143"/>
    </row>
    <row r="73" spans="1:273" s="5" customFormat="1">
      <c r="A73" s="1048"/>
      <c r="B73" s="1045"/>
      <c r="C73" s="1046"/>
      <c r="D73" s="1046"/>
      <c r="E73" s="951"/>
      <c r="F73" s="951"/>
      <c r="G73" s="951"/>
      <c r="H73" s="951"/>
      <c r="I73" s="1047"/>
      <c r="J73" s="951"/>
      <c r="K73" s="951"/>
      <c r="L73" s="951"/>
      <c r="M73" s="1040"/>
      <c r="N73" s="1041"/>
      <c r="O73" s="1041"/>
      <c r="P73" s="1042"/>
      <c r="Q73" s="951"/>
      <c r="R73" s="181"/>
      <c r="S73" s="1040"/>
      <c r="T73" s="1041"/>
      <c r="U73" s="1042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30"/>
      <c r="EE73" s="143"/>
      <c r="EF73" s="143"/>
      <c r="EG73" s="143"/>
      <c r="EH73" s="143"/>
      <c r="EI73" s="143"/>
      <c r="EJ73" s="143"/>
      <c r="EK73" s="143"/>
      <c r="EL73" s="143"/>
      <c r="EM73" s="143"/>
      <c r="EN73" s="143"/>
      <c r="EO73" s="143"/>
      <c r="EP73" s="143"/>
      <c r="EQ73" s="143"/>
      <c r="ER73" s="143"/>
      <c r="ES73" s="143"/>
      <c r="ET73" s="143"/>
      <c r="EU73" s="143"/>
      <c r="EV73" s="143"/>
      <c r="EW73" s="143"/>
      <c r="EX73" s="143"/>
      <c r="EY73" s="143"/>
      <c r="EZ73" s="143"/>
      <c r="FA73" s="143"/>
      <c r="FB73" s="143"/>
      <c r="FC73" s="143"/>
      <c r="FD73" s="143"/>
      <c r="FE73" s="143"/>
      <c r="FF73" s="143"/>
      <c r="FG73" s="143"/>
      <c r="FH73" s="143"/>
      <c r="FI73" s="143"/>
      <c r="FJ73" s="143"/>
      <c r="FK73" s="143"/>
      <c r="FL73" s="143"/>
      <c r="FM73" s="143"/>
      <c r="FN73" s="143"/>
      <c r="FO73" s="143"/>
      <c r="FP73" s="143"/>
      <c r="FQ73" s="143"/>
      <c r="FR73" s="143"/>
      <c r="FS73" s="143"/>
      <c r="FT73" s="143"/>
      <c r="FU73" s="143"/>
      <c r="FV73" s="143"/>
      <c r="FW73" s="143"/>
      <c r="FX73" s="143"/>
      <c r="FY73" s="143"/>
      <c r="FZ73" s="143"/>
      <c r="GA73" s="143"/>
      <c r="GB73" s="143"/>
      <c r="GC73" s="143"/>
      <c r="GD73" s="143"/>
      <c r="GE73" s="143"/>
      <c r="GF73" s="143"/>
      <c r="GG73" s="143"/>
      <c r="GH73" s="143"/>
      <c r="GI73" s="143"/>
      <c r="GJ73" s="143"/>
      <c r="GK73" s="143"/>
      <c r="GL73" s="143"/>
      <c r="GM73" s="143"/>
      <c r="GN73" s="143"/>
      <c r="GO73" s="143"/>
      <c r="GP73" s="143"/>
      <c r="GQ73" s="143"/>
      <c r="GR73" s="143"/>
      <c r="GS73" s="143"/>
      <c r="GT73" s="143"/>
      <c r="GU73" s="143"/>
      <c r="GV73" s="143"/>
      <c r="GW73" s="143"/>
      <c r="GX73" s="143"/>
      <c r="GY73" s="143"/>
      <c r="GZ73" s="143"/>
      <c r="HA73" s="143"/>
      <c r="HB73" s="143"/>
      <c r="HC73" s="143"/>
      <c r="HD73" s="143"/>
      <c r="HE73" s="143"/>
      <c r="HF73" s="143"/>
      <c r="HG73" s="143"/>
      <c r="HH73" s="143"/>
      <c r="HI73" s="143"/>
      <c r="HJ73" s="143"/>
      <c r="HK73" s="143"/>
      <c r="HL73" s="143"/>
      <c r="HM73" s="143"/>
      <c r="HN73" s="143"/>
      <c r="HO73" s="143"/>
      <c r="HP73" s="143"/>
      <c r="HQ73" s="143"/>
      <c r="HR73" s="143"/>
      <c r="HS73" s="143"/>
      <c r="HT73" s="143"/>
      <c r="HU73" s="143"/>
      <c r="HV73" s="143"/>
      <c r="HW73" s="143"/>
      <c r="HX73" s="143"/>
      <c r="HY73" s="143"/>
      <c r="HZ73" s="143"/>
      <c r="IA73" s="143"/>
      <c r="IB73" s="143"/>
      <c r="IC73" s="143"/>
      <c r="ID73" s="143"/>
      <c r="IE73" s="143"/>
      <c r="IF73" s="143"/>
      <c r="IG73" s="143"/>
      <c r="IH73" s="143"/>
      <c r="II73" s="143"/>
      <c r="IJ73" s="143"/>
      <c r="IK73" s="143"/>
      <c r="IL73" s="143"/>
      <c r="IM73" s="143"/>
      <c r="IN73" s="143"/>
      <c r="IO73" s="143"/>
      <c r="IP73" s="143"/>
      <c r="IQ73" s="143"/>
      <c r="IR73" s="143"/>
      <c r="IS73" s="143"/>
      <c r="IT73" s="143"/>
      <c r="IU73" s="143"/>
      <c r="IV73" s="143"/>
      <c r="IW73" s="143"/>
      <c r="IX73" s="143"/>
      <c r="IY73" s="143"/>
      <c r="IZ73" s="143"/>
      <c r="JA73" s="143"/>
      <c r="JB73" s="143"/>
      <c r="JC73" s="143"/>
      <c r="JD73" s="143"/>
      <c r="JE73" s="143"/>
      <c r="JF73" s="143"/>
      <c r="JG73" s="143"/>
      <c r="JH73" s="143"/>
      <c r="JI73" s="143"/>
      <c r="JJ73" s="143"/>
      <c r="JK73" s="143"/>
      <c r="JL73" s="143"/>
      <c r="JM73" s="143"/>
    </row>
    <row r="74" spans="1:273" s="5" customFormat="1">
      <c r="A74" s="1048"/>
      <c r="B74" s="1045"/>
      <c r="C74" s="1046"/>
      <c r="D74" s="1046"/>
      <c r="E74" s="951"/>
      <c r="F74" s="951"/>
      <c r="G74" s="951"/>
      <c r="H74" s="951"/>
      <c r="I74" s="1047"/>
      <c r="J74" s="951"/>
      <c r="K74" s="951"/>
      <c r="L74" s="951"/>
      <c r="M74" s="1040"/>
      <c r="N74" s="1041"/>
      <c r="O74" s="1041"/>
      <c r="P74" s="1042"/>
      <c r="Q74" s="951"/>
      <c r="R74" s="181"/>
      <c r="S74" s="1040"/>
      <c r="T74" s="1041"/>
      <c r="U74" s="1042"/>
      <c r="V74" s="181"/>
      <c r="W74" s="181"/>
      <c r="X74" s="181"/>
      <c r="Y74" s="181"/>
      <c r="Z74" s="181"/>
      <c r="AA74" s="181"/>
      <c r="AB74" s="181"/>
      <c r="AC74" s="181"/>
      <c r="AD74" s="181"/>
      <c r="AE74" s="181"/>
      <c r="AF74" s="181"/>
      <c r="AG74" s="181"/>
      <c r="AH74" s="181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30"/>
      <c r="EE74" s="143"/>
      <c r="EF74" s="143"/>
      <c r="EG74" s="143"/>
      <c r="EH74" s="143"/>
      <c r="EI74" s="143"/>
      <c r="EJ74" s="143"/>
      <c r="EK74" s="143"/>
      <c r="EL74" s="143"/>
      <c r="EM74" s="143"/>
      <c r="EN74" s="143"/>
      <c r="EO74" s="143"/>
      <c r="EP74" s="143"/>
      <c r="EQ74" s="143"/>
      <c r="ER74" s="143"/>
      <c r="ES74" s="143"/>
      <c r="ET74" s="143"/>
      <c r="EU74" s="143"/>
      <c r="EV74" s="143"/>
      <c r="EW74" s="143"/>
      <c r="EX74" s="143"/>
      <c r="EY74" s="143"/>
      <c r="EZ74" s="143"/>
      <c r="FA74" s="143"/>
      <c r="FB74" s="143"/>
      <c r="FC74" s="143"/>
      <c r="FD74" s="143"/>
      <c r="FE74" s="143"/>
      <c r="FF74" s="143"/>
      <c r="FG74" s="143"/>
      <c r="FH74" s="143"/>
      <c r="FI74" s="143"/>
      <c r="FJ74" s="143"/>
      <c r="FK74" s="143"/>
      <c r="FL74" s="143"/>
      <c r="FM74" s="143"/>
      <c r="FN74" s="143"/>
      <c r="FO74" s="143"/>
      <c r="FP74" s="143"/>
      <c r="FQ74" s="143"/>
      <c r="FR74" s="143"/>
      <c r="FS74" s="143"/>
      <c r="FT74" s="143"/>
      <c r="FU74" s="143"/>
      <c r="FV74" s="143"/>
      <c r="FW74" s="143"/>
      <c r="FX74" s="143"/>
      <c r="FY74" s="143"/>
      <c r="FZ74" s="143"/>
      <c r="GA74" s="143"/>
      <c r="GB74" s="143"/>
      <c r="GC74" s="143"/>
      <c r="GD74" s="143"/>
      <c r="GE74" s="143"/>
      <c r="GF74" s="143"/>
      <c r="GG74" s="143"/>
      <c r="GH74" s="143"/>
      <c r="GI74" s="143"/>
      <c r="GJ74" s="143"/>
      <c r="GK74" s="143"/>
      <c r="GL74" s="143"/>
      <c r="GM74" s="143"/>
      <c r="GN74" s="143"/>
      <c r="GO74" s="143"/>
      <c r="GP74" s="143"/>
      <c r="GQ74" s="143"/>
      <c r="GR74" s="143"/>
      <c r="GS74" s="143"/>
      <c r="GT74" s="143"/>
      <c r="GU74" s="143"/>
      <c r="GV74" s="143"/>
      <c r="GW74" s="143"/>
      <c r="GX74" s="143"/>
      <c r="GY74" s="143"/>
      <c r="GZ74" s="143"/>
      <c r="HA74" s="143"/>
      <c r="HB74" s="143"/>
      <c r="HC74" s="143"/>
      <c r="HD74" s="143"/>
      <c r="HE74" s="143"/>
      <c r="HF74" s="143"/>
      <c r="HG74" s="143"/>
      <c r="HH74" s="143"/>
      <c r="HI74" s="143"/>
      <c r="HJ74" s="143"/>
      <c r="HK74" s="143"/>
      <c r="HL74" s="143"/>
      <c r="HM74" s="143"/>
      <c r="HN74" s="143"/>
      <c r="HO74" s="143"/>
      <c r="HP74" s="143"/>
      <c r="HQ74" s="143"/>
      <c r="HR74" s="143"/>
      <c r="HS74" s="143"/>
      <c r="HT74" s="143"/>
      <c r="HU74" s="143"/>
      <c r="HV74" s="143"/>
      <c r="HW74" s="143"/>
      <c r="HX74" s="143"/>
      <c r="HY74" s="143"/>
      <c r="HZ74" s="143"/>
      <c r="IA74" s="143"/>
      <c r="IB74" s="143"/>
      <c r="IC74" s="143"/>
      <c r="ID74" s="143"/>
      <c r="IE74" s="143"/>
      <c r="IF74" s="143"/>
      <c r="IG74" s="143"/>
      <c r="IH74" s="143"/>
      <c r="II74" s="143"/>
      <c r="IJ74" s="143"/>
      <c r="IK74" s="143"/>
      <c r="IL74" s="143"/>
      <c r="IM74" s="143"/>
      <c r="IN74" s="143"/>
      <c r="IO74" s="143"/>
      <c r="IP74" s="143"/>
      <c r="IQ74" s="143"/>
      <c r="IR74" s="143"/>
      <c r="IS74" s="143"/>
      <c r="IT74" s="143"/>
      <c r="IU74" s="143"/>
      <c r="IV74" s="143"/>
      <c r="IW74" s="143"/>
      <c r="IX74" s="143"/>
      <c r="IY74" s="143"/>
      <c r="IZ74" s="143"/>
      <c r="JA74" s="143"/>
      <c r="JB74" s="143"/>
      <c r="JC74" s="143"/>
      <c r="JD74" s="143"/>
      <c r="JE74" s="143"/>
      <c r="JF74" s="143"/>
      <c r="JG74" s="143"/>
      <c r="JH74" s="143"/>
      <c r="JI74" s="143"/>
      <c r="JJ74" s="143"/>
      <c r="JK74" s="143"/>
      <c r="JL74" s="143"/>
      <c r="JM74" s="143"/>
    </row>
    <row r="75" spans="1:273" s="5" customFormat="1">
      <c r="A75" s="1048"/>
      <c r="B75" s="1045"/>
      <c r="C75" s="1046"/>
      <c r="D75" s="1046"/>
      <c r="E75" s="951"/>
      <c r="F75" s="951"/>
      <c r="G75" s="951"/>
      <c r="H75" s="951"/>
      <c r="I75" s="1047"/>
      <c r="J75" s="951"/>
      <c r="K75" s="951"/>
      <c r="L75" s="951"/>
      <c r="M75" s="1040"/>
      <c r="N75" s="1041"/>
      <c r="O75" s="1041"/>
      <c r="P75" s="1042"/>
      <c r="Q75" s="951"/>
      <c r="R75" s="181"/>
      <c r="S75" s="1040"/>
      <c r="T75" s="1041"/>
      <c r="U75" s="1042"/>
      <c r="V75" s="181"/>
      <c r="W75" s="181"/>
      <c r="X75" s="181"/>
      <c r="Y75" s="181"/>
      <c r="Z75" s="181"/>
      <c r="AA75" s="181"/>
      <c r="AB75" s="181"/>
      <c r="AC75" s="181"/>
      <c r="AD75" s="181"/>
      <c r="AE75" s="181"/>
      <c r="AF75" s="181"/>
      <c r="AG75" s="181"/>
      <c r="AH75" s="181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30"/>
      <c r="EE75" s="143"/>
      <c r="EF75" s="143"/>
      <c r="EG75" s="143"/>
      <c r="EH75" s="143"/>
      <c r="EI75" s="143"/>
      <c r="EJ75" s="143"/>
      <c r="EK75" s="143"/>
      <c r="EL75" s="143"/>
      <c r="EM75" s="143"/>
      <c r="EN75" s="143"/>
      <c r="EO75" s="143"/>
      <c r="EP75" s="143"/>
      <c r="EQ75" s="143"/>
      <c r="ER75" s="143"/>
      <c r="ES75" s="143"/>
      <c r="ET75" s="143"/>
      <c r="EU75" s="143"/>
      <c r="EV75" s="143"/>
      <c r="EW75" s="143"/>
      <c r="EX75" s="143"/>
      <c r="EY75" s="143"/>
      <c r="EZ75" s="143"/>
      <c r="FA75" s="143"/>
      <c r="FB75" s="143"/>
      <c r="FC75" s="143"/>
      <c r="FD75" s="143"/>
      <c r="FE75" s="143"/>
      <c r="FF75" s="143"/>
      <c r="FG75" s="143"/>
      <c r="FH75" s="143"/>
      <c r="FI75" s="143"/>
      <c r="FJ75" s="143"/>
      <c r="FK75" s="143"/>
      <c r="FL75" s="143"/>
      <c r="FM75" s="143"/>
      <c r="FN75" s="143"/>
      <c r="FO75" s="143"/>
      <c r="FP75" s="143"/>
      <c r="FQ75" s="143"/>
      <c r="FR75" s="143"/>
      <c r="FS75" s="143"/>
      <c r="FT75" s="143"/>
      <c r="FU75" s="143"/>
      <c r="FV75" s="143"/>
      <c r="FW75" s="143"/>
      <c r="FX75" s="143"/>
      <c r="FY75" s="143"/>
      <c r="FZ75" s="143"/>
      <c r="GA75" s="143"/>
      <c r="GB75" s="143"/>
      <c r="GC75" s="143"/>
      <c r="GD75" s="143"/>
      <c r="GE75" s="143"/>
      <c r="GF75" s="143"/>
      <c r="GG75" s="143"/>
      <c r="GH75" s="143"/>
      <c r="GI75" s="143"/>
      <c r="GJ75" s="143"/>
      <c r="GK75" s="143"/>
      <c r="GL75" s="143"/>
      <c r="GM75" s="143"/>
      <c r="GN75" s="143"/>
      <c r="GO75" s="143"/>
      <c r="GP75" s="143"/>
      <c r="GQ75" s="143"/>
      <c r="GR75" s="143"/>
      <c r="GS75" s="143"/>
      <c r="GT75" s="143"/>
      <c r="GU75" s="143"/>
      <c r="GV75" s="143"/>
      <c r="GW75" s="143"/>
      <c r="GX75" s="143"/>
      <c r="GY75" s="143"/>
      <c r="GZ75" s="143"/>
      <c r="HA75" s="143"/>
      <c r="HB75" s="143"/>
      <c r="HC75" s="143"/>
      <c r="HD75" s="143"/>
      <c r="HE75" s="143"/>
      <c r="HF75" s="143"/>
      <c r="HG75" s="143"/>
      <c r="HH75" s="143"/>
      <c r="HI75" s="143"/>
      <c r="HJ75" s="143"/>
      <c r="HK75" s="143"/>
      <c r="HL75" s="143"/>
      <c r="HM75" s="143"/>
      <c r="HN75" s="143"/>
      <c r="HO75" s="143"/>
      <c r="HP75" s="143"/>
      <c r="HQ75" s="143"/>
      <c r="HR75" s="143"/>
      <c r="HS75" s="143"/>
      <c r="HT75" s="143"/>
      <c r="HU75" s="143"/>
      <c r="HV75" s="143"/>
      <c r="HW75" s="143"/>
      <c r="HX75" s="143"/>
      <c r="HY75" s="143"/>
      <c r="HZ75" s="143"/>
      <c r="IA75" s="143"/>
      <c r="IB75" s="143"/>
      <c r="IC75" s="143"/>
      <c r="ID75" s="143"/>
      <c r="IE75" s="143"/>
      <c r="IF75" s="143"/>
      <c r="IG75" s="143"/>
      <c r="IH75" s="143"/>
      <c r="II75" s="143"/>
      <c r="IJ75" s="143"/>
      <c r="IK75" s="143"/>
      <c r="IL75" s="143"/>
      <c r="IM75" s="143"/>
      <c r="IN75" s="143"/>
      <c r="IO75" s="143"/>
      <c r="IP75" s="143"/>
      <c r="IQ75" s="143"/>
      <c r="IR75" s="143"/>
      <c r="IS75" s="143"/>
      <c r="IT75" s="143"/>
      <c r="IU75" s="143"/>
      <c r="IV75" s="143"/>
      <c r="IW75" s="143"/>
      <c r="IX75" s="143"/>
      <c r="IY75" s="143"/>
      <c r="IZ75" s="143"/>
      <c r="JA75" s="143"/>
      <c r="JB75" s="143"/>
      <c r="JC75" s="143"/>
      <c r="JD75" s="143"/>
      <c r="JE75" s="143"/>
      <c r="JF75" s="143"/>
      <c r="JG75" s="143"/>
      <c r="JH75" s="143"/>
      <c r="JI75" s="143"/>
      <c r="JJ75" s="143"/>
      <c r="JK75" s="143"/>
      <c r="JL75" s="143"/>
      <c r="JM75" s="143"/>
    </row>
    <row r="76" spans="1:273" s="5" customFormat="1">
      <c r="A76" s="1044"/>
      <c r="B76" s="1045"/>
      <c r="C76" s="1046"/>
      <c r="D76" s="1046"/>
      <c r="E76" s="951"/>
      <c r="F76" s="951"/>
      <c r="G76" s="951"/>
      <c r="H76" s="951"/>
      <c r="I76" s="1047"/>
      <c r="J76" s="951"/>
      <c r="K76" s="951"/>
      <c r="L76" s="951"/>
      <c r="M76" s="1147"/>
      <c r="N76" s="1041"/>
      <c r="O76" s="1148"/>
      <c r="P76" s="1149"/>
      <c r="Q76" s="951"/>
      <c r="R76" s="181"/>
      <c r="S76" s="1040"/>
      <c r="T76" s="1041"/>
      <c r="U76" s="1042"/>
      <c r="V76" s="181"/>
      <c r="W76" s="181"/>
      <c r="X76" s="181"/>
      <c r="Y76" s="181"/>
      <c r="Z76" s="181"/>
      <c r="AA76" s="181"/>
      <c r="AB76" s="181"/>
      <c r="AC76" s="181"/>
      <c r="AD76" s="181"/>
      <c r="AE76" s="181"/>
      <c r="AF76" s="181"/>
      <c r="AG76" s="181"/>
      <c r="AH76" s="181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30"/>
      <c r="EE76" s="143"/>
      <c r="EF76" s="143"/>
      <c r="EG76" s="143"/>
      <c r="EH76" s="143"/>
      <c r="EI76" s="143"/>
      <c r="EJ76" s="143"/>
      <c r="EK76" s="143"/>
      <c r="EL76" s="143"/>
      <c r="EM76" s="143"/>
      <c r="EN76" s="143"/>
      <c r="EO76" s="143"/>
      <c r="EP76" s="143"/>
      <c r="EQ76" s="143"/>
      <c r="ER76" s="143"/>
      <c r="ES76" s="143"/>
      <c r="ET76" s="143"/>
      <c r="EU76" s="143"/>
      <c r="EV76" s="143"/>
      <c r="EW76" s="143"/>
      <c r="EX76" s="143"/>
      <c r="EY76" s="143"/>
      <c r="EZ76" s="143"/>
      <c r="FA76" s="143"/>
      <c r="FB76" s="143"/>
      <c r="FC76" s="143"/>
      <c r="FD76" s="143"/>
      <c r="FE76" s="143"/>
      <c r="FF76" s="143"/>
      <c r="FG76" s="143"/>
      <c r="FH76" s="143"/>
      <c r="FI76" s="143"/>
      <c r="FJ76" s="143"/>
      <c r="FK76" s="143"/>
      <c r="FL76" s="143"/>
      <c r="FM76" s="143"/>
      <c r="FN76" s="143"/>
      <c r="FO76" s="143"/>
      <c r="FP76" s="143"/>
      <c r="FQ76" s="143"/>
      <c r="FR76" s="143"/>
      <c r="FS76" s="143"/>
      <c r="FT76" s="143"/>
      <c r="FU76" s="143"/>
      <c r="FV76" s="143"/>
      <c r="FW76" s="143"/>
      <c r="FX76" s="143"/>
      <c r="FY76" s="143"/>
      <c r="FZ76" s="143"/>
      <c r="GA76" s="143"/>
      <c r="GB76" s="143"/>
      <c r="GC76" s="143"/>
      <c r="GD76" s="143"/>
      <c r="GE76" s="143"/>
      <c r="GF76" s="143"/>
      <c r="GG76" s="143"/>
      <c r="GH76" s="143"/>
      <c r="GI76" s="143"/>
      <c r="GJ76" s="143"/>
      <c r="GK76" s="143"/>
      <c r="GL76" s="143"/>
      <c r="GM76" s="143"/>
      <c r="GN76" s="143"/>
      <c r="GO76" s="143"/>
      <c r="GP76" s="143"/>
      <c r="GQ76" s="143"/>
      <c r="GR76" s="143"/>
      <c r="GS76" s="143"/>
      <c r="GT76" s="143"/>
      <c r="GU76" s="143"/>
      <c r="GV76" s="143"/>
      <c r="GW76" s="143"/>
      <c r="GX76" s="143"/>
      <c r="GY76" s="143"/>
      <c r="GZ76" s="143"/>
      <c r="HA76" s="143"/>
      <c r="HB76" s="143"/>
      <c r="HC76" s="143"/>
      <c r="HD76" s="143"/>
      <c r="HE76" s="143"/>
      <c r="HF76" s="143"/>
      <c r="HG76" s="143"/>
      <c r="HH76" s="143"/>
      <c r="HI76" s="143"/>
      <c r="HJ76" s="143"/>
      <c r="HK76" s="143"/>
      <c r="HL76" s="143"/>
      <c r="HM76" s="143"/>
      <c r="HN76" s="143"/>
      <c r="HO76" s="143"/>
      <c r="HP76" s="143"/>
      <c r="HQ76" s="143"/>
      <c r="HR76" s="143"/>
      <c r="HS76" s="143"/>
      <c r="HT76" s="143"/>
      <c r="HU76" s="143"/>
      <c r="HV76" s="143"/>
      <c r="HW76" s="143"/>
      <c r="HX76" s="143"/>
      <c r="HY76" s="143"/>
      <c r="HZ76" s="143"/>
      <c r="IA76" s="143"/>
      <c r="IB76" s="143"/>
      <c r="IC76" s="143"/>
      <c r="ID76" s="143"/>
      <c r="IE76" s="143"/>
      <c r="IF76" s="143"/>
      <c r="IG76" s="143"/>
      <c r="IH76" s="143"/>
      <c r="II76" s="143"/>
      <c r="IJ76" s="143"/>
      <c r="IK76" s="143"/>
      <c r="IL76" s="143"/>
      <c r="IM76" s="143"/>
      <c r="IN76" s="143"/>
      <c r="IO76" s="143"/>
      <c r="IP76" s="143"/>
      <c r="IQ76" s="143"/>
      <c r="IR76" s="143"/>
      <c r="IS76" s="143"/>
      <c r="IT76" s="143"/>
      <c r="IU76" s="143"/>
      <c r="IV76" s="143"/>
      <c r="IW76" s="143"/>
      <c r="IX76" s="143"/>
      <c r="IY76" s="143"/>
      <c r="IZ76" s="143"/>
      <c r="JA76" s="143"/>
      <c r="JB76" s="143"/>
      <c r="JC76" s="143"/>
      <c r="JD76" s="143"/>
      <c r="JE76" s="143"/>
      <c r="JF76" s="143"/>
      <c r="JG76" s="143"/>
      <c r="JH76" s="143"/>
      <c r="JI76" s="143"/>
      <c r="JJ76" s="143"/>
      <c r="JK76" s="143"/>
      <c r="JL76" s="143"/>
      <c r="JM76" s="143"/>
    </row>
    <row r="77" spans="1:273" s="5" customFormat="1">
      <c r="A77" s="1150"/>
      <c r="B77" s="1151"/>
      <c r="C77" s="1151"/>
      <c r="D77" s="1151"/>
      <c r="E77" s="1151"/>
      <c r="F77" s="1151"/>
      <c r="G77" s="1151"/>
      <c r="H77" s="1151"/>
      <c r="I77" s="1151"/>
      <c r="J77" s="1151"/>
      <c r="K77" s="952"/>
      <c r="L77" s="951"/>
      <c r="M77" s="951"/>
      <c r="N77" s="951"/>
      <c r="O77" s="951"/>
      <c r="P77" s="1047"/>
      <c r="Q77" s="951"/>
      <c r="R77" s="181"/>
      <c r="S77" s="1040"/>
      <c r="T77" s="1041"/>
      <c r="U77" s="1042"/>
      <c r="V77" s="181"/>
      <c r="W77" s="181"/>
      <c r="X77" s="181"/>
      <c r="Y77" s="181"/>
      <c r="Z77" s="181"/>
      <c r="AA77" s="181"/>
      <c r="AB77" s="181"/>
      <c r="AC77" s="181"/>
      <c r="AD77" s="181"/>
      <c r="AE77" s="181"/>
      <c r="AF77" s="181"/>
      <c r="AG77" s="181"/>
      <c r="AH77" s="181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30"/>
      <c r="EE77" s="143"/>
      <c r="EF77" s="143"/>
      <c r="EG77" s="143"/>
      <c r="EH77" s="143"/>
      <c r="EI77" s="143"/>
      <c r="EJ77" s="143"/>
      <c r="EK77" s="143"/>
      <c r="EL77" s="143"/>
      <c r="EM77" s="143"/>
      <c r="EN77" s="143"/>
      <c r="EO77" s="143"/>
      <c r="EP77" s="143"/>
      <c r="EQ77" s="143"/>
      <c r="ER77" s="143"/>
      <c r="ES77" s="143"/>
      <c r="ET77" s="143"/>
      <c r="EU77" s="143"/>
      <c r="EV77" s="143"/>
      <c r="EW77" s="143"/>
      <c r="EX77" s="143"/>
      <c r="EY77" s="143"/>
      <c r="EZ77" s="143"/>
      <c r="FA77" s="143"/>
      <c r="FB77" s="143"/>
      <c r="FC77" s="143"/>
      <c r="FD77" s="143"/>
      <c r="FE77" s="143"/>
      <c r="FF77" s="143"/>
      <c r="FG77" s="143"/>
      <c r="FH77" s="143"/>
      <c r="FI77" s="143"/>
      <c r="FJ77" s="143"/>
      <c r="FK77" s="143"/>
      <c r="FL77" s="143"/>
      <c r="FM77" s="143"/>
      <c r="FN77" s="143"/>
      <c r="FO77" s="143"/>
      <c r="FP77" s="143"/>
      <c r="FQ77" s="143"/>
      <c r="FR77" s="143"/>
      <c r="FS77" s="143"/>
      <c r="FT77" s="143"/>
      <c r="FU77" s="143"/>
      <c r="FV77" s="143"/>
      <c r="FW77" s="143"/>
      <c r="FX77" s="143"/>
      <c r="FY77" s="143"/>
      <c r="FZ77" s="143"/>
      <c r="GA77" s="143"/>
      <c r="GB77" s="143"/>
      <c r="GC77" s="143"/>
      <c r="GD77" s="143"/>
      <c r="GE77" s="143"/>
      <c r="GF77" s="143"/>
      <c r="GG77" s="143"/>
      <c r="GH77" s="143"/>
      <c r="GI77" s="143"/>
      <c r="GJ77" s="143"/>
      <c r="GK77" s="143"/>
      <c r="GL77" s="143"/>
      <c r="GM77" s="143"/>
      <c r="GN77" s="143"/>
      <c r="GO77" s="143"/>
      <c r="GP77" s="143"/>
      <c r="GQ77" s="143"/>
      <c r="GR77" s="143"/>
      <c r="GS77" s="143"/>
      <c r="GT77" s="143"/>
      <c r="GU77" s="143"/>
      <c r="GV77" s="143"/>
      <c r="GW77" s="143"/>
      <c r="GX77" s="143"/>
      <c r="GY77" s="143"/>
      <c r="GZ77" s="143"/>
      <c r="HA77" s="143"/>
      <c r="HB77" s="143"/>
      <c r="HC77" s="143"/>
      <c r="HD77" s="143"/>
      <c r="HE77" s="143"/>
      <c r="HF77" s="143"/>
      <c r="HG77" s="143"/>
      <c r="HH77" s="143"/>
      <c r="HI77" s="143"/>
      <c r="HJ77" s="143"/>
      <c r="HK77" s="143"/>
      <c r="HL77" s="143"/>
      <c r="HM77" s="143"/>
      <c r="HN77" s="143"/>
      <c r="HO77" s="143"/>
      <c r="HP77" s="143"/>
      <c r="HQ77" s="143"/>
      <c r="HR77" s="143"/>
      <c r="HS77" s="143"/>
      <c r="HT77" s="143"/>
      <c r="HU77" s="143"/>
      <c r="HV77" s="143"/>
      <c r="HW77" s="143"/>
      <c r="HX77" s="143"/>
      <c r="HY77" s="143"/>
      <c r="HZ77" s="143"/>
      <c r="IA77" s="143"/>
      <c r="IB77" s="143"/>
      <c r="IC77" s="143"/>
      <c r="ID77" s="143"/>
      <c r="IE77" s="143"/>
      <c r="IF77" s="143"/>
      <c r="IG77" s="143"/>
      <c r="IH77" s="143"/>
      <c r="II77" s="143"/>
      <c r="IJ77" s="143"/>
      <c r="IK77" s="143"/>
      <c r="IL77" s="143"/>
      <c r="IM77" s="143"/>
      <c r="IN77" s="143"/>
      <c r="IO77" s="143"/>
      <c r="IP77" s="143"/>
      <c r="IQ77" s="143"/>
      <c r="IR77" s="143"/>
      <c r="IS77" s="143"/>
      <c r="IT77" s="143"/>
      <c r="IU77" s="143"/>
      <c r="IV77" s="143"/>
      <c r="IW77" s="143"/>
      <c r="IX77" s="143"/>
      <c r="IY77" s="143"/>
      <c r="IZ77" s="143"/>
      <c r="JA77" s="143"/>
      <c r="JB77" s="143"/>
      <c r="JC77" s="143"/>
      <c r="JD77" s="143"/>
      <c r="JE77" s="143"/>
      <c r="JF77" s="143"/>
      <c r="JG77" s="143"/>
      <c r="JH77" s="143"/>
      <c r="JI77" s="143"/>
      <c r="JJ77" s="143"/>
      <c r="JK77" s="143"/>
      <c r="JL77" s="143"/>
      <c r="JM77" s="143"/>
    </row>
    <row r="78" spans="1:273" s="5" customFormat="1">
      <c r="A78" s="143"/>
      <c r="B78" s="143"/>
      <c r="C78" s="143"/>
      <c r="D78" s="143"/>
      <c r="E78" s="143"/>
      <c r="F78" s="143"/>
      <c r="G78" s="1048"/>
      <c r="H78" s="1045"/>
      <c r="I78" s="1046"/>
      <c r="J78" s="951"/>
      <c r="K78" s="951"/>
      <c r="L78" s="951"/>
      <c r="M78" s="951"/>
      <c r="N78" s="951"/>
      <c r="O78" s="951"/>
      <c r="P78" s="1047"/>
      <c r="Q78" s="951"/>
      <c r="R78" s="143"/>
      <c r="S78" s="1040"/>
      <c r="T78" s="1041"/>
      <c r="U78" s="1042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30"/>
      <c r="EE78" s="143"/>
      <c r="EF78" s="143"/>
      <c r="EG78" s="143"/>
      <c r="EH78" s="143"/>
      <c r="EI78" s="143"/>
      <c r="EJ78" s="143"/>
      <c r="EK78" s="143"/>
      <c r="EL78" s="143"/>
      <c r="EM78" s="143"/>
      <c r="EN78" s="143"/>
      <c r="EO78" s="143"/>
      <c r="EP78" s="143"/>
      <c r="EQ78" s="143"/>
      <c r="ER78" s="143"/>
      <c r="ES78" s="143"/>
      <c r="ET78" s="143"/>
      <c r="EU78" s="143"/>
      <c r="EV78" s="143"/>
      <c r="EW78" s="143"/>
      <c r="EX78" s="143"/>
      <c r="EY78" s="143"/>
      <c r="EZ78" s="143"/>
      <c r="FA78" s="143"/>
      <c r="FB78" s="143"/>
      <c r="FC78" s="143"/>
      <c r="FD78" s="143"/>
      <c r="FE78" s="143"/>
      <c r="FF78" s="143"/>
      <c r="FG78" s="143"/>
      <c r="FH78" s="143"/>
      <c r="FI78" s="143"/>
      <c r="FJ78" s="143"/>
      <c r="FK78" s="143"/>
      <c r="FL78" s="143"/>
      <c r="FM78" s="143"/>
      <c r="FN78" s="143"/>
      <c r="FO78" s="143"/>
      <c r="FP78" s="143"/>
      <c r="FQ78" s="143"/>
      <c r="FR78" s="143"/>
      <c r="FS78" s="143"/>
      <c r="FT78" s="143"/>
      <c r="FU78" s="143"/>
      <c r="FV78" s="143"/>
      <c r="FW78" s="143"/>
      <c r="FX78" s="143"/>
      <c r="FY78" s="143"/>
      <c r="FZ78" s="143"/>
      <c r="GA78" s="143"/>
      <c r="GB78" s="143"/>
      <c r="GC78" s="143"/>
      <c r="GD78" s="143"/>
      <c r="GE78" s="143"/>
      <c r="GF78" s="143"/>
      <c r="GG78" s="143"/>
      <c r="GH78" s="143"/>
      <c r="GI78" s="143"/>
      <c r="GJ78" s="143"/>
      <c r="GK78" s="143"/>
      <c r="GL78" s="143"/>
      <c r="GM78" s="143"/>
      <c r="GN78" s="143"/>
      <c r="GO78" s="143"/>
      <c r="GP78" s="143"/>
      <c r="GQ78" s="143"/>
      <c r="GR78" s="143"/>
      <c r="GS78" s="143"/>
      <c r="GT78" s="143"/>
      <c r="GU78" s="143"/>
      <c r="GV78" s="143"/>
      <c r="GW78" s="143"/>
      <c r="GX78" s="143"/>
      <c r="GY78" s="143"/>
      <c r="GZ78" s="143"/>
      <c r="HA78" s="143"/>
      <c r="HB78" s="143"/>
      <c r="HC78" s="143"/>
      <c r="HD78" s="143"/>
      <c r="HE78" s="143"/>
      <c r="HF78" s="143"/>
      <c r="HG78" s="143"/>
      <c r="HH78" s="143"/>
      <c r="HI78" s="143"/>
      <c r="HJ78" s="143"/>
      <c r="HK78" s="143"/>
      <c r="HL78" s="143"/>
      <c r="HM78" s="143"/>
      <c r="HN78" s="143"/>
      <c r="HO78" s="143"/>
      <c r="HP78" s="143"/>
      <c r="HQ78" s="143"/>
      <c r="HR78" s="143"/>
      <c r="HS78" s="143"/>
      <c r="HT78" s="143"/>
      <c r="HU78" s="143"/>
      <c r="HV78" s="143"/>
      <c r="HW78" s="143"/>
      <c r="HX78" s="143"/>
      <c r="HY78" s="143"/>
      <c r="HZ78" s="143"/>
      <c r="IA78" s="143"/>
      <c r="IB78" s="143"/>
      <c r="IC78" s="143"/>
      <c r="ID78" s="143"/>
      <c r="IE78" s="143"/>
      <c r="IF78" s="143"/>
      <c r="IG78" s="143"/>
      <c r="IH78" s="143"/>
      <c r="II78" s="143"/>
      <c r="IJ78" s="143"/>
      <c r="IK78" s="143"/>
      <c r="IL78" s="143"/>
      <c r="IM78" s="143"/>
      <c r="IN78" s="143"/>
      <c r="IO78" s="143"/>
      <c r="IP78" s="143"/>
      <c r="IQ78" s="143"/>
      <c r="IR78" s="143"/>
      <c r="IS78" s="143"/>
      <c r="IT78" s="143"/>
      <c r="IU78" s="143"/>
      <c r="IV78" s="143"/>
      <c r="IW78" s="143"/>
      <c r="IX78" s="143"/>
      <c r="IY78" s="143"/>
      <c r="IZ78" s="143"/>
      <c r="JA78" s="143"/>
      <c r="JB78" s="143"/>
      <c r="JC78" s="143"/>
      <c r="JD78" s="143"/>
      <c r="JE78" s="143"/>
      <c r="JF78" s="143"/>
      <c r="JG78" s="143"/>
      <c r="JH78" s="143"/>
      <c r="JI78" s="143"/>
      <c r="JJ78" s="143"/>
      <c r="JK78" s="143"/>
      <c r="JL78" s="143"/>
      <c r="JM78" s="143"/>
    </row>
    <row r="79" spans="1:273" s="5" customFormat="1">
      <c r="A79" s="143"/>
      <c r="B79" s="143"/>
      <c r="C79" s="143"/>
      <c r="D79" s="143"/>
      <c r="E79" s="143"/>
      <c r="F79" s="143"/>
      <c r="G79" s="1048"/>
      <c r="H79" s="1045"/>
      <c r="I79" s="1046"/>
      <c r="J79" s="951"/>
      <c r="K79" s="951"/>
      <c r="L79" s="951"/>
      <c r="M79" s="951"/>
      <c r="N79" s="951"/>
      <c r="O79" s="951"/>
      <c r="P79" s="1047"/>
      <c r="Q79" s="951"/>
      <c r="R79" s="143"/>
      <c r="S79" s="1040"/>
      <c r="T79" s="1041"/>
      <c r="U79" s="1042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30"/>
      <c r="EE79" s="143"/>
      <c r="EF79" s="143"/>
      <c r="EG79" s="143"/>
      <c r="EH79" s="143"/>
      <c r="EI79" s="143"/>
      <c r="EJ79" s="143"/>
      <c r="EK79" s="143"/>
      <c r="EL79" s="143"/>
      <c r="EM79" s="143"/>
      <c r="EN79" s="143"/>
      <c r="EO79" s="143"/>
      <c r="EP79" s="143"/>
      <c r="EQ79" s="143"/>
      <c r="ER79" s="143"/>
      <c r="ES79" s="143"/>
      <c r="ET79" s="143"/>
      <c r="EU79" s="143"/>
      <c r="EV79" s="143"/>
      <c r="EW79" s="143"/>
      <c r="EX79" s="143"/>
      <c r="EY79" s="143"/>
      <c r="EZ79" s="143"/>
      <c r="FA79" s="143"/>
      <c r="FB79" s="143"/>
      <c r="FC79" s="143"/>
      <c r="FD79" s="143"/>
      <c r="FE79" s="143"/>
      <c r="FF79" s="143"/>
      <c r="FG79" s="143"/>
      <c r="FH79" s="143"/>
      <c r="FI79" s="143"/>
      <c r="FJ79" s="143"/>
      <c r="FK79" s="143"/>
      <c r="FL79" s="143"/>
      <c r="FM79" s="143"/>
      <c r="FN79" s="143"/>
      <c r="FO79" s="143"/>
      <c r="FP79" s="143"/>
      <c r="FQ79" s="143"/>
      <c r="FR79" s="143"/>
      <c r="FS79" s="143"/>
      <c r="FT79" s="143"/>
      <c r="FU79" s="143"/>
      <c r="FV79" s="143"/>
      <c r="FW79" s="143"/>
      <c r="FX79" s="143"/>
      <c r="FY79" s="143"/>
      <c r="FZ79" s="143"/>
      <c r="GA79" s="143"/>
      <c r="GB79" s="143"/>
      <c r="GC79" s="143"/>
      <c r="GD79" s="143"/>
      <c r="GE79" s="143"/>
      <c r="GF79" s="143"/>
      <c r="GG79" s="143"/>
      <c r="GH79" s="143"/>
      <c r="GI79" s="143"/>
      <c r="GJ79" s="143"/>
      <c r="GK79" s="143"/>
      <c r="GL79" s="143"/>
      <c r="GM79" s="143"/>
      <c r="GN79" s="143"/>
      <c r="GO79" s="143"/>
      <c r="GP79" s="143"/>
      <c r="GQ79" s="143"/>
      <c r="GR79" s="143"/>
      <c r="GS79" s="143"/>
      <c r="GT79" s="143"/>
      <c r="GU79" s="143"/>
      <c r="GV79" s="143"/>
      <c r="GW79" s="143"/>
      <c r="GX79" s="143"/>
      <c r="GY79" s="143"/>
      <c r="GZ79" s="143"/>
      <c r="HA79" s="143"/>
      <c r="HB79" s="143"/>
      <c r="HC79" s="143"/>
      <c r="HD79" s="143"/>
      <c r="HE79" s="143"/>
      <c r="HF79" s="143"/>
      <c r="HG79" s="143"/>
      <c r="HH79" s="143"/>
      <c r="HI79" s="143"/>
      <c r="HJ79" s="143"/>
      <c r="HK79" s="143"/>
      <c r="HL79" s="143"/>
      <c r="HM79" s="143"/>
      <c r="HN79" s="143"/>
      <c r="HO79" s="143"/>
      <c r="HP79" s="143"/>
      <c r="HQ79" s="143"/>
      <c r="HR79" s="143"/>
      <c r="HS79" s="143"/>
      <c r="HT79" s="143"/>
      <c r="HU79" s="143"/>
      <c r="HV79" s="143"/>
      <c r="HW79" s="143"/>
      <c r="HX79" s="143"/>
      <c r="HY79" s="143"/>
      <c r="HZ79" s="143"/>
      <c r="IA79" s="143"/>
      <c r="IB79" s="143"/>
      <c r="IC79" s="143"/>
      <c r="ID79" s="143"/>
      <c r="IE79" s="143"/>
      <c r="IF79" s="143"/>
      <c r="IG79" s="143"/>
      <c r="IH79" s="143"/>
      <c r="II79" s="143"/>
      <c r="IJ79" s="143"/>
      <c r="IK79" s="143"/>
      <c r="IL79" s="143"/>
      <c r="IM79" s="143"/>
      <c r="IN79" s="143"/>
      <c r="IO79" s="143"/>
      <c r="IP79" s="143"/>
      <c r="IQ79" s="143"/>
      <c r="IR79" s="143"/>
      <c r="IS79" s="143"/>
      <c r="IT79" s="143"/>
      <c r="IU79" s="143"/>
      <c r="IV79" s="143"/>
      <c r="IW79" s="143"/>
      <c r="IX79" s="143"/>
      <c r="IY79" s="143"/>
      <c r="IZ79" s="143"/>
      <c r="JA79" s="143"/>
      <c r="JB79" s="143"/>
      <c r="JC79" s="143"/>
      <c r="JD79" s="143"/>
      <c r="JE79" s="143"/>
      <c r="JF79" s="143"/>
      <c r="JG79" s="143"/>
      <c r="JH79" s="143"/>
      <c r="JI79" s="143"/>
      <c r="JJ79" s="143"/>
      <c r="JK79" s="143"/>
      <c r="JL79" s="143"/>
      <c r="JM79" s="143"/>
    </row>
    <row r="80" spans="1:273" s="5" customFormat="1">
      <c r="A80" s="143"/>
      <c r="B80" s="143"/>
      <c r="C80" s="143"/>
      <c r="D80" s="143"/>
      <c r="E80" s="143"/>
      <c r="F80" s="143"/>
      <c r="G80" s="1048"/>
      <c r="H80" s="1045"/>
      <c r="I80" s="1046"/>
      <c r="J80" s="951"/>
      <c r="K80" s="951"/>
      <c r="L80" s="951"/>
      <c r="M80" s="951"/>
      <c r="N80" s="951"/>
      <c r="O80" s="951"/>
      <c r="P80" s="1047"/>
      <c r="Q80" s="951"/>
      <c r="R80" s="143"/>
      <c r="S80" s="1040"/>
      <c r="T80" s="1041"/>
      <c r="U80" s="1042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30"/>
      <c r="EE80" s="143"/>
      <c r="EF80" s="143"/>
      <c r="EG80" s="143"/>
      <c r="EH80" s="143"/>
      <c r="EI80" s="143"/>
      <c r="EJ80" s="143"/>
      <c r="EK80" s="143"/>
      <c r="EL80" s="143"/>
      <c r="EM80" s="143"/>
      <c r="EN80" s="143"/>
      <c r="EO80" s="143"/>
      <c r="EP80" s="143"/>
      <c r="EQ80" s="143"/>
      <c r="ER80" s="143"/>
      <c r="ES80" s="143"/>
      <c r="ET80" s="143"/>
      <c r="EU80" s="143"/>
      <c r="EV80" s="143"/>
      <c r="EW80" s="143"/>
      <c r="EX80" s="143"/>
      <c r="EY80" s="143"/>
      <c r="EZ80" s="143"/>
      <c r="FA80" s="143"/>
      <c r="FB80" s="143"/>
      <c r="FC80" s="143"/>
      <c r="FD80" s="143"/>
      <c r="FE80" s="143"/>
      <c r="FF80" s="143"/>
      <c r="FG80" s="143"/>
      <c r="FH80" s="143"/>
      <c r="FI80" s="143"/>
      <c r="FJ80" s="143"/>
      <c r="FK80" s="143"/>
      <c r="FL80" s="143"/>
      <c r="FM80" s="143"/>
      <c r="FN80" s="143"/>
      <c r="FO80" s="143"/>
      <c r="FP80" s="143"/>
      <c r="FQ80" s="143"/>
      <c r="FR80" s="143"/>
      <c r="FS80" s="143"/>
      <c r="FT80" s="143"/>
      <c r="FU80" s="143"/>
      <c r="FV80" s="143"/>
      <c r="FW80" s="143"/>
      <c r="FX80" s="143"/>
      <c r="FY80" s="143"/>
      <c r="FZ80" s="143"/>
      <c r="GA80" s="143"/>
      <c r="GB80" s="143"/>
      <c r="GC80" s="143"/>
      <c r="GD80" s="143"/>
      <c r="GE80" s="143"/>
      <c r="GF80" s="143"/>
      <c r="GG80" s="143"/>
      <c r="GH80" s="143"/>
      <c r="GI80" s="143"/>
      <c r="GJ80" s="143"/>
      <c r="GK80" s="143"/>
      <c r="GL80" s="143"/>
      <c r="GM80" s="143"/>
      <c r="GN80" s="143"/>
      <c r="GO80" s="143"/>
      <c r="GP80" s="143"/>
      <c r="GQ80" s="143"/>
      <c r="GR80" s="143"/>
      <c r="GS80" s="143"/>
      <c r="GT80" s="143"/>
      <c r="GU80" s="143"/>
      <c r="GV80" s="143"/>
      <c r="GW80" s="143"/>
      <c r="GX80" s="143"/>
      <c r="GY80" s="143"/>
      <c r="GZ80" s="143"/>
      <c r="HA80" s="143"/>
      <c r="HB80" s="143"/>
      <c r="HC80" s="143"/>
      <c r="HD80" s="143"/>
      <c r="HE80" s="143"/>
      <c r="HF80" s="143"/>
      <c r="HG80" s="143"/>
      <c r="HH80" s="143"/>
      <c r="HI80" s="143"/>
      <c r="HJ80" s="143"/>
      <c r="HK80" s="143"/>
      <c r="HL80" s="143"/>
      <c r="HM80" s="143"/>
      <c r="HN80" s="143"/>
      <c r="HO80" s="143"/>
      <c r="HP80" s="143"/>
      <c r="HQ80" s="143"/>
      <c r="HR80" s="143"/>
      <c r="HS80" s="143"/>
      <c r="HT80" s="143"/>
      <c r="HU80" s="143"/>
      <c r="HV80" s="143"/>
      <c r="HW80" s="143"/>
      <c r="HX80" s="143"/>
      <c r="HY80" s="143"/>
      <c r="HZ80" s="143"/>
      <c r="IA80" s="143"/>
      <c r="IB80" s="143"/>
      <c r="IC80" s="143"/>
      <c r="ID80" s="143"/>
      <c r="IE80" s="143"/>
      <c r="IF80" s="143"/>
      <c r="IG80" s="143"/>
      <c r="IH80" s="143"/>
      <c r="II80" s="143"/>
      <c r="IJ80" s="143"/>
      <c r="IK80" s="143"/>
      <c r="IL80" s="143"/>
      <c r="IM80" s="143"/>
      <c r="IN80" s="143"/>
      <c r="IO80" s="143"/>
      <c r="IP80" s="143"/>
      <c r="IQ80" s="143"/>
      <c r="IR80" s="143"/>
      <c r="IS80" s="143"/>
      <c r="IT80" s="143"/>
      <c r="IU80" s="143"/>
      <c r="IV80" s="143"/>
      <c r="IW80" s="143"/>
      <c r="IX80" s="143"/>
      <c r="IY80" s="143"/>
      <c r="IZ80" s="143"/>
      <c r="JA80" s="143"/>
      <c r="JB80" s="143"/>
      <c r="JC80" s="143"/>
      <c r="JD80" s="143"/>
      <c r="JE80" s="143"/>
      <c r="JF80" s="143"/>
      <c r="JG80" s="143"/>
      <c r="JH80" s="143"/>
      <c r="JI80" s="143"/>
      <c r="JJ80" s="143"/>
      <c r="JK80" s="143"/>
      <c r="JL80" s="143"/>
      <c r="JM80" s="143"/>
    </row>
    <row r="81" spans="1:273" s="5" customFormat="1">
      <c r="A81" s="143"/>
      <c r="B81" s="143"/>
      <c r="C81" s="143"/>
      <c r="D81" s="143"/>
      <c r="E81" s="143"/>
      <c r="F81" s="143"/>
      <c r="G81" s="1048"/>
      <c r="H81" s="1045"/>
      <c r="I81" s="1046"/>
      <c r="J81" s="951"/>
      <c r="K81" s="951"/>
      <c r="L81" s="951"/>
      <c r="M81" s="951"/>
      <c r="N81" s="951"/>
      <c r="O81" s="951"/>
      <c r="P81" s="1047"/>
      <c r="Q81" s="951"/>
      <c r="R81" s="143"/>
      <c r="S81" s="1040"/>
      <c r="T81" s="1041"/>
      <c r="U81" s="1042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30"/>
      <c r="EE81" s="143"/>
      <c r="EF81" s="143"/>
      <c r="EG81" s="143"/>
      <c r="EH81" s="143"/>
      <c r="EI81" s="143"/>
      <c r="EJ81" s="143"/>
      <c r="EK81" s="143"/>
      <c r="EL81" s="143"/>
      <c r="EM81" s="143"/>
      <c r="EN81" s="143"/>
      <c r="EO81" s="143"/>
      <c r="EP81" s="143"/>
      <c r="EQ81" s="143"/>
      <c r="ER81" s="143"/>
      <c r="ES81" s="143"/>
      <c r="ET81" s="143"/>
      <c r="EU81" s="143"/>
      <c r="EV81" s="143"/>
      <c r="EW81" s="143"/>
      <c r="EX81" s="143"/>
      <c r="EY81" s="143"/>
      <c r="EZ81" s="143"/>
      <c r="FA81" s="143"/>
      <c r="FB81" s="143"/>
      <c r="FC81" s="143"/>
      <c r="FD81" s="143"/>
      <c r="FE81" s="143"/>
      <c r="FF81" s="143"/>
      <c r="FG81" s="143"/>
      <c r="FH81" s="143"/>
      <c r="FI81" s="143"/>
      <c r="FJ81" s="143"/>
      <c r="FK81" s="143"/>
      <c r="FL81" s="143"/>
      <c r="FM81" s="143"/>
      <c r="FN81" s="143"/>
      <c r="FO81" s="143"/>
      <c r="FP81" s="143"/>
      <c r="FQ81" s="143"/>
      <c r="FR81" s="143"/>
      <c r="FS81" s="143"/>
      <c r="FT81" s="143"/>
      <c r="FU81" s="143"/>
      <c r="FV81" s="143"/>
      <c r="FW81" s="143"/>
      <c r="FX81" s="143"/>
      <c r="FY81" s="143"/>
      <c r="FZ81" s="143"/>
      <c r="GA81" s="143"/>
      <c r="GB81" s="143"/>
      <c r="GC81" s="143"/>
      <c r="GD81" s="143"/>
      <c r="GE81" s="143"/>
      <c r="GF81" s="143"/>
      <c r="GG81" s="143"/>
      <c r="GH81" s="143"/>
      <c r="GI81" s="143"/>
      <c r="GJ81" s="143"/>
      <c r="GK81" s="143"/>
      <c r="GL81" s="143"/>
      <c r="GM81" s="143"/>
      <c r="GN81" s="143"/>
      <c r="GO81" s="143"/>
      <c r="GP81" s="143"/>
      <c r="GQ81" s="143"/>
      <c r="GR81" s="143"/>
      <c r="GS81" s="143"/>
      <c r="GT81" s="143"/>
      <c r="GU81" s="143"/>
      <c r="GV81" s="143"/>
      <c r="GW81" s="143"/>
      <c r="GX81" s="143"/>
      <c r="GY81" s="143"/>
      <c r="GZ81" s="143"/>
      <c r="HA81" s="143"/>
      <c r="HB81" s="143"/>
      <c r="HC81" s="143"/>
      <c r="HD81" s="143"/>
      <c r="HE81" s="143"/>
      <c r="HF81" s="143"/>
      <c r="HG81" s="143"/>
      <c r="HH81" s="143"/>
      <c r="HI81" s="143"/>
      <c r="HJ81" s="143"/>
      <c r="HK81" s="143"/>
      <c r="HL81" s="143"/>
      <c r="HM81" s="143"/>
      <c r="HN81" s="143"/>
      <c r="HO81" s="143"/>
      <c r="HP81" s="143"/>
      <c r="HQ81" s="143"/>
      <c r="HR81" s="143"/>
      <c r="HS81" s="143"/>
      <c r="HT81" s="143"/>
      <c r="HU81" s="143"/>
      <c r="HV81" s="143"/>
      <c r="HW81" s="143"/>
      <c r="HX81" s="143"/>
      <c r="HY81" s="143"/>
      <c r="HZ81" s="143"/>
      <c r="IA81" s="143"/>
      <c r="IB81" s="143"/>
      <c r="IC81" s="143"/>
      <c r="ID81" s="143"/>
      <c r="IE81" s="143"/>
      <c r="IF81" s="143"/>
      <c r="IG81" s="143"/>
      <c r="IH81" s="143"/>
      <c r="II81" s="143"/>
      <c r="IJ81" s="143"/>
      <c r="IK81" s="143"/>
      <c r="IL81" s="143"/>
      <c r="IM81" s="143"/>
      <c r="IN81" s="143"/>
      <c r="IO81" s="143"/>
      <c r="IP81" s="143"/>
      <c r="IQ81" s="143"/>
      <c r="IR81" s="143"/>
      <c r="IS81" s="143"/>
      <c r="IT81" s="143"/>
      <c r="IU81" s="143"/>
      <c r="IV81" s="143"/>
      <c r="IW81" s="143"/>
      <c r="IX81" s="143"/>
      <c r="IY81" s="143"/>
      <c r="IZ81" s="143"/>
      <c r="JA81" s="143"/>
      <c r="JB81" s="143"/>
      <c r="JC81" s="143"/>
      <c r="JD81" s="143"/>
      <c r="JE81" s="143"/>
      <c r="JF81" s="143"/>
      <c r="JG81" s="143"/>
      <c r="JH81" s="143"/>
      <c r="JI81" s="143"/>
      <c r="JJ81" s="143"/>
      <c r="JK81" s="143"/>
      <c r="JL81" s="143"/>
      <c r="JM81" s="143"/>
    </row>
    <row r="82" spans="1:273" s="5" customFormat="1">
      <c r="A82" s="143"/>
      <c r="B82" s="143"/>
      <c r="C82" s="143"/>
      <c r="D82" s="143"/>
      <c r="E82" s="143"/>
      <c r="F82" s="143"/>
      <c r="G82" s="1048"/>
      <c r="H82" s="1045"/>
      <c r="I82" s="1046"/>
      <c r="J82" s="951"/>
      <c r="K82" s="951"/>
      <c r="L82" s="951"/>
      <c r="M82" s="951"/>
      <c r="N82" s="951"/>
      <c r="O82" s="951"/>
      <c r="P82" s="1047"/>
      <c r="Q82" s="951"/>
      <c r="R82" s="143"/>
      <c r="S82" s="1040"/>
      <c r="T82" s="1041"/>
      <c r="U82" s="1042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30"/>
      <c r="EE82" s="143"/>
      <c r="EF82" s="143"/>
      <c r="EG82" s="143"/>
      <c r="EH82" s="143"/>
      <c r="EI82" s="143"/>
      <c r="EJ82" s="143"/>
      <c r="EK82" s="143"/>
      <c r="EL82" s="143"/>
      <c r="EM82" s="143"/>
      <c r="EN82" s="143"/>
      <c r="EO82" s="143"/>
      <c r="EP82" s="143"/>
      <c r="EQ82" s="143"/>
      <c r="ER82" s="143"/>
      <c r="ES82" s="143"/>
      <c r="ET82" s="143"/>
      <c r="EU82" s="143"/>
      <c r="EV82" s="143"/>
      <c r="EW82" s="143"/>
      <c r="EX82" s="143"/>
      <c r="EY82" s="143"/>
      <c r="EZ82" s="143"/>
      <c r="FA82" s="143"/>
      <c r="FB82" s="143"/>
      <c r="FC82" s="143"/>
      <c r="FD82" s="143"/>
      <c r="FE82" s="143"/>
      <c r="FF82" s="143"/>
      <c r="FG82" s="143"/>
      <c r="FH82" s="143"/>
      <c r="FI82" s="143"/>
      <c r="FJ82" s="143"/>
      <c r="FK82" s="143"/>
      <c r="FL82" s="143"/>
      <c r="FM82" s="143"/>
      <c r="FN82" s="143"/>
      <c r="FO82" s="143"/>
      <c r="FP82" s="143"/>
      <c r="FQ82" s="143"/>
      <c r="FR82" s="143"/>
      <c r="FS82" s="143"/>
      <c r="FT82" s="143"/>
      <c r="FU82" s="143"/>
      <c r="FV82" s="143"/>
      <c r="FW82" s="143"/>
      <c r="FX82" s="143"/>
      <c r="FY82" s="143"/>
      <c r="FZ82" s="143"/>
      <c r="GA82" s="143"/>
      <c r="GB82" s="143"/>
      <c r="GC82" s="143"/>
      <c r="GD82" s="143"/>
      <c r="GE82" s="143"/>
      <c r="GF82" s="143"/>
      <c r="GG82" s="143"/>
      <c r="GH82" s="143"/>
      <c r="GI82" s="143"/>
      <c r="GJ82" s="143"/>
      <c r="GK82" s="143"/>
      <c r="GL82" s="143"/>
      <c r="GM82" s="143"/>
      <c r="GN82" s="143"/>
      <c r="GO82" s="143"/>
      <c r="GP82" s="143"/>
      <c r="GQ82" s="143"/>
      <c r="GR82" s="143"/>
      <c r="GS82" s="143"/>
      <c r="GT82" s="143"/>
      <c r="GU82" s="143"/>
      <c r="GV82" s="143"/>
      <c r="GW82" s="143"/>
      <c r="GX82" s="143"/>
      <c r="GY82" s="143"/>
      <c r="GZ82" s="143"/>
      <c r="HA82" s="143"/>
      <c r="HB82" s="143"/>
      <c r="HC82" s="143"/>
      <c r="HD82" s="143"/>
      <c r="HE82" s="143"/>
      <c r="HF82" s="143"/>
      <c r="HG82" s="143"/>
      <c r="HH82" s="143"/>
      <c r="HI82" s="143"/>
      <c r="HJ82" s="143"/>
      <c r="HK82" s="143"/>
      <c r="HL82" s="143"/>
      <c r="HM82" s="143"/>
      <c r="HN82" s="143"/>
      <c r="HO82" s="143"/>
      <c r="HP82" s="143"/>
      <c r="HQ82" s="143"/>
      <c r="HR82" s="143"/>
      <c r="HS82" s="143"/>
      <c r="HT82" s="143"/>
      <c r="HU82" s="143"/>
      <c r="HV82" s="143"/>
      <c r="HW82" s="143"/>
      <c r="HX82" s="143"/>
      <c r="HY82" s="143"/>
      <c r="HZ82" s="143"/>
      <c r="IA82" s="143"/>
      <c r="IB82" s="143"/>
      <c r="IC82" s="143"/>
      <c r="ID82" s="143"/>
      <c r="IE82" s="143"/>
      <c r="IF82" s="143"/>
      <c r="IG82" s="143"/>
      <c r="IH82" s="143"/>
      <c r="II82" s="143"/>
      <c r="IJ82" s="143"/>
      <c r="IK82" s="143"/>
      <c r="IL82" s="143"/>
      <c r="IM82" s="143"/>
      <c r="IN82" s="143"/>
      <c r="IO82" s="143"/>
      <c r="IP82" s="143"/>
      <c r="IQ82" s="143"/>
      <c r="IR82" s="143"/>
      <c r="IS82" s="143"/>
      <c r="IT82" s="143"/>
      <c r="IU82" s="143"/>
      <c r="IV82" s="143"/>
      <c r="IW82" s="143"/>
      <c r="IX82" s="143"/>
      <c r="IY82" s="143"/>
      <c r="IZ82" s="143"/>
      <c r="JA82" s="143"/>
      <c r="JB82" s="143"/>
      <c r="JC82" s="143"/>
      <c r="JD82" s="143"/>
      <c r="JE82" s="143"/>
      <c r="JF82" s="143"/>
      <c r="JG82" s="143"/>
      <c r="JH82" s="143"/>
      <c r="JI82" s="143"/>
      <c r="JJ82" s="143"/>
      <c r="JK82" s="143"/>
      <c r="JL82" s="143"/>
      <c r="JM82" s="143"/>
    </row>
    <row r="83" spans="1:273" s="5" customFormat="1">
      <c r="A83" s="143"/>
      <c r="B83" s="143"/>
      <c r="C83" s="143"/>
      <c r="D83" s="143"/>
      <c r="E83" s="143"/>
      <c r="F83" s="143"/>
      <c r="G83" s="1048"/>
      <c r="H83" s="1045"/>
      <c r="I83" s="1046"/>
      <c r="J83" s="951"/>
      <c r="K83" s="951"/>
      <c r="L83" s="951"/>
      <c r="M83" s="951"/>
      <c r="N83" s="951"/>
      <c r="O83" s="951"/>
      <c r="P83" s="1047"/>
      <c r="Q83" s="951"/>
      <c r="R83" s="143"/>
      <c r="S83" s="1040"/>
      <c r="T83" s="1041"/>
      <c r="U83" s="1042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143"/>
      <c r="CB83" s="143"/>
      <c r="CC83" s="143"/>
      <c r="CD83" s="143"/>
      <c r="CE83" s="143"/>
      <c r="CF83" s="143"/>
      <c r="CG83" s="143"/>
      <c r="CH83" s="143"/>
      <c r="CI83" s="143"/>
      <c r="CJ83" s="143"/>
      <c r="CK83" s="143"/>
      <c r="CL83" s="143"/>
      <c r="CM83" s="143"/>
      <c r="CN83" s="143"/>
      <c r="CO83" s="143"/>
      <c r="CP83" s="143"/>
      <c r="CQ83" s="143"/>
      <c r="CR83" s="143"/>
      <c r="CS83" s="143"/>
      <c r="CT83" s="143"/>
      <c r="CU83" s="143"/>
      <c r="CV83" s="143"/>
      <c r="CW83" s="143"/>
      <c r="CX83" s="143"/>
      <c r="CY83" s="143"/>
      <c r="CZ83" s="143"/>
      <c r="DA83" s="143"/>
      <c r="DB83" s="143"/>
      <c r="DC83" s="143"/>
      <c r="DD83" s="143"/>
      <c r="DE83" s="143"/>
      <c r="DF83" s="143"/>
      <c r="DG83" s="143"/>
      <c r="DH83" s="143"/>
      <c r="DI83" s="143"/>
      <c r="DJ83" s="143"/>
      <c r="DK83" s="143"/>
      <c r="DL83" s="143"/>
      <c r="DM83" s="143"/>
      <c r="DN83" s="143"/>
      <c r="DO83" s="143"/>
      <c r="DP83" s="143"/>
      <c r="DQ83" s="143"/>
      <c r="DR83" s="143"/>
      <c r="DS83" s="143"/>
      <c r="DT83" s="143"/>
      <c r="DU83" s="143"/>
      <c r="DV83" s="143"/>
      <c r="DW83" s="143"/>
      <c r="DX83" s="143"/>
      <c r="DY83" s="143"/>
      <c r="DZ83" s="143"/>
      <c r="EA83" s="143"/>
      <c r="EB83" s="143"/>
      <c r="EC83" s="143"/>
      <c r="ED83" s="130"/>
      <c r="EE83" s="143"/>
      <c r="EF83" s="143"/>
      <c r="EG83" s="143"/>
      <c r="EH83" s="143"/>
      <c r="EI83" s="143"/>
      <c r="EJ83" s="143"/>
      <c r="EK83" s="143"/>
      <c r="EL83" s="143"/>
      <c r="EM83" s="143"/>
      <c r="EN83" s="143"/>
      <c r="EO83" s="143"/>
      <c r="EP83" s="143"/>
      <c r="EQ83" s="143"/>
      <c r="ER83" s="143"/>
      <c r="ES83" s="143"/>
      <c r="ET83" s="143"/>
      <c r="EU83" s="143"/>
      <c r="EV83" s="143"/>
      <c r="EW83" s="143"/>
      <c r="EX83" s="143"/>
      <c r="EY83" s="143"/>
      <c r="EZ83" s="143"/>
      <c r="FA83" s="143"/>
      <c r="FB83" s="143"/>
      <c r="FC83" s="143"/>
      <c r="FD83" s="143"/>
      <c r="FE83" s="143"/>
      <c r="FF83" s="143"/>
      <c r="FG83" s="143"/>
      <c r="FH83" s="143"/>
      <c r="FI83" s="143"/>
      <c r="FJ83" s="143"/>
      <c r="FK83" s="143"/>
      <c r="FL83" s="143"/>
      <c r="FM83" s="143"/>
      <c r="FN83" s="143"/>
      <c r="FO83" s="143"/>
      <c r="FP83" s="143"/>
      <c r="FQ83" s="143"/>
      <c r="FR83" s="143"/>
      <c r="FS83" s="143"/>
      <c r="FT83" s="143"/>
      <c r="FU83" s="143"/>
      <c r="FV83" s="143"/>
      <c r="FW83" s="143"/>
      <c r="FX83" s="143"/>
      <c r="FY83" s="143"/>
      <c r="FZ83" s="143"/>
      <c r="GA83" s="143"/>
      <c r="GB83" s="143"/>
      <c r="GC83" s="143"/>
      <c r="GD83" s="143"/>
      <c r="GE83" s="143"/>
      <c r="GF83" s="143"/>
      <c r="GG83" s="143"/>
      <c r="GH83" s="143"/>
      <c r="GI83" s="143"/>
      <c r="GJ83" s="143"/>
      <c r="GK83" s="143"/>
      <c r="GL83" s="143"/>
      <c r="GM83" s="143"/>
      <c r="GN83" s="143"/>
      <c r="GO83" s="143"/>
      <c r="GP83" s="143"/>
      <c r="GQ83" s="143"/>
      <c r="GR83" s="143"/>
      <c r="GS83" s="143"/>
      <c r="GT83" s="143"/>
      <c r="GU83" s="143"/>
      <c r="GV83" s="143"/>
      <c r="GW83" s="143"/>
      <c r="GX83" s="143"/>
      <c r="GY83" s="143"/>
      <c r="GZ83" s="143"/>
      <c r="HA83" s="143"/>
      <c r="HB83" s="143"/>
      <c r="HC83" s="143"/>
      <c r="HD83" s="143"/>
      <c r="HE83" s="143"/>
      <c r="HF83" s="143"/>
      <c r="HG83" s="143"/>
      <c r="HH83" s="143"/>
      <c r="HI83" s="143"/>
      <c r="HJ83" s="143"/>
      <c r="HK83" s="143"/>
      <c r="HL83" s="143"/>
      <c r="HM83" s="143"/>
      <c r="HN83" s="143"/>
      <c r="HO83" s="143"/>
      <c r="HP83" s="143"/>
      <c r="HQ83" s="143"/>
      <c r="HR83" s="143"/>
      <c r="HS83" s="143"/>
      <c r="HT83" s="143"/>
      <c r="HU83" s="143"/>
      <c r="HV83" s="143"/>
      <c r="HW83" s="143"/>
      <c r="HX83" s="143"/>
      <c r="HY83" s="143"/>
      <c r="HZ83" s="143"/>
      <c r="IA83" s="143"/>
      <c r="IB83" s="143"/>
      <c r="IC83" s="143"/>
      <c r="ID83" s="143"/>
      <c r="IE83" s="143"/>
      <c r="IF83" s="143"/>
      <c r="IG83" s="143"/>
      <c r="IH83" s="143"/>
      <c r="II83" s="143"/>
      <c r="IJ83" s="143"/>
      <c r="IK83" s="143"/>
      <c r="IL83" s="143"/>
      <c r="IM83" s="143"/>
      <c r="IN83" s="143"/>
      <c r="IO83" s="143"/>
      <c r="IP83" s="143"/>
      <c r="IQ83" s="143"/>
      <c r="IR83" s="143"/>
      <c r="IS83" s="143"/>
      <c r="IT83" s="143"/>
      <c r="IU83" s="143"/>
      <c r="IV83" s="143"/>
      <c r="IW83" s="143"/>
      <c r="IX83" s="143"/>
      <c r="IY83" s="143"/>
      <c r="IZ83" s="143"/>
      <c r="JA83" s="143"/>
      <c r="JB83" s="143"/>
      <c r="JC83" s="143"/>
      <c r="JD83" s="143"/>
      <c r="JE83" s="143"/>
      <c r="JF83" s="143"/>
      <c r="JG83" s="143"/>
      <c r="JH83" s="143"/>
      <c r="JI83" s="143"/>
      <c r="JJ83" s="143"/>
      <c r="JK83" s="143"/>
      <c r="JL83" s="143"/>
      <c r="JM83" s="143"/>
    </row>
    <row r="84" spans="1:273" s="5" customFormat="1">
      <c r="A84" s="143"/>
      <c r="B84" s="143"/>
      <c r="C84" s="143"/>
      <c r="D84" s="143"/>
      <c r="E84" s="143"/>
      <c r="F84" s="143"/>
      <c r="G84" s="1048"/>
      <c r="H84" s="1045"/>
      <c r="I84" s="1046"/>
      <c r="J84" s="951"/>
      <c r="K84" s="951"/>
      <c r="L84" s="951"/>
      <c r="M84" s="951"/>
      <c r="N84" s="951"/>
      <c r="O84" s="951"/>
      <c r="P84" s="1047"/>
      <c r="Q84" s="951"/>
      <c r="R84" s="143"/>
      <c r="S84" s="1040"/>
      <c r="T84" s="1041"/>
      <c r="U84" s="1042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30"/>
      <c r="EE84" s="143"/>
      <c r="EF84" s="143"/>
      <c r="EG84" s="143"/>
      <c r="EH84" s="143"/>
      <c r="EI84" s="143"/>
      <c r="EJ84" s="143"/>
      <c r="EK84" s="143"/>
      <c r="EL84" s="143"/>
      <c r="EM84" s="143"/>
      <c r="EN84" s="143"/>
      <c r="EO84" s="143"/>
      <c r="EP84" s="143"/>
      <c r="EQ84" s="143"/>
      <c r="ER84" s="143"/>
      <c r="ES84" s="143"/>
      <c r="ET84" s="143"/>
      <c r="EU84" s="143"/>
      <c r="EV84" s="143"/>
      <c r="EW84" s="143"/>
      <c r="EX84" s="143"/>
      <c r="EY84" s="143"/>
      <c r="EZ84" s="143"/>
      <c r="FA84" s="143"/>
      <c r="FB84" s="143"/>
      <c r="FC84" s="143"/>
      <c r="FD84" s="143"/>
      <c r="FE84" s="143"/>
      <c r="FF84" s="143"/>
      <c r="FG84" s="143"/>
      <c r="FH84" s="143"/>
      <c r="FI84" s="143"/>
      <c r="FJ84" s="143"/>
      <c r="FK84" s="143"/>
      <c r="FL84" s="143"/>
      <c r="FM84" s="143"/>
      <c r="FN84" s="143"/>
      <c r="FO84" s="143"/>
      <c r="FP84" s="143"/>
      <c r="FQ84" s="143"/>
      <c r="FR84" s="143"/>
      <c r="FS84" s="143"/>
      <c r="FT84" s="143"/>
      <c r="FU84" s="143"/>
      <c r="FV84" s="143"/>
      <c r="FW84" s="143"/>
      <c r="FX84" s="143"/>
      <c r="FY84" s="143"/>
      <c r="FZ84" s="143"/>
      <c r="GA84" s="143"/>
      <c r="GB84" s="143"/>
      <c r="GC84" s="143"/>
      <c r="GD84" s="143"/>
      <c r="GE84" s="143"/>
      <c r="GF84" s="143"/>
      <c r="GG84" s="143"/>
      <c r="GH84" s="143"/>
      <c r="GI84" s="143"/>
      <c r="GJ84" s="143"/>
      <c r="GK84" s="143"/>
      <c r="GL84" s="143"/>
      <c r="GM84" s="143"/>
      <c r="GN84" s="143"/>
      <c r="GO84" s="143"/>
      <c r="GP84" s="143"/>
      <c r="GQ84" s="143"/>
      <c r="GR84" s="143"/>
      <c r="GS84" s="143"/>
      <c r="GT84" s="143"/>
      <c r="GU84" s="143"/>
      <c r="GV84" s="143"/>
      <c r="GW84" s="143"/>
      <c r="GX84" s="143"/>
      <c r="GY84" s="143"/>
      <c r="GZ84" s="143"/>
      <c r="HA84" s="143"/>
      <c r="HB84" s="143"/>
      <c r="HC84" s="143"/>
      <c r="HD84" s="143"/>
      <c r="HE84" s="143"/>
      <c r="HF84" s="143"/>
      <c r="HG84" s="143"/>
      <c r="HH84" s="143"/>
      <c r="HI84" s="143"/>
      <c r="HJ84" s="143"/>
      <c r="HK84" s="143"/>
      <c r="HL84" s="143"/>
      <c r="HM84" s="143"/>
      <c r="HN84" s="143"/>
      <c r="HO84" s="143"/>
      <c r="HP84" s="143"/>
      <c r="HQ84" s="143"/>
      <c r="HR84" s="143"/>
      <c r="HS84" s="143"/>
      <c r="HT84" s="143"/>
      <c r="HU84" s="143"/>
      <c r="HV84" s="143"/>
      <c r="HW84" s="143"/>
      <c r="HX84" s="143"/>
      <c r="HY84" s="143"/>
      <c r="HZ84" s="143"/>
      <c r="IA84" s="143"/>
      <c r="IB84" s="143"/>
      <c r="IC84" s="143"/>
      <c r="ID84" s="143"/>
      <c r="IE84" s="143"/>
      <c r="IF84" s="143"/>
      <c r="IG84" s="143"/>
      <c r="IH84" s="143"/>
      <c r="II84" s="143"/>
      <c r="IJ84" s="143"/>
      <c r="IK84" s="143"/>
      <c r="IL84" s="143"/>
      <c r="IM84" s="143"/>
      <c r="IN84" s="143"/>
      <c r="IO84" s="143"/>
      <c r="IP84" s="143"/>
      <c r="IQ84" s="143"/>
      <c r="IR84" s="143"/>
      <c r="IS84" s="143"/>
      <c r="IT84" s="143"/>
      <c r="IU84" s="143"/>
      <c r="IV84" s="143"/>
      <c r="IW84" s="143"/>
      <c r="IX84" s="143"/>
      <c r="IY84" s="143"/>
      <c r="IZ84" s="143"/>
      <c r="JA84" s="143"/>
      <c r="JB84" s="143"/>
      <c r="JC84" s="143"/>
      <c r="JD84" s="143"/>
      <c r="JE84" s="143"/>
      <c r="JF84" s="143"/>
      <c r="JG84" s="143"/>
      <c r="JH84" s="143"/>
      <c r="JI84" s="143"/>
      <c r="JJ84" s="143"/>
      <c r="JK84" s="143"/>
      <c r="JL84" s="143"/>
      <c r="JM84" s="143"/>
    </row>
    <row r="85" spans="1:273" s="5" customFormat="1">
      <c r="A85" s="143"/>
      <c r="B85" s="143"/>
      <c r="C85" s="143"/>
      <c r="D85" s="143"/>
      <c r="E85" s="143"/>
      <c r="F85" s="143"/>
      <c r="G85" s="1048"/>
      <c r="H85" s="1045"/>
      <c r="I85" s="1046"/>
      <c r="J85" s="951"/>
      <c r="K85" s="951"/>
      <c r="L85" s="951"/>
      <c r="M85" s="951"/>
      <c r="N85" s="951"/>
      <c r="O85" s="951"/>
      <c r="P85" s="1047"/>
      <c r="Q85" s="951"/>
      <c r="R85" s="143"/>
      <c r="S85" s="1040"/>
      <c r="T85" s="1041"/>
      <c r="U85" s="1042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30"/>
      <c r="EE85" s="143"/>
      <c r="EF85" s="143"/>
      <c r="EG85" s="143"/>
      <c r="EH85" s="143"/>
      <c r="EI85" s="143"/>
      <c r="EJ85" s="143"/>
      <c r="EK85" s="143"/>
      <c r="EL85" s="143"/>
      <c r="EM85" s="143"/>
      <c r="EN85" s="143"/>
      <c r="EO85" s="143"/>
      <c r="EP85" s="143"/>
      <c r="EQ85" s="143"/>
      <c r="ER85" s="143"/>
      <c r="ES85" s="143"/>
      <c r="ET85" s="143"/>
      <c r="EU85" s="143"/>
      <c r="EV85" s="143"/>
      <c r="EW85" s="143"/>
      <c r="EX85" s="143"/>
      <c r="EY85" s="143"/>
      <c r="EZ85" s="143"/>
      <c r="FA85" s="143"/>
      <c r="FB85" s="143"/>
      <c r="FC85" s="143"/>
      <c r="FD85" s="143"/>
      <c r="FE85" s="143"/>
      <c r="FF85" s="143"/>
      <c r="FG85" s="143"/>
      <c r="FH85" s="143"/>
      <c r="FI85" s="143"/>
      <c r="FJ85" s="143"/>
      <c r="FK85" s="143"/>
      <c r="FL85" s="143"/>
      <c r="FM85" s="143"/>
      <c r="FN85" s="143"/>
      <c r="FO85" s="143"/>
      <c r="FP85" s="143"/>
      <c r="FQ85" s="143"/>
      <c r="FR85" s="143"/>
      <c r="FS85" s="143"/>
      <c r="FT85" s="143"/>
      <c r="FU85" s="143"/>
      <c r="FV85" s="143"/>
      <c r="FW85" s="143"/>
      <c r="FX85" s="143"/>
      <c r="FY85" s="143"/>
      <c r="FZ85" s="143"/>
      <c r="GA85" s="143"/>
      <c r="GB85" s="143"/>
      <c r="GC85" s="143"/>
      <c r="GD85" s="143"/>
      <c r="GE85" s="143"/>
      <c r="GF85" s="143"/>
      <c r="GG85" s="143"/>
      <c r="GH85" s="143"/>
      <c r="GI85" s="143"/>
      <c r="GJ85" s="143"/>
      <c r="GK85" s="143"/>
      <c r="GL85" s="143"/>
      <c r="GM85" s="143"/>
      <c r="GN85" s="143"/>
      <c r="GO85" s="143"/>
      <c r="GP85" s="143"/>
      <c r="GQ85" s="143"/>
      <c r="GR85" s="143"/>
      <c r="GS85" s="143"/>
      <c r="GT85" s="143"/>
      <c r="GU85" s="143"/>
      <c r="GV85" s="143"/>
      <c r="GW85" s="143"/>
      <c r="GX85" s="143"/>
      <c r="GY85" s="143"/>
      <c r="GZ85" s="143"/>
      <c r="HA85" s="143"/>
      <c r="HB85" s="143"/>
      <c r="HC85" s="143"/>
      <c r="HD85" s="143"/>
      <c r="HE85" s="143"/>
      <c r="HF85" s="143"/>
      <c r="HG85" s="143"/>
      <c r="HH85" s="143"/>
      <c r="HI85" s="143"/>
      <c r="HJ85" s="143"/>
      <c r="HK85" s="143"/>
      <c r="HL85" s="143"/>
      <c r="HM85" s="143"/>
      <c r="HN85" s="143"/>
      <c r="HO85" s="143"/>
      <c r="HP85" s="143"/>
      <c r="HQ85" s="143"/>
      <c r="HR85" s="143"/>
      <c r="HS85" s="143"/>
      <c r="HT85" s="143"/>
      <c r="HU85" s="143"/>
      <c r="HV85" s="143"/>
      <c r="HW85" s="143"/>
      <c r="HX85" s="143"/>
      <c r="HY85" s="143"/>
      <c r="HZ85" s="143"/>
      <c r="IA85" s="143"/>
      <c r="IB85" s="143"/>
      <c r="IC85" s="143"/>
      <c r="ID85" s="143"/>
      <c r="IE85" s="143"/>
      <c r="IF85" s="143"/>
      <c r="IG85" s="143"/>
      <c r="IH85" s="143"/>
      <c r="II85" s="143"/>
      <c r="IJ85" s="143"/>
      <c r="IK85" s="143"/>
      <c r="IL85" s="143"/>
      <c r="IM85" s="143"/>
      <c r="IN85" s="143"/>
      <c r="IO85" s="143"/>
      <c r="IP85" s="143"/>
      <c r="IQ85" s="143"/>
      <c r="IR85" s="143"/>
      <c r="IS85" s="143"/>
      <c r="IT85" s="143"/>
      <c r="IU85" s="143"/>
      <c r="IV85" s="143"/>
      <c r="IW85" s="143"/>
      <c r="IX85" s="143"/>
      <c r="IY85" s="143"/>
      <c r="IZ85" s="143"/>
      <c r="JA85" s="143"/>
      <c r="JB85" s="143"/>
      <c r="JC85" s="143"/>
      <c r="JD85" s="143"/>
      <c r="JE85" s="143"/>
      <c r="JF85" s="143"/>
      <c r="JG85" s="143"/>
      <c r="JH85" s="143"/>
      <c r="JI85" s="143"/>
      <c r="JJ85" s="143"/>
      <c r="JK85" s="143"/>
      <c r="JL85" s="143"/>
      <c r="JM85" s="143"/>
    </row>
    <row r="86" spans="1:273" s="5" customFormat="1">
      <c r="A86" s="143"/>
      <c r="B86" s="143"/>
      <c r="C86" s="143"/>
      <c r="D86" s="143"/>
      <c r="E86" s="143"/>
      <c r="F86" s="143"/>
      <c r="G86" s="1048"/>
      <c r="H86" s="1045"/>
      <c r="I86" s="1046"/>
      <c r="J86" s="951"/>
      <c r="K86" s="951"/>
      <c r="L86" s="951"/>
      <c r="M86" s="951"/>
      <c r="N86" s="951"/>
      <c r="O86" s="951"/>
      <c r="P86" s="1047"/>
      <c r="Q86" s="951"/>
      <c r="R86" s="143"/>
      <c r="S86" s="1040"/>
      <c r="T86" s="1041"/>
      <c r="U86" s="1042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30"/>
      <c r="EE86" s="143"/>
      <c r="EF86" s="143"/>
      <c r="EG86" s="143"/>
      <c r="EH86" s="143"/>
      <c r="EI86" s="143"/>
      <c r="EJ86" s="143"/>
      <c r="EK86" s="143"/>
      <c r="EL86" s="143"/>
      <c r="EM86" s="143"/>
      <c r="EN86" s="143"/>
      <c r="EO86" s="143"/>
      <c r="EP86" s="143"/>
      <c r="EQ86" s="143"/>
      <c r="ER86" s="143"/>
      <c r="ES86" s="143"/>
      <c r="ET86" s="143"/>
      <c r="EU86" s="143"/>
      <c r="EV86" s="143"/>
      <c r="EW86" s="143"/>
      <c r="EX86" s="143"/>
      <c r="EY86" s="143"/>
      <c r="EZ86" s="143"/>
      <c r="FA86" s="143"/>
      <c r="FB86" s="143"/>
      <c r="FC86" s="143"/>
      <c r="FD86" s="143"/>
      <c r="FE86" s="143"/>
      <c r="FF86" s="143"/>
      <c r="FG86" s="143"/>
      <c r="FH86" s="143"/>
      <c r="FI86" s="143"/>
      <c r="FJ86" s="143"/>
      <c r="FK86" s="143"/>
      <c r="FL86" s="143"/>
      <c r="FM86" s="143"/>
      <c r="FN86" s="143"/>
      <c r="FO86" s="143"/>
      <c r="FP86" s="143"/>
      <c r="FQ86" s="143"/>
      <c r="FR86" s="143"/>
      <c r="FS86" s="143"/>
      <c r="FT86" s="143"/>
      <c r="FU86" s="143"/>
      <c r="FV86" s="143"/>
      <c r="FW86" s="143"/>
      <c r="FX86" s="143"/>
      <c r="FY86" s="143"/>
      <c r="FZ86" s="143"/>
      <c r="GA86" s="143"/>
      <c r="GB86" s="143"/>
      <c r="GC86" s="143"/>
      <c r="GD86" s="143"/>
      <c r="GE86" s="143"/>
      <c r="GF86" s="143"/>
      <c r="GG86" s="143"/>
      <c r="GH86" s="143"/>
      <c r="GI86" s="143"/>
      <c r="GJ86" s="143"/>
      <c r="GK86" s="143"/>
      <c r="GL86" s="143"/>
      <c r="GM86" s="143"/>
      <c r="GN86" s="143"/>
      <c r="GO86" s="143"/>
      <c r="GP86" s="143"/>
      <c r="GQ86" s="143"/>
      <c r="GR86" s="143"/>
      <c r="GS86" s="143"/>
      <c r="GT86" s="143"/>
      <c r="GU86" s="143"/>
      <c r="GV86" s="143"/>
      <c r="GW86" s="143"/>
      <c r="GX86" s="143"/>
      <c r="GY86" s="143"/>
      <c r="GZ86" s="143"/>
      <c r="HA86" s="143"/>
      <c r="HB86" s="143"/>
      <c r="HC86" s="143"/>
      <c r="HD86" s="143"/>
      <c r="HE86" s="143"/>
      <c r="HF86" s="143"/>
      <c r="HG86" s="143"/>
      <c r="HH86" s="143"/>
      <c r="HI86" s="143"/>
      <c r="HJ86" s="143"/>
      <c r="HK86" s="143"/>
      <c r="HL86" s="143"/>
      <c r="HM86" s="143"/>
      <c r="HN86" s="143"/>
      <c r="HO86" s="143"/>
      <c r="HP86" s="143"/>
      <c r="HQ86" s="143"/>
      <c r="HR86" s="143"/>
      <c r="HS86" s="143"/>
      <c r="HT86" s="143"/>
      <c r="HU86" s="143"/>
      <c r="HV86" s="143"/>
      <c r="HW86" s="143"/>
      <c r="HX86" s="143"/>
      <c r="HY86" s="143"/>
      <c r="HZ86" s="143"/>
      <c r="IA86" s="143"/>
      <c r="IB86" s="143"/>
      <c r="IC86" s="143"/>
      <c r="ID86" s="143"/>
      <c r="IE86" s="143"/>
      <c r="IF86" s="143"/>
      <c r="IG86" s="143"/>
      <c r="IH86" s="143"/>
      <c r="II86" s="143"/>
      <c r="IJ86" s="143"/>
      <c r="IK86" s="143"/>
      <c r="IL86" s="143"/>
      <c r="IM86" s="143"/>
      <c r="IN86" s="143"/>
      <c r="IO86" s="143"/>
      <c r="IP86" s="143"/>
      <c r="IQ86" s="143"/>
      <c r="IR86" s="143"/>
      <c r="IS86" s="143"/>
      <c r="IT86" s="143"/>
      <c r="IU86" s="143"/>
      <c r="IV86" s="143"/>
      <c r="IW86" s="143"/>
      <c r="IX86" s="143"/>
      <c r="IY86" s="143"/>
      <c r="IZ86" s="143"/>
      <c r="JA86" s="143"/>
      <c r="JB86" s="143"/>
      <c r="JC86" s="143"/>
      <c r="JD86" s="143"/>
      <c r="JE86" s="143"/>
      <c r="JF86" s="143"/>
      <c r="JG86" s="143"/>
      <c r="JH86" s="143"/>
      <c r="JI86" s="143"/>
      <c r="JJ86" s="143"/>
      <c r="JK86" s="143"/>
      <c r="JL86" s="143"/>
      <c r="JM86" s="143"/>
    </row>
    <row r="87" spans="1:273" s="5" customFormat="1">
      <c r="A87" s="143"/>
      <c r="B87" s="143"/>
      <c r="C87" s="143"/>
      <c r="D87" s="143"/>
      <c r="E87" s="143"/>
      <c r="F87" s="143"/>
      <c r="G87" s="1048"/>
      <c r="H87" s="1045"/>
      <c r="I87" s="1046"/>
      <c r="J87" s="951"/>
      <c r="K87" s="951"/>
      <c r="L87" s="951"/>
      <c r="M87" s="951"/>
      <c r="N87" s="951"/>
      <c r="O87" s="951"/>
      <c r="P87" s="1047"/>
      <c r="Q87" s="951"/>
      <c r="R87" s="143"/>
      <c r="S87" s="1040"/>
      <c r="T87" s="1041"/>
      <c r="U87" s="1042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30"/>
      <c r="EE87" s="143"/>
      <c r="EF87" s="143"/>
      <c r="EG87" s="143"/>
      <c r="EH87" s="143"/>
      <c r="EI87" s="143"/>
      <c r="EJ87" s="143"/>
      <c r="EK87" s="143"/>
      <c r="EL87" s="143"/>
      <c r="EM87" s="143"/>
      <c r="EN87" s="143"/>
      <c r="EO87" s="143"/>
      <c r="EP87" s="143"/>
      <c r="EQ87" s="143"/>
      <c r="ER87" s="143"/>
      <c r="ES87" s="143"/>
      <c r="ET87" s="143"/>
      <c r="EU87" s="143"/>
      <c r="EV87" s="143"/>
      <c r="EW87" s="143"/>
      <c r="EX87" s="143"/>
      <c r="EY87" s="143"/>
      <c r="EZ87" s="143"/>
      <c r="FA87" s="143"/>
      <c r="FB87" s="143"/>
      <c r="FC87" s="143"/>
      <c r="FD87" s="143"/>
      <c r="FE87" s="143"/>
      <c r="FF87" s="143"/>
      <c r="FG87" s="143"/>
      <c r="FH87" s="143"/>
      <c r="FI87" s="143"/>
      <c r="FJ87" s="143"/>
      <c r="FK87" s="143"/>
      <c r="FL87" s="143"/>
      <c r="FM87" s="143"/>
      <c r="FN87" s="143"/>
      <c r="FO87" s="143"/>
      <c r="FP87" s="143"/>
      <c r="FQ87" s="143"/>
      <c r="FR87" s="143"/>
      <c r="FS87" s="143"/>
      <c r="FT87" s="143"/>
      <c r="FU87" s="143"/>
      <c r="FV87" s="143"/>
      <c r="FW87" s="143"/>
      <c r="FX87" s="143"/>
      <c r="FY87" s="143"/>
      <c r="FZ87" s="143"/>
      <c r="GA87" s="143"/>
      <c r="GB87" s="143"/>
      <c r="GC87" s="143"/>
      <c r="GD87" s="143"/>
      <c r="GE87" s="143"/>
      <c r="GF87" s="143"/>
      <c r="GG87" s="143"/>
      <c r="GH87" s="143"/>
      <c r="GI87" s="143"/>
      <c r="GJ87" s="143"/>
      <c r="GK87" s="143"/>
      <c r="GL87" s="143"/>
      <c r="GM87" s="143"/>
      <c r="GN87" s="143"/>
      <c r="GO87" s="143"/>
      <c r="GP87" s="143"/>
      <c r="GQ87" s="143"/>
      <c r="GR87" s="143"/>
      <c r="GS87" s="143"/>
      <c r="GT87" s="143"/>
      <c r="GU87" s="143"/>
      <c r="GV87" s="143"/>
      <c r="GW87" s="143"/>
      <c r="GX87" s="143"/>
      <c r="GY87" s="143"/>
      <c r="GZ87" s="143"/>
      <c r="HA87" s="143"/>
      <c r="HB87" s="143"/>
      <c r="HC87" s="143"/>
      <c r="HD87" s="143"/>
      <c r="HE87" s="143"/>
      <c r="HF87" s="143"/>
      <c r="HG87" s="143"/>
      <c r="HH87" s="143"/>
      <c r="HI87" s="143"/>
      <c r="HJ87" s="143"/>
      <c r="HK87" s="143"/>
      <c r="HL87" s="143"/>
      <c r="HM87" s="143"/>
      <c r="HN87" s="143"/>
      <c r="HO87" s="143"/>
      <c r="HP87" s="143"/>
      <c r="HQ87" s="143"/>
      <c r="HR87" s="143"/>
      <c r="HS87" s="143"/>
      <c r="HT87" s="143"/>
      <c r="HU87" s="143"/>
      <c r="HV87" s="143"/>
      <c r="HW87" s="143"/>
      <c r="HX87" s="143"/>
      <c r="HY87" s="143"/>
      <c r="HZ87" s="143"/>
      <c r="IA87" s="143"/>
      <c r="IB87" s="143"/>
      <c r="IC87" s="143"/>
      <c r="ID87" s="143"/>
      <c r="IE87" s="143"/>
      <c r="IF87" s="143"/>
      <c r="IG87" s="143"/>
      <c r="IH87" s="143"/>
      <c r="II87" s="143"/>
      <c r="IJ87" s="143"/>
      <c r="IK87" s="143"/>
      <c r="IL87" s="143"/>
      <c r="IM87" s="143"/>
      <c r="IN87" s="143"/>
      <c r="IO87" s="143"/>
      <c r="IP87" s="143"/>
      <c r="IQ87" s="143"/>
      <c r="IR87" s="143"/>
      <c r="IS87" s="143"/>
      <c r="IT87" s="143"/>
      <c r="IU87" s="143"/>
      <c r="IV87" s="143"/>
      <c r="IW87" s="143"/>
      <c r="IX87" s="143"/>
      <c r="IY87" s="143"/>
      <c r="IZ87" s="143"/>
      <c r="JA87" s="143"/>
      <c r="JB87" s="143"/>
      <c r="JC87" s="143"/>
      <c r="JD87" s="143"/>
      <c r="JE87" s="143"/>
      <c r="JF87" s="143"/>
      <c r="JG87" s="143"/>
      <c r="JH87" s="143"/>
      <c r="JI87" s="143"/>
      <c r="JJ87" s="143"/>
      <c r="JK87" s="143"/>
      <c r="JL87" s="143"/>
      <c r="JM87" s="143"/>
    </row>
    <row r="88" spans="1:273" s="5" customFormat="1">
      <c r="A88" s="143"/>
      <c r="B88" s="143"/>
      <c r="C88" s="143"/>
      <c r="D88" s="143"/>
      <c r="E88" s="143"/>
      <c r="F88" s="143"/>
      <c r="G88" s="1048"/>
      <c r="H88" s="1045"/>
      <c r="I88" s="1046"/>
      <c r="J88" s="951"/>
      <c r="K88" s="951"/>
      <c r="L88" s="951"/>
      <c r="M88" s="951"/>
      <c r="N88" s="951"/>
      <c r="O88" s="951"/>
      <c r="P88" s="1047"/>
      <c r="Q88" s="951"/>
      <c r="R88" s="143"/>
      <c r="S88" s="1040"/>
      <c r="T88" s="1041"/>
      <c r="U88" s="1042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30"/>
      <c r="EE88" s="143"/>
      <c r="EF88" s="143"/>
      <c r="EG88" s="143"/>
      <c r="EH88" s="143"/>
      <c r="EI88" s="143"/>
      <c r="EJ88" s="143"/>
      <c r="EK88" s="143"/>
      <c r="EL88" s="143"/>
      <c r="EM88" s="143"/>
      <c r="EN88" s="143"/>
      <c r="EO88" s="143"/>
      <c r="EP88" s="143"/>
      <c r="EQ88" s="143"/>
      <c r="ER88" s="143"/>
      <c r="ES88" s="143"/>
      <c r="ET88" s="143"/>
      <c r="EU88" s="143"/>
      <c r="EV88" s="143"/>
      <c r="EW88" s="143"/>
      <c r="EX88" s="143"/>
      <c r="EY88" s="143"/>
      <c r="EZ88" s="143"/>
      <c r="FA88" s="143"/>
      <c r="FB88" s="143"/>
      <c r="FC88" s="143"/>
      <c r="FD88" s="143"/>
      <c r="FE88" s="143"/>
      <c r="FF88" s="143"/>
      <c r="FG88" s="143"/>
      <c r="FH88" s="143"/>
      <c r="FI88" s="143"/>
      <c r="FJ88" s="143"/>
      <c r="FK88" s="143"/>
      <c r="FL88" s="143"/>
      <c r="FM88" s="143"/>
      <c r="FN88" s="143"/>
      <c r="FO88" s="143"/>
      <c r="FP88" s="143"/>
      <c r="FQ88" s="143"/>
      <c r="FR88" s="143"/>
      <c r="FS88" s="143"/>
      <c r="FT88" s="143"/>
      <c r="FU88" s="143"/>
      <c r="FV88" s="143"/>
      <c r="FW88" s="143"/>
      <c r="FX88" s="143"/>
      <c r="FY88" s="143"/>
      <c r="FZ88" s="143"/>
      <c r="GA88" s="143"/>
      <c r="GB88" s="143"/>
      <c r="GC88" s="143"/>
      <c r="GD88" s="143"/>
      <c r="GE88" s="143"/>
      <c r="GF88" s="143"/>
      <c r="GG88" s="143"/>
      <c r="GH88" s="143"/>
      <c r="GI88" s="143"/>
      <c r="GJ88" s="143"/>
      <c r="GK88" s="143"/>
      <c r="GL88" s="143"/>
      <c r="GM88" s="143"/>
      <c r="GN88" s="143"/>
      <c r="GO88" s="143"/>
      <c r="GP88" s="143"/>
      <c r="GQ88" s="143"/>
      <c r="GR88" s="143"/>
      <c r="GS88" s="143"/>
      <c r="GT88" s="143"/>
      <c r="GU88" s="143"/>
      <c r="GV88" s="143"/>
      <c r="GW88" s="143"/>
      <c r="GX88" s="143"/>
      <c r="GY88" s="143"/>
      <c r="GZ88" s="143"/>
      <c r="HA88" s="143"/>
      <c r="HB88" s="143"/>
      <c r="HC88" s="143"/>
      <c r="HD88" s="143"/>
      <c r="HE88" s="143"/>
      <c r="HF88" s="143"/>
      <c r="HG88" s="143"/>
      <c r="HH88" s="143"/>
      <c r="HI88" s="143"/>
      <c r="HJ88" s="143"/>
      <c r="HK88" s="143"/>
      <c r="HL88" s="143"/>
      <c r="HM88" s="143"/>
      <c r="HN88" s="143"/>
      <c r="HO88" s="143"/>
      <c r="HP88" s="143"/>
      <c r="HQ88" s="143"/>
      <c r="HR88" s="143"/>
      <c r="HS88" s="143"/>
      <c r="HT88" s="143"/>
      <c r="HU88" s="143"/>
      <c r="HV88" s="143"/>
      <c r="HW88" s="143"/>
      <c r="HX88" s="143"/>
      <c r="HY88" s="143"/>
      <c r="HZ88" s="143"/>
      <c r="IA88" s="143"/>
      <c r="IB88" s="143"/>
      <c r="IC88" s="143"/>
      <c r="ID88" s="143"/>
      <c r="IE88" s="143"/>
      <c r="IF88" s="143"/>
      <c r="IG88" s="143"/>
      <c r="IH88" s="143"/>
      <c r="II88" s="143"/>
      <c r="IJ88" s="143"/>
      <c r="IK88" s="143"/>
      <c r="IL88" s="143"/>
      <c r="IM88" s="143"/>
      <c r="IN88" s="143"/>
      <c r="IO88" s="143"/>
      <c r="IP88" s="143"/>
      <c r="IQ88" s="143"/>
      <c r="IR88" s="143"/>
      <c r="IS88" s="143"/>
      <c r="IT88" s="143"/>
      <c r="IU88" s="143"/>
      <c r="IV88" s="143"/>
      <c r="IW88" s="143"/>
      <c r="IX88" s="143"/>
      <c r="IY88" s="143"/>
      <c r="IZ88" s="143"/>
      <c r="JA88" s="143"/>
      <c r="JB88" s="143"/>
      <c r="JC88" s="143"/>
      <c r="JD88" s="143"/>
      <c r="JE88" s="143"/>
      <c r="JF88" s="143"/>
      <c r="JG88" s="143"/>
      <c r="JH88" s="143"/>
      <c r="JI88" s="143"/>
      <c r="JJ88" s="143"/>
      <c r="JK88" s="143"/>
      <c r="JL88" s="143"/>
      <c r="JM88" s="143"/>
    </row>
    <row r="89" spans="1:273" s="5" customFormat="1">
      <c r="A89" s="143"/>
      <c r="B89" s="143"/>
      <c r="C89" s="143"/>
      <c r="D89" s="143"/>
      <c r="E89" s="143"/>
      <c r="F89" s="143"/>
      <c r="G89" s="1048"/>
      <c r="H89" s="1045"/>
      <c r="I89" s="1046"/>
      <c r="J89" s="951"/>
      <c r="K89" s="951"/>
      <c r="L89" s="951"/>
      <c r="M89" s="951"/>
      <c r="N89" s="951"/>
      <c r="O89" s="951"/>
      <c r="P89" s="1047"/>
      <c r="Q89" s="951"/>
      <c r="R89" s="143"/>
      <c r="S89" s="1040"/>
      <c r="T89" s="1041"/>
      <c r="U89" s="1042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30"/>
      <c r="EE89" s="143"/>
      <c r="EF89" s="143"/>
      <c r="EG89" s="143"/>
      <c r="EH89" s="143"/>
      <c r="EI89" s="143"/>
      <c r="EJ89" s="143"/>
      <c r="EK89" s="143"/>
      <c r="EL89" s="143"/>
      <c r="EM89" s="143"/>
      <c r="EN89" s="143"/>
      <c r="EO89" s="143"/>
      <c r="EP89" s="143"/>
      <c r="EQ89" s="143"/>
      <c r="ER89" s="143"/>
      <c r="ES89" s="143"/>
      <c r="ET89" s="143"/>
      <c r="EU89" s="143"/>
      <c r="EV89" s="143"/>
      <c r="EW89" s="143"/>
      <c r="EX89" s="143"/>
      <c r="EY89" s="143"/>
      <c r="EZ89" s="143"/>
      <c r="FA89" s="143"/>
      <c r="FB89" s="143"/>
      <c r="FC89" s="143"/>
      <c r="FD89" s="143"/>
      <c r="FE89" s="143"/>
      <c r="FF89" s="143"/>
      <c r="FG89" s="143"/>
      <c r="FH89" s="143"/>
      <c r="FI89" s="143"/>
      <c r="FJ89" s="143"/>
      <c r="FK89" s="143"/>
      <c r="FL89" s="143"/>
      <c r="FM89" s="143"/>
      <c r="FN89" s="143"/>
      <c r="FO89" s="143"/>
      <c r="FP89" s="143"/>
      <c r="FQ89" s="143"/>
      <c r="FR89" s="143"/>
      <c r="FS89" s="143"/>
      <c r="FT89" s="143"/>
      <c r="FU89" s="143"/>
      <c r="FV89" s="143"/>
      <c r="FW89" s="143"/>
      <c r="FX89" s="143"/>
      <c r="FY89" s="143"/>
      <c r="FZ89" s="143"/>
      <c r="GA89" s="143"/>
      <c r="GB89" s="143"/>
      <c r="GC89" s="143"/>
      <c r="GD89" s="143"/>
      <c r="GE89" s="143"/>
      <c r="GF89" s="143"/>
      <c r="GG89" s="143"/>
      <c r="GH89" s="143"/>
      <c r="GI89" s="143"/>
      <c r="GJ89" s="143"/>
      <c r="GK89" s="143"/>
      <c r="GL89" s="143"/>
      <c r="GM89" s="143"/>
      <c r="GN89" s="143"/>
      <c r="GO89" s="143"/>
      <c r="GP89" s="143"/>
      <c r="GQ89" s="143"/>
      <c r="GR89" s="143"/>
      <c r="GS89" s="143"/>
      <c r="GT89" s="143"/>
      <c r="GU89" s="143"/>
      <c r="GV89" s="143"/>
      <c r="GW89" s="143"/>
      <c r="GX89" s="143"/>
      <c r="GY89" s="143"/>
      <c r="GZ89" s="143"/>
      <c r="HA89" s="143"/>
      <c r="HB89" s="143"/>
      <c r="HC89" s="143"/>
      <c r="HD89" s="143"/>
      <c r="HE89" s="143"/>
      <c r="HF89" s="143"/>
      <c r="HG89" s="143"/>
      <c r="HH89" s="143"/>
      <c r="HI89" s="143"/>
      <c r="HJ89" s="143"/>
      <c r="HK89" s="143"/>
      <c r="HL89" s="143"/>
      <c r="HM89" s="143"/>
      <c r="HN89" s="143"/>
      <c r="HO89" s="143"/>
      <c r="HP89" s="143"/>
      <c r="HQ89" s="143"/>
      <c r="HR89" s="143"/>
      <c r="HS89" s="143"/>
      <c r="HT89" s="143"/>
      <c r="HU89" s="143"/>
      <c r="HV89" s="143"/>
      <c r="HW89" s="143"/>
      <c r="HX89" s="143"/>
      <c r="HY89" s="143"/>
      <c r="HZ89" s="143"/>
      <c r="IA89" s="143"/>
      <c r="IB89" s="143"/>
      <c r="IC89" s="143"/>
      <c r="ID89" s="143"/>
      <c r="IE89" s="143"/>
      <c r="IF89" s="143"/>
      <c r="IG89" s="143"/>
      <c r="IH89" s="143"/>
      <c r="II89" s="143"/>
      <c r="IJ89" s="143"/>
      <c r="IK89" s="143"/>
      <c r="IL89" s="143"/>
      <c r="IM89" s="143"/>
      <c r="IN89" s="143"/>
      <c r="IO89" s="143"/>
      <c r="IP89" s="143"/>
      <c r="IQ89" s="143"/>
      <c r="IR89" s="143"/>
      <c r="IS89" s="143"/>
      <c r="IT89" s="143"/>
      <c r="IU89" s="143"/>
      <c r="IV89" s="143"/>
      <c r="IW89" s="143"/>
      <c r="IX89" s="143"/>
      <c r="IY89" s="143"/>
      <c r="IZ89" s="143"/>
      <c r="JA89" s="143"/>
      <c r="JB89" s="143"/>
      <c r="JC89" s="143"/>
      <c r="JD89" s="143"/>
      <c r="JE89" s="143"/>
      <c r="JF89" s="143"/>
      <c r="JG89" s="143"/>
      <c r="JH89" s="143"/>
      <c r="JI89" s="143"/>
      <c r="JJ89" s="143"/>
      <c r="JK89" s="143"/>
      <c r="JL89" s="143"/>
      <c r="JM89" s="143"/>
    </row>
    <row r="90" spans="1:273" s="5" customFormat="1">
      <c r="A90" s="143"/>
      <c r="B90" s="143"/>
      <c r="C90" s="143"/>
      <c r="D90" s="143"/>
      <c r="E90" s="143"/>
      <c r="F90" s="143"/>
      <c r="G90" s="1048"/>
      <c r="H90" s="1045"/>
      <c r="I90" s="1046"/>
      <c r="J90" s="951"/>
      <c r="K90" s="951"/>
      <c r="L90" s="951"/>
      <c r="M90" s="951"/>
      <c r="N90" s="951"/>
      <c r="O90" s="951"/>
      <c r="P90" s="1047"/>
      <c r="Q90" s="951"/>
      <c r="R90" s="143"/>
      <c r="S90" s="1040"/>
      <c r="T90" s="1041"/>
      <c r="U90" s="1042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30"/>
      <c r="EE90" s="143"/>
      <c r="EF90" s="143"/>
      <c r="EG90" s="143"/>
      <c r="EH90" s="143"/>
      <c r="EI90" s="143"/>
      <c r="EJ90" s="143"/>
      <c r="EK90" s="143"/>
      <c r="EL90" s="143"/>
      <c r="EM90" s="143"/>
      <c r="EN90" s="143"/>
      <c r="EO90" s="143"/>
      <c r="EP90" s="143"/>
      <c r="EQ90" s="143"/>
      <c r="ER90" s="143"/>
      <c r="ES90" s="143"/>
      <c r="ET90" s="143"/>
      <c r="EU90" s="143"/>
      <c r="EV90" s="143"/>
      <c r="EW90" s="143"/>
      <c r="EX90" s="143"/>
      <c r="EY90" s="143"/>
      <c r="EZ90" s="143"/>
      <c r="FA90" s="143"/>
      <c r="FB90" s="143"/>
      <c r="FC90" s="143"/>
      <c r="FD90" s="143"/>
      <c r="FE90" s="143"/>
      <c r="FF90" s="143"/>
      <c r="FG90" s="143"/>
      <c r="FH90" s="143"/>
      <c r="FI90" s="143"/>
      <c r="FJ90" s="143"/>
      <c r="FK90" s="143"/>
      <c r="FL90" s="143"/>
      <c r="FM90" s="143"/>
      <c r="FN90" s="143"/>
      <c r="FO90" s="143"/>
      <c r="FP90" s="143"/>
      <c r="FQ90" s="143"/>
      <c r="FR90" s="143"/>
      <c r="FS90" s="143"/>
      <c r="FT90" s="143"/>
      <c r="FU90" s="143"/>
      <c r="FV90" s="143"/>
      <c r="FW90" s="143"/>
      <c r="FX90" s="143"/>
      <c r="FY90" s="143"/>
      <c r="FZ90" s="143"/>
      <c r="GA90" s="143"/>
      <c r="GB90" s="143"/>
      <c r="GC90" s="143"/>
      <c r="GD90" s="143"/>
      <c r="GE90" s="143"/>
      <c r="GF90" s="143"/>
      <c r="GG90" s="143"/>
      <c r="GH90" s="143"/>
      <c r="GI90" s="143"/>
      <c r="GJ90" s="143"/>
      <c r="GK90" s="143"/>
      <c r="GL90" s="143"/>
      <c r="GM90" s="143"/>
      <c r="GN90" s="143"/>
      <c r="GO90" s="143"/>
      <c r="GP90" s="143"/>
      <c r="GQ90" s="143"/>
      <c r="GR90" s="143"/>
      <c r="GS90" s="143"/>
      <c r="GT90" s="143"/>
      <c r="GU90" s="143"/>
      <c r="GV90" s="143"/>
      <c r="GW90" s="143"/>
      <c r="GX90" s="143"/>
      <c r="GY90" s="143"/>
      <c r="GZ90" s="143"/>
      <c r="HA90" s="143"/>
      <c r="HB90" s="143"/>
      <c r="HC90" s="143"/>
      <c r="HD90" s="143"/>
      <c r="HE90" s="143"/>
      <c r="HF90" s="143"/>
      <c r="HG90" s="143"/>
      <c r="HH90" s="143"/>
      <c r="HI90" s="143"/>
      <c r="HJ90" s="143"/>
      <c r="HK90" s="143"/>
      <c r="HL90" s="143"/>
      <c r="HM90" s="143"/>
      <c r="HN90" s="143"/>
      <c r="HO90" s="143"/>
      <c r="HP90" s="143"/>
      <c r="HQ90" s="143"/>
      <c r="HR90" s="143"/>
      <c r="HS90" s="143"/>
      <c r="HT90" s="143"/>
      <c r="HU90" s="143"/>
      <c r="HV90" s="143"/>
      <c r="HW90" s="143"/>
      <c r="HX90" s="143"/>
      <c r="HY90" s="143"/>
      <c r="HZ90" s="143"/>
      <c r="IA90" s="143"/>
      <c r="IB90" s="143"/>
      <c r="IC90" s="143"/>
      <c r="ID90" s="143"/>
      <c r="IE90" s="143"/>
      <c r="IF90" s="143"/>
      <c r="IG90" s="143"/>
      <c r="IH90" s="143"/>
      <c r="II90" s="143"/>
      <c r="IJ90" s="143"/>
      <c r="IK90" s="143"/>
      <c r="IL90" s="143"/>
      <c r="IM90" s="143"/>
      <c r="IN90" s="143"/>
      <c r="IO90" s="143"/>
      <c r="IP90" s="143"/>
      <c r="IQ90" s="143"/>
      <c r="IR90" s="143"/>
      <c r="IS90" s="143"/>
      <c r="IT90" s="143"/>
      <c r="IU90" s="143"/>
      <c r="IV90" s="143"/>
      <c r="IW90" s="143"/>
      <c r="IX90" s="143"/>
      <c r="IY90" s="143"/>
      <c r="IZ90" s="143"/>
      <c r="JA90" s="143"/>
      <c r="JB90" s="143"/>
      <c r="JC90" s="143"/>
      <c r="JD90" s="143"/>
      <c r="JE90" s="143"/>
      <c r="JF90" s="143"/>
      <c r="JG90" s="143"/>
      <c r="JH90" s="143"/>
      <c r="JI90" s="143"/>
      <c r="JJ90" s="143"/>
      <c r="JK90" s="143"/>
      <c r="JL90" s="143"/>
      <c r="JM90" s="143"/>
    </row>
    <row r="91" spans="1:273" s="5" customFormat="1">
      <c r="A91" s="143"/>
      <c r="B91" s="143"/>
      <c r="C91" s="143"/>
      <c r="D91" s="143"/>
      <c r="E91" s="143"/>
      <c r="F91" s="143"/>
      <c r="G91" s="1048"/>
      <c r="H91" s="1045"/>
      <c r="I91" s="1046"/>
      <c r="J91" s="951"/>
      <c r="K91" s="951"/>
      <c r="L91" s="951"/>
      <c r="M91" s="951"/>
      <c r="N91" s="951"/>
      <c r="O91" s="951"/>
      <c r="P91" s="1047"/>
      <c r="Q91" s="951"/>
      <c r="R91" s="143"/>
      <c r="S91" s="1040"/>
      <c r="T91" s="1041"/>
      <c r="U91" s="1042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30"/>
      <c r="EE91" s="143"/>
      <c r="EF91" s="143"/>
      <c r="EG91" s="143"/>
      <c r="EH91" s="143"/>
      <c r="EI91" s="143"/>
      <c r="EJ91" s="143"/>
      <c r="EK91" s="143"/>
      <c r="EL91" s="143"/>
      <c r="EM91" s="143"/>
      <c r="EN91" s="143"/>
      <c r="EO91" s="143"/>
      <c r="EP91" s="143"/>
      <c r="EQ91" s="143"/>
      <c r="ER91" s="143"/>
      <c r="ES91" s="143"/>
      <c r="ET91" s="143"/>
      <c r="EU91" s="143"/>
      <c r="EV91" s="143"/>
      <c r="EW91" s="143"/>
      <c r="EX91" s="143"/>
      <c r="EY91" s="143"/>
      <c r="EZ91" s="143"/>
      <c r="FA91" s="143"/>
      <c r="FB91" s="143"/>
      <c r="FC91" s="143"/>
      <c r="FD91" s="143"/>
      <c r="FE91" s="143"/>
      <c r="FF91" s="143"/>
      <c r="FG91" s="143"/>
      <c r="FH91" s="143"/>
      <c r="FI91" s="143"/>
      <c r="FJ91" s="143"/>
      <c r="FK91" s="143"/>
      <c r="FL91" s="143"/>
      <c r="FM91" s="143"/>
      <c r="FN91" s="143"/>
      <c r="FO91" s="143"/>
      <c r="FP91" s="143"/>
      <c r="FQ91" s="143"/>
      <c r="FR91" s="143"/>
      <c r="FS91" s="143"/>
      <c r="FT91" s="143"/>
      <c r="FU91" s="143"/>
      <c r="FV91" s="143"/>
      <c r="FW91" s="143"/>
      <c r="FX91" s="143"/>
      <c r="FY91" s="143"/>
      <c r="FZ91" s="143"/>
      <c r="GA91" s="143"/>
      <c r="GB91" s="143"/>
      <c r="GC91" s="143"/>
      <c r="GD91" s="143"/>
      <c r="GE91" s="143"/>
      <c r="GF91" s="143"/>
      <c r="GG91" s="143"/>
      <c r="GH91" s="143"/>
      <c r="GI91" s="143"/>
      <c r="GJ91" s="143"/>
      <c r="GK91" s="143"/>
      <c r="GL91" s="143"/>
      <c r="GM91" s="143"/>
      <c r="GN91" s="143"/>
      <c r="GO91" s="143"/>
      <c r="GP91" s="143"/>
      <c r="GQ91" s="143"/>
      <c r="GR91" s="143"/>
      <c r="GS91" s="143"/>
      <c r="GT91" s="143"/>
      <c r="GU91" s="143"/>
      <c r="GV91" s="143"/>
      <c r="GW91" s="143"/>
      <c r="GX91" s="143"/>
      <c r="GY91" s="143"/>
      <c r="GZ91" s="143"/>
      <c r="HA91" s="143"/>
      <c r="HB91" s="143"/>
      <c r="HC91" s="143"/>
      <c r="HD91" s="143"/>
      <c r="HE91" s="143"/>
      <c r="HF91" s="143"/>
      <c r="HG91" s="143"/>
      <c r="HH91" s="143"/>
      <c r="HI91" s="143"/>
      <c r="HJ91" s="143"/>
      <c r="HK91" s="143"/>
      <c r="HL91" s="143"/>
      <c r="HM91" s="143"/>
      <c r="HN91" s="143"/>
      <c r="HO91" s="143"/>
      <c r="HP91" s="143"/>
      <c r="HQ91" s="143"/>
      <c r="HR91" s="143"/>
      <c r="HS91" s="143"/>
      <c r="HT91" s="143"/>
      <c r="HU91" s="143"/>
      <c r="HV91" s="143"/>
      <c r="HW91" s="143"/>
      <c r="HX91" s="143"/>
      <c r="HY91" s="143"/>
      <c r="HZ91" s="143"/>
      <c r="IA91" s="143"/>
      <c r="IB91" s="143"/>
      <c r="IC91" s="143"/>
      <c r="ID91" s="143"/>
      <c r="IE91" s="143"/>
      <c r="IF91" s="143"/>
      <c r="IG91" s="143"/>
      <c r="IH91" s="143"/>
      <c r="II91" s="143"/>
      <c r="IJ91" s="143"/>
      <c r="IK91" s="143"/>
      <c r="IL91" s="143"/>
      <c r="IM91" s="143"/>
      <c r="IN91" s="143"/>
      <c r="IO91" s="143"/>
      <c r="IP91" s="143"/>
      <c r="IQ91" s="143"/>
      <c r="IR91" s="143"/>
      <c r="IS91" s="143"/>
      <c r="IT91" s="143"/>
      <c r="IU91" s="143"/>
      <c r="IV91" s="143"/>
      <c r="IW91" s="143"/>
      <c r="IX91" s="143"/>
      <c r="IY91" s="143"/>
      <c r="IZ91" s="143"/>
      <c r="JA91" s="143"/>
      <c r="JB91" s="143"/>
      <c r="JC91" s="143"/>
      <c r="JD91" s="143"/>
      <c r="JE91" s="143"/>
      <c r="JF91" s="143"/>
      <c r="JG91" s="143"/>
      <c r="JH91" s="143"/>
      <c r="JI91" s="143"/>
      <c r="JJ91" s="143"/>
      <c r="JK91" s="143"/>
      <c r="JL91" s="143"/>
      <c r="JM91" s="143"/>
    </row>
    <row r="92" spans="1:273" s="5" customFormat="1">
      <c r="A92" s="143"/>
      <c r="B92" s="143"/>
      <c r="C92" s="143"/>
      <c r="D92" s="143"/>
      <c r="E92" s="143"/>
      <c r="F92" s="143"/>
      <c r="G92" s="1048"/>
      <c r="H92" s="1045"/>
      <c r="I92" s="1046"/>
      <c r="J92" s="951"/>
      <c r="K92" s="951"/>
      <c r="L92" s="951"/>
      <c r="M92" s="951"/>
      <c r="N92" s="951"/>
      <c r="O92" s="951"/>
      <c r="P92" s="1047"/>
      <c r="Q92" s="951"/>
      <c r="R92" s="143"/>
      <c r="S92" s="1040"/>
      <c r="T92" s="1041"/>
      <c r="U92" s="1042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30"/>
      <c r="EE92" s="143"/>
      <c r="EF92" s="143"/>
      <c r="EG92" s="143"/>
      <c r="EH92" s="143"/>
      <c r="EI92" s="143"/>
      <c r="EJ92" s="143"/>
      <c r="EK92" s="143"/>
      <c r="EL92" s="143"/>
      <c r="EM92" s="143"/>
      <c r="EN92" s="143"/>
      <c r="EO92" s="143"/>
      <c r="EP92" s="143"/>
      <c r="EQ92" s="143"/>
      <c r="ER92" s="143"/>
      <c r="ES92" s="143"/>
      <c r="ET92" s="143"/>
      <c r="EU92" s="143"/>
      <c r="EV92" s="143"/>
      <c r="EW92" s="143"/>
      <c r="EX92" s="143"/>
      <c r="EY92" s="143"/>
      <c r="EZ92" s="143"/>
      <c r="FA92" s="143"/>
      <c r="FB92" s="143"/>
      <c r="FC92" s="143"/>
      <c r="FD92" s="143"/>
      <c r="FE92" s="143"/>
      <c r="FF92" s="143"/>
      <c r="FG92" s="143"/>
      <c r="FH92" s="143"/>
      <c r="FI92" s="143"/>
      <c r="FJ92" s="143"/>
      <c r="FK92" s="143"/>
      <c r="FL92" s="143"/>
      <c r="FM92" s="143"/>
      <c r="FN92" s="143"/>
      <c r="FO92" s="143"/>
      <c r="FP92" s="143"/>
      <c r="FQ92" s="143"/>
      <c r="FR92" s="143"/>
      <c r="FS92" s="143"/>
      <c r="FT92" s="143"/>
      <c r="FU92" s="143"/>
      <c r="FV92" s="143"/>
      <c r="FW92" s="143"/>
      <c r="FX92" s="143"/>
      <c r="FY92" s="143"/>
      <c r="FZ92" s="143"/>
      <c r="GA92" s="143"/>
      <c r="GB92" s="143"/>
      <c r="GC92" s="143"/>
      <c r="GD92" s="143"/>
      <c r="GE92" s="143"/>
      <c r="GF92" s="143"/>
      <c r="GG92" s="143"/>
      <c r="GH92" s="143"/>
      <c r="GI92" s="143"/>
      <c r="GJ92" s="143"/>
      <c r="GK92" s="143"/>
      <c r="GL92" s="143"/>
      <c r="GM92" s="143"/>
      <c r="GN92" s="143"/>
      <c r="GO92" s="143"/>
      <c r="GP92" s="143"/>
      <c r="GQ92" s="143"/>
      <c r="GR92" s="143"/>
      <c r="GS92" s="143"/>
      <c r="GT92" s="143"/>
      <c r="GU92" s="143"/>
      <c r="GV92" s="143"/>
      <c r="GW92" s="143"/>
      <c r="GX92" s="143"/>
      <c r="GY92" s="143"/>
      <c r="GZ92" s="143"/>
      <c r="HA92" s="143"/>
      <c r="HB92" s="143"/>
      <c r="HC92" s="143"/>
      <c r="HD92" s="143"/>
      <c r="HE92" s="143"/>
      <c r="HF92" s="143"/>
      <c r="HG92" s="143"/>
      <c r="HH92" s="143"/>
      <c r="HI92" s="143"/>
      <c r="HJ92" s="143"/>
      <c r="HK92" s="143"/>
      <c r="HL92" s="143"/>
      <c r="HM92" s="143"/>
      <c r="HN92" s="143"/>
      <c r="HO92" s="143"/>
      <c r="HP92" s="143"/>
      <c r="HQ92" s="143"/>
      <c r="HR92" s="143"/>
      <c r="HS92" s="143"/>
      <c r="HT92" s="143"/>
      <c r="HU92" s="143"/>
      <c r="HV92" s="143"/>
      <c r="HW92" s="143"/>
      <c r="HX92" s="143"/>
      <c r="HY92" s="143"/>
      <c r="HZ92" s="143"/>
      <c r="IA92" s="143"/>
      <c r="IB92" s="143"/>
      <c r="IC92" s="143"/>
      <c r="ID92" s="143"/>
      <c r="IE92" s="143"/>
      <c r="IF92" s="143"/>
      <c r="IG92" s="143"/>
      <c r="IH92" s="143"/>
      <c r="II92" s="143"/>
      <c r="IJ92" s="143"/>
      <c r="IK92" s="143"/>
      <c r="IL92" s="143"/>
      <c r="IM92" s="143"/>
      <c r="IN92" s="143"/>
      <c r="IO92" s="143"/>
      <c r="IP92" s="143"/>
      <c r="IQ92" s="143"/>
      <c r="IR92" s="143"/>
      <c r="IS92" s="143"/>
      <c r="IT92" s="143"/>
      <c r="IU92" s="143"/>
      <c r="IV92" s="143"/>
      <c r="IW92" s="143"/>
      <c r="IX92" s="143"/>
      <c r="IY92" s="143"/>
      <c r="IZ92" s="143"/>
      <c r="JA92" s="143"/>
      <c r="JB92" s="143"/>
      <c r="JC92" s="143"/>
      <c r="JD92" s="143"/>
      <c r="JE92" s="143"/>
      <c r="JF92" s="143"/>
      <c r="JG92" s="143"/>
      <c r="JH92" s="143"/>
      <c r="JI92" s="143"/>
      <c r="JJ92" s="143"/>
      <c r="JK92" s="143"/>
      <c r="JL92" s="143"/>
      <c r="JM92" s="143"/>
    </row>
    <row r="93" spans="1:273" s="5" customFormat="1">
      <c r="A93" s="143"/>
      <c r="B93" s="143"/>
      <c r="C93" s="143"/>
      <c r="D93" s="143"/>
      <c r="E93" s="143"/>
      <c r="F93" s="143"/>
      <c r="G93" s="1048"/>
      <c r="H93" s="1045"/>
      <c r="I93" s="1046"/>
      <c r="J93" s="951"/>
      <c r="K93" s="951"/>
      <c r="L93" s="951"/>
      <c r="M93" s="951"/>
      <c r="N93" s="951"/>
      <c r="O93" s="951"/>
      <c r="P93" s="1047"/>
      <c r="Q93" s="951"/>
      <c r="R93" s="143"/>
      <c r="S93" s="1040"/>
      <c r="T93" s="1041"/>
      <c r="U93" s="1042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30"/>
      <c r="EE93" s="143"/>
      <c r="EF93" s="143"/>
      <c r="EG93" s="143"/>
      <c r="EH93" s="143"/>
      <c r="EI93" s="143"/>
      <c r="EJ93" s="143"/>
      <c r="EK93" s="143"/>
      <c r="EL93" s="143"/>
      <c r="EM93" s="143"/>
      <c r="EN93" s="143"/>
      <c r="EO93" s="143"/>
      <c r="EP93" s="143"/>
      <c r="EQ93" s="143"/>
      <c r="ER93" s="143"/>
      <c r="ES93" s="143"/>
      <c r="ET93" s="143"/>
      <c r="EU93" s="143"/>
      <c r="EV93" s="143"/>
      <c r="EW93" s="143"/>
      <c r="EX93" s="143"/>
      <c r="EY93" s="143"/>
      <c r="EZ93" s="143"/>
      <c r="FA93" s="143"/>
      <c r="FB93" s="143"/>
      <c r="FC93" s="143"/>
      <c r="FD93" s="143"/>
      <c r="FE93" s="143"/>
      <c r="FF93" s="143"/>
      <c r="FG93" s="143"/>
      <c r="FH93" s="143"/>
      <c r="FI93" s="143"/>
      <c r="FJ93" s="143"/>
      <c r="FK93" s="143"/>
      <c r="FL93" s="143"/>
      <c r="FM93" s="143"/>
      <c r="FN93" s="143"/>
      <c r="FO93" s="143"/>
      <c r="FP93" s="143"/>
      <c r="FQ93" s="143"/>
      <c r="FR93" s="143"/>
      <c r="FS93" s="143"/>
      <c r="FT93" s="143"/>
      <c r="FU93" s="143"/>
      <c r="FV93" s="143"/>
      <c r="FW93" s="143"/>
      <c r="FX93" s="143"/>
      <c r="FY93" s="143"/>
      <c r="FZ93" s="143"/>
      <c r="GA93" s="143"/>
      <c r="GB93" s="143"/>
      <c r="GC93" s="143"/>
      <c r="GD93" s="143"/>
      <c r="GE93" s="143"/>
      <c r="GF93" s="143"/>
      <c r="GG93" s="143"/>
      <c r="GH93" s="143"/>
      <c r="GI93" s="143"/>
      <c r="GJ93" s="143"/>
      <c r="GK93" s="143"/>
      <c r="GL93" s="143"/>
      <c r="GM93" s="143"/>
      <c r="GN93" s="143"/>
      <c r="GO93" s="143"/>
      <c r="GP93" s="143"/>
      <c r="GQ93" s="143"/>
      <c r="GR93" s="143"/>
      <c r="GS93" s="143"/>
      <c r="GT93" s="143"/>
      <c r="GU93" s="143"/>
      <c r="GV93" s="143"/>
      <c r="GW93" s="143"/>
      <c r="GX93" s="143"/>
      <c r="GY93" s="143"/>
      <c r="GZ93" s="143"/>
      <c r="HA93" s="143"/>
      <c r="HB93" s="143"/>
      <c r="HC93" s="143"/>
      <c r="HD93" s="143"/>
      <c r="HE93" s="143"/>
      <c r="HF93" s="143"/>
      <c r="HG93" s="143"/>
      <c r="HH93" s="143"/>
      <c r="HI93" s="143"/>
      <c r="HJ93" s="143"/>
      <c r="HK93" s="143"/>
      <c r="HL93" s="143"/>
      <c r="HM93" s="143"/>
      <c r="HN93" s="143"/>
      <c r="HO93" s="143"/>
      <c r="HP93" s="143"/>
      <c r="HQ93" s="143"/>
      <c r="HR93" s="143"/>
      <c r="HS93" s="143"/>
      <c r="HT93" s="143"/>
      <c r="HU93" s="143"/>
      <c r="HV93" s="143"/>
      <c r="HW93" s="143"/>
      <c r="HX93" s="143"/>
      <c r="HY93" s="143"/>
      <c r="HZ93" s="143"/>
      <c r="IA93" s="143"/>
      <c r="IB93" s="143"/>
      <c r="IC93" s="143"/>
      <c r="ID93" s="143"/>
      <c r="IE93" s="143"/>
      <c r="IF93" s="143"/>
      <c r="IG93" s="143"/>
      <c r="IH93" s="143"/>
      <c r="II93" s="143"/>
      <c r="IJ93" s="143"/>
      <c r="IK93" s="143"/>
      <c r="IL93" s="143"/>
      <c r="IM93" s="143"/>
      <c r="IN93" s="143"/>
      <c r="IO93" s="143"/>
      <c r="IP93" s="143"/>
      <c r="IQ93" s="143"/>
      <c r="IR93" s="143"/>
      <c r="IS93" s="143"/>
      <c r="IT93" s="143"/>
      <c r="IU93" s="143"/>
      <c r="IV93" s="143"/>
      <c r="IW93" s="143"/>
      <c r="IX93" s="143"/>
      <c r="IY93" s="143"/>
      <c r="IZ93" s="143"/>
      <c r="JA93" s="143"/>
      <c r="JB93" s="143"/>
      <c r="JC93" s="143"/>
      <c r="JD93" s="143"/>
      <c r="JE93" s="143"/>
      <c r="JF93" s="143"/>
      <c r="JG93" s="143"/>
      <c r="JH93" s="143"/>
      <c r="JI93" s="143"/>
      <c r="JJ93" s="143"/>
      <c r="JK93" s="143"/>
      <c r="JL93" s="143"/>
      <c r="JM93" s="143"/>
    </row>
    <row r="94" spans="1:273" s="5" customFormat="1">
      <c r="A94" s="143"/>
      <c r="B94" s="143"/>
      <c r="C94" s="143"/>
      <c r="D94" s="143"/>
      <c r="E94" s="143"/>
      <c r="F94" s="143"/>
      <c r="G94" s="1048"/>
      <c r="H94" s="1045"/>
      <c r="I94" s="1046"/>
      <c r="J94" s="951"/>
      <c r="K94" s="951"/>
      <c r="L94" s="951"/>
      <c r="M94" s="951"/>
      <c r="N94" s="951"/>
      <c r="O94" s="951"/>
      <c r="P94" s="1047"/>
      <c r="Q94" s="951"/>
      <c r="R94" s="143"/>
      <c r="S94" s="1040"/>
      <c r="T94" s="1041"/>
      <c r="U94" s="1042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30"/>
      <c r="EE94" s="143"/>
      <c r="EF94" s="143"/>
      <c r="EG94" s="143"/>
      <c r="EH94" s="143"/>
      <c r="EI94" s="143"/>
      <c r="EJ94" s="143"/>
      <c r="EK94" s="143"/>
      <c r="EL94" s="143"/>
      <c r="EM94" s="143"/>
      <c r="EN94" s="143"/>
      <c r="EO94" s="143"/>
      <c r="EP94" s="143"/>
      <c r="EQ94" s="143"/>
      <c r="ER94" s="143"/>
      <c r="ES94" s="143"/>
      <c r="ET94" s="143"/>
      <c r="EU94" s="143"/>
      <c r="EV94" s="143"/>
      <c r="EW94" s="143"/>
      <c r="EX94" s="143"/>
      <c r="EY94" s="143"/>
      <c r="EZ94" s="143"/>
      <c r="FA94" s="143"/>
      <c r="FB94" s="143"/>
      <c r="FC94" s="143"/>
      <c r="FD94" s="143"/>
      <c r="FE94" s="143"/>
      <c r="FF94" s="143"/>
      <c r="FG94" s="143"/>
      <c r="FH94" s="143"/>
      <c r="FI94" s="143"/>
      <c r="FJ94" s="143"/>
      <c r="FK94" s="143"/>
      <c r="FL94" s="143"/>
      <c r="FM94" s="143"/>
      <c r="FN94" s="143"/>
      <c r="FO94" s="143"/>
      <c r="FP94" s="143"/>
      <c r="FQ94" s="143"/>
      <c r="FR94" s="143"/>
      <c r="FS94" s="143"/>
      <c r="FT94" s="143"/>
      <c r="FU94" s="143"/>
      <c r="FV94" s="143"/>
      <c r="FW94" s="143"/>
      <c r="FX94" s="143"/>
      <c r="FY94" s="143"/>
      <c r="FZ94" s="143"/>
      <c r="GA94" s="143"/>
      <c r="GB94" s="143"/>
      <c r="GC94" s="143"/>
      <c r="GD94" s="143"/>
      <c r="GE94" s="143"/>
      <c r="GF94" s="143"/>
      <c r="GG94" s="143"/>
      <c r="GH94" s="143"/>
      <c r="GI94" s="143"/>
      <c r="GJ94" s="143"/>
      <c r="GK94" s="143"/>
      <c r="GL94" s="143"/>
      <c r="GM94" s="143"/>
      <c r="GN94" s="143"/>
      <c r="GO94" s="143"/>
      <c r="GP94" s="143"/>
      <c r="GQ94" s="143"/>
      <c r="GR94" s="143"/>
      <c r="GS94" s="143"/>
      <c r="GT94" s="143"/>
      <c r="GU94" s="143"/>
      <c r="GV94" s="143"/>
      <c r="GW94" s="143"/>
      <c r="GX94" s="143"/>
      <c r="GY94" s="143"/>
      <c r="GZ94" s="143"/>
      <c r="HA94" s="143"/>
      <c r="HB94" s="143"/>
      <c r="HC94" s="143"/>
      <c r="HD94" s="143"/>
      <c r="HE94" s="143"/>
      <c r="HF94" s="143"/>
      <c r="HG94" s="143"/>
      <c r="HH94" s="143"/>
      <c r="HI94" s="143"/>
      <c r="HJ94" s="143"/>
      <c r="HK94" s="143"/>
      <c r="HL94" s="143"/>
      <c r="HM94" s="143"/>
      <c r="HN94" s="143"/>
      <c r="HO94" s="143"/>
      <c r="HP94" s="143"/>
      <c r="HQ94" s="143"/>
      <c r="HR94" s="143"/>
      <c r="HS94" s="143"/>
      <c r="HT94" s="143"/>
      <c r="HU94" s="143"/>
      <c r="HV94" s="143"/>
      <c r="HW94" s="143"/>
      <c r="HX94" s="143"/>
      <c r="HY94" s="143"/>
      <c r="HZ94" s="143"/>
      <c r="IA94" s="143"/>
      <c r="IB94" s="143"/>
      <c r="IC94" s="143"/>
      <c r="ID94" s="143"/>
      <c r="IE94" s="143"/>
      <c r="IF94" s="143"/>
      <c r="IG94" s="143"/>
      <c r="IH94" s="143"/>
      <c r="II94" s="143"/>
      <c r="IJ94" s="143"/>
      <c r="IK94" s="143"/>
      <c r="IL94" s="143"/>
      <c r="IM94" s="143"/>
      <c r="IN94" s="143"/>
      <c r="IO94" s="143"/>
      <c r="IP94" s="143"/>
      <c r="IQ94" s="143"/>
      <c r="IR94" s="143"/>
      <c r="IS94" s="143"/>
      <c r="IT94" s="143"/>
      <c r="IU94" s="143"/>
      <c r="IV94" s="143"/>
      <c r="IW94" s="143"/>
      <c r="IX94" s="143"/>
      <c r="IY94" s="143"/>
      <c r="IZ94" s="143"/>
      <c r="JA94" s="143"/>
      <c r="JB94" s="143"/>
      <c r="JC94" s="143"/>
      <c r="JD94" s="143"/>
      <c r="JE94" s="143"/>
      <c r="JF94" s="143"/>
      <c r="JG94" s="143"/>
      <c r="JH94" s="143"/>
      <c r="JI94" s="143"/>
      <c r="JJ94" s="143"/>
      <c r="JK94" s="143"/>
      <c r="JL94" s="143"/>
      <c r="JM94" s="143"/>
    </row>
    <row r="95" spans="1:273" s="5" customFormat="1">
      <c r="A95" s="143"/>
      <c r="B95" s="143"/>
      <c r="C95" s="143"/>
      <c r="D95" s="143"/>
      <c r="E95" s="143"/>
      <c r="F95" s="143"/>
      <c r="G95" s="1048"/>
      <c r="H95" s="1045"/>
      <c r="I95" s="1046"/>
      <c r="J95" s="951"/>
      <c r="K95" s="951"/>
      <c r="L95" s="951"/>
      <c r="M95" s="951"/>
      <c r="N95" s="951"/>
      <c r="O95" s="951"/>
      <c r="P95" s="1047"/>
      <c r="Q95" s="951"/>
      <c r="R95" s="143"/>
      <c r="S95" s="1040"/>
      <c r="T95" s="1041"/>
      <c r="U95" s="1042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30"/>
      <c r="EE95" s="143"/>
      <c r="EF95" s="143"/>
      <c r="EG95" s="143"/>
      <c r="EH95" s="143"/>
      <c r="EI95" s="143"/>
      <c r="EJ95" s="143"/>
      <c r="EK95" s="143"/>
      <c r="EL95" s="143"/>
      <c r="EM95" s="143"/>
      <c r="EN95" s="143"/>
      <c r="EO95" s="143"/>
      <c r="EP95" s="143"/>
      <c r="EQ95" s="143"/>
      <c r="ER95" s="143"/>
      <c r="ES95" s="143"/>
      <c r="ET95" s="143"/>
      <c r="EU95" s="143"/>
      <c r="EV95" s="143"/>
      <c r="EW95" s="143"/>
      <c r="EX95" s="143"/>
      <c r="EY95" s="143"/>
      <c r="EZ95" s="143"/>
      <c r="FA95" s="143"/>
      <c r="FB95" s="143"/>
      <c r="FC95" s="143"/>
      <c r="FD95" s="143"/>
      <c r="FE95" s="143"/>
      <c r="FF95" s="143"/>
      <c r="FG95" s="143"/>
      <c r="FH95" s="143"/>
      <c r="FI95" s="143"/>
      <c r="FJ95" s="143"/>
      <c r="FK95" s="143"/>
      <c r="FL95" s="143"/>
      <c r="FM95" s="143"/>
      <c r="FN95" s="143"/>
      <c r="FO95" s="143"/>
      <c r="FP95" s="143"/>
      <c r="FQ95" s="143"/>
      <c r="FR95" s="143"/>
      <c r="FS95" s="143"/>
      <c r="FT95" s="143"/>
      <c r="FU95" s="143"/>
      <c r="FV95" s="143"/>
      <c r="FW95" s="143"/>
      <c r="FX95" s="143"/>
      <c r="FY95" s="143"/>
      <c r="FZ95" s="143"/>
      <c r="GA95" s="143"/>
      <c r="GB95" s="143"/>
      <c r="GC95" s="143"/>
      <c r="GD95" s="143"/>
      <c r="GE95" s="143"/>
      <c r="GF95" s="143"/>
      <c r="GG95" s="143"/>
      <c r="GH95" s="143"/>
      <c r="GI95" s="143"/>
      <c r="GJ95" s="143"/>
      <c r="GK95" s="143"/>
      <c r="GL95" s="143"/>
      <c r="GM95" s="143"/>
      <c r="GN95" s="143"/>
      <c r="GO95" s="143"/>
      <c r="GP95" s="143"/>
      <c r="GQ95" s="143"/>
      <c r="GR95" s="143"/>
      <c r="GS95" s="143"/>
      <c r="GT95" s="143"/>
      <c r="GU95" s="143"/>
      <c r="GV95" s="143"/>
      <c r="GW95" s="143"/>
      <c r="GX95" s="143"/>
      <c r="GY95" s="143"/>
      <c r="GZ95" s="143"/>
      <c r="HA95" s="143"/>
      <c r="HB95" s="143"/>
      <c r="HC95" s="143"/>
      <c r="HD95" s="143"/>
      <c r="HE95" s="143"/>
      <c r="HF95" s="143"/>
      <c r="HG95" s="143"/>
      <c r="HH95" s="143"/>
      <c r="HI95" s="143"/>
      <c r="HJ95" s="143"/>
      <c r="HK95" s="143"/>
      <c r="HL95" s="143"/>
      <c r="HM95" s="143"/>
      <c r="HN95" s="143"/>
      <c r="HO95" s="143"/>
      <c r="HP95" s="143"/>
      <c r="HQ95" s="143"/>
      <c r="HR95" s="143"/>
      <c r="HS95" s="143"/>
      <c r="HT95" s="143"/>
      <c r="HU95" s="143"/>
      <c r="HV95" s="143"/>
      <c r="HW95" s="143"/>
      <c r="HX95" s="143"/>
      <c r="HY95" s="143"/>
      <c r="HZ95" s="143"/>
      <c r="IA95" s="143"/>
      <c r="IB95" s="143"/>
      <c r="IC95" s="143"/>
      <c r="ID95" s="143"/>
      <c r="IE95" s="143"/>
      <c r="IF95" s="143"/>
      <c r="IG95" s="143"/>
      <c r="IH95" s="143"/>
      <c r="II95" s="143"/>
      <c r="IJ95" s="143"/>
      <c r="IK95" s="143"/>
      <c r="IL95" s="143"/>
      <c r="IM95" s="143"/>
      <c r="IN95" s="143"/>
      <c r="IO95" s="143"/>
      <c r="IP95" s="143"/>
      <c r="IQ95" s="143"/>
      <c r="IR95" s="143"/>
      <c r="IS95" s="143"/>
      <c r="IT95" s="143"/>
      <c r="IU95" s="143"/>
      <c r="IV95" s="143"/>
      <c r="IW95" s="143"/>
      <c r="IX95" s="143"/>
      <c r="IY95" s="143"/>
      <c r="IZ95" s="143"/>
      <c r="JA95" s="143"/>
      <c r="JB95" s="143"/>
      <c r="JC95" s="143"/>
      <c r="JD95" s="143"/>
      <c r="JE95" s="143"/>
      <c r="JF95" s="143"/>
      <c r="JG95" s="143"/>
      <c r="JH95" s="143"/>
      <c r="JI95" s="143"/>
      <c r="JJ95" s="143"/>
      <c r="JK95" s="143"/>
      <c r="JL95" s="143"/>
      <c r="JM95" s="143"/>
    </row>
    <row r="96" spans="1:273" s="5" customFormat="1">
      <c r="A96" s="143"/>
      <c r="B96" s="143"/>
      <c r="C96" s="143"/>
      <c r="D96" s="143"/>
      <c r="E96" s="143"/>
      <c r="F96" s="143"/>
      <c r="G96" s="1048"/>
      <c r="H96" s="1045"/>
      <c r="I96" s="1046"/>
      <c r="J96" s="951"/>
      <c r="K96" s="951"/>
      <c r="L96" s="951"/>
      <c r="M96" s="951"/>
      <c r="N96" s="951"/>
      <c r="O96" s="951"/>
      <c r="P96" s="1047"/>
      <c r="Q96" s="951"/>
      <c r="R96" s="143"/>
      <c r="S96" s="1040"/>
      <c r="T96" s="1041"/>
      <c r="U96" s="1042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30"/>
      <c r="EE96" s="143"/>
      <c r="EF96" s="143"/>
      <c r="EG96" s="143"/>
      <c r="EH96" s="143"/>
      <c r="EI96" s="143"/>
      <c r="EJ96" s="143"/>
      <c r="EK96" s="143"/>
      <c r="EL96" s="143"/>
      <c r="EM96" s="143"/>
      <c r="EN96" s="143"/>
      <c r="EO96" s="143"/>
      <c r="EP96" s="143"/>
      <c r="EQ96" s="143"/>
      <c r="ER96" s="143"/>
      <c r="ES96" s="143"/>
      <c r="ET96" s="143"/>
      <c r="EU96" s="143"/>
      <c r="EV96" s="143"/>
      <c r="EW96" s="143"/>
      <c r="EX96" s="143"/>
      <c r="EY96" s="143"/>
      <c r="EZ96" s="143"/>
      <c r="FA96" s="143"/>
      <c r="FB96" s="143"/>
      <c r="FC96" s="143"/>
      <c r="FD96" s="143"/>
      <c r="FE96" s="143"/>
      <c r="FF96" s="143"/>
      <c r="FG96" s="143"/>
      <c r="FH96" s="143"/>
      <c r="FI96" s="143"/>
      <c r="FJ96" s="143"/>
      <c r="FK96" s="143"/>
      <c r="FL96" s="143"/>
      <c r="FM96" s="143"/>
      <c r="FN96" s="143"/>
      <c r="FO96" s="143"/>
      <c r="FP96" s="143"/>
      <c r="FQ96" s="143"/>
      <c r="FR96" s="143"/>
      <c r="FS96" s="143"/>
      <c r="FT96" s="143"/>
      <c r="FU96" s="143"/>
      <c r="FV96" s="143"/>
      <c r="FW96" s="143"/>
      <c r="FX96" s="143"/>
      <c r="FY96" s="143"/>
      <c r="FZ96" s="143"/>
      <c r="GA96" s="143"/>
      <c r="GB96" s="143"/>
      <c r="GC96" s="143"/>
      <c r="GD96" s="143"/>
      <c r="GE96" s="143"/>
      <c r="GF96" s="143"/>
      <c r="GG96" s="143"/>
      <c r="GH96" s="143"/>
      <c r="GI96" s="143"/>
      <c r="GJ96" s="143"/>
      <c r="GK96" s="143"/>
      <c r="GL96" s="143"/>
      <c r="GM96" s="143"/>
      <c r="GN96" s="143"/>
      <c r="GO96" s="143"/>
      <c r="GP96" s="143"/>
      <c r="GQ96" s="143"/>
      <c r="GR96" s="143"/>
      <c r="GS96" s="143"/>
      <c r="GT96" s="143"/>
      <c r="GU96" s="143"/>
      <c r="GV96" s="143"/>
      <c r="GW96" s="143"/>
      <c r="GX96" s="143"/>
      <c r="GY96" s="143"/>
      <c r="GZ96" s="143"/>
      <c r="HA96" s="143"/>
      <c r="HB96" s="143"/>
      <c r="HC96" s="143"/>
      <c r="HD96" s="143"/>
      <c r="HE96" s="143"/>
      <c r="HF96" s="143"/>
      <c r="HG96" s="143"/>
      <c r="HH96" s="143"/>
      <c r="HI96" s="143"/>
      <c r="HJ96" s="143"/>
      <c r="HK96" s="143"/>
      <c r="HL96" s="143"/>
      <c r="HM96" s="143"/>
      <c r="HN96" s="143"/>
      <c r="HO96" s="143"/>
      <c r="HP96" s="143"/>
      <c r="HQ96" s="143"/>
      <c r="HR96" s="143"/>
      <c r="HS96" s="143"/>
      <c r="HT96" s="143"/>
      <c r="HU96" s="143"/>
      <c r="HV96" s="143"/>
      <c r="HW96" s="143"/>
      <c r="HX96" s="143"/>
      <c r="HY96" s="143"/>
      <c r="HZ96" s="143"/>
      <c r="IA96" s="143"/>
      <c r="IB96" s="143"/>
      <c r="IC96" s="143"/>
      <c r="ID96" s="143"/>
      <c r="IE96" s="143"/>
      <c r="IF96" s="143"/>
      <c r="IG96" s="143"/>
      <c r="IH96" s="143"/>
      <c r="II96" s="143"/>
      <c r="IJ96" s="143"/>
      <c r="IK96" s="143"/>
      <c r="IL96" s="143"/>
      <c r="IM96" s="143"/>
      <c r="IN96" s="143"/>
      <c r="IO96" s="143"/>
      <c r="IP96" s="143"/>
      <c r="IQ96" s="143"/>
      <c r="IR96" s="143"/>
      <c r="IS96" s="143"/>
      <c r="IT96" s="143"/>
      <c r="IU96" s="143"/>
      <c r="IV96" s="143"/>
      <c r="IW96" s="143"/>
      <c r="IX96" s="143"/>
      <c r="IY96" s="143"/>
      <c r="IZ96" s="143"/>
      <c r="JA96" s="143"/>
      <c r="JB96" s="143"/>
      <c r="JC96" s="143"/>
      <c r="JD96" s="143"/>
      <c r="JE96" s="143"/>
      <c r="JF96" s="143"/>
      <c r="JG96" s="143"/>
      <c r="JH96" s="143"/>
      <c r="JI96" s="143"/>
      <c r="JJ96" s="143"/>
      <c r="JK96" s="143"/>
      <c r="JL96" s="143"/>
      <c r="JM96" s="143"/>
    </row>
    <row r="97" spans="1:273" s="5" customFormat="1">
      <c r="A97" s="143"/>
      <c r="B97" s="143"/>
      <c r="C97" s="143"/>
      <c r="D97" s="143"/>
      <c r="E97" s="143"/>
      <c r="F97" s="143"/>
      <c r="G97" s="1048"/>
      <c r="H97" s="1045"/>
      <c r="I97" s="1046"/>
      <c r="J97" s="951"/>
      <c r="K97" s="951"/>
      <c r="L97" s="951"/>
      <c r="M97" s="951"/>
      <c r="N97" s="951"/>
      <c r="O97" s="951"/>
      <c r="P97" s="1047"/>
      <c r="Q97" s="951"/>
      <c r="R97" s="143"/>
      <c r="S97" s="1040"/>
      <c r="T97" s="1041"/>
      <c r="U97" s="1042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30"/>
      <c r="EE97" s="143"/>
      <c r="EF97" s="143"/>
      <c r="EG97" s="143"/>
      <c r="EH97" s="143"/>
      <c r="EI97" s="143"/>
      <c r="EJ97" s="143"/>
      <c r="EK97" s="143"/>
      <c r="EL97" s="143"/>
      <c r="EM97" s="143"/>
      <c r="EN97" s="143"/>
      <c r="EO97" s="143"/>
      <c r="EP97" s="143"/>
      <c r="EQ97" s="143"/>
      <c r="ER97" s="143"/>
      <c r="ES97" s="143"/>
      <c r="ET97" s="143"/>
      <c r="EU97" s="143"/>
      <c r="EV97" s="143"/>
      <c r="EW97" s="143"/>
      <c r="EX97" s="143"/>
      <c r="EY97" s="143"/>
      <c r="EZ97" s="143"/>
      <c r="FA97" s="143"/>
      <c r="FB97" s="143"/>
      <c r="FC97" s="143"/>
      <c r="FD97" s="143"/>
      <c r="FE97" s="143"/>
      <c r="FF97" s="143"/>
      <c r="FG97" s="143"/>
      <c r="FH97" s="143"/>
      <c r="FI97" s="143"/>
      <c r="FJ97" s="143"/>
      <c r="FK97" s="143"/>
      <c r="FL97" s="143"/>
      <c r="FM97" s="143"/>
      <c r="FN97" s="143"/>
      <c r="FO97" s="143"/>
      <c r="FP97" s="143"/>
      <c r="FQ97" s="143"/>
      <c r="FR97" s="143"/>
      <c r="FS97" s="143"/>
      <c r="FT97" s="143"/>
      <c r="FU97" s="143"/>
      <c r="FV97" s="143"/>
      <c r="FW97" s="143"/>
      <c r="FX97" s="143"/>
      <c r="FY97" s="143"/>
      <c r="FZ97" s="143"/>
      <c r="GA97" s="143"/>
      <c r="GB97" s="143"/>
      <c r="GC97" s="143"/>
      <c r="GD97" s="143"/>
      <c r="GE97" s="143"/>
      <c r="GF97" s="143"/>
      <c r="GG97" s="143"/>
      <c r="GH97" s="143"/>
      <c r="GI97" s="143"/>
      <c r="GJ97" s="143"/>
      <c r="GK97" s="143"/>
      <c r="GL97" s="143"/>
      <c r="GM97" s="143"/>
      <c r="GN97" s="143"/>
      <c r="GO97" s="143"/>
      <c r="GP97" s="143"/>
      <c r="GQ97" s="143"/>
      <c r="GR97" s="143"/>
      <c r="GS97" s="143"/>
      <c r="GT97" s="143"/>
      <c r="GU97" s="143"/>
      <c r="GV97" s="143"/>
      <c r="GW97" s="143"/>
      <c r="GX97" s="143"/>
      <c r="GY97" s="143"/>
      <c r="GZ97" s="143"/>
      <c r="HA97" s="143"/>
      <c r="HB97" s="143"/>
      <c r="HC97" s="143"/>
      <c r="HD97" s="143"/>
      <c r="HE97" s="143"/>
      <c r="HF97" s="143"/>
      <c r="HG97" s="143"/>
      <c r="HH97" s="143"/>
      <c r="HI97" s="143"/>
      <c r="HJ97" s="143"/>
      <c r="HK97" s="143"/>
      <c r="HL97" s="143"/>
      <c r="HM97" s="143"/>
      <c r="HN97" s="143"/>
      <c r="HO97" s="143"/>
      <c r="HP97" s="143"/>
      <c r="HQ97" s="143"/>
      <c r="HR97" s="143"/>
      <c r="HS97" s="143"/>
      <c r="HT97" s="143"/>
      <c r="HU97" s="143"/>
      <c r="HV97" s="143"/>
      <c r="HW97" s="143"/>
      <c r="HX97" s="143"/>
      <c r="HY97" s="143"/>
      <c r="HZ97" s="143"/>
      <c r="IA97" s="143"/>
      <c r="IB97" s="143"/>
      <c r="IC97" s="143"/>
      <c r="ID97" s="143"/>
      <c r="IE97" s="143"/>
      <c r="IF97" s="143"/>
      <c r="IG97" s="143"/>
      <c r="IH97" s="143"/>
      <c r="II97" s="143"/>
      <c r="IJ97" s="143"/>
      <c r="IK97" s="143"/>
      <c r="IL97" s="143"/>
      <c r="IM97" s="143"/>
      <c r="IN97" s="143"/>
      <c r="IO97" s="143"/>
      <c r="IP97" s="143"/>
      <c r="IQ97" s="143"/>
      <c r="IR97" s="143"/>
      <c r="IS97" s="143"/>
      <c r="IT97" s="143"/>
      <c r="IU97" s="143"/>
      <c r="IV97" s="143"/>
      <c r="IW97" s="143"/>
      <c r="IX97" s="143"/>
      <c r="IY97" s="143"/>
      <c r="IZ97" s="143"/>
      <c r="JA97" s="143"/>
      <c r="JB97" s="143"/>
      <c r="JC97" s="143"/>
      <c r="JD97" s="143"/>
      <c r="JE97" s="143"/>
      <c r="JF97" s="143"/>
      <c r="JG97" s="143"/>
      <c r="JH97" s="143"/>
      <c r="JI97" s="143"/>
      <c r="JJ97" s="143"/>
      <c r="JK97" s="143"/>
      <c r="JL97" s="143"/>
      <c r="JM97" s="143"/>
    </row>
    <row r="98" spans="1:273" s="5" customFormat="1">
      <c r="A98" s="143"/>
      <c r="B98" s="143"/>
      <c r="C98" s="143"/>
      <c r="D98" s="143"/>
      <c r="E98" s="143"/>
      <c r="F98" s="143"/>
      <c r="G98" s="1048"/>
      <c r="H98" s="1045"/>
      <c r="I98" s="1046"/>
      <c r="J98" s="951"/>
      <c r="K98" s="951"/>
      <c r="L98" s="951"/>
      <c r="M98" s="951"/>
      <c r="N98" s="951"/>
      <c r="O98" s="951"/>
      <c r="P98" s="1047"/>
      <c r="Q98" s="951"/>
      <c r="R98" s="143"/>
      <c r="S98" s="1040"/>
      <c r="T98" s="1041"/>
      <c r="U98" s="1042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30"/>
      <c r="EE98" s="143"/>
      <c r="EF98" s="143"/>
      <c r="EG98" s="143"/>
      <c r="EH98" s="143"/>
      <c r="EI98" s="143"/>
      <c r="EJ98" s="143"/>
      <c r="EK98" s="143"/>
      <c r="EL98" s="143"/>
      <c r="EM98" s="143"/>
      <c r="EN98" s="143"/>
      <c r="EO98" s="143"/>
      <c r="EP98" s="143"/>
      <c r="EQ98" s="143"/>
      <c r="ER98" s="143"/>
      <c r="ES98" s="143"/>
      <c r="ET98" s="143"/>
      <c r="EU98" s="143"/>
      <c r="EV98" s="143"/>
      <c r="EW98" s="143"/>
      <c r="EX98" s="143"/>
      <c r="EY98" s="143"/>
      <c r="EZ98" s="143"/>
      <c r="FA98" s="143"/>
      <c r="FB98" s="143"/>
      <c r="FC98" s="143"/>
      <c r="FD98" s="143"/>
      <c r="FE98" s="143"/>
      <c r="FF98" s="143"/>
      <c r="FG98" s="143"/>
      <c r="FH98" s="143"/>
      <c r="FI98" s="143"/>
      <c r="FJ98" s="143"/>
      <c r="FK98" s="143"/>
      <c r="FL98" s="143"/>
      <c r="FM98" s="143"/>
      <c r="FN98" s="143"/>
      <c r="FO98" s="143"/>
      <c r="FP98" s="143"/>
      <c r="FQ98" s="143"/>
      <c r="FR98" s="143"/>
      <c r="FS98" s="143"/>
      <c r="FT98" s="143"/>
      <c r="FU98" s="143"/>
      <c r="FV98" s="143"/>
      <c r="FW98" s="143"/>
      <c r="FX98" s="143"/>
      <c r="FY98" s="143"/>
      <c r="FZ98" s="143"/>
      <c r="GA98" s="143"/>
      <c r="GB98" s="143"/>
      <c r="GC98" s="143"/>
      <c r="GD98" s="143"/>
      <c r="GE98" s="143"/>
      <c r="GF98" s="143"/>
      <c r="GG98" s="143"/>
      <c r="GH98" s="143"/>
      <c r="GI98" s="143"/>
      <c r="GJ98" s="143"/>
      <c r="GK98" s="143"/>
      <c r="GL98" s="143"/>
      <c r="GM98" s="143"/>
      <c r="GN98" s="143"/>
      <c r="GO98" s="143"/>
      <c r="GP98" s="143"/>
      <c r="GQ98" s="143"/>
      <c r="GR98" s="143"/>
      <c r="GS98" s="143"/>
      <c r="GT98" s="143"/>
      <c r="GU98" s="143"/>
      <c r="GV98" s="143"/>
      <c r="GW98" s="143"/>
      <c r="GX98" s="143"/>
      <c r="GY98" s="143"/>
      <c r="GZ98" s="143"/>
      <c r="HA98" s="143"/>
      <c r="HB98" s="143"/>
      <c r="HC98" s="143"/>
      <c r="HD98" s="143"/>
      <c r="HE98" s="143"/>
      <c r="HF98" s="143"/>
      <c r="HG98" s="143"/>
      <c r="HH98" s="143"/>
      <c r="HI98" s="143"/>
      <c r="HJ98" s="143"/>
      <c r="HK98" s="143"/>
      <c r="HL98" s="143"/>
      <c r="HM98" s="143"/>
      <c r="HN98" s="143"/>
      <c r="HO98" s="143"/>
      <c r="HP98" s="143"/>
      <c r="HQ98" s="143"/>
      <c r="HR98" s="143"/>
      <c r="HS98" s="143"/>
      <c r="HT98" s="143"/>
      <c r="HU98" s="143"/>
      <c r="HV98" s="143"/>
      <c r="HW98" s="143"/>
      <c r="HX98" s="143"/>
      <c r="HY98" s="143"/>
      <c r="HZ98" s="143"/>
      <c r="IA98" s="143"/>
      <c r="IB98" s="143"/>
      <c r="IC98" s="143"/>
      <c r="ID98" s="143"/>
      <c r="IE98" s="143"/>
      <c r="IF98" s="143"/>
      <c r="IG98" s="143"/>
      <c r="IH98" s="143"/>
      <c r="II98" s="143"/>
      <c r="IJ98" s="143"/>
      <c r="IK98" s="143"/>
      <c r="IL98" s="143"/>
      <c r="IM98" s="143"/>
      <c r="IN98" s="143"/>
      <c r="IO98" s="143"/>
      <c r="IP98" s="143"/>
      <c r="IQ98" s="143"/>
      <c r="IR98" s="143"/>
      <c r="IS98" s="143"/>
      <c r="IT98" s="143"/>
      <c r="IU98" s="143"/>
      <c r="IV98" s="143"/>
      <c r="IW98" s="143"/>
      <c r="IX98" s="143"/>
      <c r="IY98" s="143"/>
      <c r="IZ98" s="143"/>
      <c r="JA98" s="143"/>
      <c r="JB98" s="143"/>
      <c r="JC98" s="143"/>
      <c r="JD98" s="143"/>
      <c r="JE98" s="143"/>
      <c r="JF98" s="143"/>
      <c r="JG98" s="143"/>
      <c r="JH98" s="143"/>
      <c r="JI98" s="143"/>
      <c r="JJ98" s="143"/>
      <c r="JK98" s="143"/>
      <c r="JL98" s="143"/>
      <c r="JM98" s="143"/>
    </row>
    <row r="99" spans="1:273" s="5" customFormat="1">
      <c r="A99" s="143"/>
      <c r="B99" s="143"/>
      <c r="C99" s="143"/>
      <c r="D99" s="143"/>
      <c r="E99" s="143"/>
      <c r="F99" s="143"/>
      <c r="G99" s="1048"/>
      <c r="H99" s="1045"/>
      <c r="I99" s="1046"/>
      <c r="J99" s="951"/>
      <c r="K99" s="951"/>
      <c r="L99" s="951"/>
      <c r="M99" s="951"/>
      <c r="N99" s="951"/>
      <c r="O99" s="951"/>
      <c r="P99" s="1047"/>
      <c r="Q99" s="951"/>
      <c r="R99" s="143"/>
      <c r="S99" s="1040"/>
      <c r="T99" s="1041"/>
      <c r="U99" s="1042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143"/>
      <c r="CB99" s="143"/>
      <c r="CC99" s="143"/>
      <c r="CD99" s="143"/>
      <c r="CE99" s="143"/>
      <c r="CF99" s="143"/>
      <c r="CG99" s="143"/>
      <c r="CH99" s="143"/>
      <c r="CI99" s="143"/>
      <c r="CJ99" s="143"/>
      <c r="CK99" s="143"/>
      <c r="CL99" s="143"/>
      <c r="CM99" s="143"/>
      <c r="CN99" s="143"/>
      <c r="CO99" s="143"/>
      <c r="CP99" s="143"/>
      <c r="CQ99" s="143"/>
      <c r="CR99" s="143"/>
      <c r="CS99" s="143"/>
      <c r="CT99" s="143"/>
      <c r="CU99" s="143"/>
      <c r="CV99" s="143"/>
      <c r="CW99" s="143"/>
      <c r="CX99" s="143"/>
      <c r="CY99" s="143"/>
      <c r="CZ99" s="143"/>
      <c r="DA99" s="143"/>
      <c r="DB99" s="143"/>
      <c r="DC99" s="143"/>
      <c r="DD99" s="143"/>
      <c r="DE99" s="143"/>
      <c r="DF99" s="143"/>
      <c r="DG99" s="143"/>
      <c r="DH99" s="143"/>
      <c r="DI99" s="143"/>
      <c r="DJ99" s="143"/>
      <c r="DK99" s="143"/>
      <c r="DL99" s="143"/>
      <c r="DM99" s="143"/>
      <c r="DN99" s="143"/>
      <c r="DO99" s="143"/>
      <c r="DP99" s="143"/>
      <c r="DQ99" s="143"/>
      <c r="DR99" s="143"/>
      <c r="DS99" s="143"/>
      <c r="DT99" s="143"/>
      <c r="DU99" s="143"/>
      <c r="DV99" s="143"/>
      <c r="DW99" s="143"/>
      <c r="DX99" s="143"/>
      <c r="DY99" s="143"/>
      <c r="DZ99" s="143"/>
      <c r="EA99" s="143"/>
      <c r="EB99" s="143"/>
      <c r="EC99" s="143"/>
      <c r="ED99" s="130"/>
      <c r="EE99" s="143"/>
      <c r="EF99" s="143"/>
      <c r="EG99" s="143"/>
      <c r="EH99" s="143"/>
      <c r="EI99" s="143"/>
      <c r="EJ99" s="143"/>
      <c r="EK99" s="143"/>
      <c r="EL99" s="143"/>
      <c r="EM99" s="143"/>
      <c r="EN99" s="143"/>
      <c r="EO99" s="143"/>
      <c r="EP99" s="143"/>
      <c r="EQ99" s="143"/>
      <c r="ER99" s="143"/>
      <c r="ES99" s="143"/>
      <c r="ET99" s="143"/>
      <c r="EU99" s="143"/>
      <c r="EV99" s="143"/>
      <c r="EW99" s="143"/>
      <c r="EX99" s="143"/>
      <c r="EY99" s="143"/>
      <c r="EZ99" s="143"/>
      <c r="FA99" s="143"/>
      <c r="FB99" s="143"/>
      <c r="FC99" s="143"/>
      <c r="FD99" s="143"/>
      <c r="FE99" s="143"/>
      <c r="FF99" s="143"/>
      <c r="FG99" s="143"/>
      <c r="FH99" s="143"/>
      <c r="FI99" s="143"/>
      <c r="FJ99" s="143"/>
      <c r="FK99" s="143"/>
      <c r="FL99" s="143"/>
      <c r="FM99" s="143"/>
      <c r="FN99" s="143"/>
      <c r="FO99" s="143"/>
      <c r="FP99" s="143"/>
      <c r="FQ99" s="143"/>
      <c r="FR99" s="143"/>
      <c r="FS99" s="143"/>
      <c r="FT99" s="143"/>
      <c r="FU99" s="143"/>
      <c r="FV99" s="143"/>
      <c r="FW99" s="143"/>
      <c r="FX99" s="143"/>
      <c r="FY99" s="143"/>
      <c r="FZ99" s="143"/>
      <c r="GA99" s="143"/>
      <c r="GB99" s="143"/>
      <c r="GC99" s="143"/>
      <c r="GD99" s="143"/>
      <c r="GE99" s="143"/>
      <c r="GF99" s="143"/>
      <c r="GG99" s="143"/>
      <c r="GH99" s="143"/>
      <c r="GI99" s="143"/>
      <c r="GJ99" s="143"/>
      <c r="GK99" s="143"/>
      <c r="GL99" s="143"/>
      <c r="GM99" s="143"/>
      <c r="GN99" s="143"/>
      <c r="GO99" s="143"/>
      <c r="GP99" s="143"/>
      <c r="GQ99" s="143"/>
      <c r="GR99" s="143"/>
      <c r="GS99" s="143"/>
      <c r="GT99" s="143"/>
      <c r="GU99" s="143"/>
      <c r="GV99" s="143"/>
      <c r="GW99" s="143"/>
      <c r="GX99" s="143"/>
      <c r="GY99" s="143"/>
      <c r="GZ99" s="143"/>
      <c r="HA99" s="143"/>
      <c r="HB99" s="143"/>
      <c r="HC99" s="143"/>
      <c r="HD99" s="143"/>
      <c r="HE99" s="143"/>
      <c r="HF99" s="143"/>
      <c r="HG99" s="143"/>
      <c r="HH99" s="143"/>
      <c r="HI99" s="143"/>
      <c r="HJ99" s="143"/>
      <c r="HK99" s="143"/>
      <c r="HL99" s="143"/>
      <c r="HM99" s="143"/>
      <c r="HN99" s="143"/>
      <c r="HO99" s="143"/>
      <c r="HP99" s="143"/>
      <c r="HQ99" s="143"/>
      <c r="HR99" s="143"/>
      <c r="HS99" s="143"/>
      <c r="HT99" s="143"/>
      <c r="HU99" s="143"/>
      <c r="HV99" s="143"/>
      <c r="HW99" s="143"/>
      <c r="HX99" s="143"/>
      <c r="HY99" s="143"/>
      <c r="HZ99" s="143"/>
      <c r="IA99" s="143"/>
      <c r="IB99" s="143"/>
      <c r="IC99" s="143"/>
      <c r="ID99" s="143"/>
      <c r="IE99" s="143"/>
      <c r="IF99" s="143"/>
      <c r="IG99" s="143"/>
      <c r="IH99" s="143"/>
      <c r="II99" s="143"/>
      <c r="IJ99" s="143"/>
      <c r="IK99" s="143"/>
      <c r="IL99" s="143"/>
      <c r="IM99" s="143"/>
      <c r="IN99" s="143"/>
      <c r="IO99" s="143"/>
      <c r="IP99" s="143"/>
      <c r="IQ99" s="143"/>
      <c r="IR99" s="143"/>
      <c r="IS99" s="143"/>
      <c r="IT99" s="143"/>
      <c r="IU99" s="143"/>
      <c r="IV99" s="143"/>
      <c r="IW99" s="143"/>
      <c r="IX99" s="143"/>
      <c r="IY99" s="143"/>
      <c r="IZ99" s="143"/>
      <c r="JA99" s="143"/>
      <c r="JB99" s="143"/>
      <c r="JC99" s="143"/>
      <c r="JD99" s="143"/>
      <c r="JE99" s="143"/>
      <c r="JF99" s="143"/>
      <c r="JG99" s="143"/>
      <c r="JH99" s="143"/>
      <c r="JI99" s="143"/>
      <c r="JJ99" s="143"/>
      <c r="JK99" s="143"/>
      <c r="JL99" s="143"/>
      <c r="JM99" s="143"/>
    </row>
    <row r="100" spans="1:273" s="5" customFormat="1">
      <c r="A100" s="143"/>
      <c r="B100" s="143"/>
      <c r="C100" s="143"/>
      <c r="D100" s="143"/>
      <c r="E100" s="143"/>
      <c r="F100" s="143"/>
      <c r="G100" s="1048"/>
      <c r="H100" s="1045"/>
      <c r="I100" s="1046"/>
      <c r="J100" s="951"/>
      <c r="K100" s="951"/>
      <c r="L100" s="951"/>
      <c r="M100" s="951"/>
      <c r="N100" s="951"/>
      <c r="O100" s="951"/>
      <c r="P100" s="1047"/>
      <c r="Q100" s="951"/>
      <c r="R100" s="143"/>
      <c r="S100" s="1040"/>
      <c r="T100" s="1041"/>
      <c r="U100" s="1042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5"/>
      <c r="DZ100" s="145"/>
      <c r="EA100" s="145"/>
      <c r="EB100" s="145"/>
      <c r="EC100" s="145"/>
      <c r="ED100" s="154"/>
      <c r="EE100" s="145"/>
      <c r="EF100" s="145"/>
      <c r="EG100" s="145"/>
      <c r="EH100" s="145"/>
      <c r="EI100" s="145"/>
      <c r="EJ100" s="145"/>
      <c r="EK100" s="145"/>
      <c r="EL100" s="145"/>
      <c r="EM100" s="145"/>
      <c r="EN100" s="145"/>
      <c r="EO100" s="145"/>
      <c r="EP100" s="145"/>
      <c r="EQ100" s="145"/>
      <c r="ER100" s="145"/>
      <c r="ES100" s="145"/>
      <c r="ET100" s="145"/>
      <c r="EU100" s="145"/>
      <c r="EV100" s="145"/>
      <c r="EW100" s="145"/>
      <c r="EX100" s="145"/>
      <c r="EY100" s="145"/>
      <c r="EZ100" s="145"/>
      <c r="FA100" s="145"/>
      <c r="FB100" s="145"/>
      <c r="FC100" s="145"/>
      <c r="FD100" s="145"/>
      <c r="FE100" s="145"/>
      <c r="FF100" s="145"/>
      <c r="FG100" s="145"/>
      <c r="FH100" s="145"/>
      <c r="FI100" s="145"/>
      <c r="FJ100" s="145"/>
      <c r="FK100" s="145"/>
      <c r="FL100" s="145"/>
      <c r="FM100" s="145"/>
      <c r="FN100" s="145"/>
      <c r="FO100" s="145"/>
      <c r="FP100" s="145"/>
      <c r="FQ100" s="145"/>
      <c r="FR100" s="145"/>
      <c r="FS100" s="145"/>
      <c r="FT100" s="145"/>
      <c r="FU100" s="145"/>
      <c r="FV100" s="145"/>
      <c r="FW100" s="145"/>
      <c r="FX100" s="145"/>
      <c r="FY100" s="145"/>
      <c r="FZ100" s="145"/>
      <c r="GA100" s="145"/>
      <c r="GB100" s="145"/>
      <c r="GC100" s="145"/>
      <c r="GD100" s="145"/>
      <c r="GE100" s="145"/>
      <c r="GF100" s="145"/>
      <c r="GG100" s="143"/>
      <c r="GH100" s="143"/>
      <c r="GI100" s="143"/>
      <c r="GJ100" s="143"/>
      <c r="GK100" s="143"/>
      <c r="GL100" s="143"/>
      <c r="GM100" s="143"/>
      <c r="GN100" s="143"/>
      <c r="GO100" s="143"/>
      <c r="GP100" s="143"/>
      <c r="GQ100" s="143"/>
      <c r="GR100" s="143"/>
      <c r="GS100" s="143"/>
      <c r="GT100" s="143"/>
      <c r="GU100" s="143"/>
      <c r="GV100" s="143"/>
      <c r="GW100" s="143"/>
      <c r="GX100" s="143"/>
      <c r="GY100" s="143"/>
      <c r="GZ100" s="143"/>
      <c r="HA100" s="143"/>
      <c r="HB100" s="143"/>
      <c r="HC100" s="143"/>
      <c r="HD100" s="143"/>
      <c r="HE100" s="143"/>
      <c r="HF100" s="143"/>
      <c r="HG100" s="143"/>
      <c r="HH100" s="143"/>
      <c r="HI100" s="143"/>
      <c r="HJ100" s="143"/>
      <c r="HK100" s="143"/>
      <c r="HL100" s="143"/>
      <c r="HM100" s="143"/>
      <c r="HN100" s="143"/>
      <c r="HO100" s="143"/>
      <c r="HP100" s="143"/>
      <c r="HQ100" s="143"/>
      <c r="HR100" s="143"/>
      <c r="HS100" s="143"/>
      <c r="HT100" s="143"/>
      <c r="HU100" s="143"/>
      <c r="HV100" s="143"/>
      <c r="HW100" s="143"/>
      <c r="HX100" s="143"/>
      <c r="HY100" s="143"/>
      <c r="HZ100" s="143"/>
      <c r="IA100" s="143"/>
      <c r="IB100" s="143"/>
      <c r="IC100" s="143"/>
      <c r="ID100" s="143"/>
      <c r="IE100" s="143"/>
      <c r="IF100" s="143"/>
      <c r="IG100" s="143"/>
      <c r="IH100" s="143"/>
      <c r="II100" s="143"/>
      <c r="IJ100" s="143"/>
      <c r="IK100" s="143"/>
      <c r="IL100" s="143"/>
      <c r="IM100" s="143"/>
      <c r="IN100" s="143"/>
      <c r="IO100" s="143"/>
      <c r="IP100" s="143"/>
      <c r="IQ100" s="143"/>
      <c r="IR100" s="143"/>
      <c r="IS100" s="143"/>
      <c r="IT100" s="143"/>
      <c r="IU100" s="143"/>
      <c r="IV100" s="143"/>
      <c r="IW100" s="143"/>
      <c r="IX100" s="143"/>
      <c r="IY100" s="143"/>
      <c r="IZ100" s="143"/>
      <c r="JA100" s="143"/>
      <c r="JB100" s="143"/>
      <c r="JC100" s="143"/>
      <c r="JD100" s="143"/>
      <c r="JE100" s="143"/>
      <c r="JF100" s="143"/>
      <c r="JG100" s="143"/>
      <c r="JH100" s="143"/>
      <c r="JI100" s="143"/>
      <c r="JJ100" s="143"/>
      <c r="JK100" s="143"/>
      <c r="JL100" s="143"/>
      <c r="JM100" s="143"/>
    </row>
    <row r="101" spans="1:273" s="5" customFormat="1">
      <c r="A101" s="143"/>
      <c r="B101" s="143"/>
      <c r="C101" s="143"/>
      <c r="D101" s="143"/>
      <c r="E101" s="143"/>
      <c r="F101" s="143"/>
      <c r="G101" s="1048"/>
      <c r="H101" s="1045"/>
      <c r="I101" s="1046"/>
      <c r="J101" s="951"/>
      <c r="K101" s="951"/>
      <c r="L101" s="951"/>
      <c r="M101" s="951"/>
      <c r="N101" s="951"/>
      <c r="O101" s="951"/>
      <c r="P101" s="1047"/>
      <c r="Q101" s="951"/>
      <c r="R101" s="143"/>
      <c r="S101" s="1040"/>
      <c r="T101" s="1041"/>
      <c r="U101" s="1042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  <c r="AH101" s="143"/>
      <c r="AI101" s="143"/>
      <c r="AJ101" s="143"/>
      <c r="AK101" s="143"/>
      <c r="AL101" s="143"/>
      <c r="AM101" s="143"/>
      <c r="AN101" s="143"/>
      <c r="AO101" s="143"/>
      <c r="AP101" s="143"/>
      <c r="AQ101" s="143"/>
      <c r="AR101" s="143"/>
      <c r="AS101" s="143"/>
      <c r="AT101" s="143"/>
      <c r="AU101" s="143"/>
      <c r="AV101" s="143"/>
      <c r="AW101" s="143"/>
      <c r="AX101" s="143"/>
      <c r="AY101" s="143"/>
      <c r="AZ101" s="143"/>
      <c r="BA101" s="143"/>
      <c r="BB101" s="143"/>
      <c r="BC101" s="143"/>
      <c r="BD101" s="143"/>
      <c r="BE101" s="143"/>
      <c r="BF101" s="143"/>
      <c r="BG101" s="143"/>
      <c r="BH101" s="143"/>
      <c r="BI101" s="143"/>
      <c r="BJ101" s="143"/>
      <c r="BK101" s="143"/>
      <c r="BL101" s="143"/>
      <c r="BM101" s="143"/>
      <c r="BN101" s="143"/>
      <c r="BO101" s="143"/>
      <c r="BP101" s="143"/>
      <c r="BQ101" s="143"/>
      <c r="BR101" s="143"/>
      <c r="BS101" s="143"/>
      <c r="BT101" s="143"/>
      <c r="BU101" s="143"/>
      <c r="BV101" s="143"/>
      <c r="BW101" s="143"/>
      <c r="BX101" s="143"/>
      <c r="BY101" s="143"/>
      <c r="BZ101" s="143"/>
      <c r="CA101" s="143"/>
      <c r="CB101" s="143"/>
      <c r="CC101" s="143"/>
      <c r="CD101" s="143"/>
      <c r="CE101" s="143"/>
      <c r="CF101" s="143"/>
      <c r="CG101" s="143"/>
      <c r="CH101" s="143"/>
      <c r="CI101" s="143"/>
      <c r="CJ101" s="143"/>
      <c r="CK101" s="143"/>
      <c r="CL101" s="143"/>
      <c r="CM101" s="143"/>
      <c r="CN101" s="143"/>
      <c r="CO101" s="143"/>
      <c r="CP101" s="143"/>
      <c r="CQ101" s="143"/>
      <c r="CR101" s="143"/>
      <c r="CS101" s="143"/>
      <c r="CT101" s="143"/>
      <c r="CU101" s="143"/>
      <c r="CV101" s="143"/>
      <c r="CW101" s="143"/>
      <c r="CX101" s="143"/>
      <c r="CY101" s="143"/>
      <c r="CZ101" s="143"/>
      <c r="DA101" s="143"/>
      <c r="DB101" s="143"/>
      <c r="DC101" s="143"/>
      <c r="DD101" s="143"/>
      <c r="DE101" s="143"/>
      <c r="DF101" s="143"/>
      <c r="DG101" s="143"/>
      <c r="DH101" s="143"/>
      <c r="DI101" s="143"/>
      <c r="DJ101" s="143"/>
      <c r="DK101" s="143"/>
      <c r="DL101" s="143"/>
      <c r="DM101" s="143"/>
      <c r="DN101" s="143"/>
      <c r="DO101" s="143"/>
      <c r="DP101" s="143"/>
      <c r="DQ101" s="143"/>
      <c r="DR101" s="143"/>
      <c r="DS101" s="143"/>
      <c r="DT101" s="143"/>
      <c r="DU101" s="143"/>
      <c r="DV101" s="143"/>
      <c r="DW101" s="143"/>
      <c r="DX101" s="143"/>
      <c r="DY101" s="145"/>
      <c r="DZ101" s="145"/>
      <c r="EA101" s="145"/>
      <c r="EB101" s="145"/>
      <c r="EC101" s="145"/>
      <c r="ED101" s="154"/>
      <c r="EE101" s="145"/>
      <c r="EF101" s="145"/>
      <c r="EG101" s="145"/>
      <c r="EH101" s="145"/>
      <c r="EI101" s="145"/>
      <c r="EJ101" s="145"/>
      <c r="EK101" s="145"/>
      <c r="EL101" s="145"/>
      <c r="EM101" s="145"/>
      <c r="EN101" s="145"/>
      <c r="EO101" s="145"/>
      <c r="EP101" s="145"/>
      <c r="EQ101" s="145"/>
      <c r="ER101" s="145"/>
      <c r="ES101" s="145"/>
      <c r="ET101" s="145"/>
      <c r="EU101" s="145"/>
      <c r="EV101" s="145"/>
      <c r="EW101" s="145"/>
      <c r="EX101" s="145"/>
      <c r="EY101" s="145"/>
      <c r="EZ101" s="145"/>
      <c r="FA101" s="145"/>
      <c r="FB101" s="145"/>
      <c r="FC101" s="145"/>
      <c r="FD101" s="145"/>
      <c r="FE101" s="145"/>
      <c r="FF101" s="145"/>
      <c r="FG101" s="145"/>
      <c r="FH101" s="145"/>
      <c r="FI101" s="145"/>
      <c r="FJ101" s="145"/>
      <c r="FK101" s="145"/>
      <c r="FL101" s="145"/>
      <c r="FM101" s="145"/>
      <c r="FN101" s="145"/>
      <c r="FO101" s="145"/>
      <c r="FP101" s="145"/>
      <c r="FQ101" s="145"/>
      <c r="FR101" s="145"/>
      <c r="FS101" s="145"/>
      <c r="FT101" s="145"/>
      <c r="FU101" s="145"/>
      <c r="FV101" s="145"/>
      <c r="FW101" s="145"/>
      <c r="FX101" s="145"/>
      <c r="FY101" s="145"/>
      <c r="FZ101" s="145"/>
      <c r="GA101" s="145"/>
      <c r="GB101" s="145"/>
      <c r="GC101" s="145"/>
      <c r="GD101" s="145"/>
      <c r="GE101" s="145"/>
      <c r="GF101" s="145"/>
      <c r="GG101" s="143"/>
      <c r="GH101" s="143"/>
      <c r="GI101" s="143"/>
      <c r="GJ101" s="143"/>
      <c r="GK101" s="143"/>
      <c r="GL101" s="143"/>
      <c r="GM101" s="143"/>
      <c r="GN101" s="143"/>
      <c r="GO101" s="143"/>
      <c r="GP101" s="143"/>
      <c r="GQ101" s="143"/>
      <c r="GR101" s="143"/>
      <c r="GS101" s="143"/>
      <c r="GT101" s="143"/>
      <c r="GU101" s="143"/>
      <c r="GV101" s="143"/>
      <c r="GW101" s="143"/>
      <c r="GX101" s="143"/>
      <c r="GY101" s="143"/>
      <c r="GZ101" s="143"/>
      <c r="HA101" s="143"/>
      <c r="HB101" s="143"/>
      <c r="HC101" s="143"/>
      <c r="HD101" s="143"/>
      <c r="HE101" s="143"/>
      <c r="HF101" s="143"/>
      <c r="HG101" s="143"/>
      <c r="HH101" s="143"/>
      <c r="HI101" s="143"/>
      <c r="HJ101" s="143"/>
      <c r="HK101" s="143"/>
      <c r="HL101" s="143"/>
      <c r="HM101" s="143"/>
      <c r="HN101" s="143"/>
      <c r="HO101" s="143"/>
      <c r="HP101" s="143"/>
      <c r="HQ101" s="143"/>
      <c r="HR101" s="143"/>
      <c r="HS101" s="143"/>
      <c r="HT101" s="143"/>
      <c r="HU101" s="143"/>
      <c r="HV101" s="143"/>
      <c r="HW101" s="143"/>
      <c r="HX101" s="143"/>
      <c r="HY101" s="143"/>
      <c r="HZ101" s="143"/>
      <c r="IA101" s="143"/>
      <c r="IB101" s="143"/>
      <c r="IC101" s="143"/>
      <c r="ID101" s="143"/>
      <c r="IE101" s="143"/>
      <c r="IF101" s="143"/>
      <c r="IG101" s="143"/>
      <c r="IH101" s="143"/>
      <c r="II101" s="143"/>
      <c r="IJ101" s="143"/>
      <c r="IK101" s="143"/>
      <c r="IL101" s="143"/>
      <c r="IM101" s="143"/>
      <c r="IN101" s="143"/>
      <c r="IO101" s="143"/>
      <c r="IP101" s="143"/>
      <c r="IQ101" s="143"/>
      <c r="IR101" s="143"/>
      <c r="IS101" s="143"/>
      <c r="IT101" s="143"/>
      <c r="IU101" s="143"/>
      <c r="IV101" s="143"/>
      <c r="IW101" s="143"/>
      <c r="IX101" s="143"/>
      <c r="IY101" s="143"/>
      <c r="IZ101" s="143"/>
      <c r="JA101" s="143"/>
      <c r="JB101" s="143"/>
      <c r="JC101" s="143"/>
      <c r="JD101" s="143"/>
      <c r="JE101" s="143"/>
      <c r="JF101" s="143"/>
      <c r="JG101" s="143"/>
      <c r="JH101" s="143"/>
      <c r="JI101" s="143"/>
      <c r="JJ101" s="143"/>
      <c r="JK101" s="143"/>
      <c r="JL101" s="143"/>
      <c r="JM101" s="143"/>
    </row>
    <row r="102" spans="1:273">
      <c r="G102" s="1048"/>
      <c r="H102" s="1045"/>
      <c r="I102" s="1046"/>
      <c r="J102" s="951"/>
      <c r="K102" s="951"/>
      <c r="L102" s="951"/>
      <c r="M102" s="951"/>
      <c r="N102" s="951"/>
      <c r="O102" s="951"/>
      <c r="P102" s="1047"/>
      <c r="Q102" s="951"/>
      <c r="S102" s="1040"/>
      <c r="T102" s="1041"/>
      <c r="U102" s="1042"/>
    </row>
    <row r="103" spans="1:273">
      <c r="G103" s="1048"/>
      <c r="H103" s="1045"/>
      <c r="I103" s="1046"/>
      <c r="J103" s="951"/>
      <c r="K103" s="951"/>
      <c r="L103" s="951"/>
      <c r="M103" s="951"/>
      <c r="N103" s="951"/>
      <c r="O103" s="951"/>
      <c r="P103" s="1047"/>
      <c r="Q103" s="951"/>
      <c r="S103" s="1040"/>
      <c r="T103" s="1041"/>
      <c r="U103" s="1042"/>
    </row>
    <row r="104" spans="1:273">
      <c r="G104" s="1048"/>
      <c r="H104" s="1045"/>
      <c r="I104" s="1046"/>
      <c r="J104" s="951"/>
      <c r="K104" s="951"/>
      <c r="L104" s="951"/>
      <c r="M104" s="951"/>
      <c r="N104" s="951"/>
      <c r="O104" s="951"/>
      <c r="P104" s="1047"/>
      <c r="Q104" s="951"/>
      <c r="S104" s="1040"/>
      <c r="T104" s="1041"/>
      <c r="U104" s="1042"/>
    </row>
    <row r="105" spans="1:273">
      <c r="G105" s="1048"/>
      <c r="H105" s="1045"/>
      <c r="I105" s="1046"/>
      <c r="J105" s="951"/>
      <c r="K105" s="951"/>
      <c r="L105" s="951"/>
      <c r="M105" s="951"/>
      <c r="N105" s="951"/>
      <c r="O105" s="951"/>
      <c r="P105" s="1047"/>
      <c r="Q105" s="951"/>
      <c r="S105" s="1040"/>
      <c r="T105" s="1041"/>
      <c r="U105" s="1042"/>
    </row>
    <row r="106" spans="1:273">
      <c r="G106" s="1048"/>
      <c r="H106" s="1045"/>
      <c r="I106" s="1046"/>
      <c r="J106" s="951"/>
      <c r="K106" s="951"/>
      <c r="L106" s="951"/>
      <c r="M106" s="951"/>
      <c r="N106" s="951"/>
      <c r="O106" s="951"/>
      <c r="P106" s="1047"/>
      <c r="Q106" s="951"/>
      <c r="S106" s="1040"/>
      <c r="T106" s="1041"/>
      <c r="U106" s="1042"/>
    </row>
  </sheetData>
  <customSheetViews>
    <customSheetView guid="{7C71EF2A-5ADA-494C-8F58-DDA71753DD90}" showPageBreaks="1">
      <pane xSplit="1" ySplit="4" topLeftCell="B5" activePane="bottomRight" state="frozen"/>
      <selection pane="bottomRight" activeCell="B5" sqref="B5:GB32"/>
      <colBreaks count="3" manualBreakCount="3">
        <brk id="133" max="45" man="1"/>
        <brk id="158" max="45" man="1"/>
        <brk id="17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"/>
    </customSheetView>
    <customSheetView guid="{B91C2E87-5EDA-40AE-AC27-0E2C17E803CE}" scale="102" showPageBreaks="1" printArea="1" hiddenRows="1">
      <pane xSplit="1" ySplit="3" topLeftCell="K28" activePane="bottomRight" state="frozen"/>
      <selection pane="bottomRight" sqref="A1:FX45"/>
      <colBreaks count="3" manualBreakCount="3">
        <brk id="130" max="45" man="1"/>
        <brk id="154" max="45" man="1"/>
        <brk id="17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2"/>
    </customSheetView>
    <customSheetView guid="{23F4DC00-BC97-4745-AA5C-F05D469CB1EF}" showPageBreaks="1" printArea="1" hiddenRows="1">
      <pane xSplit="1" ySplit="2" topLeftCell="EC31" activePane="bottomRight" state="frozen"/>
      <selection pane="bottomRight" activeCell="EL1" sqref="EL1:EL1048576"/>
      <rowBreaks count="1" manualBreakCount="1">
        <brk id="41" max="16383" man="1"/>
      </rowBreaks>
      <colBreaks count="1" manualBreakCount="1">
        <brk id="154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3"/>
    </customSheetView>
    <customSheetView guid="{4593F3EE-0998-4E0E-994A-E02D6BAF3A4B}" scale="112" showPageBreaks="1" printArea="1" hiddenRows="1">
      <pane xSplit="1" ySplit="3" topLeftCell="B4" activePane="bottomRight" state="frozen"/>
      <selection pane="bottomRight" activeCell="D41" sqref="D41:E42"/>
      <colBreaks count="3" manualBreakCount="3">
        <brk id="121" max="45" man="1"/>
        <brk id="145" max="45" man="1"/>
        <brk id="156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4"/>
    </customSheetView>
    <customSheetView guid="{917057C8-5E5F-4164-B84C-85103677A2E5}" scale="112">
      <pane xSplit="1" ySplit="2" topLeftCell="B3" activePane="bottomRight" state="frozen"/>
      <selection pane="bottomRight" activeCell="B5" sqref="B5:FX32"/>
      <colBreaks count="3" manualBreakCount="3">
        <brk id="131" max="45" man="1"/>
        <brk id="156" max="45" man="1"/>
        <brk id="17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5"/>
    </customSheetView>
    <customSheetView guid="{5A803268-F6C5-4035-B3E1-A94CB9AA8994}" showPageBreaks="1" printArea="1" hiddenRows="1">
      <pane xSplit="1" ySplit="3" topLeftCell="FC27" activePane="bottomRight" state="frozen"/>
      <selection pane="bottomRight" activeCell="FI25" sqref="FI25"/>
      <rowBreaks count="1" manualBreakCount="1">
        <brk id="41" max="16383" man="1"/>
      </rowBreaks>
      <colBreaks count="1" manualBreakCount="1">
        <brk id="153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6"/>
    </customSheetView>
    <customSheetView guid="{751D391F-C74F-4B53-B5B5-25E01AC12EA4}" scale="106">
      <pane xSplit="1" ySplit="4" topLeftCell="B5" activePane="bottomRight" state="frozen"/>
      <selection pane="bottomRight" activeCell="B5" sqref="B5:GR32"/>
      <colBreaks count="3" manualBreakCount="3">
        <brk id="139" max="45" man="1"/>
        <brk id="164" max="45" man="1"/>
        <brk id="18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7"/>
    </customSheetView>
    <customSheetView guid="{D1D1E152-95AB-45D3-AC07-4EC0834D3E0C}" scale="106">
      <pane xSplit="1" ySplit="4" topLeftCell="B5" activePane="bottomRight" state="frozen"/>
      <selection pane="bottomRight" activeCell="B5" sqref="B5:GT32"/>
      <colBreaks count="3" manualBreakCount="3">
        <brk id="139" max="45" man="1"/>
        <brk id="164" max="45" man="1"/>
        <brk id="187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8"/>
    </customSheetView>
    <customSheetView guid="{4DB6C640-CE65-4513-9E5A-F6CDD1F4B8AF}">
      <pane xSplit="1" ySplit="4" topLeftCell="FO22" activePane="bottomRight" state="frozen"/>
      <selection pane="bottomRight" activeCell="DW1" sqref="DW1:DW1048576"/>
      <colBreaks count="3" manualBreakCount="3">
        <brk id="140" max="45" man="1"/>
        <brk id="165" max="45" man="1"/>
        <brk id="186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9"/>
    </customSheetView>
    <customSheetView guid="{C3348F62-02F2-4500-9BF2-19F2DEA57A8D}" scale="106" showPageBreaks="1">
      <pane xSplit="1" ySplit="4" topLeftCell="CT5" activePane="bottomRight" state="frozen"/>
      <selection pane="bottomRight" sqref="A1:GT45"/>
      <colBreaks count="3" manualBreakCount="3">
        <brk id="139" max="45" man="1"/>
        <brk id="164" max="45" man="1"/>
        <brk id="18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0"/>
    </customSheetView>
  </customSheetViews>
  <mergeCells count="1">
    <mergeCell ref="J49:J50"/>
  </mergeCells>
  <dataValidations disablePrompts="1" count="1">
    <dataValidation allowBlank="1" showInputMessage="1" showErrorMessage="1" prompt="precision" sqref="AE3"/>
  </dataValidations>
  <printOptions horizontalCentered="1" verticalCentered="1"/>
  <pageMargins left="0.2" right="0.2" top="0.75" bottom="0.75" header="0.3" footer="0.3"/>
  <pageSetup paperSize="9" scale="40" orientation="landscape" r:id="rId11"/>
  <colBreaks count="3" manualBreakCount="3">
    <brk id="139" max="45" man="1"/>
    <brk id="164" max="45" man="1"/>
    <brk id="18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>
    <tabColor rgb="FFC00000"/>
  </sheetPr>
  <dimension ref="A1:BB71"/>
  <sheetViews>
    <sheetView topLeftCell="D3" workbookViewId="0">
      <selection activeCell="T9" sqref="T9:T14"/>
    </sheetView>
  </sheetViews>
  <sheetFormatPr defaultColWidth="9.140625" defaultRowHeight="14.25"/>
  <cols>
    <col min="1" max="1" width="9.140625" style="143"/>
    <col min="2" max="2" width="14.5703125" style="143" customWidth="1"/>
    <col min="3" max="3" width="12.140625" style="143" customWidth="1"/>
    <col min="4" max="4" width="12.28515625" style="143" customWidth="1"/>
    <col min="5" max="5" width="12" style="143" customWidth="1"/>
    <col min="6" max="6" width="9.85546875" style="143" customWidth="1"/>
    <col min="7" max="7" width="12" style="143" customWidth="1"/>
    <col min="8" max="8" width="9.140625" style="143"/>
    <col min="9" max="9" width="11.5703125" style="143" customWidth="1"/>
    <col min="10" max="10" width="9.140625" style="143"/>
    <col min="11" max="11" width="10.7109375" style="143" customWidth="1"/>
    <col min="12" max="12" width="14.7109375" style="143" customWidth="1"/>
    <col min="13" max="14" width="9.140625" style="143"/>
    <col min="15" max="15" width="9.140625" style="143" customWidth="1"/>
    <col min="16" max="16" width="9.140625" style="143"/>
    <col min="17" max="17" width="9.7109375" style="143" customWidth="1"/>
    <col min="18" max="18" width="6.42578125" style="143" customWidth="1"/>
    <col min="19" max="19" width="20" style="143" customWidth="1"/>
    <col min="20" max="20" width="12.7109375" style="143" customWidth="1"/>
    <col min="21" max="26" width="9.140625" style="143"/>
    <col min="27" max="27" width="18.140625" style="143" customWidth="1"/>
    <col min="28" max="52" width="9.140625" style="143"/>
    <col min="53" max="53" width="23" style="143" customWidth="1"/>
    <col min="54" max="54" width="12.5703125" style="143" customWidth="1"/>
    <col min="55" max="16384" width="9.140625" style="143"/>
  </cols>
  <sheetData>
    <row r="1" spans="1:54" ht="30" customHeight="1" thickBot="1">
      <c r="A1" s="588" t="s">
        <v>19</v>
      </c>
      <c r="B1" s="1152">
        <f>YesterdayGen!A2</f>
        <v>43106</v>
      </c>
      <c r="C1" s="359"/>
      <c r="D1" s="359"/>
      <c r="E1" s="359"/>
      <c r="F1" s="572"/>
      <c r="G1" s="359"/>
      <c r="H1" s="5303"/>
      <c r="I1" s="5303"/>
      <c r="J1" s="5303"/>
      <c r="K1" s="5303"/>
      <c r="L1" s="5303"/>
      <c r="M1" s="5303"/>
      <c r="N1" s="5303"/>
      <c r="O1" s="5303"/>
      <c r="P1" s="5303"/>
      <c r="Q1" s="5303"/>
      <c r="R1" s="579"/>
      <c r="S1" s="579"/>
    </row>
    <row r="2" spans="1:54" ht="15.75">
      <c r="A2" s="681"/>
      <c r="B2" s="682"/>
      <c r="C2" s="682"/>
      <c r="D2" s="682"/>
      <c r="E2" s="683"/>
      <c r="F2" s="670"/>
      <c r="G2" s="359"/>
      <c r="H2" s="359" t="s">
        <v>375</v>
      </c>
      <c r="I2" s="359"/>
      <c r="J2" s="359"/>
      <c r="K2" s="580"/>
      <c r="L2" s="581"/>
      <c r="M2" s="359"/>
      <c r="N2" s="359"/>
      <c r="O2" s="359"/>
      <c r="P2" s="359"/>
    </row>
    <row r="3" spans="1:54" ht="20.25">
      <c r="A3" s="684" t="s">
        <v>666</v>
      </c>
      <c r="B3" s="667" t="s">
        <v>834</v>
      </c>
      <c r="C3" s="668" t="s">
        <v>677</v>
      </c>
      <c r="D3" s="669" t="s">
        <v>678</v>
      </c>
      <c r="E3" s="685" t="s">
        <v>679</v>
      </c>
      <c r="F3" s="678"/>
      <c r="G3" s="359"/>
      <c r="H3" s="359"/>
      <c r="I3" s="359"/>
      <c r="J3" s="359"/>
      <c r="K3" s="582" t="s">
        <v>680</v>
      </c>
      <c r="L3" s="582"/>
      <c r="M3" s="582"/>
      <c r="N3" s="582"/>
      <c r="O3" s="547"/>
      <c r="P3" s="359"/>
      <c r="S3" s="583"/>
    </row>
    <row r="4" spans="1:54" ht="18">
      <c r="A4" s="686">
        <v>0</v>
      </c>
      <c r="B4" s="659">
        <f>ABS(EWIC!C6)</f>
        <v>16</v>
      </c>
      <c r="C4" s="657">
        <f>YesterdayGen!GE30</f>
        <v>4577</v>
      </c>
      <c r="D4" s="658">
        <f>YesterdayGen!GF30</f>
        <v>2100</v>
      </c>
      <c r="E4" s="755">
        <f>C4+D4</f>
        <v>6677</v>
      </c>
      <c r="F4" s="237"/>
      <c r="G4" s="359"/>
      <c r="H4" s="584"/>
      <c r="I4" s="584"/>
      <c r="J4" s="585"/>
      <c r="K4" s="586"/>
      <c r="L4" s="586"/>
      <c r="M4" s="586"/>
      <c r="N4" s="359"/>
      <c r="O4" s="5304" t="s">
        <v>665</v>
      </c>
      <c r="P4" s="5305"/>
      <c r="BA4" s="1133" t="s">
        <v>829</v>
      </c>
      <c r="BB4" s="1133">
        <v>188</v>
      </c>
    </row>
    <row r="5" spans="1:54" ht="15.75">
      <c r="A5" s="688">
        <v>2.0833333333333332E-2</v>
      </c>
      <c r="B5" s="662">
        <f>(B4+B6)/2</f>
        <v>90</v>
      </c>
      <c r="C5" s="663">
        <f>C4/2+C6/2</f>
        <v>4742</v>
      </c>
      <c r="D5" s="664">
        <f>D4/2+D6/2</f>
        <v>1985</v>
      </c>
      <c r="E5" s="687">
        <f t="shared" ref="E5:E52" si="0">C5+D5</f>
        <v>6727</v>
      </c>
      <c r="F5" s="92"/>
      <c r="G5" s="359"/>
      <c r="H5" s="558" t="s">
        <v>150</v>
      </c>
      <c r="I5" s="587">
        <f>B1</f>
        <v>43106</v>
      </c>
      <c r="J5" s="359"/>
      <c r="K5" s="580"/>
      <c r="L5" s="581"/>
      <c r="M5" s="588"/>
      <c r="N5" s="359"/>
      <c r="O5" s="359"/>
      <c r="P5" s="359" t="s">
        <v>431</v>
      </c>
      <c r="BA5" s="1133" t="s">
        <v>830</v>
      </c>
      <c r="BB5" s="1133">
        <v>18</v>
      </c>
    </row>
    <row r="6" spans="1:54">
      <c r="A6" s="689">
        <v>4.1666666666666664E-2</v>
      </c>
      <c r="B6" s="659">
        <f>ABS(EWIC!C7)</f>
        <v>164</v>
      </c>
      <c r="C6" s="657">
        <f>YesterdayGen!GE5</f>
        <v>4907</v>
      </c>
      <c r="D6" s="658">
        <f>YesterdayGen!GF5</f>
        <v>1870</v>
      </c>
      <c r="E6" s="687">
        <f t="shared" si="0"/>
        <v>6777</v>
      </c>
      <c r="F6" s="92"/>
      <c r="G6" s="359"/>
    </row>
    <row r="7" spans="1:54">
      <c r="A7" s="686">
        <v>6.25E-2</v>
      </c>
      <c r="B7" s="662">
        <f>(B6+B8)/2</f>
        <v>134</v>
      </c>
      <c r="C7" s="663">
        <f>C6/2+C8/2</f>
        <v>4721.5</v>
      </c>
      <c r="D7" s="664">
        <f>D6/2+D8/2</f>
        <v>1826.5</v>
      </c>
      <c r="E7" s="687">
        <f t="shared" si="0"/>
        <v>6548</v>
      </c>
      <c r="F7" s="92"/>
      <c r="G7" s="359"/>
      <c r="S7" s="180"/>
    </row>
    <row r="8" spans="1:54">
      <c r="A8" s="688">
        <v>8.3333333333333301E-2</v>
      </c>
      <c r="B8" s="659">
        <f>ABS(EWIC!C8)</f>
        <v>104</v>
      </c>
      <c r="C8" s="657">
        <f>YesterdayGen!GE6</f>
        <v>4536</v>
      </c>
      <c r="D8" s="658">
        <f>YesterdayGen!GF6</f>
        <v>1783</v>
      </c>
      <c r="E8" s="687">
        <f t="shared" si="0"/>
        <v>6319</v>
      </c>
      <c r="F8" s="92"/>
      <c r="G8" s="359"/>
      <c r="S8" s="589"/>
    </row>
    <row r="9" spans="1:54" ht="15">
      <c r="A9" s="689">
        <v>0.104166666666667</v>
      </c>
      <c r="B9" s="662">
        <f>(B8+B10)/2</f>
        <v>83</v>
      </c>
      <c r="C9" s="663">
        <f>C8/2+C10/2</f>
        <v>4441.5</v>
      </c>
      <c r="D9" s="664">
        <f>D8/2+D10/2</f>
        <v>1768.5</v>
      </c>
      <c r="E9" s="687">
        <f t="shared" si="0"/>
        <v>6210</v>
      </c>
      <c r="F9" s="92"/>
      <c r="G9" s="359"/>
      <c r="S9" s="5306" t="s">
        <v>766</v>
      </c>
      <c r="T9" s="1170">
        <f>YesterdayGen!D42</f>
        <v>8218</v>
      </c>
      <c r="AA9" s="143" t="s">
        <v>1753</v>
      </c>
    </row>
    <row r="10" spans="1:54" ht="15">
      <c r="A10" s="690">
        <v>0.125</v>
      </c>
      <c r="B10" s="659">
        <f>ABS(EWIC!C9)</f>
        <v>62</v>
      </c>
      <c r="C10" s="657">
        <f>YesterdayGen!GE7</f>
        <v>4347</v>
      </c>
      <c r="D10" s="658">
        <f>YesterdayGen!GF7</f>
        <v>1754</v>
      </c>
      <c r="E10" s="687">
        <f t="shared" si="0"/>
        <v>6101</v>
      </c>
      <c r="F10" s="92"/>
      <c r="G10" s="359"/>
      <c r="S10" s="5307"/>
      <c r="T10" s="695">
        <f>YesterdayGen!E42</f>
        <v>0.8125</v>
      </c>
    </row>
    <row r="11" spans="1:54" ht="15">
      <c r="A11" s="688">
        <v>0.14583333333333301</v>
      </c>
      <c r="B11" s="662">
        <f>(B10+B12)/2</f>
        <v>61</v>
      </c>
      <c r="C11" s="663">
        <f>C10/2+C12/2</f>
        <v>4301.5</v>
      </c>
      <c r="D11" s="664">
        <f>D10/2+D12/2</f>
        <v>1717</v>
      </c>
      <c r="E11" s="687">
        <f t="shared" si="0"/>
        <v>6018.5</v>
      </c>
      <c r="F11" s="92"/>
      <c r="G11" s="359"/>
      <c r="S11" s="5299" t="s">
        <v>765</v>
      </c>
      <c r="T11" s="1171">
        <f>YesterdayGen!D41</f>
        <v>6932</v>
      </c>
      <c r="AA11" s="143" t="s">
        <v>1754</v>
      </c>
    </row>
    <row r="12" spans="1:54" ht="15">
      <c r="A12" s="689">
        <v>0.16666666666666699</v>
      </c>
      <c r="B12" s="659">
        <f>ABS(EWIC!C10)</f>
        <v>60</v>
      </c>
      <c r="C12" s="657">
        <f>YesterdayGen!GE8</f>
        <v>4256</v>
      </c>
      <c r="D12" s="658">
        <f>YesterdayGen!GF8</f>
        <v>1680</v>
      </c>
      <c r="E12" s="687">
        <f t="shared" si="0"/>
        <v>5936</v>
      </c>
      <c r="F12" s="92"/>
      <c r="G12" s="359"/>
      <c r="S12" s="5300"/>
      <c r="T12" s="696">
        <f>YesterdayGen!E41</f>
        <v>0.5</v>
      </c>
    </row>
    <row r="13" spans="1:54" ht="15">
      <c r="A13" s="690">
        <v>0.1875</v>
      </c>
      <c r="B13" s="662">
        <f>(B12+B14)/2</f>
        <v>55</v>
      </c>
      <c r="C13" s="663">
        <f>C12/2+C14/2</f>
        <v>4220</v>
      </c>
      <c r="D13" s="664">
        <f>D12/2+D14/2</f>
        <v>1672</v>
      </c>
      <c r="E13" s="687">
        <f t="shared" si="0"/>
        <v>5892</v>
      </c>
      <c r="F13" s="92"/>
      <c r="G13" s="359"/>
      <c r="S13" s="5301" t="s">
        <v>736</v>
      </c>
      <c r="T13" s="1172">
        <f>YesterdayGen!D40</f>
        <v>8218</v>
      </c>
    </row>
    <row r="14" spans="1:54" ht="15">
      <c r="A14" s="688">
        <v>0.20833333333333301</v>
      </c>
      <c r="B14" s="659">
        <f>ABS(EWIC!C11)</f>
        <v>50</v>
      </c>
      <c r="C14" s="657">
        <f>YesterdayGen!GE9</f>
        <v>4184</v>
      </c>
      <c r="D14" s="658">
        <f>YesterdayGen!GF9</f>
        <v>1664</v>
      </c>
      <c r="E14" s="687">
        <f t="shared" si="0"/>
        <v>5848</v>
      </c>
      <c r="F14" s="92"/>
      <c r="G14" s="359"/>
      <c r="S14" s="5302"/>
      <c r="T14" s="697">
        <f>YesterdayGen!E40</f>
        <v>0.8125</v>
      </c>
    </row>
    <row r="15" spans="1:54">
      <c r="A15" s="689">
        <v>0.22916666666666699</v>
      </c>
      <c r="B15" s="662">
        <f>(B14+B16)/2</f>
        <v>53</v>
      </c>
      <c r="C15" s="663">
        <f>C14/2+C16/2</f>
        <v>4210.5</v>
      </c>
      <c r="D15" s="664">
        <f>D14/2+D16/2</f>
        <v>1702</v>
      </c>
      <c r="E15" s="687">
        <f t="shared" si="0"/>
        <v>5912.5</v>
      </c>
      <c r="F15" s="92"/>
      <c r="G15" s="359"/>
      <c r="S15" s="670"/>
    </row>
    <row r="16" spans="1:54">
      <c r="A16" s="690">
        <v>0.25</v>
      </c>
      <c r="B16" s="659">
        <f>ABS(EWIC!C12)</f>
        <v>56</v>
      </c>
      <c r="C16" s="657">
        <f>YesterdayGen!GE10</f>
        <v>4237</v>
      </c>
      <c r="D16" s="658">
        <f>YesterdayGen!GF10</f>
        <v>1740</v>
      </c>
      <c r="E16" s="687">
        <f t="shared" si="0"/>
        <v>5977</v>
      </c>
      <c r="F16" s="92"/>
      <c r="G16" s="359"/>
    </row>
    <row r="17" spans="1:19">
      <c r="A17" s="688">
        <v>0.27083333333333298</v>
      </c>
      <c r="B17" s="662">
        <f>(B16+B18)/2</f>
        <v>58</v>
      </c>
      <c r="C17" s="663">
        <f>C16/2+C18/2</f>
        <v>4219</v>
      </c>
      <c r="D17" s="664">
        <f>D16/2+D18/2</f>
        <v>1766.5</v>
      </c>
      <c r="E17" s="687">
        <f t="shared" si="0"/>
        <v>5985.5</v>
      </c>
      <c r="F17" s="92"/>
      <c r="G17" s="359"/>
    </row>
    <row r="18" spans="1:19">
      <c r="A18" s="690">
        <v>0.29166666666666702</v>
      </c>
      <c r="B18" s="659">
        <f>ABS(EWIC!C13)</f>
        <v>60</v>
      </c>
      <c r="C18" s="657">
        <f>YesterdayGen!GE11</f>
        <v>4201</v>
      </c>
      <c r="D18" s="658">
        <f>YesterdayGen!GF11</f>
        <v>1793</v>
      </c>
      <c r="E18" s="687">
        <f t="shared" si="0"/>
        <v>5994</v>
      </c>
      <c r="F18" s="92"/>
      <c r="G18" s="359"/>
    </row>
    <row r="19" spans="1:19">
      <c r="A19" s="688">
        <v>0.3125</v>
      </c>
      <c r="B19" s="662">
        <f>(B18+B20)/2</f>
        <v>168</v>
      </c>
      <c r="C19" s="663">
        <f>C18/2+C20/2</f>
        <v>4347</v>
      </c>
      <c r="D19" s="664">
        <f>D18/2+D20/2</f>
        <v>1845</v>
      </c>
      <c r="E19" s="687">
        <f t="shared" si="0"/>
        <v>6192</v>
      </c>
      <c r="F19" s="92"/>
      <c r="G19" s="359"/>
      <c r="S19" s="143" t="s">
        <v>682</v>
      </c>
    </row>
    <row r="20" spans="1:19">
      <c r="A20" s="689">
        <v>0.33333333333333298</v>
      </c>
      <c r="B20" s="659">
        <f>ABS(EWIC!C14)</f>
        <v>276</v>
      </c>
      <c r="C20" s="657">
        <f>YesterdayGen!GE12</f>
        <v>4493</v>
      </c>
      <c r="D20" s="658">
        <f>YesterdayGen!GF12</f>
        <v>1897</v>
      </c>
      <c r="E20" s="687">
        <f t="shared" si="0"/>
        <v>6390</v>
      </c>
      <c r="F20" s="92"/>
      <c r="G20" s="359"/>
    </row>
    <row r="21" spans="1:19">
      <c r="A21" s="690">
        <v>0.35416666666666702</v>
      </c>
      <c r="B21" s="662">
        <f>(B20+B22)/2</f>
        <v>248</v>
      </c>
      <c r="C21" s="663">
        <f>C20/2+C22/2</f>
        <v>4545</v>
      </c>
      <c r="D21" s="664">
        <f>D20/2+D22/2</f>
        <v>1960</v>
      </c>
      <c r="E21" s="687">
        <f t="shared" si="0"/>
        <v>6505</v>
      </c>
      <c r="F21" s="92"/>
      <c r="G21" s="359"/>
    </row>
    <row r="22" spans="1:19">
      <c r="A22" s="688">
        <v>0.375</v>
      </c>
      <c r="B22" s="659">
        <f>ABS(EWIC!C15)</f>
        <v>220</v>
      </c>
      <c r="C22" s="657">
        <f>YesterdayGen!GE13</f>
        <v>4597</v>
      </c>
      <c r="D22" s="658">
        <f>YesterdayGen!GF13</f>
        <v>2023</v>
      </c>
      <c r="E22" s="687">
        <f t="shared" si="0"/>
        <v>6620</v>
      </c>
      <c r="F22" s="92"/>
      <c r="G22" s="359"/>
    </row>
    <row r="23" spans="1:19">
      <c r="A23" s="689">
        <v>0.39583333333333298</v>
      </c>
      <c r="B23" s="662">
        <f>(B22+B24)/2</f>
        <v>126</v>
      </c>
      <c r="C23" s="663">
        <f>C22/2+C24/2</f>
        <v>4533</v>
      </c>
      <c r="D23" s="664">
        <f>D22/2+D24/2</f>
        <v>2019.5</v>
      </c>
      <c r="E23" s="687">
        <f t="shared" si="0"/>
        <v>6552.5</v>
      </c>
      <c r="F23" s="92"/>
      <c r="G23" s="359"/>
    </row>
    <row r="24" spans="1:19">
      <c r="A24" s="690">
        <v>0.41666666666666702</v>
      </c>
      <c r="B24" s="659">
        <f>ABS(EWIC!C16)</f>
        <v>32</v>
      </c>
      <c r="C24" s="657">
        <f>YesterdayGen!GE14</f>
        <v>4469</v>
      </c>
      <c r="D24" s="658">
        <f>YesterdayGen!GF14</f>
        <v>2016</v>
      </c>
      <c r="E24" s="687">
        <f t="shared" si="0"/>
        <v>6485</v>
      </c>
      <c r="F24" s="92"/>
      <c r="G24" s="359"/>
    </row>
    <row r="25" spans="1:19">
      <c r="A25" s="688">
        <v>0.4375</v>
      </c>
      <c r="B25" s="662">
        <f>(B24+B26)/2</f>
        <v>63</v>
      </c>
      <c r="C25" s="663">
        <f>C24/2+C26/2</f>
        <v>4486.5</v>
      </c>
      <c r="D25" s="664">
        <f>D24/2+D26/2</f>
        <v>2049.5</v>
      </c>
      <c r="E25" s="687">
        <f t="shared" si="0"/>
        <v>6536</v>
      </c>
      <c r="F25" s="92"/>
      <c r="G25" s="359"/>
    </row>
    <row r="26" spans="1:19">
      <c r="A26" s="689">
        <v>0.45833333333333298</v>
      </c>
      <c r="B26" s="659">
        <f>ABS(EWIC!C17)</f>
        <v>94</v>
      </c>
      <c r="C26" s="657">
        <f>YesterdayGen!GE15</f>
        <v>4504</v>
      </c>
      <c r="D26" s="658">
        <f>YesterdayGen!GF15</f>
        <v>2083</v>
      </c>
      <c r="E26" s="687">
        <f t="shared" si="0"/>
        <v>6587</v>
      </c>
      <c r="F26" s="92"/>
      <c r="G26" s="359"/>
    </row>
    <row r="27" spans="1:19">
      <c r="A27" s="690">
        <v>0.47916666666666702</v>
      </c>
      <c r="B27" s="662">
        <f>(B26+B28)/2</f>
        <v>50</v>
      </c>
      <c r="C27" s="663">
        <f>C26/2+C28/2</f>
        <v>4642</v>
      </c>
      <c r="D27" s="664">
        <f>D26/2+D28/2</f>
        <v>2117.5</v>
      </c>
      <c r="E27" s="687">
        <f t="shared" si="0"/>
        <v>6759.5</v>
      </c>
      <c r="F27" s="92"/>
      <c r="G27" s="359"/>
    </row>
    <row r="28" spans="1:19">
      <c r="A28" s="688">
        <v>0.5</v>
      </c>
      <c r="B28" s="659">
        <f>ABS(EWIC!C18)</f>
        <v>6</v>
      </c>
      <c r="C28" s="657">
        <f>YesterdayGen!GE16</f>
        <v>4780</v>
      </c>
      <c r="D28" s="658">
        <f>YesterdayGen!GF16</f>
        <v>2152</v>
      </c>
      <c r="E28" s="687">
        <f t="shared" si="0"/>
        <v>6932</v>
      </c>
      <c r="F28" s="92"/>
      <c r="G28" s="359"/>
    </row>
    <row r="29" spans="1:19">
      <c r="A29" s="689">
        <v>0.52083333333333304</v>
      </c>
      <c r="B29" s="662">
        <f>(B28+B30)/2</f>
        <v>80</v>
      </c>
      <c r="C29" s="663">
        <f>C28/2+C30/2</f>
        <v>4968</v>
      </c>
      <c r="D29" s="664">
        <f>D28/2+D30/2</f>
        <v>2165.5</v>
      </c>
      <c r="E29" s="687">
        <f t="shared" si="0"/>
        <v>7133.5</v>
      </c>
      <c r="F29" s="92"/>
      <c r="G29" s="359"/>
    </row>
    <row r="30" spans="1:19">
      <c r="A30" s="690">
        <v>0.54166666666666696</v>
      </c>
      <c r="B30" s="659">
        <f>ABS(EWIC!C19)</f>
        <v>154</v>
      </c>
      <c r="C30" s="657">
        <f>YesterdayGen!GE17</f>
        <v>5156</v>
      </c>
      <c r="D30" s="658">
        <f>YesterdayGen!GF17</f>
        <v>2179</v>
      </c>
      <c r="E30" s="687">
        <f t="shared" si="0"/>
        <v>7335</v>
      </c>
      <c r="F30" s="92"/>
      <c r="G30" s="359"/>
    </row>
    <row r="31" spans="1:19">
      <c r="A31" s="688">
        <v>0.5625</v>
      </c>
      <c r="B31" s="662">
        <f>(B30+B32)/2</f>
        <v>80</v>
      </c>
      <c r="C31" s="663">
        <f>C30/2+C32/2</f>
        <v>4847.5</v>
      </c>
      <c r="D31" s="664">
        <f>D30/2+D32/2</f>
        <v>2008.5</v>
      </c>
      <c r="E31" s="687">
        <f t="shared" si="0"/>
        <v>6856</v>
      </c>
      <c r="F31" s="1"/>
      <c r="G31" s="359"/>
    </row>
    <row r="32" spans="1:19">
      <c r="A32" s="690">
        <v>0.58333333333333304</v>
      </c>
      <c r="B32" s="659">
        <f>ABS(EWIC!C20)</f>
        <v>6</v>
      </c>
      <c r="C32" s="657">
        <f>YesterdayGen!GE18</f>
        <v>4539</v>
      </c>
      <c r="D32" s="658">
        <f>YesterdayGen!GF18</f>
        <v>1838</v>
      </c>
      <c r="E32" s="687">
        <f t="shared" si="0"/>
        <v>6377</v>
      </c>
      <c r="F32" s="1"/>
      <c r="G32" s="359"/>
    </row>
    <row r="33" spans="1:17">
      <c r="A33" s="688">
        <v>0.60416666666666696</v>
      </c>
      <c r="B33" s="662">
        <f>(B32+B34)/2</f>
        <v>65</v>
      </c>
      <c r="C33" s="663">
        <f>C32/2+C34/2</f>
        <v>4397.5</v>
      </c>
      <c r="D33" s="664">
        <f>D32/2+D34/2</f>
        <v>1828</v>
      </c>
      <c r="E33" s="687">
        <f t="shared" si="0"/>
        <v>6225.5</v>
      </c>
      <c r="F33" s="1"/>
      <c r="G33" s="359"/>
    </row>
    <row r="34" spans="1:17">
      <c r="A34" s="689">
        <v>0.625</v>
      </c>
      <c r="B34" s="659">
        <f>ABS(EWIC!C21)</f>
        <v>124</v>
      </c>
      <c r="C34" s="657">
        <f>YesterdayGen!GE19</f>
        <v>4256</v>
      </c>
      <c r="D34" s="658">
        <f>YesterdayGen!GF19</f>
        <v>1818</v>
      </c>
      <c r="E34" s="687">
        <f t="shared" si="0"/>
        <v>6074</v>
      </c>
      <c r="F34" s="1"/>
      <c r="G34" s="359"/>
    </row>
    <row r="35" spans="1:17">
      <c r="A35" s="690">
        <v>0.64583333333333304</v>
      </c>
      <c r="B35" s="662">
        <f>(B34+B36)/2</f>
        <v>133</v>
      </c>
      <c r="C35" s="663">
        <f>C34/2+C36/2</f>
        <v>4234</v>
      </c>
      <c r="D35" s="664">
        <f>D34/2+D36/2</f>
        <v>1823</v>
      </c>
      <c r="E35" s="687">
        <f t="shared" si="0"/>
        <v>6057</v>
      </c>
      <c r="F35" s="1"/>
      <c r="G35" s="359"/>
    </row>
    <row r="36" spans="1:17" ht="18">
      <c r="A36" s="688">
        <v>0.66666666666666696</v>
      </c>
      <c r="B36" s="659">
        <f>ABS(EWIC!C22)</f>
        <v>142</v>
      </c>
      <c r="C36" s="657">
        <f>YesterdayGen!GE20</f>
        <v>4212</v>
      </c>
      <c r="D36" s="658">
        <f>YesterdayGen!GF20</f>
        <v>1828</v>
      </c>
      <c r="E36" s="687">
        <f t="shared" si="0"/>
        <v>6040</v>
      </c>
      <c r="F36" s="679"/>
      <c r="G36" s="359"/>
      <c r="O36" s="359"/>
      <c r="P36" s="590"/>
      <c r="Q36" s="590"/>
    </row>
    <row r="37" spans="1:17" ht="18">
      <c r="A37" s="689">
        <v>0.6875</v>
      </c>
      <c r="B37" s="662">
        <f>(B36+B38)/2</f>
        <v>77</v>
      </c>
      <c r="C37" s="663">
        <f>C36/2+C38/2</f>
        <v>4295.5</v>
      </c>
      <c r="D37" s="664">
        <f>D36/2+D38/2</f>
        <v>1841.5</v>
      </c>
      <c r="E37" s="687">
        <f t="shared" si="0"/>
        <v>6137</v>
      </c>
      <c r="F37" s="680"/>
      <c r="G37" s="359"/>
      <c r="Q37" s="591"/>
    </row>
    <row r="38" spans="1:17">
      <c r="A38" s="690">
        <v>0.70833333333333304</v>
      </c>
      <c r="B38" s="659">
        <f>ABS(EWIC!C23)</f>
        <v>12</v>
      </c>
      <c r="C38" s="657">
        <f>YesterdayGen!GE21</f>
        <v>4379</v>
      </c>
      <c r="D38" s="658">
        <f>YesterdayGen!GF21</f>
        <v>1855</v>
      </c>
      <c r="E38" s="687">
        <f t="shared" si="0"/>
        <v>6234</v>
      </c>
      <c r="F38" s="675"/>
      <c r="G38" s="359"/>
      <c r="Q38" s="359"/>
    </row>
    <row r="39" spans="1:17">
      <c r="A39" s="688">
        <v>0.72916666666666696</v>
      </c>
      <c r="B39" s="662">
        <f>(B38+B40)/2</f>
        <v>116</v>
      </c>
      <c r="C39" s="663">
        <f>C38/2+C40/2</f>
        <v>4749</v>
      </c>
      <c r="D39" s="664">
        <f>D38/2+D40/2</f>
        <v>2154</v>
      </c>
      <c r="E39" s="687">
        <f t="shared" si="0"/>
        <v>6903</v>
      </c>
      <c r="F39" s="675"/>
      <c r="G39" s="359"/>
    </row>
    <row r="40" spans="1:17">
      <c r="A40" s="689">
        <v>0.75</v>
      </c>
      <c r="B40" s="659">
        <f>ABS(EWIC!C24)</f>
        <v>220</v>
      </c>
      <c r="C40" s="657">
        <f>YesterdayGen!GE22</f>
        <v>5119</v>
      </c>
      <c r="D40" s="658">
        <f>YesterdayGen!GF22</f>
        <v>2453</v>
      </c>
      <c r="E40" s="687">
        <f t="shared" si="0"/>
        <v>7572</v>
      </c>
      <c r="F40" s="675"/>
      <c r="G40" s="359"/>
    </row>
    <row r="41" spans="1:17">
      <c r="A41" s="688">
        <v>0.77083333333333304</v>
      </c>
      <c r="B41" s="661">
        <f>B40/2+B42/2</f>
        <v>180</v>
      </c>
      <c r="C41" s="665">
        <f>C40/2+C42/2</f>
        <v>5308</v>
      </c>
      <c r="D41" s="666">
        <f>D40/2+D42/2</f>
        <v>2527</v>
      </c>
      <c r="E41" s="687">
        <f t="shared" si="0"/>
        <v>7835</v>
      </c>
      <c r="F41" s="675"/>
      <c r="G41" s="359"/>
    </row>
    <row r="42" spans="1:17">
      <c r="A42" s="689">
        <v>0.79166666666666596</v>
      </c>
      <c r="B42" s="659">
        <f>ABS(EWIC!C26)</f>
        <v>140</v>
      </c>
      <c r="C42" s="657">
        <f>YesterdayGen!GE24</f>
        <v>5497</v>
      </c>
      <c r="D42" s="658">
        <f>YesterdayGen!GF24</f>
        <v>2601</v>
      </c>
      <c r="E42" s="687">
        <f t="shared" si="0"/>
        <v>8098</v>
      </c>
      <c r="F42" s="675"/>
      <c r="G42" s="359"/>
    </row>
    <row r="43" spans="1:17">
      <c r="A43" s="689">
        <v>0.8125</v>
      </c>
      <c r="B43" s="660">
        <f>ABS(EWIC!C27)</f>
        <v>56</v>
      </c>
      <c r="C43" s="657">
        <f>YesterdayGen!GE25</f>
        <v>5443</v>
      </c>
      <c r="D43" s="658">
        <f>YesterdayGen!GF25</f>
        <v>2775</v>
      </c>
      <c r="E43" s="687">
        <f t="shared" si="0"/>
        <v>8218</v>
      </c>
      <c r="F43" s="675"/>
      <c r="G43" s="359"/>
    </row>
    <row r="44" spans="1:17" ht="15">
      <c r="A44" s="690">
        <v>0.83333333333333337</v>
      </c>
      <c r="B44" s="659">
        <f>ABS(EWIC!C28)</f>
        <v>42</v>
      </c>
      <c r="C44" s="657">
        <f>YesterdayGen!GE26</f>
        <v>5428</v>
      </c>
      <c r="D44" s="658">
        <f>YesterdayGen!GF26</f>
        <v>2735</v>
      </c>
      <c r="E44" s="687">
        <f t="shared" si="0"/>
        <v>8163</v>
      </c>
      <c r="F44" s="675"/>
      <c r="G44" s="359"/>
      <c r="O44" s="592" t="s">
        <v>675</v>
      </c>
      <c r="P44" s="593"/>
    </row>
    <row r="45" spans="1:17">
      <c r="A45" s="688">
        <v>0.85416666666666696</v>
      </c>
      <c r="B45" s="662">
        <f>(B44+B46)/2</f>
        <v>47</v>
      </c>
      <c r="C45" s="663">
        <f>C44/2+C46/2</f>
        <v>5353</v>
      </c>
      <c r="D45" s="664">
        <f>D44/2+D46/2</f>
        <v>2725</v>
      </c>
      <c r="E45" s="687">
        <f t="shared" si="0"/>
        <v>8078</v>
      </c>
      <c r="F45" s="675"/>
      <c r="G45" s="359"/>
      <c r="O45" s="592" t="s">
        <v>380</v>
      </c>
      <c r="P45" s="594"/>
    </row>
    <row r="46" spans="1:17" ht="15.75">
      <c r="A46" s="690">
        <v>0.875</v>
      </c>
      <c r="B46" s="659">
        <f>ABS(EWIC!C29)</f>
        <v>52</v>
      </c>
      <c r="C46" s="657">
        <f>YesterdayGen!GE27</f>
        <v>5278</v>
      </c>
      <c r="D46" s="658">
        <f>YesterdayGen!GF27</f>
        <v>2715</v>
      </c>
      <c r="E46" s="687">
        <f t="shared" si="0"/>
        <v>7993</v>
      </c>
      <c r="F46" s="675"/>
      <c r="G46" s="359"/>
      <c r="O46" s="465"/>
    </row>
    <row r="47" spans="1:17">
      <c r="A47" s="688">
        <v>0.89583333333333304</v>
      </c>
      <c r="B47" s="662">
        <f>(B46+B48)/2</f>
        <v>151</v>
      </c>
      <c r="C47" s="663">
        <f>C46/2+C48/2</f>
        <v>5141.5</v>
      </c>
      <c r="D47" s="664">
        <f>D46/2+D48/2</f>
        <v>2734.5</v>
      </c>
      <c r="E47" s="687">
        <f t="shared" si="0"/>
        <v>7876</v>
      </c>
      <c r="F47" s="675"/>
      <c r="G47" s="359"/>
    </row>
    <row r="48" spans="1:17" ht="15">
      <c r="A48" s="689">
        <v>0.91666666666666696</v>
      </c>
      <c r="B48" s="659">
        <f>ABS(EWIC!C30)</f>
        <v>250</v>
      </c>
      <c r="C48" s="657">
        <f>YesterdayGen!GE28</f>
        <v>5005</v>
      </c>
      <c r="D48" s="658">
        <f>YesterdayGen!GF28</f>
        <v>2754</v>
      </c>
      <c r="E48" s="687">
        <f t="shared" si="0"/>
        <v>7759</v>
      </c>
      <c r="F48" s="675"/>
      <c r="G48" s="359"/>
      <c r="P48" s="232" t="s">
        <v>683</v>
      </c>
    </row>
    <row r="49" spans="1:12" ht="15.75">
      <c r="A49" s="690">
        <v>0.9375</v>
      </c>
      <c r="B49" s="662">
        <f>(B48+B50)/2</f>
        <v>191</v>
      </c>
      <c r="C49" s="663">
        <f>C48/2+C50/2</f>
        <v>4897</v>
      </c>
      <c r="D49" s="664">
        <f>D48/2+D50/2</f>
        <v>2598.5</v>
      </c>
      <c r="E49" s="687">
        <f t="shared" si="0"/>
        <v>7495.5</v>
      </c>
      <c r="F49" s="675"/>
      <c r="G49" s="359"/>
      <c r="L49" s="465"/>
    </row>
    <row r="50" spans="1:12">
      <c r="A50" s="688">
        <v>0.95833333333333304</v>
      </c>
      <c r="B50" s="659">
        <f>ABS(EWIC!C31)</f>
        <v>132</v>
      </c>
      <c r="C50" s="657">
        <f>YesterdayGen!GE29</f>
        <v>4789</v>
      </c>
      <c r="D50" s="658">
        <f>YesterdayGen!GF29</f>
        <v>2443</v>
      </c>
      <c r="E50" s="687">
        <f t="shared" si="0"/>
        <v>7232</v>
      </c>
      <c r="F50" s="675"/>
      <c r="G50" s="359"/>
    </row>
    <row r="51" spans="1:12">
      <c r="A51" s="689">
        <v>0.97916666666666696</v>
      </c>
      <c r="B51" s="662">
        <f>(B50+B52)/2</f>
        <v>74</v>
      </c>
      <c r="C51" s="663">
        <f>C50/2+C52/2</f>
        <v>4683</v>
      </c>
      <c r="D51" s="664">
        <f>D50/2+D52/2</f>
        <v>2271.5</v>
      </c>
      <c r="E51" s="687">
        <f t="shared" si="0"/>
        <v>6954.5</v>
      </c>
      <c r="F51" s="675"/>
      <c r="G51" s="359"/>
    </row>
    <row r="52" spans="1:12">
      <c r="A52" s="691" t="s">
        <v>24</v>
      </c>
      <c r="B52" s="659">
        <f>ABS(EWIC!C32)</f>
        <v>16</v>
      </c>
      <c r="C52" s="657">
        <f>YesterdayGen!GE30</f>
        <v>4577</v>
      </c>
      <c r="D52" s="658">
        <f>YesterdayGen!GF30</f>
        <v>2100</v>
      </c>
      <c r="E52" s="687">
        <f t="shared" si="0"/>
        <v>6677</v>
      </c>
      <c r="F52" s="675"/>
      <c r="G52" s="359"/>
    </row>
    <row r="53" spans="1:12" ht="15" thickBot="1">
      <c r="A53" s="692"/>
      <c r="B53" s="693"/>
      <c r="C53" s="693"/>
      <c r="D53" s="693"/>
      <c r="E53" s="694"/>
      <c r="F53" s="547"/>
      <c r="G53" s="359"/>
    </row>
    <row r="54" spans="1:12">
      <c r="A54" s="670"/>
      <c r="B54" s="671"/>
      <c r="C54" s="672"/>
      <c r="D54" s="672"/>
      <c r="E54" s="673"/>
      <c r="F54" s="547"/>
      <c r="G54" s="359"/>
    </row>
    <row r="55" spans="1:12">
      <c r="A55" s="670"/>
      <c r="B55" s="671"/>
      <c r="C55" s="672"/>
      <c r="D55" s="672"/>
      <c r="E55" s="673"/>
      <c r="F55" s="547"/>
      <c r="G55" s="359"/>
    </row>
    <row r="56" spans="1:12">
      <c r="A56" s="359"/>
      <c r="B56" s="359"/>
      <c r="C56" s="359"/>
      <c r="D56" s="359"/>
      <c r="E56" s="359"/>
      <c r="F56" s="547"/>
      <c r="G56" s="359"/>
    </row>
    <row r="57" spans="1:12">
      <c r="A57" s="359"/>
      <c r="B57" s="359"/>
      <c r="C57" s="674"/>
      <c r="D57" s="674"/>
      <c r="E57" s="674"/>
      <c r="F57" s="675"/>
      <c r="G57" s="359"/>
    </row>
    <row r="58" spans="1:12">
      <c r="A58" s="359"/>
      <c r="B58" s="359"/>
      <c r="C58" s="676"/>
      <c r="D58" s="677"/>
      <c r="E58" s="676"/>
      <c r="F58" s="677"/>
      <c r="G58" s="359"/>
    </row>
    <row r="59" spans="1:12">
      <c r="A59" s="359"/>
      <c r="B59" s="359"/>
      <c r="C59" s="674"/>
      <c r="D59" s="674"/>
      <c r="E59" s="673"/>
      <c r="F59" s="673"/>
      <c r="G59" s="359"/>
    </row>
    <row r="60" spans="1:12">
      <c r="A60" s="359"/>
      <c r="B60" s="359"/>
      <c r="C60" s="674"/>
      <c r="D60" s="674"/>
      <c r="E60" s="673"/>
      <c r="F60" s="673"/>
      <c r="G60" s="359"/>
    </row>
    <row r="61" spans="1:12">
      <c r="A61" s="359"/>
      <c r="B61" s="359"/>
      <c r="C61" s="674"/>
      <c r="D61" s="674"/>
      <c r="E61" s="673"/>
      <c r="F61" s="673"/>
      <c r="G61" s="359"/>
    </row>
    <row r="62" spans="1:12">
      <c r="A62" s="359"/>
      <c r="B62" s="359"/>
      <c r="C62" s="674"/>
      <c r="D62" s="674"/>
      <c r="E62" s="673"/>
      <c r="F62" s="673"/>
      <c r="G62" s="359"/>
    </row>
    <row r="63" spans="1:12">
      <c r="A63" s="359"/>
      <c r="B63" s="359"/>
      <c r="C63" s="674"/>
      <c r="D63" s="674"/>
      <c r="E63" s="673"/>
      <c r="F63" s="673"/>
      <c r="G63" s="359"/>
    </row>
    <row r="64" spans="1:12">
      <c r="A64" s="359"/>
      <c r="B64" s="359"/>
      <c r="C64" s="674"/>
      <c r="D64" s="674"/>
      <c r="E64" s="674"/>
      <c r="F64" s="675"/>
      <c r="G64" s="359"/>
    </row>
    <row r="65" spans="1:7">
      <c r="A65" s="359"/>
      <c r="B65" s="359"/>
      <c r="C65" s="674"/>
      <c r="D65" s="674"/>
      <c r="E65" s="674"/>
      <c r="F65" s="675"/>
      <c r="G65" s="359"/>
    </row>
    <row r="66" spans="1:7">
      <c r="A66" s="359"/>
      <c r="B66" s="359"/>
      <c r="C66" s="674"/>
      <c r="D66" s="674"/>
      <c r="E66" s="674"/>
      <c r="F66" s="675"/>
      <c r="G66" s="359"/>
    </row>
    <row r="67" spans="1:7">
      <c r="A67" s="359"/>
      <c r="B67" s="359"/>
      <c r="C67" s="675"/>
      <c r="D67" s="674"/>
      <c r="E67" s="673"/>
      <c r="F67" s="675"/>
      <c r="G67" s="359"/>
    </row>
    <row r="68" spans="1:7">
      <c r="A68" s="359"/>
      <c r="B68" s="359"/>
      <c r="C68" s="675"/>
      <c r="D68" s="674"/>
      <c r="E68" s="673"/>
      <c r="F68" s="675"/>
      <c r="G68" s="359"/>
    </row>
    <row r="69" spans="1:7">
      <c r="A69" s="359"/>
      <c r="B69" s="359"/>
      <c r="C69" s="675"/>
      <c r="D69" s="674"/>
      <c r="E69" s="673"/>
      <c r="F69" s="675"/>
      <c r="G69" s="359"/>
    </row>
    <row r="70" spans="1:7">
      <c r="A70" s="359"/>
      <c r="B70" s="359"/>
      <c r="C70" s="675"/>
      <c r="D70" s="674"/>
      <c r="E70" s="673"/>
      <c r="F70" s="675"/>
      <c r="G70" s="359"/>
    </row>
    <row r="71" spans="1:7">
      <c r="A71" s="359"/>
      <c r="B71" s="359"/>
      <c r="C71" s="675"/>
      <c r="D71" s="674"/>
      <c r="E71" s="673"/>
      <c r="F71" s="675"/>
      <c r="G71" s="359"/>
    </row>
  </sheetData>
  <customSheetViews>
    <customSheetView guid="{7C71EF2A-5ADA-494C-8F58-DDA71753DD90}" showPageBreaks="1" printArea="1" topLeftCell="D3">
      <selection activeCell="B32" sqref="B32"/>
      <pageMargins left="0.18" right="0.24" top="0.18" bottom="0.17" header="0.4" footer="0.17"/>
      <pageSetup paperSize="9" scale="95" orientation="portrait" r:id="rId1"/>
    </customSheetView>
    <customSheetView guid="{B91C2E87-5EDA-40AE-AC27-0E2C17E803CE}" showPageBreaks="1" printArea="1" hiddenColumns="1" topLeftCell="J1">
      <selection activeCell="T9" sqref="T9:T14"/>
      <pageMargins left="0.18" right="0.24" top="0.18" bottom="0.17" header="0.4" footer="0.17"/>
      <pageSetup paperSize="9" scale="95" orientation="portrait" r:id="rId2"/>
    </customSheetView>
    <customSheetView guid="{23F4DC00-BC97-4745-AA5C-F05D469CB1EF}" showPageBreaks="1" printArea="1" topLeftCell="D3">
      <selection activeCell="T9" sqref="T9:T14"/>
      <pageMargins left="0.18" right="0.24" top="0.18" bottom="0.17" header="0.4" footer="0.17"/>
      <pageSetup paperSize="9" scale="95" orientation="portrait" r:id="rId3"/>
    </customSheetView>
    <customSheetView guid="{4593F3EE-0998-4E0E-994A-E02D6BAF3A4B}" showPageBreaks="1" printArea="1" topLeftCell="K1">
      <selection activeCell="T9" sqref="T9:T14"/>
      <pageMargins left="0.18" right="0.24" top="0.18" bottom="0.17" header="0.4" footer="0.17"/>
      <pageSetup paperSize="9" scale="95" orientation="portrait" r:id="rId4"/>
    </customSheetView>
    <customSheetView guid="{917057C8-5E5F-4164-B84C-85103677A2E5}">
      <selection activeCell="T9" sqref="T9:T14"/>
      <pageMargins left="0.18" right="0.24" top="0.18" bottom="0.17" header="0.4" footer="0.17"/>
      <pageSetup paperSize="9" scale="95" orientation="portrait" r:id="rId5"/>
    </customSheetView>
    <customSheetView guid="{5A803268-F6C5-4035-B3E1-A94CB9AA8994}" showPageBreaks="1" printArea="1" topLeftCell="L1">
      <selection activeCell="T9" sqref="T9:T14"/>
      <pageMargins left="0.18" right="0.24" top="0.18" bottom="0.17" header="0.4" footer="0.17"/>
      <pageSetup paperSize="9" scale="95" orientation="portrait" r:id="rId6"/>
    </customSheetView>
    <customSheetView guid="{751D391F-C74F-4B53-B5B5-25E01AC12EA4}" topLeftCell="D3">
      <selection activeCell="T9" sqref="T9:T14"/>
      <pageMargins left="0.18" right="0.24" top="0.18" bottom="0.17" header="0.4" footer="0.17"/>
      <pageSetup paperSize="9" scale="95" orientation="portrait" r:id="rId7"/>
    </customSheetView>
    <customSheetView guid="{D1D1E152-95AB-45D3-AC07-4EC0834D3E0C}" showPageBreaks="1" printArea="1" topLeftCell="D3">
      <selection activeCell="T9" sqref="T9:T14"/>
      <pageMargins left="0.18" right="0.24" top="0.18" bottom="0.17" header="0.4" footer="0.17"/>
      <pageSetup paperSize="9" scale="95" orientation="portrait" r:id="rId8"/>
    </customSheetView>
    <customSheetView guid="{4DB6C640-CE65-4513-9E5A-F6CDD1F4B8AF}" showPageBreaks="1">
      <selection activeCell="T9" sqref="T9:T14"/>
      <pageMargins left="0.18" right="0.24" top="0.18" bottom="0.17" header="0.4" footer="0.17"/>
      <pageSetup paperSize="9" scale="95" orientation="portrait" r:id="rId9"/>
    </customSheetView>
    <customSheetView guid="{C3348F62-02F2-4500-9BF2-19F2DEA57A8D}" showPageBreaks="1" printArea="1">
      <selection activeCell="T9" sqref="T9:T14"/>
      <pageMargins left="0.18" right="0.24" top="0.18" bottom="0.17" header="0.4" footer="0.17"/>
      <pageSetup paperSize="9" scale="95" orientation="portrait" r:id="rId10"/>
    </customSheetView>
  </customSheetViews>
  <mergeCells count="5">
    <mergeCell ref="S11:S12"/>
    <mergeCell ref="S13:S14"/>
    <mergeCell ref="H1:Q1"/>
    <mergeCell ref="O4:P4"/>
    <mergeCell ref="S9:S10"/>
  </mergeCells>
  <pageMargins left="0.18" right="0.24" top="0.18" bottom="0.17" header="0.4" footer="0.17"/>
  <pageSetup paperSize="9" scale="95" orientation="portrait" r:id="rId11"/>
  <drawing r:id="rId1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0909F7"/>
  </sheetPr>
  <dimension ref="A1:BD71"/>
  <sheetViews>
    <sheetView tabSelected="1" topLeftCell="J4" zoomScale="115" zoomScaleSheetLayoutView="83" zoomScalePageLayoutView="70" workbookViewId="0">
      <selection activeCell="T53" sqref="T53"/>
    </sheetView>
  </sheetViews>
  <sheetFormatPr defaultColWidth="9.140625" defaultRowHeight="14.25"/>
  <cols>
    <col min="1" max="1" width="9.140625" style="143"/>
    <col min="2" max="2" width="11" style="143" customWidth="1"/>
    <col min="3" max="3" width="9.140625" style="143" customWidth="1"/>
    <col min="4" max="5" width="10.85546875" style="143" customWidth="1"/>
    <col min="6" max="6" width="11.7109375" style="143" customWidth="1"/>
    <col min="7" max="7" width="9" style="143" customWidth="1"/>
    <col min="8" max="8" width="9.140625" style="143" customWidth="1"/>
    <col min="9" max="9" width="11.5703125" style="143" customWidth="1"/>
    <col min="10" max="10" width="12" style="143" bestFit="1" customWidth="1"/>
    <col min="11" max="11" width="12.28515625" style="143" customWidth="1"/>
    <col min="12" max="12" width="10.140625" style="143" customWidth="1"/>
    <col min="13" max="13" width="13.42578125" style="143" customWidth="1"/>
    <col min="14" max="14" width="9.140625" style="143"/>
    <col min="15" max="15" width="2" style="143" customWidth="1"/>
    <col min="16" max="16" width="3.85546875" style="143" customWidth="1"/>
    <col min="17" max="17" width="9.28515625" style="143" customWidth="1"/>
    <col min="18" max="18" width="22.140625" style="143" bestFit="1" customWidth="1"/>
    <col min="19" max="19" width="13.42578125" style="143" customWidth="1"/>
    <col min="20" max="20" width="9.140625" style="143"/>
    <col min="21" max="21" width="12.7109375" style="143" customWidth="1"/>
    <col min="22" max="22" width="17.5703125" style="143" customWidth="1"/>
    <col min="23" max="23" width="11.5703125" style="143" customWidth="1"/>
    <col min="24" max="25" width="9.140625" style="143"/>
    <col min="26" max="26" width="9.140625" style="143" customWidth="1"/>
    <col min="27" max="27" width="7" style="143" customWidth="1"/>
    <col min="28" max="28" width="5.28515625" style="143" customWidth="1"/>
    <col min="29" max="29" width="20.5703125" style="143" customWidth="1"/>
    <col min="30" max="38" width="9.140625" style="143"/>
    <col min="39" max="39" width="43.7109375" style="143" customWidth="1"/>
    <col min="40" max="54" width="9.140625" style="143"/>
    <col min="55" max="55" width="22.7109375" style="143" customWidth="1"/>
    <col min="56" max="56" width="10.85546875" style="143" customWidth="1"/>
    <col min="57" max="16384" width="9.140625" style="143"/>
  </cols>
  <sheetData>
    <row r="1" spans="1:56" ht="15.75">
      <c r="Q1" s="538" t="s">
        <v>663</v>
      </c>
      <c r="R1" s="538"/>
      <c r="S1" s="538"/>
      <c r="T1" s="539" t="s">
        <v>309</v>
      </c>
      <c r="U1" s="539"/>
      <c r="V1" s="539"/>
      <c r="W1" s="539"/>
      <c r="X1" s="538"/>
      <c r="Y1" s="538"/>
      <c r="Z1" s="506"/>
      <c r="AA1" s="540"/>
    </row>
    <row r="2" spans="1:56" ht="24.75" customHeight="1">
      <c r="M2"/>
      <c r="Q2" s="541" t="s">
        <v>18</v>
      </c>
      <c r="R2" s="541"/>
      <c r="S2" s="177" t="s">
        <v>664</v>
      </c>
      <c r="V2" s="466"/>
      <c r="W2" s="542"/>
      <c r="X2" s="543"/>
      <c r="Y2" s="544"/>
      <c r="Z2" s="506"/>
      <c r="AA2" s="540"/>
    </row>
    <row r="3" spans="1:56" ht="15.75">
      <c r="A3" s="359" t="s">
        <v>19</v>
      </c>
      <c r="B3" s="545">
        <f>YesterdayGen!A2</f>
        <v>43106</v>
      </c>
      <c r="C3" s="546"/>
      <c r="D3" s="359" t="s">
        <v>456</v>
      </c>
      <c r="E3" s="359"/>
      <c r="F3" s="547">
        <f>YesterdayGen!GG31</f>
        <v>166233896</v>
      </c>
      <c r="G3" s="547"/>
      <c r="H3" s="359"/>
      <c r="I3" s="359"/>
      <c r="J3" s="359"/>
      <c r="K3" s="134"/>
      <c r="L3" s="617"/>
      <c r="M3" s="617"/>
      <c r="N3" s="617"/>
      <c r="Q3" s="548"/>
      <c r="R3" s="548"/>
      <c r="S3" s="548"/>
      <c r="T3" s="504"/>
      <c r="U3" s="504"/>
      <c r="V3" s="549"/>
      <c r="W3" s="548"/>
      <c r="X3" s="548"/>
      <c r="Y3" s="548"/>
      <c r="Z3" s="506"/>
      <c r="AA3" s="540"/>
    </row>
    <row r="4" spans="1:56" ht="20.25">
      <c r="A4" s="1025"/>
      <c r="B4" s="1026"/>
      <c r="C4" s="1026"/>
      <c r="D4" s="1026"/>
      <c r="E4" s="1026"/>
      <c r="F4" s="1026"/>
      <c r="G4" s="1026"/>
      <c r="H4" s="1026"/>
      <c r="I4" s="1026"/>
      <c r="J4" s="1026"/>
      <c r="K4" s="1026"/>
      <c r="L4" s="1027"/>
      <c r="M4" s="3830"/>
      <c r="N4" s="134"/>
      <c r="Q4" s="550"/>
      <c r="R4" s="970">
        <f>B3</f>
        <v>43106</v>
      </c>
      <c r="S4" s="551"/>
      <c r="T4" s="551"/>
      <c r="U4" s="551"/>
      <c r="V4" s="551"/>
      <c r="W4" s="551"/>
      <c r="X4" s="506"/>
      <c r="Y4" s="5308" t="s">
        <v>681</v>
      </c>
      <c r="Z4" s="5308"/>
      <c r="AA4" s="552"/>
      <c r="BC4" s="1133" t="s">
        <v>829</v>
      </c>
      <c r="BD4" s="1133">
        <v>188</v>
      </c>
    </row>
    <row r="5" spans="1:56" ht="15.75">
      <c r="A5" s="648" t="s">
        <v>666</v>
      </c>
      <c r="B5" s="618" t="s">
        <v>667</v>
      </c>
      <c r="C5" s="619" t="s">
        <v>668</v>
      </c>
      <c r="D5" s="620" t="s">
        <v>669</v>
      </c>
      <c r="E5" s="620" t="s">
        <v>1375</v>
      </c>
      <c r="F5" s="621" t="s">
        <v>1372</v>
      </c>
      <c r="G5" s="622" t="s">
        <v>670</v>
      </c>
      <c r="H5" s="623" t="s">
        <v>671</v>
      </c>
      <c r="I5" s="623" t="s">
        <v>1373</v>
      </c>
      <c r="J5" s="624" t="s">
        <v>1374</v>
      </c>
      <c r="K5" s="625" t="s">
        <v>741</v>
      </c>
      <c r="L5" s="626" t="s">
        <v>1294</v>
      </c>
      <c r="M5" s="3831" t="s">
        <v>672</v>
      </c>
      <c r="N5" s="134"/>
      <c r="O5" s="553"/>
      <c r="P5" s="553"/>
      <c r="Q5" s="554"/>
      <c r="R5" s="555"/>
      <c r="S5" s="556"/>
      <c r="T5" s="554"/>
      <c r="X5" s="557"/>
      <c r="Y5" s="554"/>
      <c r="Z5" s="506"/>
      <c r="AA5" s="540"/>
      <c r="BC5" s="1133" t="s">
        <v>830</v>
      </c>
      <c r="BD5" s="1133">
        <v>18</v>
      </c>
    </row>
    <row r="6" spans="1:56" ht="15.75">
      <c r="A6" s="627">
        <v>0</v>
      </c>
      <c r="B6" s="628">
        <f>YesterdayGen!GH30</f>
        <v>2347</v>
      </c>
      <c r="C6" s="629">
        <f>YesterdayGen!GI30</f>
        <v>469</v>
      </c>
      <c r="D6" s="630">
        <f>YesterdayGen!GJ30</f>
        <v>1695</v>
      </c>
      <c r="E6" s="630">
        <f>YesterdayGen!GK30</f>
        <v>0</v>
      </c>
      <c r="F6" s="631">
        <f>YesterdayGen!GL30</f>
        <v>1493</v>
      </c>
      <c r="G6" s="632">
        <f>YesterdayGen!GM30</f>
        <v>519</v>
      </c>
      <c r="H6" s="633">
        <f>YesterdayGen!GN30</f>
        <v>75</v>
      </c>
      <c r="I6" s="633">
        <f>YesterdayGen!GO30</f>
        <v>0</v>
      </c>
      <c r="J6" s="634">
        <f>YesterdayGen!GP30</f>
        <v>8</v>
      </c>
      <c r="K6" s="635">
        <f>YesterdayGen!GQ30</f>
        <v>71</v>
      </c>
      <c r="L6" s="636">
        <f>YesterdayGen!GR30</f>
        <v>0</v>
      </c>
      <c r="M6" s="3832">
        <f>YesterdayGen!GS30</f>
        <v>0</v>
      </c>
      <c r="N6" s="134"/>
      <c r="Q6" s="551"/>
      <c r="R6" s="551"/>
      <c r="S6" s="551"/>
      <c r="T6" s="558"/>
      <c r="U6" s="558"/>
      <c r="V6" s="559"/>
      <c r="W6" s="560"/>
      <c r="X6" s="551"/>
      <c r="Y6" s="551"/>
      <c r="Z6" s="506"/>
      <c r="AA6" s="540"/>
    </row>
    <row r="7" spans="1:56" ht="15.75">
      <c r="A7" s="637">
        <v>2.0833333333333332E-2</v>
      </c>
      <c r="B7" s="638">
        <f t="shared" ref="B7:L7" si="0">B6/2+B8/2</f>
        <v>2269.5</v>
      </c>
      <c r="C7" s="639">
        <f t="shared" si="0"/>
        <v>472</v>
      </c>
      <c r="D7" s="640">
        <f t="shared" si="0"/>
        <v>1723.5</v>
      </c>
      <c r="E7" s="4641">
        <f t="shared" si="0"/>
        <v>0</v>
      </c>
      <c r="F7" s="641">
        <f t="shared" si="0"/>
        <v>1752</v>
      </c>
      <c r="G7" s="642">
        <f t="shared" si="0"/>
        <v>359</v>
      </c>
      <c r="H7" s="643">
        <f t="shared" si="0"/>
        <v>78</v>
      </c>
      <c r="I7" s="643">
        <f t="shared" ref="I7" si="1">I6/2+I8/2</f>
        <v>0</v>
      </c>
      <c r="J7" s="644">
        <f t="shared" si="0"/>
        <v>4</v>
      </c>
      <c r="K7" s="645">
        <f t="shared" si="0"/>
        <v>69</v>
      </c>
      <c r="L7" s="646">
        <f t="shared" si="0"/>
        <v>0</v>
      </c>
      <c r="M7" s="3833">
        <f>M6/2+M8/2</f>
        <v>0</v>
      </c>
      <c r="N7" s="134"/>
      <c r="Q7" s="506"/>
      <c r="R7" s="549" t="s">
        <v>150</v>
      </c>
      <c r="S7" s="561">
        <f>B3</f>
        <v>43106</v>
      </c>
      <c r="T7" s="506"/>
      <c r="U7" s="506"/>
      <c r="V7" s="506"/>
      <c r="W7" s="506"/>
      <c r="X7" s="506"/>
      <c r="Y7" s="506"/>
      <c r="Z7" s="506"/>
      <c r="AA7" s="540"/>
    </row>
    <row r="8" spans="1:56" ht="15">
      <c r="A8" s="637">
        <v>4.1666666666666664E-2</v>
      </c>
      <c r="B8" s="628">
        <f>YesterdayGen!GH5</f>
        <v>2192</v>
      </c>
      <c r="C8" s="629">
        <f>YesterdayGen!GI5</f>
        <v>475</v>
      </c>
      <c r="D8" s="630">
        <f>YesterdayGen!GJ5</f>
        <v>1752</v>
      </c>
      <c r="E8" s="630">
        <f>YesterdayGen!GK5</f>
        <v>0</v>
      </c>
      <c r="F8" s="631">
        <f>YesterdayGen!GL5</f>
        <v>2011</v>
      </c>
      <c r="G8" s="632">
        <f>YesterdayGen!GM5</f>
        <v>199</v>
      </c>
      <c r="H8" s="633">
        <f>YesterdayGen!GN5</f>
        <v>81</v>
      </c>
      <c r="I8" s="633">
        <f>YesterdayGen!GO5</f>
        <v>0</v>
      </c>
      <c r="J8" s="634">
        <f>YesterdayGen!GP5</f>
        <v>0</v>
      </c>
      <c r="K8" s="635">
        <f>YesterdayGen!GQ5</f>
        <v>67</v>
      </c>
      <c r="L8" s="636">
        <f>YesterdayGen!GR5</f>
        <v>0</v>
      </c>
      <c r="M8" s="3832">
        <f>YesterdayGen!GS5</f>
        <v>0</v>
      </c>
      <c r="N8" s="134"/>
      <c r="Q8" s="506"/>
      <c r="R8" s="506"/>
      <c r="S8" s="506"/>
      <c r="T8" s="506"/>
      <c r="U8" s="506"/>
      <c r="V8" s="506"/>
      <c r="W8" s="506"/>
      <c r="X8" s="506"/>
      <c r="Y8" s="506"/>
      <c r="Z8" s="506"/>
      <c r="AA8" s="540"/>
    </row>
    <row r="9" spans="1:56" ht="16.5" customHeight="1">
      <c r="A9" s="627">
        <v>6.25E-2</v>
      </c>
      <c r="B9" s="638">
        <f t="shared" ref="B9:L9" si="2">B8/2+B10/2</f>
        <v>2197.5</v>
      </c>
      <c r="C9" s="639">
        <f t="shared" si="2"/>
        <v>448.5</v>
      </c>
      <c r="D9" s="640">
        <f t="shared" si="2"/>
        <v>1721</v>
      </c>
      <c r="E9" s="4641">
        <f t="shared" si="2"/>
        <v>0</v>
      </c>
      <c r="F9" s="641">
        <f t="shared" si="2"/>
        <v>1832.5</v>
      </c>
      <c r="G9" s="642">
        <f t="shared" si="2"/>
        <v>199</v>
      </c>
      <c r="H9" s="643">
        <f t="shared" si="2"/>
        <v>83.5</v>
      </c>
      <c r="I9" s="643">
        <f t="shared" ref="I9" si="3">I8/2+I10/2</f>
        <v>0</v>
      </c>
      <c r="J9" s="644">
        <f t="shared" si="2"/>
        <v>0</v>
      </c>
      <c r="K9" s="645">
        <f t="shared" si="2"/>
        <v>66</v>
      </c>
      <c r="L9" s="646">
        <f t="shared" si="2"/>
        <v>0</v>
      </c>
      <c r="M9" s="3833">
        <f>M8/2+M10/2</f>
        <v>0</v>
      </c>
      <c r="N9" s="134"/>
      <c r="Q9" s="506"/>
      <c r="R9" s="506"/>
      <c r="S9" s="506"/>
      <c r="T9" s="506"/>
      <c r="U9" s="506"/>
      <c r="V9" s="506"/>
      <c r="W9" s="506"/>
      <c r="X9" s="506"/>
      <c r="Y9" s="506"/>
      <c r="Z9" s="506"/>
      <c r="AA9" s="540"/>
      <c r="AB9" s="700"/>
      <c r="AC9" s="1143" t="s">
        <v>749</v>
      </c>
      <c r="AD9" s="1161">
        <f>F3/1000000</f>
        <v>166.23389599999999</v>
      </c>
      <c r="AK9" s="4640" t="s">
        <v>1376</v>
      </c>
      <c r="AM9" s="5309" t="s">
        <v>1755</v>
      </c>
    </row>
    <row r="10" spans="1:56" ht="18.75" customHeight="1">
      <c r="A10" s="637">
        <v>8.3333333333333301E-2</v>
      </c>
      <c r="B10" s="628">
        <f>YesterdayGen!GH6</f>
        <v>2203</v>
      </c>
      <c r="C10" s="629">
        <f>YesterdayGen!GI6</f>
        <v>422</v>
      </c>
      <c r="D10" s="630">
        <f>YesterdayGen!GJ6</f>
        <v>1690</v>
      </c>
      <c r="E10" s="630">
        <f>YesterdayGen!GK6</f>
        <v>0</v>
      </c>
      <c r="F10" s="631">
        <f>YesterdayGen!GL6</f>
        <v>1654</v>
      </c>
      <c r="G10" s="632">
        <f>YesterdayGen!GM6</f>
        <v>199</v>
      </c>
      <c r="H10" s="633">
        <f>YesterdayGen!GN6</f>
        <v>86</v>
      </c>
      <c r="I10" s="633">
        <f>YesterdayGen!GO6</f>
        <v>0</v>
      </c>
      <c r="J10" s="634">
        <f>YesterdayGen!GP6</f>
        <v>0</v>
      </c>
      <c r="K10" s="635">
        <f>YesterdayGen!GQ6</f>
        <v>65</v>
      </c>
      <c r="L10" s="636">
        <f>YesterdayGen!GR6</f>
        <v>0</v>
      </c>
      <c r="M10" s="3832">
        <f>YesterdayGen!GS6</f>
        <v>0</v>
      </c>
      <c r="N10" s="134"/>
      <c r="Q10" s="506"/>
      <c r="R10" s="506"/>
      <c r="S10" s="506"/>
      <c r="T10" s="506"/>
      <c r="U10" s="506"/>
      <c r="V10" s="506"/>
      <c r="W10" s="506"/>
      <c r="X10" s="506"/>
      <c r="Y10" s="506"/>
      <c r="Z10" s="506"/>
      <c r="AA10" s="540"/>
      <c r="AB10" s="700"/>
      <c r="AC10" s="1143" t="s">
        <v>750</v>
      </c>
      <c r="AD10" s="1161">
        <f>SUM(M6:M54)*24/50000</f>
        <v>0</v>
      </c>
      <c r="AM10" s="5309"/>
    </row>
    <row r="11" spans="1:56" ht="15.75" customHeight="1">
      <c r="A11" s="637">
        <v>0.104166666666667</v>
      </c>
      <c r="B11" s="638">
        <f t="shared" ref="B11:L11" si="4">B10/2+B12/2</f>
        <v>2198.5</v>
      </c>
      <c r="C11" s="639">
        <f t="shared" si="4"/>
        <v>422</v>
      </c>
      <c r="D11" s="640">
        <f t="shared" si="4"/>
        <v>1702</v>
      </c>
      <c r="E11" s="4641">
        <f t="shared" si="4"/>
        <v>0</v>
      </c>
      <c r="F11" s="641">
        <f t="shared" si="4"/>
        <v>1540</v>
      </c>
      <c r="G11" s="642">
        <f t="shared" si="4"/>
        <v>199.5</v>
      </c>
      <c r="H11" s="643">
        <f t="shared" si="4"/>
        <v>84</v>
      </c>
      <c r="I11" s="643">
        <f t="shared" ref="I11" si="5">I10/2+I12/2</f>
        <v>0</v>
      </c>
      <c r="J11" s="644">
        <f t="shared" si="4"/>
        <v>0</v>
      </c>
      <c r="K11" s="645">
        <f t="shared" si="4"/>
        <v>64</v>
      </c>
      <c r="L11" s="646">
        <f t="shared" si="4"/>
        <v>0</v>
      </c>
      <c r="M11" s="3833">
        <f>M10/2+M12/2</f>
        <v>0</v>
      </c>
      <c r="N11" s="134"/>
      <c r="Q11" s="506"/>
      <c r="R11" s="506"/>
      <c r="S11" s="506"/>
      <c r="T11" s="506"/>
      <c r="U11" s="506"/>
      <c r="V11" s="506"/>
      <c r="W11" s="506"/>
      <c r="X11" s="506"/>
      <c r="Y11" s="506"/>
      <c r="Z11" s="562"/>
      <c r="AA11" s="540"/>
      <c r="AB11" s="700"/>
      <c r="AC11" s="1143" t="s">
        <v>751</v>
      </c>
      <c r="AD11" s="1161">
        <f>SUM(AD9:AD10)</f>
        <v>166.23389599999999</v>
      </c>
      <c r="AM11" s="5309"/>
    </row>
    <row r="12" spans="1:56" ht="15">
      <c r="A12" s="627">
        <v>0.125</v>
      </c>
      <c r="B12" s="628">
        <f>YesterdayGen!GH7</f>
        <v>2194</v>
      </c>
      <c r="C12" s="629">
        <f>YesterdayGen!GI7</f>
        <v>422</v>
      </c>
      <c r="D12" s="630">
        <f>YesterdayGen!GJ7</f>
        <v>1714</v>
      </c>
      <c r="E12" s="630">
        <f>YesterdayGen!GK7</f>
        <v>0</v>
      </c>
      <c r="F12" s="631">
        <f>YesterdayGen!GL7</f>
        <v>1426</v>
      </c>
      <c r="G12" s="632">
        <f>YesterdayGen!GM7</f>
        <v>200</v>
      </c>
      <c r="H12" s="633">
        <f>YesterdayGen!GN7</f>
        <v>82</v>
      </c>
      <c r="I12" s="633">
        <f>YesterdayGen!GO7</f>
        <v>0</v>
      </c>
      <c r="J12" s="634">
        <f>YesterdayGen!GP7</f>
        <v>0</v>
      </c>
      <c r="K12" s="635">
        <f>YesterdayGen!GQ7</f>
        <v>63</v>
      </c>
      <c r="L12" s="636">
        <f>YesterdayGen!GR7</f>
        <v>0</v>
      </c>
      <c r="M12" s="3832">
        <f>YesterdayGen!GS7</f>
        <v>0</v>
      </c>
      <c r="N12" s="134"/>
      <c r="Q12" s="506"/>
      <c r="R12" s="506"/>
      <c r="S12" s="506"/>
      <c r="T12" s="506"/>
      <c r="U12" s="506"/>
      <c r="V12" s="506"/>
      <c r="W12" s="506"/>
      <c r="X12" s="506"/>
      <c r="Y12" s="506"/>
      <c r="Z12" s="506"/>
      <c r="AA12" s="540"/>
      <c r="AB12" s="181"/>
      <c r="AC12" s="134"/>
      <c r="AD12" s="134"/>
      <c r="AM12" s="5309"/>
    </row>
    <row r="13" spans="1:56" ht="15">
      <c r="A13" s="637">
        <v>0.14583333333333301</v>
      </c>
      <c r="B13" s="638">
        <f t="shared" ref="B13:L13" si="6">B12/2+B14/2</f>
        <v>2202</v>
      </c>
      <c r="C13" s="639">
        <f t="shared" si="6"/>
        <v>422</v>
      </c>
      <c r="D13" s="640">
        <f t="shared" si="6"/>
        <v>1701</v>
      </c>
      <c r="E13" s="4641">
        <f t="shared" si="6"/>
        <v>0</v>
      </c>
      <c r="F13" s="641">
        <f t="shared" si="6"/>
        <v>1353.5</v>
      </c>
      <c r="G13" s="642">
        <f t="shared" si="6"/>
        <v>200</v>
      </c>
      <c r="H13" s="643">
        <f t="shared" si="6"/>
        <v>77.5</v>
      </c>
      <c r="I13" s="643">
        <f t="shared" ref="I13" si="7">I12/2+I14/2</f>
        <v>0</v>
      </c>
      <c r="J13" s="644">
        <f t="shared" si="6"/>
        <v>0</v>
      </c>
      <c r="K13" s="645">
        <f t="shared" si="6"/>
        <v>62.5</v>
      </c>
      <c r="L13" s="646">
        <f t="shared" si="6"/>
        <v>0</v>
      </c>
      <c r="M13" s="3833">
        <f>M12/2+M14/2</f>
        <v>0</v>
      </c>
      <c r="N13" s="134"/>
      <c r="Q13" s="506"/>
      <c r="R13" s="506"/>
      <c r="S13" s="506"/>
      <c r="T13" s="506"/>
      <c r="U13" s="506"/>
      <c r="V13" s="506"/>
      <c r="W13" s="506"/>
      <c r="X13" s="506"/>
      <c r="Y13" s="143" t="s">
        <v>26</v>
      </c>
      <c r="Z13" s="506"/>
      <c r="AA13" s="540"/>
      <c r="AM13" s="5309"/>
    </row>
    <row r="14" spans="1:56" ht="15">
      <c r="A14" s="637">
        <v>0.16666666666666699</v>
      </c>
      <c r="B14" s="628">
        <f>YesterdayGen!GH8</f>
        <v>2210</v>
      </c>
      <c r="C14" s="629">
        <f>YesterdayGen!GI8</f>
        <v>422</v>
      </c>
      <c r="D14" s="630">
        <f>YesterdayGen!GJ8</f>
        <v>1688</v>
      </c>
      <c r="E14" s="630">
        <f>YesterdayGen!GK8</f>
        <v>0</v>
      </c>
      <c r="F14" s="631">
        <f>YesterdayGen!GL8</f>
        <v>1281</v>
      </c>
      <c r="G14" s="632">
        <f>YesterdayGen!GM8</f>
        <v>200</v>
      </c>
      <c r="H14" s="633">
        <f>YesterdayGen!GN8</f>
        <v>73</v>
      </c>
      <c r="I14" s="633">
        <f>YesterdayGen!GO8</f>
        <v>0</v>
      </c>
      <c r="J14" s="634">
        <f>YesterdayGen!GP8</f>
        <v>0</v>
      </c>
      <c r="K14" s="635">
        <f>YesterdayGen!GQ8</f>
        <v>62</v>
      </c>
      <c r="L14" s="636">
        <f>YesterdayGen!GR8</f>
        <v>0</v>
      </c>
      <c r="M14" s="3832">
        <f>YesterdayGen!GS8</f>
        <v>0</v>
      </c>
      <c r="N14" s="134"/>
      <c r="Q14" s="506"/>
      <c r="R14" s="506"/>
      <c r="S14" s="506"/>
      <c r="T14" s="506"/>
      <c r="U14" s="506"/>
      <c r="V14" s="506"/>
      <c r="W14" s="506"/>
      <c r="X14" s="506"/>
      <c r="Y14" s="506"/>
      <c r="Z14" s="506"/>
      <c r="AA14" s="540"/>
    </row>
    <row r="15" spans="1:56" ht="15">
      <c r="A15" s="627">
        <v>0.1875</v>
      </c>
      <c r="B15" s="638">
        <f t="shared" ref="B15:L15" si="8">B14/2+B16/2</f>
        <v>2198.5</v>
      </c>
      <c r="C15" s="639">
        <f t="shared" si="8"/>
        <v>421.5</v>
      </c>
      <c r="D15" s="640">
        <f t="shared" si="8"/>
        <v>1671.5</v>
      </c>
      <c r="E15" s="4641">
        <f t="shared" si="8"/>
        <v>0</v>
      </c>
      <c r="F15" s="641">
        <f t="shared" si="8"/>
        <v>1262.5</v>
      </c>
      <c r="G15" s="642">
        <f t="shared" si="8"/>
        <v>200</v>
      </c>
      <c r="H15" s="643">
        <f t="shared" si="8"/>
        <v>77</v>
      </c>
      <c r="I15" s="643">
        <f t="shared" ref="I15" si="9">I14/2+I16/2</f>
        <v>0</v>
      </c>
      <c r="J15" s="644">
        <f t="shared" si="8"/>
        <v>0</v>
      </c>
      <c r="K15" s="645">
        <f t="shared" si="8"/>
        <v>61</v>
      </c>
      <c r="L15" s="646">
        <f t="shared" si="8"/>
        <v>0</v>
      </c>
      <c r="M15" s="3833">
        <f>M14/2+M16/2</f>
        <v>0</v>
      </c>
      <c r="N15" s="134"/>
      <c r="Q15" s="506"/>
      <c r="R15" s="506"/>
      <c r="S15" s="506"/>
      <c r="T15" s="506"/>
      <c r="U15" s="506"/>
      <c r="V15" s="506"/>
      <c r="W15" s="506"/>
      <c r="X15" s="506"/>
      <c r="Y15" s="506"/>
      <c r="Z15" s="506"/>
      <c r="AA15" s="540"/>
      <c r="AD15" s="563"/>
    </row>
    <row r="16" spans="1:56" ht="15">
      <c r="A16" s="637">
        <v>0.20833333333333301</v>
      </c>
      <c r="B16" s="628">
        <f>YesterdayGen!GH9</f>
        <v>2187</v>
      </c>
      <c r="C16" s="629">
        <f>YesterdayGen!GI9</f>
        <v>421</v>
      </c>
      <c r="D16" s="630">
        <f>YesterdayGen!GJ9</f>
        <v>1655</v>
      </c>
      <c r="E16" s="630">
        <f>YesterdayGen!GK9</f>
        <v>0</v>
      </c>
      <c r="F16" s="631">
        <f>YesterdayGen!GL9</f>
        <v>1244</v>
      </c>
      <c r="G16" s="632">
        <f>YesterdayGen!GM9</f>
        <v>200</v>
      </c>
      <c r="H16" s="633">
        <f>YesterdayGen!GN9</f>
        <v>81</v>
      </c>
      <c r="I16" s="633">
        <f>YesterdayGen!GO9</f>
        <v>0</v>
      </c>
      <c r="J16" s="634">
        <f>YesterdayGen!GP9</f>
        <v>0</v>
      </c>
      <c r="K16" s="635">
        <f>YesterdayGen!GQ9</f>
        <v>60</v>
      </c>
      <c r="L16" s="636">
        <f>YesterdayGen!GR9</f>
        <v>0</v>
      </c>
      <c r="M16" s="3834">
        <f>YesterdayGen!GS9</f>
        <v>0</v>
      </c>
      <c r="N16" s="134"/>
      <c r="Q16" s="506"/>
      <c r="R16" s="506"/>
      <c r="S16" s="506"/>
      <c r="T16" s="506"/>
      <c r="U16" s="506"/>
      <c r="V16" s="506"/>
      <c r="W16" s="506"/>
      <c r="X16" s="506"/>
      <c r="Y16" s="506"/>
      <c r="Z16" s="506"/>
      <c r="AA16" s="540"/>
      <c r="AB16" s="564"/>
    </row>
    <row r="17" spans="1:31" ht="15">
      <c r="A17" s="637">
        <v>0.22916666666666699</v>
      </c>
      <c r="B17" s="638">
        <f t="shared" ref="B17:L17" si="10">B16/2+B18/2</f>
        <v>2221</v>
      </c>
      <c r="C17" s="639">
        <f t="shared" si="10"/>
        <v>421</v>
      </c>
      <c r="D17" s="640">
        <f t="shared" si="10"/>
        <v>1698</v>
      </c>
      <c r="E17" s="4641">
        <f t="shared" si="10"/>
        <v>0</v>
      </c>
      <c r="F17" s="641">
        <f t="shared" si="10"/>
        <v>1230</v>
      </c>
      <c r="G17" s="642">
        <f t="shared" si="10"/>
        <v>200</v>
      </c>
      <c r="H17" s="643">
        <f t="shared" si="10"/>
        <v>83.5</v>
      </c>
      <c r="I17" s="643">
        <f t="shared" ref="I17" si="11">I16/2+I18/2</f>
        <v>0</v>
      </c>
      <c r="J17" s="644">
        <f t="shared" si="10"/>
        <v>0</v>
      </c>
      <c r="K17" s="645">
        <f t="shared" si="10"/>
        <v>59</v>
      </c>
      <c r="L17" s="646">
        <f t="shared" si="10"/>
        <v>0</v>
      </c>
      <c r="M17" s="3833">
        <f>M16/2+M18/2</f>
        <v>0</v>
      </c>
      <c r="N17" s="134"/>
      <c r="Q17" s="506"/>
      <c r="R17" s="506"/>
      <c r="S17" s="506"/>
      <c r="T17" s="506"/>
      <c r="U17" s="506"/>
      <c r="V17" s="506"/>
      <c r="W17" s="506"/>
      <c r="X17" s="506"/>
      <c r="Y17" s="506"/>
      <c r="Z17" s="506"/>
      <c r="AA17" s="540"/>
    </row>
    <row r="18" spans="1:31" ht="15">
      <c r="A18" s="627">
        <v>0.25</v>
      </c>
      <c r="B18" s="628">
        <f>YesterdayGen!GH10</f>
        <v>2255</v>
      </c>
      <c r="C18" s="629">
        <f>YesterdayGen!GI10</f>
        <v>421</v>
      </c>
      <c r="D18" s="630">
        <f>YesterdayGen!GJ10</f>
        <v>1741</v>
      </c>
      <c r="E18" s="630">
        <f>YesterdayGen!GK10</f>
        <v>0</v>
      </c>
      <c r="F18" s="631">
        <f>YesterdayGen!GL10</f>
        <v>1216</v>
      </c>
      <c r="G18" s="632">
        <f>YesterdayGen!GM10</f>
        <v>200</v>
      </c>
      <c r="H18" s="633">
        <f>YesterdayGen!GN10</f>
        <v>86</v>
      </c>
      <c r="I18" s="633">
        <f>YesterdayGen!GO10</f>
        <v>0</v>
      </c>
      <c r="J18" s="634">
        <f>YesterdayGen!GP10</f>
        <v>0</v>
      </c>
      <c r="K18" s="635">
        <f>YesterdayGen!GQ10</f>
        <v>58</v>
      </c>
      <c r="L18" s="636">
        <f>YesterdayGen!GR10</f>
        <v>0</v>
      </c>
      <c r="M18" s="3834">
        <f>YesterdayGen!GS10</f>
        <v>0</v>
      </c>
      <c r="N18" s="134"/>
      <c r="Q18" s="506"/>
      <c r="R18" s="506"/>
      <c r="S18" s="506"/>
      <c r="T18" s="506"/>
      <c r="U18" s="506"/>
      <c r="V18" s="506"/>
      <c r="W18" s="506"/>
      <c r="X18" s="506"/>
      <c r="Y18" s="506"/>
      <c r="Z18" s="506"/>
      <c r="AA18" s="540"/>
      <c r="AC18" s="1144"/>
    </row>
    <row r="19" spans="1:31" ht="15.75">
      <c r="A19" s="637">
        <v>0.27083333333333298</v>
      </c>
      <c r="B19" s="638">
        <f t="shared" ref="B19:L19" si="12">B18/2+B20/2</f>
        <v>2249.5</v>
      </c>
      <c r="C19" s="639">
        <f t="shared" si="12"/>
        <v>421.5</v>
      </c>
      <c r="D19" s="640">
        <f t="shared" si="12"/>
        <v>1741</v>
      </c>
      <c r="E19" s="4641">
        <f t="shared" si="12"/>
        <v>0</v>
      </c>
      <c r="F19" s="641">
        <f t="shared" si="12"/>
        <v>1253</v>
      </c>
      <c r="G19" s="642">
        <f t="shared" si="12"/>
        <v>200</v>
      </c>
      <c r="H19" s="643">
        <f t="shared" si="12"/>
        <v>63</v>
      </c>
      <c r="I19" s="643">
        <f t="shared" ref="I19" si="13">I18/2+I20/2</f>
        <v>0</v>
      </c>
      <c r="J19" s="644">
        <f t="shared" si="12"/>
        <v>0</v>
      </c>
      <c r="K19" s="645">
        <f t="shared" si="12"/>
        <v>56</v>
      </c>
      <c r="L19" s="646">
        <f t="shared" si="12"/>
        <v>1.5</v>
      </c>
      <c r="M19" s="3833">
        <f>M18/2+M20/2</f>
        <v>0</v>
      </c>
      <c r="N19" s="134"/>
      <c r="Q19" s="506"/>
      <c r="R19" s="506"/>
      <c r="S19" s="506"/>
      <c r="T19" s="506"/>
      <c r="U19" s="506"/>
      <c r="V19" s="506"/>
      <c r="W19" s="565" t="s">
        <v>45</v>
      </c>
      <c r="X19" s="506"/>
      <c r="Y19" s="506"/>
      <c r="Z19" s="506"/>
      <c r="AA19" s="540"/>
      <c r="AB19" s="143" t="s">
        <v>673</v>
      </c>
    </row>
    <row r="20" spans="1:31" ht="15">
      <c r="A20" s="637">
        <v>0.29166666666666702</v>
      </c>
      <c r="B20" s="628">
        <f>YesterdayGen!GH11</f>
        <v>2244</v>
      </c>
      <c r="C20" s="629">
        <f>YesterdayGen!GI11</f>
        <v>422</v>
      </c>
      <c r="D20" s="630">
        <f>YesterdayGen!GJ11</f>
        <v>1741</v>
      </c>
      <c r="E20" s="630">
        <f>YesterdayGen!GK11</f>
        <v>0</v>
      </c>
      <c r="F20" s="631">
        <f>YesterdayGen!GL11</f>
        <v>1290</v>
      </c>
      <c r="G20" s="632">
        <f>YesterdayGen!GM11</f>
        <v>200</v>
      </c>
      <c r="H20" s="633">
        <f>YesterdayGen!GN11</f>
        <v>40</v>
      </c>
      <c r="I20" s="633">
        <f>YesterdayGen!GO11</f>
        <v>0</v>
      </c>
      <c r="J20" s="634">
        <f>YesterdayGen!GP11</f>
        <v>0</v>
      </c>
      <c r="K20" s="635">
        <f>YesterdayGen!GQ11</f>
        <v>54</v>
      </c>
      <c r="L20" s="636">
        <f>YesterdayGen!GR11</f>
        <v>3</v>
      </c>
      <c r="M20" s="3834">
        <f>YesterdayGen!GS11</f>
        <v>0</v>
      </c>
      <c r="N20" s="134"/>
      <c r="Q20" s="506"/>
      <c r="R20" s="506"/>
      <c r="S20" s="506"/>
      <c r="T20" s="506"/>
      <c r="U20" s="506"/>
      <c r="V20" s="506"/>
      <c r="W20" s="506"/>
      <c r="X20" s="506"/>
      <c r="Y20" s="506"/>
      <c r="Z20" s="506"/>
      <c r="AA20" s="540"/>
      <c r="AC20" s="566"/>
      <c r="AE20" s="567"/>
    </row>
    <row r="21" spans="1:31" ht="15.75">
      <c r="A21" s="627">
        <v>0.3125</v>
      </c>
      <c r="B21" s="638">
        <f t="shared" ref="B21:L21" si="14">B20/2+B22/2</f>
        <v>2261.5</v>
      </c>
      <c r="C21" s="639">
        <f t="shared" si="14"/>
        <v>421.5</v>
      </c>
      <c r="D21" s="640">
        <f t="shared" si="14"/>
        <v>1724</v>
      </c>
      <c r="E21" s="4641">
        <f t="shared" si="14"/>
        <v>0</v>
      </c>
      <c r="F21" s="641">
        <f t="shared" si="14"/>
        <v>1467</v>
      </c>
      <c r="G21" s="642">
        <f t="shared" si="14"/>
        <v>200</v>
      </c>
      <c r="H21" s="643">
        <f t="shared" si="14"/>
        <v>40</v>
      </c>
      <c r="I21" s="643">
        <f t="shared" ref="I21" si="15">I20/2+I22/2</f>
        <v>0</v>
      </c>
      <c r="J21" s="644">
        <f t="shared" si="14"/>
        <v>0</v>
      </c>
      <c r="K21" s="645">
        <f t="shared" si="14"/>
        <v>57</v>
      </c>
      <c r="L21" s="646">
        <f t="shared" si="14"/>
        <v>21</v>
      </c>
      <c r="M21" s="3833">
        <f>M20/2+M22/2</f>
        <v>0</v>
      </c>
      <c r="N21" s="134"/>
      <c r="Q21" s="506"/>
      <c r="R21" s="506"/>
      <c r="S21" s="506"/>
      <c r="T21" s="506"/>
      <c r="U21" s="506"/>
      <c r="V21" s="568" t="s">
        <v>277</v>
      </c>
      <c r="W21" s="506"/>
      <c r="X21" s="506"/>
      <c r="Y21" s="506"/>
      <c r="Z21" s="506"/>
      <c r="AA21" s="540"/>
      <c r="AC21" s="143" t="s">
        <v>18</v>
      </c>
    </row>
    <row r="22" spans="1:31" ht="15">
      <c r="A22" s="637">
        <v>0.33333333333333298</v>
      </c>
      <c r="B22" s="628">
        <f>YesterdayGen!GH12</f>
        <v>2279</v>
      </c>
      <c r="C22" s="629">
        <f>YesterdayGen!GI12</f>
        <v>421</v>
      </c>
      <c r="D22" s="630">
        <f>YesterdayGen!GJ12</f>
        <v>1707</v>
      </c>
      <c r="E22" s="630">
        <f>YesterdayGen!GK12</f>
        <v>0</v>
      </c>
      <c r="F22" s="631">
        <f>YesterdayGen!GL12</f>
        <v>1644</v>
      </c>
      <c r="G22" s="632">
        <f>YesterdayGen!GM12</f>
        <v>200</v>
      </c>
      <c r="H22" s="633">
        <f>YesterdayGen!GN12</f>
        <v>40</v>
      </c>
      <c r="I22" s="633">
        <f>YesterdayGen!GO12</f>
        <v>0</v>
      </c>
      <c r="J22" s="634">
        <f>YesterdayGen!GP12</f>
        <v>0</v>
      </c>
      <c r="K22" s="635">
        <f>YesterdayGen!GQ12</f>
        <v>60</v>
      </c>
      <c r="L22" s="636">
        <f>YesterdayGen!GR12</f>
        <v>39</v>
      </c>
      <c r="M22" s="3834">
        <f>YesterdayGen!GS12</f>
        <v>0</v>
      </c>
      <c r="N22" s="134"/>
      <c r="Q22" s="506"/>
      <c r="R22" s="506"/>
      <c r="S22" s="506"/>
      <c r="T22" s="506"/>
      <c r="U22" s="506"/>
      <c r="V22" s="506"/>
      <c r="W22" s="506"/>
      <c r="X22" s="506"/>
      <c r="Y22" s="506"/>
      <c r="Z22" s="506"/>
      <c r="AA22" s="540"/>
    </row>
    <row r="23" spans="1:31" ht="15">
      <c r="A23" s="637">
        <v>0.35416666666666702</v>
      </c>
      <c r="B23" s="638">
        <f t="shared" ref="B23:L23" si="16">B22/2+B24/2</f>
        <v>2253.5</v>
      </c>
      <c r="C23" s="639">
        <f t="shared" si="16"/>
        <v>508</v>
      </c>
      <c r="D23" s="640">
        <f t="shared" si="16"/>
        <v>1623</v>
      </c>
      <c r="E23" s="4641">
        <f t="shared" si="16"/>
        <v>0</v>
      </c>
      <c r="F23" s="641">
        <f t="shared" si="16"/>
        <v>1758</v>
      </c>
      <c r="G23" s="642">
        <f t="shared" si="16"/>
        <v>199.5</v>
      </c>
      <c r="H23" s="643">
        <f t="shared" si="16"/>
        <v>40</v>
      </c>
      <c r="I23" s="643">
        <f t="shared" ref="I23" si="17">I22/2+I24/2</f>
        <v>0</v>
      </c>
      <c r="J23" s="644">
        <f t="shared" si="16"/>
        <v>0</v>
      </c>
      <c r="K23" s="645">
        <f t="shared" si="16"/>
        <v>61</v>
      </c>
      <c r="L23" s="646">
        <f t="shared" si="16"/>
        <v>62</v>
      </c>
      <c r="M23" s="3833">
        <f>M22/2+M24/2</f>
        <v>0</v>
      </c>
      <c r="N23" s="134"/>
      <c r="Q23" s="506"/>
      <c r="R23" s="506"/>
      <c r="S23" s="506"/>
      <c r="T23" s="506"/>
      <c r="U23" s="506"/>
      <c r="V23" s="506"/>
      <c r="W23" s="506"/>
      <c r="X23" s="506"/>
      <c r="Y23" s="506"/>
      <c r="Z23" s="506"/>
      <c r="AA23" s="540"/>
    </row>
    <row r="24" spans="1:31" ht="15">
      <c r="A24" s="627">
        <v>0.375</v>
      </c>
      <c r="B24" s="628">
        <f>YesterdayGen!GH13</f>
        <v>2228</v>
      </c>
      <c r="C24" s="629">
        <f>YesterdayGen!GI13</f>
        <v>595</v>
      </c>
      <c r="D24" s="630">
        <f>YesterdayGen!GJ13</f>
        <v>1539</v>
      </c>
      <c r="E24" s="630">
        <f>YesterdayGen!GK13</f>
        <v>0</v>
      </c>
      <c r="F24" s="631">
        <f>YesterdayGen!GL13</f>
        <v>1872</v>
      </c>
      <c r="G24" s="632">
        <f>YesterdayGen!GM13</f>
        <v>199</v>
      </c>
      <c r="H24" s="633">
        <f>YesterdayGen!GN13</f>
        <v>40</v>
      </c>
      <c r="I24" s="633">
        <f>YesterdayGen!GO13</f>
        <v>0</v>
      </c>
      <c r="J24" s="634">
        <f>YesterdayGen!GP13</f>
        <v>0</v>
      </c>
      <c r="K24" s="635">
        <f>YesterdayGen!GQ13</f>
        <v>62</v>
      </c>
      <c r="L24" s="636">
        <f>YesterdayGen!GR13</f>
        <v>85</v>
      </c>
      <c r="M24" s="3834">
        <f>YesterdayGen!GS13</f>
        <v>0</v>
      </c>
      <c r="N24" s="134"/>
      <c r="Q24" s="506"/>
      <c r="R24" s="506"/>
      <c r="S24" s="506"/>
      <c r="T24" s="506"/>
      <c r="U24" s="506"/>
      <c r="V24" s="506"/>
      <c r="W24" s="506"/>
      <c r="X24" s="506"/>
      <c r="Y24" s="506"/>
      <c r="Z24" s="506"/>
      <c r="AA24" s="540"/>
    </row>
    <row r="25" spans="1:31" ht="15">
      <c r="A25" s="637">
        <v>0.39583333333333298</v>
      </c>
      <c r="B25" s="638">
        <f t="shared" ref="B25:L25" si="18">B24/2+B26/2</f>
        <v>2147</v>
      </c>
      <c r="C25" s="639">
        <f t="shared" si="18"/>
        <v>602.5</v>
      </c>
      <c r="D25" s="640">
        <f t="shared" si="18"/>
        <v>1526</v>
      </c>
      <c r="E25" s="4641">
        <f t="shared" si="18"/>
        <v>0</v>
      </c>
      <c r="F25" s="641">
        <f t="shared" si="18"/>
        <v>1846</v>
      </c>
      <c r="G25" s="642">
        <f t="shared" si="18"/>
        <v>199</v>
      </c>
      <c r="H25" s="643">
        <f t="shared" si="18"/>
        <v>57.5</v>
      </c>
      <c r="I25" s="643">
        <f>I24/2+I26/2</f>
        <v>0</v>
      </c>
      <c r="J25" s="644">
        <f t="shared" si="18"/>
        <v>0</v>
      </c>
      <c r="K25" s="645">
        <f t="shared" si="18"/>
        <v>62.5</v>
      </c>
      <c r="L25" s="646">
        <f t="shared" si="18"/>
        <v>112</v>
      </c>
      <c r="M25" s="3833">
        <f>M24/2+M26/2</f>
        <v>0</v>
      </c>
      <c r="N25" s="134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40"/>
      <c r="AB25" s="143" t="s">
        <v>312</v>
      </c>
    </row>
    <row r="26" spans="1:31" ht="15">
      <c r="A26" s="637">
        <v>0.41666666666666702</v>
      </c>
      <c r="B26" s="628">
        <f>YesterdayGen!GH14</f>
        <v>2066</v>
      </c>
      <c r="C26" s="629">
        <f>YesterdayGen!GI14</f>
        <v>610</v>
      </c>
      <c r="D26" s="630">
        <f>YesterdayGen!GJ14</f>
        <v>1513</v>
      </c>
      <c r="E26" s="630">
        <f>YesterdayGen!GK14</f>
        <v>0</v>
      </c>
      <c r="F26" s="631">
        <f>YesterdayGen!GL14</f>
        <v>1820</v>
      </c>
      <c r="G26" s="632">
        <f>YesterdayGen!GM14</f>
        <v>199</v>
      </c>
      <c r="H26" s="633">
        <f>YesterdayGen!GN14</f>
        <v>75</v>
      </c>
      <c r="I26" s="633">
        <f>YesterdayGen!GO14</f>
        <v>0</v>
      </c>
      <c r="J26" s="634">
        <f>YesterdayGen!GP14</f>
        <v>0</v>
      </c>
      <c r="K26" s="635">
        <f>YesterdayGen!GQ14</f>
        <v>63</v>
      </c>
      <c r="L26" s="636">
        <f>YesterdayGen!GR14</f>
        <v>139</v>
      </c>
      <c r="M26" s="3834">
        <f>YesterdayGen!GS14</f>
        <v>0</v>
      </c>
      <c r="N26" s="134"/>
      <c r="Q26" s="506"/>
      <c r="R26" s="506"/>
      <c r="S26" s="506"/>
      <c r="T26" s="506"/>
      <c r="U26" s="506"/>
      <c r="V26" s="506"/>
      <c r="W26" s="506"/>
      <c r="X26" s="506"/>
      <c r="Y26" s="506"/>
      <c r="Z26" s="506"/>
      <c r="AA26" s="540"/>
    </row>
    <row r="27" spans="1:31" ht="15">
      <c r="A27" s="627">
        <v>0.4375</v>
      </c>
      <c r="B27" s="638">
        <f t="shared" ref="B27:L27" si="19">B26/2+B28/2</f>
        <v>2071</v>
      </c>
      <c r="C27" s="639">
        <f t="shared" si="19"/>
        <v>610.5</v>
      </c>
      <c r="D27" s="640">
        <f t="shared" si="19"/>
        <v>1544</v>
      </c>
      <c r="E27" s="4641">
        <f t="shared" si="19"/>
        <v>0</v>
      </c>
      <c r="F27" s="641">
        <f t="shared" si="19"/>
        <v>1813.5</v>
      </c>
      <c r="G27" s="642">
        <f t="shared" si="19"/>
        <v>199</v>
      </c>
      <c r="H27" s="643">
        <f t="shared" si="19"/>
        <v>80</v>
      </c>
      <c r="I27" s="643">
        <f t="shared" ref="I27" si="20">I26/2+I28/2</f>
        <v>0</v>
      </c>
      <c r="J27" s="644">
        <f t="shared" si="19"/>
        <v>0</v>
      </c>
      <c r="K27" s="645">
        <f t="shared" si="19"/>
        <v>67.5</v>
      </c>
      <c r="L27" s="646">
        <f t="shared" si="19"/>
        <v>150.5</v>
      </c>
      <c r="M27" s="3833">
        <f>M26/2+M28/2</f>
        <v>0</v>
      </c>
      <c r="N27" s="134"/>
      <c r="Q27" s="506"/>
      <c r="R27" s="506"/>
      <c r="S27" s="506"/>
      <c r="T27" s="506"/>
      <c r="U27" s="506"/>
      <c r="V27" s="506"/>
      <c r="W27" s="506"/>
      <c r="X27" s="506"/>
      <c r="Y27" s="506"/>
      <c r="Z27" s="506"/>
      <c r="AA27" s="540"/>
    </row>
    <row r="28" spans="1:31" ht="15">
      <c r="A28" s="637">
        <v>0.45833333333333298</v>
      </c>
      <c r="B28" s="628">
        <f>YesterdayGen!GH15</f>
        <v>2076</v>
      </c>
      <c r="C28" s="629">
        <f>YesterdayGen!GI15</f>
        <v>611</v>
      </c>
      <c r="D28" s="630">
        <f>YesterdayGen!GJ15</f>
        <v>1575</v>
      </c>
      <c r="E28" s="630">
        <f>YesterdayGen!GK15</f>
        <v>0</v>
      </c>
      <c r="F28" s="631">
        <f>YesterdayGen!GL15</f>
        <v>1807</v>
      </c>
      <c r="G28" s="632">
        <f>YesterdayGen!GM15</f>
        <v>199</v>
      </c>
      <c r="H28" s="633">
        <f>YesterdayGen!GN15</f>
        <v>85</v>
      </c>
      <c r="I28" s="633">
        <f>YesterdayGen!GO15</f>
        <v>0</v>
      </c>
      <c r="J28" s="634">
        <f>YesterdayGen!GP15</f>
        <v>0</v>
      </c>
      <c r="K28" s="635">
        <f>YesterdayGen!GQ15</f>
        <v>72</v>
      </c>
      <c r="L28" s="636">
        <f>YesterdayGen!GR15</f>
        <v>162</v>
      </c>
      <c r="M28" s="3834">
        <f>YesterdayGen!GS15</f>
        <v>0</v>
      </c>
      <c r="N28" s="134"/>
      <c r="Q28" s="506"/>
      <c r="R28" s="506"/>
      <c r="S28" s="506"/>
      <c r="T28" s="506"/>
      <c r="U28" s="506"/>
      <c r="V28" s="506"/>
      <c r="W28" s="506"/>
      <c r="X28" s="506"/>
      <c r="Y28" s="506"/>
      <c r="Z28" s="506"/>
      <c r="AA28" s="540"/>
    </row>
    <row r="29" spans="1:31" ht="15">
      <c r="A29" s="637">
        <v>0.47916666666666702</v>
      </c>
      <c r="B29" s="638">
        <f t="shared" ref="B29:L29" si="21">B28/2+B30/2</f>
        <v>2074.5</v>
      </c>
      <c r="C29" s="639">
        <f t="shared" si="21"/>
        <v>610.5</v>
      </c>
      <c r="D29" s="640">
        <f t="shared" si="21"/>
        <v>1633.5</v>
      </c>
      <c r="E29" s="4641">
        <f t="shared" si="21"/>
        <v>0</v>
      </c>
      <c r="F29" s="641">
        <f t="shared" si="21"/>
        <v>1913</v>
      </c>
      <c r="G29" s="642">
        <f t="shared" si="21"/>
        <v>199</v>
      </c>
      <c r="H29" s="643">
        <f t="shared" si="21"/>
        <v>84</v>
      </c>
      <c r="I29" s="643">
        <f t="shared" ref="I29" si="22">I28/2+I30/2</f>
        <v>0</v>
      </c>
      <c r="J29" s="644">
        <f t="shared" si="21"/>
        <v>3</v>
      </c>
      <c r="K29" s="645">
        <f t="shared" si="21"/>
        <v>76</v>
      </c>
      <c r="L29" s="646">
        <f t="shared" si="21"/>
        <v>166</v>
      </c>
      <c r="M29" s="3833">
        <f>M28/2+M30/2</f>
        <v>0</v>
      </c>
      <c r="N29" s="134"/>
      <c r="Q29" s="506"/>
      <c r="R29" s="506"/>
      <c r="S29" s="506"/>
      <c r="T29" s="506"/>
      <c r="U29" s="506"/>
      <c r="V29" s="506"/>
      <c r="W29" s="506"/>
      <c r="X29" s="506"/>
      <c r="Y29" s="506"/>
      <c r="Z29" s="506"/>
      <c r="AA29" s="540"/>
    </row>
    <row r="30" spans="1:31" ht="15">
      <c r="A30" s="627">
        <v>0.5</v>
      </c>
      <c r="B30" s="628">
        <f>YesterdayGen!GH16</f>
        <v>2073</v>
      </c>
      <c r="C30" s="629">
        <f>YesterdayGen!GI16</f>
        <v>610</v>
      </c>
      <c r="D30" s="630">
        <f>YesterdayGen!GJ16</f>
        <v>1692</v>
      </c>
      <c r="E30" s="630">
        <f>YesterdayGen!GK16</f>
        <v>0</v>
      </c>
      <c r="F30" s="631">
        <f>YesterdayGen!GL16</f>
        <v>2019</v>
      </c>
      <c r="G30" s="632">
        <f>YesterdayGen!GM16</f>
        <v>199</v>
      </c>
      <c r="H30" s="633">
        <f>YesterdayGen!GN16</f>
        <v>83</v>
      </c>
      <c r="I30" s="633">
        <f>YesterdayGen!GO16</f>
        <v>0</v>
      </c>
      <c r="J30" s="634">
        <f>YesterdayGen!GP16</f>
        <v>6</v>
      </c>
      <c r="K30" s="635">
        <f>YesterdayGen!GQ16</f>
        <v>80</v>
      </c>
      <c r="L30" s="636">
        <f>YesterdayGen!GR16</f>
        <v>170</v>
      </c>
      <c r="M30" s="3834">
        <f>YesterdayGen!GS16</f>
        <v>0</v>
      </c>
      <c r="N30" s="134"/>
      <c r="Q30" s="506"/>
      <c r="R30" s="506"/>
      <c r="S30" s="506"/>
      <c r="T30" s="506"/>
      <c r="U30" s="506"/>
      <c r="V30" s="506"/>
      <c r="W30" s="506"/>
      <c r="X30" s="506"/>
      <c r="Y30" s="506"/>
      <c r="Z30" s="506"/>
      <c r="AA30" s="540"/>
    </row>
    <row r="31" spans="1:31" ht="15">
      <c r="A31" s="637">
        <v>0.52083333333333304</v>
      </c>
      <c r="B31" s="638">
        <f t="shared" ref="B31:L31" si="23">B30/2+B32/2</f>
        <v>2006.5</v>
      </c>
      <c r="C31" s="639">
        <f t="shared" si="23"/>
        <v>610</v>
      </c>
      <c r="D31" s="640">
        <f t="shared" si="23"/>
        <v>1692.5</v>
      </c>
      <c r="E31" s="4641">
        <f t="shared" si="23"/>
        <v>0</v>
      </c>
      <c r="F31" s="641">
        <f t="shared" si="23"/>
        <v>2279</v>
      </c>
      <c r="G31" s="642">
        <f t="shared" si="23"/>
        <v>199</v>
      </c>
      <c r="H31" s="643">
        <f t="shared" si="23"/>
        <v>78</v>
      </c>
      <c r="I31" s="643">
        <f t="shared" ref="I31" si="24">I30/2+I32/2</f>
        <v>0</v>
      </c>
      <c r="J31" s="644">
        <f>J30/2+J32/2</f>
        <v>19</v>
      </c>
      <c r="K31" s="645">
        <f>K30/2+K32/2</f>
        <v>81</v>
      </c>
      <c r="L31" s="646">
        <f t="shared" si="23"/>
        <v>168.5</v>
      </c>
      <c r="M31" s="3833">
        <f>M30/2+M32/2</f>
        <v>0</v>
      </c>
      <c r="N31" s="134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40"/>
    </row>
    <row r="32" spans="1:31" ht="15">
      <c r="A32" s="637">
        <v>0.54166666666666696</v>
      </c>
      <c r="B32" s="628">
        <f>YesterdayGen!GH17</f>
        <v>1940</v>
      </c>
      <c r="C32" s="629">
        <f>YesterdayGen!GI17</f>
        <v>610</v>
      </c>
      <c r="D32" s="630">
        <f>YesterdayGen!GJ17</f>
        <v>1693</v>
      </c>
      <c r="E32" s="630">
        <f>YesterdayGen!GK17</f>
        <v>0</v>
      </c>
      <c r="F32" s="631">
        <f>YesterdayGen!GL17</f>
        <v>2539</v>
      </c>
      <c r="G32" s="632">
        <f>YesterdayGen!GM17</f>
        <v>199</v>
      </c>
      <c r="H32" s="633">
        <f>YesterdayGen!GN17</f>
        <v>73</v>
      </c>
      <c r="I32" s="633">
        <f>YesterdayGen!GO17</f>
        <v>0</v>
      </c>
      <c r="J32" s="634">
        <f>YesterdayGen!GP17</f>
        <v>32</v>
      </c>
      <c r="K32" s="635">
        <f>YesterdayGen!GQ17</f>
        <v>82</v>
      </c>
      <c r="L32" s="636">
        <f>YesterdayGen!GR17</f>
        <v>167</v>
      </c>
      <c r="M32" s="3834">
        <f>YesterdayGen!GS17</f>
        <v>0</v>
      </c>
      <c r="N32" s="134"/>
      <c r="Q32" s="506"/>
      <c r="R32" s="506"/>
      <c r="S32" s="506"/>
      <c r="T32" s="506"/>
      <c r="U32" s="506"/>
      <c r="V32" s="506"/>
      <c r="W32" s="506"/>
      <c r="X32" s="506"/>
      <c r="Y32" s="506"/>
      <c r="Z32" s="506"/>
      <c r="AA32" s="540"/>
    </row>
    <row r="33" spans="1:28" ht="15">
      <c r="A33" s="627">
        <v>0.5625</v>
      </c>
      <c r="B33" s="638">
        <f t="shared" ref="B33:L33" si="25">B32/2+B34/2</f>
        <v>1940</v>
      </c>
      <c r="C33" s="639">
        <f t="shared" si="25"/>
        <v>610</v>
      </c>
      <c r="D33" s="640">
        <f t="shared" si="25"/>
        <v>1693</v>
      </c>
      <c r="E33" s="4641">
        <f t="shared" si="25"/>
        <v>0</v>
      </c>
      <c r="F33" s="641">
        <f t="shared" si="25"/>
        <v>2539</v>
      </c>
      <c r="G33" s="642">
        <f t="shared" si="25"/>
        <v>199</v>
      </c>
      <c r="H33" s="643">
        <f t="shared" si="25"/>
        <v>73</v>
      </c>
      <c r="I33" s="643">
        <f t="shared" ref="I33" si="26">I32/2+I34/2</f>
        <v>0</v>
      </c>
      <c r="J33" s="644">
        <f t="shared" si="25"/>
        <v>32</v>
      </c>
      <c r="K33" s="645">
        <f>K32/2+K34/2</f>
        <v>82</v>
      </c>
      <c r="L33" s="646">
        <f t="shared" si="25"/>
        <v>167</v>
      </c>
      <c r="M33" s="3833">
        <f>M32/2+M34/2</f>
        <v>0</v>
      </c>
      <c r="N33" s="134"/>
      <c r="Q33" s="506"/>
      <c r="R33" s="506"/>
      <c r="S33" s="506"/>
      <c r="T33" s="506"/>
      <c r="U33" s="506"/>
      <c r="V33" s="506"/>
      <c r="W33" s="506"/>
      <c r="X33" s="506"/>
      <c r="Y33" s="506"/>
      <c r="Z33" s="506"/>
      <c r="AA33" s="540"/>
    </row>
    <row r="34" spans="1:28" ht="15">
      <c r="A34" s="637">
        <v>0.58333333333333304</v>
      </c>
      <c r="B34" s="628">
        <f>YesterdayGen!GH17</f>
        <v>1940</v>
      </c>
      <c r="C34" s="629">
        <f>YesterdayGen!GI17</f>
        <v>610</v>
      </c>
      <c r="D34" s="630">
        <f>YesterdayGen!GJ17</f>
        <v>1693</v>
      </c>
      <c r="E34" s="630">
        <f>YesterdayGen!GK17</f>
        <v>0</v>
      </c>
      <c r="F34" s="631">
        <f>YesterdayGen!GL17</f>
        <v>2539</v>
      </c>
      <c r="G34" s="632">
        <f>YesterdayGen!GM17</f>
        <v>199</v>
      </c>
      <c r="H34" s="633">
        <f>YesterdayGen!GN17</f>
        <v>73</v>
      </c>
      <c r="I34" s="633">
        <f>YesterdayGen!GO17</f>
        <v>0</v>
      </c>
      <c r="J34" s="634">
        <f>YesterdayGen!GP17</f>
        <v>32</v>
      </c>
      <c r="K34" s="635">
        <f>YesterdayGen!GQ17</f>
        <v>82</v>
      </c>
      <c r="L34" s="636">
        <f>YesterdayGen!GR17</f>
        <v>167</v>
      </c>
      <c r="M34" s="3834">
        <f>YesterdayGen!GS17</f>
        <v>0</v>
      </c>
      <c r="N34" s="134"/>
      <c r="Q34" s="506"/>
      <c r="R34" s="506"/>
      <c r="S34" s="506"/>
      <c r="T34" s="506"/>
      <c r="U34" s="506"/>
      <c r="V34" s="506"/>
      <c r="W34" s="506"/>
      <c r="X34" s="506"/>
      <c r="Y34" s="506"/>
      <c r="Z34" s="506"/>
      <c r="AA34" s="540"/>
    </row>
    <row r="35" spans="1:28" ht="15">
      <c r="A35" s="637">
        <v>0.60416666666666696</v>
      </c>
      <c r="B35" s="638">
        <f t="shared" ref="B35:L35" si="27">B34/2+B36/2</f>
        <v>1928</v>
      </c>
      <c r="C35" s="639">
        <f t="shared" si="27"/>
        <v>539.5</v>
      </c>
      <c r="D35" s="640">
        <f t="shared" si="27"/>
        <v>1655</v>
      </c>
      <c r="E35" s="4641">
        <f t="shared" si="27"/>
        <v>0</v>
      </c>
      <c r="F35" s="641">
        <f t="shared" si="27"/>
        <v>2079</v>
      </c>
      <c r="G35" s="642">
        <f t="shared" si="27"/>
        <v>199</v>
      </c>
      <c r="H35" s="643">
        <f t="shared" si="27"/>
        <v>79.5</v>
      </c>
      <c r="I35" s="643">
        <f t="shared" ref="I35" si="28">I34/2+I36/2</f>
        <v>0</v>
      </c>
      <c r="J35" s="644">
        <f t="shared" si="27"/>
        <v>16</v>
      </c>
      <c r="K35" s="645">
        <f>K34/2+K36/2</f>
        <v>74.5</v>
      </c>
      <c r="L35" s="646">
        <f t="shared" si="27"/>
        <v>134</v>
      </c>
      <c r="M35" s="3833">
        <f>M34/2+M36/2</f>
        <v>0</v>
      </c>
      <c r="N35" s="134"/>
      <c r="Q35" s="506"/>
      <c r="R35" s="506"/>
      <c r="S35" s="506"/>
      <c r="T35" s="506"/>
      <c r="U35" s="506"/>
      <c r="V35" s="506"/>
      <c r="W35" s="506"/>
      <c r="X35" s="506"/>
      <c r="Y35" s="506"/>
      <c r="Z35" s="506"/>
      <c r="AA35" s="540"/>
    </row>
    <row r="36" spans="1:28" ht="15">
      <c r="A36" s="627">
        <v>0.625</v>
      </c>
      <c r="B36" s="628">
        <f>YesterdayGen!GH19</f>
        <v>1916</v>
      </c>
      <c r="C36" s="629">
        <f>YesterdayGen!GI19</f>
        <v>469</v>
      </c>
      <c r="D36" s="630">
        <f>YesterdayGen!GJ19</f>
        <v>1617</v>
      </c>
      <c r="E36" s="630">
        <f>YesterdayGen!GK19</f>
        <v>0</v>
      </c>
      <c r="F36" s="631">
        <f>YesterdayGen!GL19</f>
        <v>1619</v>
      </c>
      <c r="G36" s="632">
        <f>YesterdayGen!GM19</f>
        <v>199</v>
      </c>
      <c r="H36" s="633">
        <f>YesterdayGen!GN19</f>
        <v>86</v>
      </c>
      <c r="I36" s="633">
        <f>YesterdayGen!GO19</f>
        <v>0</v>
      </c>
      <c r="J36" s="634">
        <f>YesterdayGen!GP19</f>
        <v>0</v>
      </c>
      <c r="K36" s="635">
        <f>YesterdayGen!GQ19</f>
        <v>67</v>
      </c>
      <c r="L36" s="636">
        <f>YesterdayGen!GR19</f>
        <v>101</v>
      </c>
      <c r="M36" s="3834">
        <f>YesterdayGen!GS19</f>
        <v>0</v>
      </c>
      <c r="N36" s="134"/>
      <c r="Q36" s="506"/>
      <c r="R36" s="506"/>
      <c r="S36" s="506"/>
      <c r="T36" s="506"/>
      <c r="U36" s="506"/>
      <c r="V36" s="506"/>
      <c r="W36" s="506"/>
      <c r="X36" s="506"/>
      <c r="Y36" s="506"/>
      <c r="Z36" s="506"/>
      <c r="AA36" s="540"/>
    </row>
    <row r="37" spans="1:28" ht="15">
      <c r="A37" s="637">
        <v>0.64583333333333304</v>
      </c>
      <c r="B37" s="638">
        <f t="shared" ref="B37:L37" si="29">B36/2+B38/2</f>
        <v>1933.5</v>
      </c>
      <c r="C37" s="639">
        <f t="shared" si="29"/>
        <v>469</v>
      </c>
      <c r="D37" s="640">
        <f t="shared" si="29"/>
        <v>1650</v>
      </c>
      <c r="E37" s="4641">
        <f t="shared" si="29"/>
        <v>0</v>
      </c>
      <c r="F37" s="641">
        <f t="shared" si="29"/>
        <v>1577.5</v>
      </c>
      <c r="G37" s="642">
        <f t="shared" si="29"/>
        <v>199</v>
      </c>
      <c r="H37" s="643">
        <f t="shared" si="29"/>
        <v>86</v>
      </c>
      <c r="I37" s="643">
        <f t="shared" ref="I37" si="30">I36/2+I38/2</f>
        <v>0</v>
      </c>
      <c r="J37" s="644">
        <f t="shared" si="29"/>
        <v>3</v>
      </c>
      <c r="K37" s="645">
        <f>K36/2+K38/2</f>
        <v>64.5</v>
      </c>
      <c r="L37" s="646">
        <f t="shared" si="29"/>
        <v>74.5</v>
      </c>
      <c r="M37" s="3833">
        <f>M36/2+M38/2</f>
        <v>0</v>
      </c>
      <c r="N37" s="134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40"/>
    </row>
    <row r="38" spans="1:28" ht="15">
      <c r="A38" s="637">
        <v>0.66666666666666696</v>
      </c>
      <c r="B38" s="628">
        <f>YesterdayGen!GH20</f>
        <v>1951</v>
      </c>
      <c r="C38" s="629">
        <f>YesterdayGen!GI20</f>
        <v>469</v>
      </c>
      <c r="D38" s="630">
        <f>YesterdayGen!GJ20</f>
        <v>1683</v>
      </c>
      <c r="E38" s="630">
        <f>YesterdayGen!GK20</f>
        <v>0</v>
      </c>
      <c r="F38" s="631">
        <f>YesterdayGen!GL20</f>
        <v>1536</v>
      </c>
      <c r="G38" s="632">
        <f>YesterdayGen!GM20</f>
        <v>199</v>
      </c>
      <c r="H38" s="633">
        <f>YesterdayGen!GN20</f>
        <v>86</v>
      </c>
      <c r="I38" s="633">
        <f>YesterdayGen!GO20</f>
        <v>0</v>
      </c>
      <c r="J38" s="634">
        <f>YesterdayGen!GP20</f>
        <v>6</v>
      </c>
      <c r="K38" s="635">
        <f>YesterdayGen!GQ20</f>
        <v>62</v>
      </c>
      <c r="L38" s="636">
        <f>YesterdayGen!GR20</f>
        <v>48</v>
      </c>
      <c r="M38" s="3834">
        <f>YesterdayGen!GS20</f>
        <v>0</v>
      </c>
      <c r="N38" s="134"/>
      <c r="Q38" s="506"/>
      <c r="R38" s="506"/>
      <c r="S38" s="506"/>
      <c r="T38" s="506"/>
      <c r="U38" s="506"/>
      <c r="V38" s="506"/>
      <c r="W38" s="506"/>
      <c r="X38" s="506"/>
      <c r="Y38" s="506"/>
      <c r="Z38" s="506"/>
      <c r="AA38" s="540"/>
    </row>
    <row r="39" spans="1:28" ht="15">
      <c r="A39" s="627">
        <v>0.6875</v>
      </c>
      <c r="B39" s="638">
        <f t="shared" ref="B39:L39" si="31">B38/2+B40/2</f>
        <v>1980</v>
      </c>
      <c r="C39" s="639">
        <f t="shared" si="31"/>
        <v>469</v>
      </c>
      <c r="D39" s="640">
        <f t="shared" si="31"/>
        <v>1701</v>
      </c>
      <c r="E39" s="4641">
        <f t="shared" si="31"/>
        <v>0</v>
      </c>
      <c r="F39" s="641">
        <f t="shared" si="31"/>
        <v>1605</v>
      </c>
      <c r="G39" s="642">
        <f t="shared" si="31"/>
        <v>199</v>
      </c>
      <c r="H39" s="643">
        <f t="shared" si="31"/>
        <v>82</v>
      </c>
      <c r="I39" s="643">
        <f t="shared" ref="I39" si="32">I38/2+I40/2</f>
        <v>0</v>
      </c>
      <c r="J39" s="644">
        <f t="shared" si="31"/>
        <v>6</v>
      </c>
      <c r="K39" s="645">
        <f>K38/2+K40/2</f>
        <v>67</v>
      </c>
      <c r="L39" s="646">
        <f t="shared" si="31"/>
        <v>28</v>
      </c>
      <c r="M39" s="3833">
        <f>M38/2+M40/2</f>
        <v>0</v>
      </c>
      <c r="N39" s="134"/>
      <c r="Q39" s="506"/>
      <c r="R39" s="506"/>
      <c r="S39" s="506"/>
      <c r="T39" s="506"/>
      <c r="U39" s="506"/>
      <c r="V39" s="506"/>
      <c r="W39" s="506"/>
      <c r="X39" s="506"/>
      <c r="Y39" s="506"/>
      <c r="Z39" s="506"/>
      <c r="AA39" s="540"/>
      <c r="AB39" s="143" t="s">
        <v>18</v>
      </c>
    </row>
    <row r="40" spans="1:28" ht="15">
      <c r="A40" s="637">
        <v>0.70833333333333304</v>
      </c>
      <c r="B40" s="628">
        <f>YesterdayGen!GH21</f>
        <v>2009</v>
      </c>
      <c r="C40" s="629">
        <f>YesterdayGen!GI21</f>
        <v>469</v>
      </c>
      <c r="D40" s="630">
        <f>YesterdayGen!GJ21</f>
        <v>1719</v>
      </c>
      <c r="E40" s="630">
        <f>YesterdayGen!GK21</f>
        <v>0</v>
      </c>
      <c r="F40" s="631">
        <f>YesterdayGen!GL21</f>
        <v>1674</v>
      </c>
      <c r="G40" s="632">
        <f>YesterdayGen!GM21</f>
        <v>199</v>
      </c>
      <c r="H40" s="633">
        <f>YesterdayGen!GN21</f>
        <v>78</v>
      </c>
      <c r="I40" s="633">
        <f>YesterdayGen!GO21</f>
        <v>0</v>
      </c>
      <c r="J40" s="634">
        <f>YesterdayGen!GP21</f>
        <v>6</v>
      </c>
      <c r="K40" s="635">
        <f>YesterdayGen!GQ21</f>
        <v>72</v>
      </c>
      <c r="L40" s="636">
        <f>YesterdayGen!GR21</f>
        <v>8</v>
      </c>
      <c r="M40" s="3834">
        <f>YesterdayGen!GS21</f>
        <v>0</v>
      </c>
      <c r="N40" s="134"/>
      <c r="Q40" s="506"/>
      <c r="R40" s="506"/>
      <c r="S40" s="506"/>
      <c r="T40" s="506"/>
      <c r="U40" s="506"/>
      <c r="V40" s="506"/>
      <c r="W40" s="506"/>
      <c r="X40" s="506"/>
      <c r="Y40" s="506"/>
      <c r="Z40" s="506"/>
      <c r="AA40" s="540"/>
    </row>
    <row r="41" spans="1:28" ht="15">
      <c r="A41" s="637">
        <v>0.72916666666666696</v>
      </c>
      <c r="B41" s="638">
        <f t="shared" ref="B41:L41" si="33">B40/2+B42/2</f>
        <v>2069</v>
      </c>
      <c r="C41" s="639">
        <f t="shared" si="33"/>
        <v>534</v>
      </c>
      <c r="D41" s="640">
        <f t="shared" si="33"/>
        <v>1679.5</v>
      </c>
      <c r="E41" s="4641">
        <f t="shared" si="33"/>
        <v>60.5</v>
      </c>
      <c r="F41" s="641">
        <f t="shared" si="33"/>
        <v>2032</v>
      </c>
      <c r="G41" s="642">
        <f t="shared" si="33"/>
        <v>199.5</v>
      </c>
      <c r="H41" s="643">
        <f t="shared" si="33"/>
        <v>78.5</v>
      </c>
      <c r="I41" s="643">
        <f t="shared" ref="I41" si="34">I40/2+I42/2</f>
        <v>0</v>
      </c>
      <c r="J41" s="644">
        <f t="shared" si="33"/>
        <v>166</v>
      </c>
      <c r="K41" s="645">
        <f t="shared" si="33"/>
        <v>80</v>
      </c>
      <c r="L41" s="646">
        <f t="shared" si="33"/>
        <v>4</v>
      </c>
      <c r="M41" s="3833">
        <f>M40/2+M42/2</f>
        <v>0</v>
      </c>
      <c r="N41" s="134"/>
      <c r="Q41" s="506"/>
      <c r="R41" s="506"/>
      <c r="S41" s="506"/>
      <c r="T41" s="506"/>
      <c r="U41" s="506"/>
      <c r="V41" s="506"/>
      <c r="W41" s="506"/>
      <c r="X41" s="506"/>
      <c r="Y41" s="506"/>
      <c r="Z41" s="506"/>
      <c r="AA41" s="540"/>
    </row>
    <row r="42" spans="1:28" ht="15.75">
      <c r="A42" s="627">
        <v>0.75</v>
      </c>
      <c r="B42" s="628">
        <f>YesterdayGen!GH22</f>
        <v>2129</v>
      </c>
      <c r="C42" s="629">
        <f>YesterdayGen!GI22</f>
        <v>599</v>
      </c>
      <c r="D42" s="630">
        <f>YesterdayGen!GJ22</f>
        <v>1640</v>
      </c>
      <c r="E42" s="630">
        <f>YesterdayGen!GK22</f>
        <v>121</v>
      </c>
      <c r="F42" s="631">
        <f>YesterdayGen!GL22</f>
        <v>2390</v>
      </c>
      <c r="G42" s="632">
        <f>YesterdayGen!GM22</f>
        <v>200</v>
      </c>
      <c r="H42" s="633">
        <f>YesterdayGen!GN22</f>
        <v>79</v>
      </c>
      <c r="I42" s="633">
        <f>YesterdayGen!GO22</f>
        <v>0</v>
      </c>
      <c r="J42" s="634">
        <f>YesterdayGen!GP22</f>
        <v>326</v>
      </c>
      <c r="K42" s="635">
        <f>YesterdayGen!GQ22</f>
        <v>88</v>
      </c>
      <c r="L42" s="636">
        <f>YesterdayGen!GR22</f>
        <v>0</v>
      </c>
      <c r="M42" s="3834">
        <f>YesterdayGen!GS22</f>
        <v>0</v>
      </c>
      <c r="N42" s="134"/>
      <c r="Q42" s="506"/>
      <c r="R42" s="506"/>
      <c r="S42" s="549"/>
      <c r="T42" s="549"/>
      <c r="U42" s="506"/>
      <c r="V42" s="506"/>
      <c r="W42" s="506"/>
      <c r="X42" s="506"/>
      <c r="Y42" s="506"/>
      <c r="Z42" s="506"/>
      <c r="AA42" s="540"/>
    </row>
    <row r="43" spans="1:28" ht="15">
      <c r="A43" s="637">
        <v>0.77083333333333304</v>
      </c>
      <c r="B43" s="638">
        <f t="shared" ref="B43:L43" si="35">B42/2+B44/2</f>
        <v>2157.5</v>
      </c>
      <c r="C43" s="639">
        <f t="shared" si="35"/>
        <v>627.5</v>
      </c>
      <c r="D43" s="640">
        <f t="shared" si="35"/>
        <v>1675</v>
      </c>
      <c r="E43" s="4641">
        <f t="shared" si="35"/>
        <v>85.5</v>
      </c>
      <c r="F43" s="641">
        <f t="shared" si="35"/>
        <v>2550</v>
      </c>
      <c r="G43" s="642">
        <f t="shared" si="35"/>
        <v>234.5</v>
      </c>
      <c r="H43" s="643">
        <f t="shared" si="35"/>
        <v>78</v>
      </c>
      <c r="I43" s="643">
        <f t="shared" ref="I43" si="36">I42/2+I44/2</f>
        <v>0</v>
      </c>
      <c r="J43" s="644">
        <f t="shared" si="35"/>
        <v>340</v>
      </c>
      <c r="K43" s="645">
        <f t="shared" si="35"/>
        <v>87</v>
      </c>
      <c r="L43" s="646">
        <f t="shared" si="35"/>
        <v>0</v>
      </c>
      <c r="M43" s="3835">
        <f>M42/2+M44/2</f>
        <v>0</v>
      </c>
      <c r="N43" s="134"/>
      <c r="Q43" s="506"/>
      <c r="R43" s="506"/>
      <c r="S43" s="506"/>
      <c r="T43" s="506"/>
      <c r="U43" s="506"/>
      <c r="V43" s="506"/>
      <c r="W43" s="506"/>
      <c r="X43" s="506"/>
      <c r="Y43" s="506"/>
      <c r="Z43" s="506"/>
      <c r="AA43" s="540"/>
    </row>
    <row r="44" spans="1:28" ht="15">
      <c r="A44" s="637">
        <v>0.79166666666666696</v>
      </c>
      <c r="B44" s="628">
        <f>YesterdayGen!GH24</f>
        <v>2186</v>
      </c>
      <c r="C44" s="629">
        <f>YesterdayGen!GI24</f>
        <v>656</v>
      </c>
      <c r="D44" s="630">
        <f>YesterdayGen!GJ24</f>
        <v>1710</v>
      </c>
      <c r="E44" s="630">
        <f>YesterdayGen!GK24</f>
        <v>50</v>
      </c>
      <c r="F44" s="631">
        <f>YesterdayGen!GL24</f>
        <v>2710</v>
      </c>
      <c r="G44" s="632">
        <f>YesterdayGen!GM24</f>
        <v>269</v>
      </c>
      <c r="H44" s="633">
        <f>YesterdayGen!GN24</f>
        <v>77</v>
      </c>
      <c r="I44" s="633">
        <f>YesterdayGen!GO24</f>
        <v>0</v>
      </c>
      <c r="J44" s="634">
        <f>YesterdayGen!GP24</f>
        <v>354</v>
      </c>
      <c r="K44" s="635">
        <f>YesterdayGen!GQ24</f>
        <v>86</v>
      </c>
      <c r="L44" s="636">
        <f>YesterdayGen!GR24</f>
        <v>0</v>
      </c>
      <c r="M44" s="3834">
        <f>YesterdayGen!GS24</f>
        <v>0</v>
      </c>
      <c r="N44" s="134"/>
      <c r="Q44" s="506"/>
      <c r="R44" s="506"/>
      <c r="S44" s="506"/>
      <c r="T44" s="506"/>
      <c r="U44" s="506"/>
      <c r="V44" s="506"/>
      <c r="W44" s="506"/>
      <c r="X44" s="506"/>
      <c r="Y44" s="506"/>
      <c r="Z44" s="506"/>
      <c r="AA44" s="540"/>
    </row>
    <row r="45" spans="1:28" ht="15">
      <c r="A45" s="627">
        <v>0.8125</v>
      </c>
      <c r="B45" s="628">
        <f>YesterdayGen!GH25</f>
        <v>2188</v>
      </c>
      <c r="C45" s="629">
        <f>YesterdayGen!GI25</f>
        <v>658</v>
      </c>
      <c r="D45" s="630">
        <f>YesterdayGen!GJ25</f>
        <v>1762</v>
      </c>
      <c r="E45" s="630">
        <f>YesterdayGen!GK25</f>
        <v>0</v>
      </c>
      <c r="F45" s="631">
        <f>YesterdayGen!GL25</f>
        <v>2774</v>
      </c>
      <c r="G45" s="632">
        <f>YesterdayGen!GM25</f>
        <v>389</v>
      </c>
      <c r="H45" s="633">
        <f>YesterdayGen!GN25</f>
        <v>78</v>
      </c>
      <c r="I45" s="633">
        <f>YesterdayGen!GO25</f>
        <v>0</v>
      </c>
      <c r="J45" s="634">
        <f>YesterdayGen!GP25</f>
        <v>281</v>
      </c>
      <c r="K45" s="635">
        <f>YesterdayGen!GQ25</f>
        <v>88</v>
      </c>
      <c r="L45" s="636">
        <f>YesterdayGen!GR25</f>
        <v>0</v>
      </c>
      <c r="M45" s="3832">
        <f>YesterdayGen!GS25</f>
        <v>0</v>
      </c>
      <c r="N45" s="134"/>
      <c r="Q45" s="506"/>
      <c r="R45" s="506"/>
      <c r="S45" s="506"/>
      <c r="T45" s="506"/>
      <c r="U45" s="506"/>
      <c r="V45" s="506"/>
      <c r="W45" s="506"/>
      <c r="X45" s="506"/>
      <c r="Y45" s="506"/>
      <c r="Z45" s="506"/>
      <c r="AA45" s="540"/>
    </row>
    <row r="46" spans="1:28" ht="15">
      <c r="A46" s="637">
        <v>0.83333333333333304</v>
      </c>
      <c r="B46" s="628">
        <f>YesterdayGen!GH26</f>
        <v>2255</v>
      </c>
      <c r="C46" s="629">
        <f>YesterdayGen!GI26</f>
        <v>657</v>
      </c>
      <c r="D46" s="630">
        <f>YesterdayGen!GJ26</f>
        <v>1747</v>
      </c>
      <c r="E46" s="630">
        <f>YesterdayGen!GK26</f>
        <v>0</v>
      </c>
      <c r="F46" s="631">
        <f>YesterdayGen!GL26</f>
        <v>2704</v>
      </c>
      <c r="G46" s="632">
        <f>YesterdayGen!GM26</f>
        <v>409</v>
      </c>
      <c r="H46" s="633">
        <f>YesterdayGen!GN26</f>
        <v>79</v>
      </c>
      <c r="I46" s="633">
        <f>YesterdayGen!GO26</f>
        <v>0</v>
      </c>
      <c r="J46" s="634">
        <f>YesterdayGen!GP26</f>
        <v>226</v>
      </c>
      <c r="K46" s="635">
        <f>YesterdayGen!GQ26</f>
        <v>86</v>
      </c>
      <c r="L46" s="636">
        <f>YesterdayGen!GR26</f>
        <v>0</v>
      </c>
      <c r="M46" s="3834">
        <f>YesterdayGen!GS26</f>
        <v>0</v>
      </c>
      <c r="N46" s="134"/>
      <c r="Q46" s="506"/>
      <c r="R46" s="506"/>
      <c r="S46" s="506"/>
      <c r="T46" s="506"/>
      <c r="U46" s="506"/>
      <c r="V46" s="506"/>
      <c r="W46" s="506"/>
      <c r="X46" s="506"/>
      <c r="Y46" s="506"/>
      <c r="Z46" s="506"/>
      <c r="AA46" s="540"/>
    </row>
    <row r="47" spans="1:28" ht="15">
      <c r="A47" s="637">
        <v>0.85416666666666696</v>
      </c>
      <c r="B47" s="638">
        <f t="shared" ref="B47:L49" si="37">B46/2+B48/2</f>
        <v>2320</v>
      </c>
      <c r="C47" s="639">
        <f t="shared" si="37"/>
        <v>657</v>
      </c>
      <c r="D47" s="640">
        <f t="shared" si="37"/>
        <v>1762</v>
      </c>
      <c r="E47" s="4641">
        <f t="shared" si="37"/>
        <v>0</v>
      </c>
      <c r="F47" s="641">
        <f t="shared" si="37"/>
        <v>2558</v>
      </c>
      <c r="G47" s="642">
        <f t="shared" si="37"/>
        <v>444.5</v>
      </c>
      <c r="H47" s="643">
        <f t="shared" si="37"/>
        <v>82.5</v>
      </c>
      <c r="I47" s="643">
        <f t="shared" ref="I47" si="38">I46/2+I48/2</f>
        <v>0</v>
      </c>
      <c r="J47" s="644">
        <f t="shared" si="37"/>
        <v>168</v>
      </c>
      <c r="K47" s="645">
        <f t="shared" si="37"/>
        <v>86</v>
      </c>
      <c r="L47" s="646">
        <f t="shared" si="37"/>
        <v>0</v>
      </c>
      <c r="M47" s="3833">
        <f>M46/2+M48/2</f>
        <v>0</v>
      </c>
      <c r="N47" s="134"/>
      <c r="Q47" s="506"/>
      <c r="R47" s="506"/>
      <c r="S47" s="506"/>
      <c r="T47" s="506"/>
      <c r="U47" s="506"/>
      <c r="V47" s="506"/>
      <c r="W47" s="506"/>
      <c r="X47" s="506"/>
      <c r="Y47" s="506"/>
      <c r="Z47" s="506"/>
      <c r="AA47" s="540"/>
    </row>
    <row r="48" spans="1:28" ht="15">
      <c r="A48" s="627">
        <v>0.875</v>
      </c>
      <c r="B48" s="628">
        <f>YesterdayGen!GH27</f>
        <v>2385</v>
      </c>
      <c r="C48" s="629">
        <f>YesterdayGen!GI27</f>
        <v>657</v>
      </c>
      <c r="D48" s="630">
        <f>YesterdayGen!GJ27</f>
        <v>1777</v>
      </c>
      <c r="E48" s="630">
        <f>YesterdayGen!GK27</f>
        <v>0</v>
      </c>
      <c r="F48" s="631">
        <f>YesterdayGen!GL27</f>
        <v>2412</v>
      </c>
      <c r="G48" s="632">
        <f>YesterdayGen!GM27</f>
        <v>480</v>
      </c>
      <c r="H48" s="633">
        <f>YesterdayGen!GN27</f>
        <v>86</v>
      </c>
      <c r="I48" s="633">
        <f>YesterdayGen!GO27</f>
        <v>0</v>
      </c>
      <c r="J48" s="634">
        <f>YesterdayGen!GP27</f>
        <v>110</v>
      </c>
      <c r="K48" s="635">
        <f>YesterdayGen!GQ27</f>
        <v>86</v>
      </c>
      <c r="L48" s="636">
        <f>YesterdayGen!GR27</f>
        <v>0</v>
      </c>
      <c r="M48" s="3834">
        <f>YesterdayGen!GS27</f>
        <v>0</v>
      </c>
      <c r="N48" s="134"/>
      <c r="Q48" s="506"/>
      <c r="R48" s="506"/>
      <c r="S48" s="506"/>
      <c r="T48" s="506"/>
      <c r="U48" s="506"/>
      <c r="V48" s="506"/>
      <c r="W48" s="506"/>
      <c r="X48" s="506"/>
      <c r="Y48" s="506"/>
      <c r="Z48" s="506"/>
      <c r="AA48" s="540"/>
    </row>
    <row r="49" spans="1:27" ht="15">
      <c r="A49" s="637">
        <v>0.89583333333333304</v>
      </c>
      <c r="B49" s="638">
        <f t="shared" ref="B49:L49" si="39">B48/2+B50/2</f>
        <v>2374</v>
      </c>
      <c r="C49" s="639">
        <f t="shared" si="39"/>
        <v>657.5</v>
      </c>
      <c r="D49" s="640">
        <f t="shared" si="39"/>
        <v>1750.5</v>
      </c>
      <c r="E49" s="4641">
        <f t="shared" si="39"/>
        <v>0</v>
      </c>
      <c r="F49" s="641">
        <f t="shared" si="39"/>
        <v>2283.5</v>
      </c>
      <c r="G49" s="642">
        <f t="shared" si="39"/>
        <v>529.5</v>
      </c>
      <c r="H49" s="643">
        <f t="shared" si="39"/>
        <v>86</v>
      </c>
      <c r="I49" s="643">
        <f t="shared" ref="I49" si="40">I48/2+I50/2</f>
        <v>0</v>
      </c>
      <c r="J49" s="644">
        <f t="shared" si="39"/>
        <v>110</v>
      </c>
      <c r="K49" s="645">
        <f t="shared" si="37"/>
        <v>85</v>
      </c>
      <c r="L49" s="646">
        <f t="shared" si="39"/>
        <v>0</v>
      </c>
      <c r="M49" s="3833">
        <f>M48/2+M50/2</f>
        <v>0</v>
      </c>
      <c r="N49" s="134"/>
      <c r="Q49" s="506"/>
      <c r="R49" s="506"/>
      <c r="S49" s="506"/>
      <c r="T49" s="506"/>
      <c r="U49" s="506"/>
      <c r="V49" s="506"/>
      <c r="W49" s="506"/>
      <c r="X49" s="506"/>
      <c r="Y49" s="506"/>
      <c r="Z49" s="506"/>
      <c r="AA49" s="540"/>
    </row>
    <row r="50" spans="1:27" ht="15.75">
      <c r="A50" s="637">
        <v>0.91666666666666696</v>
      </c>
      <c r="B50" s="628">
        <f>YesterdayGen!GH28</f>
        <v>2363</v>
      </c>
      <c r="C50" s="629">
        <f>YesterdayGen!GI28</f>
        <v>658</v>
      </c>
      <c r="D50" s="630">
        <f>YesterdayGen!GJ28</f>
        <v>1724</v>
      </c>
      <c r="E50" s="630">
        <f>YesterdayGen!GK28</f>
        <v>0</v>
      </c>
      <c r="F50" s="631">
        <f>YesterdayGen!GL28</f>
        <v>2155</v>
      </c>
      <c r="G50" s="632">
        <f>YesterdayGen!GM28</f>
        <v>579</v>
      </c>
      <c r="H50" s="633">
        <f>YesterdayGen!GN28</f>
        <v>86</v>
      </c>
      <c r="I50" s="633">
        <f>YesterdayGen!GO28</f>
        <v>0</v>
      </c>
      <c r="J50" s="634">
        <f>YesterdayGen!GP28</f>
        <v>110</v>
      </c>
      <c r="K50" s="635">
        <f>YesterdayGen!GQ28</f>
        <v>84</v>
      </c>
      <c r="L50" s="636">
        <f>YesterdayGen!GR28</f>
        <v>0</v>
      </c>
      <c r="M50" s="3834">
        <f>YesterdayGen!GS28</f>
        <v>0</v>
      </c>
      <c r="N50" s="134"/>
      <c r="Q50" s="506"/>
      <c r="R50" s="506"/>
      <c r="S50" s="506"/>
      <c r="T50" s="506"/>
      <c r="U50" s="506"/>
      <c r="V50" s="506"/>
      <c r="W50" s="506"/>
      <c r="X50" s="506"/>
      <c r="Y50" s="549"/>
      <c r="Z50" s="549"/>
      <c r="AA50" s="540"/>
    </row>
    <row r="51" spans="1:27" ht="15.75">
      <c r="A51" s="627">
        <v>0.9375</v>
      </c>
      <c r="B51" s="638">
        <f t="shared" ref="B51:L51" si="41">B50/2+B52/2</f>
        <v>2356</v>
      </c>
      <c r="C51" s="639">
        <f t="shared" si="41"/>
        <v>634</v>
      </c>
      <c r="D51" s="640">
        <f t="shared" si="41"/>
        <v>1705</v>
      </c>
      <c r="E51" s="4641">
        <f t="shared" si="41"/>
        <v>0</v>
      </c>
      <c r="F51" s="641">
        <f t="shared" si="41"/>
        <v>2006</v>
      </c>
      <c r="G51" s="642">
        <f t="shared" si="41"/>
        <v>574</v>
      </c>
      <c r="H51" s="643">
        <f>H50/2+H52/2</f>
        <v>81.5</v>
      </c>
      <c r="I51" s="643">
        <f>I50/2+I52/2</f>
        <v>0</v>
      </c>
      <c r="J51" s="644">
        <f t="shared" si="41"/>
        <v>59</v>
      </c>
      <c r="K51" s="645">
        <f t="shared" si="41"/>
        <v>80</v>
      </c>
      <c r="L51" s="646">
        <f t="shared" si="41"/>
        <v>0</v>
      </c>
      <c r="M51" s="3833">
        <f>M50/2+M52/2</f>
        <v>0</v>
      </c>
      <c r="N51" s="134"/>
      <c r="Q51" s="506"/>
      <c r="R51" s="506"/>
      <c r="S51" s="506"/>
      <c r="T51" s="506"/>
      <c r="U51" s="506"/>
      <c r="V51" s="506"/>
      <c r="W51" s="506"/>
      <c r="X51" s="506"/>
      <c r="Y51" s="549"/>
      <c r="Z51" s="549"/>
      <c r="AA51" s="540"/>
    </row>
    <row r="52" spans="1:27">
      <c r="A52" s="637">
        <v>0.95833333333333304</v>
      </c>
      <c r="B52" s="628">
        <f>YesterdayGen!GH29</f>
        <v>2349</v>
      </c>
      <c r="C52" s="629">
        <f>YesterdayGen!GI29</f>
        <v>610</v>
      </c>
      <c r="D52" s="630">
        <f>YesterdayGen!GJ29</f>
        <v>1686</v>
      </c>
      <c r="E52" s="630">
        <f>YesterdayGen!GK29</f>
        <v>0</v>
      </c>
      <c r="F52" s="631">
        <f>YesterdayGen!GL29</f>
        <v>1857</v>
      </c>
      <c r="G52" s="632">
        <f>YesterdayGen!GM29</f>
        <v>569</v>
      </c>
      <c r="H52" s="633">
        <f>YesterdayGen!GN29</f>
        <v>77</v>
      </c>
      <c r="I52" s="633">
        <f>YesterdayGen!GO29</f>
        <v>0</v>
      </c>
      <c r="J52" s="634">
        <f>YesterdayGen!GP29</f>
        <v>8</v>
      </c>
      <c r="K52" s="635">
        <f>YesterdayGen!GQ29</f>
        <v>76</v>
      </c>
      <c r="L52" s="636">
        <f>YesterdayGen!GR29</f>
        <v>0</v>
      </c>
      <c r="M52" s="3834">
        <f>YesterdayGen!GS29</f>
        <v>0</v>
      </c>
      <c r="N52" s="134"/>
    </row>
    <row r="53" spans="1:27" ht="23.25" customHeight="1">
      <c r="A53" s="637">
        <v>0.97916666666666696</v>
      </c>
      <c r="B53" s="638">
        <f t="shared" ref="B53:L53" si="42">B52/2+B54/2</f>
        <v>2348</v>
      </c>
      <c r="C53" s="639">
        <f t="shared" si="42"/>
        <v>539.5</v>
      </c>
      <c r="D53" s="640">
        <f t="shared" si="42"/>
        <v>1690.5</v>
      </c>
      <c r="E53" s="4641">
        <f t="shared" si="42"/>
        <v>0</v>
      </c>
      <c r="F53" s="641">
        <f t="shared" si="42"/>
        <v>1675</v>
      </c>
      <c r="G53" s="642">
        <f t="shared" si="42"/>
        <v>544</v>
      </c>
      <c r="H53" s="643">
        <f t="shared" si="42"/>
        <v>76</v>
      </c>
      <c r="I53" s="643">
        <f t="shared" ref="I53" si="43">I52/2+I54/2</f>
        <v>0</v>
      </c>
      <c r="J53" s="644">
        <f t="shared" si="42"/>
        <v>8</v>
      </c>
      <c r="K53" s="645">
        <f t="shared" si="42"/>
        <v>73.5</v>
      </c>
      <c r="L53" s="646">
        <f t="shared" si="42"/>
        <v>0</v>
      </c>
      <c r="M53" s="3833">
        <f>M52/2+M54/2</f>
        <v>0</v>
      </c>
      <c r="N53" s="134"/>
      <c r="R53" s="549" t="s">
        <v>674</v>
      </c>
      <c r="S53" s="506"/>
      <c r="T53" s="549" t="str">
        <f>Forecast!G201</f>
        <v>27.8° C</v>
      </c>
      <c r="V53" s="549"/>
    </row>
    <row r="54" spans="1:27">
      <c r="A54" s="647" t="s">
        <v>24</v>
      </c>
      <c r="B54" s="628">
        <f>YesterdayGen!GH30</f>
        <v>2347</v>
      </c>
      <c r="C54" s="629">
        <f>YesterdayGen!GI30</f>
        <v>469</v>
      </c>
      <c r="D54" s="630">
        <f>YesterdayGen!GJ30</f>
        <v>1695</v>
      </c>
      <c r="E54" s="630">
        <f>YesterdayGen!GK30</f>
        <v>0</v>
      </c>
      <c r="F54" s="631">
        <f>YesterdayGen!GL30</f>
        <v>1493</v>
      </c>
      <c r="G54" s="632">
        <f>YesterdayGen!GM30</f>
        <v>519</v>
      </c>
      <c r="H54" s="633">
        <f>YesterdayGen!GN30</f>
        <v>75</v>
      </c>
      <c r="I54" s="633">
        <f>YesterdayGen!GO30</f>
        <v>0</v>
      </c>
      <c r="J54" s="634">
        <f>YesterdayGen!GP30</f>
        <v>8</v>
      </c>
      <c r="K54" s="635">
        <f>YesterdayGen!GQ30</f>
        <v>71</v>
      </c>
      <c r="L54" s="636">
        <f>YesterdayGen!GR30</f>
        <v>0</v>
      </c>
      <c r="M54" s="3836">
        <f>YesterdayGen!GS30</f>
        <v>0</v>
      </c>
      <c r="N54" s="134"/>
    </row>
    <row r="55" spans="1:27">
      <c r="A55" s="134"/>
      <c r="B55" s="134"/>
      <c r="C55" s="134"/>
      <c r="D55" s="569"/>
      <c r="E55" s="569"/>
      <c r="F55" s="569"/>
      <c r="G55" s="569"/>
      <c r="H55" s="569"/>
      <c r="I55" s="569"/>
      <c r="J55" s="570"/>
      <c r="K55" s="570"/>
      <c r="L55" s="570"/>
      <c r="M55" s="570"/>
      <c r="N55" s="134"/>
    </row>
    <row r="56" spans="1:27">
      <c r="A56" s="134"/>
      <c r="B56" s="134"/>
      <c r="C56" s="91"/>
      <c r="D56" s="571"/>
      <c r="E56" s="571"/>
      <c r="F56" s="571"/>
      <c r="G56" s="571"/>
      <c r="H56" s="571"/>
      <c r="I56" s="571"/>
      <c r="J56" s="571"/>
      <c r="K56" s="571"/>
      <c r="L56" s="571"/>
      <c r="M56" s="571"/>
      <c r="N56" s="571"/>
    </row>
    <row r="57" spans="1:27">
      <c r="A57" s="134"/>
      <c r="B57" s="134"/>
      <c r="C57" s="91"/>
      <c r="D57" s="571"/>
      <c r="E57" s="571"/>
      <c r="F57" s="571"/>
      <c r="G57" s="571"/>
      <c r="H57" s="571"/>
      <c r="I57" s="571"/>
      <c r="J57" s="571"/>
      <c r="K57" s="571"/>
      <c r="L57" s="571"/>
      <c r="M57" s="571"/>
      <c r="N57" s="571"/>
    </row>
    <row r="58" spans="1:27">
      <c r="A58" s="134"/>
      <c r="B58" s="134"/>
      <c r="C58" s="91"/>
      <c r="D58" s="571"/>
      <c r="E58" s="571"/>
      <c r="F58" s="571"/>
      <c r="G58" s="571"/>
      <c r="H58" s="571"/>
      <c r="I58" s="571"/>
      <c r="J58" s="573"/>
      <c r="K58" s="574"/>
      <c r="L58" s="574"/>
      <c r="M58" s="574"/>
      <c r="N58" s="574"/>
    </row>
    <row r="59" spans="1:27" ht="15.75">
      <c r="A59" s="134"/>
      <c r="B59" s="134"/>
      <c r="C59" s="134"/>
      <c r="D59" s="359"/>
      <c r="E59" s="359"/>
      <c r="F59" s="572"/>
      <c r="G59" s="572"/>
      <c r="H59" s="572"/>
      <c r="I59" s="572"/>
      <c r="J59" s="575"/>
      <c r="K59" s="576"/>
      <c r="L59" s="577"/>
      <c r="M59" s="577"/>
      <c r="N59" s="577"/>
      <c r="W59" s="549" t="s">
        <v>675</v>
      </c>
      <c r="Y59" s="506"/>
      <c r="Z59" s="506"/>
    </row>
    <row r="60" spans="1:27" ht="15.75">
      <c r="W60" s="549" t="s">
        <v>380</v>
      </c>
      <c r="Y60" s="506"/>
      <c r="Z60" s="506"/>
    </row>
    <row r="62" spans="1:27">
      <c r="X62" s="578"/>
    </row>
    <row r="63" spans="1:27">
      <c r="X63" s="578"/>
    </row>
    <row r="64" spans="1:27" ht="15">
      <c r="X64" s="232" t="s">
        <v>676</v>
      </c>
    </row>
    <row r="69" spans="3:27" ht="15.75">
      <c r="V69" s="465"/>
    </row>
    <row r="71" spans="3:27" ht="15.75">
      <c r="C71" s="545"/>
      <c r="AA71" s="465"/>
    </row>
  </sheetData>
  <customSheetViews>
    <customSheetView guid="{7C71EF2A-5ADA-494C-8F58-DDA71753DD90}" scale="91" showPageBreaks="1" topLeftCell="A12">
      <selection activeCell="B32" sqref="B32"/>
      <pageMargins left="0.84" right="0.22" top="0.73" bottom="0.33" header="0.16" footer="11.33"/>
      <pageSetup paperSize="9" scale="68" orientation="portrait" r:id="rId1"/>
    </customSheetView>
    <customSheetView guid="{B91C2E87-5EDA-40AE-AC27-0E2C17E803CE}" scale="64" showPageBreaks="1" printArea="1" topLeftCell="A30">
      <selection activeCell="R53" sqref="R53"/>
      <pageMargins left="0.84" right="0.22" top="0.73" bottom="0.33" header="0.16" footer="11.33"/>
      <pageSetup paperSize="9" scale="68" orientation="portrait" r:id="rId2"/>
    </customSheetView>
    <customSheetView guid="{23F4DC00-BC97-4745-AA5C-F05D469CB1EF}" scale="91" showPageBreaks="1" printArea="1" topLeftCell="J4">
      <selection activeCell="R53" sqref="R53"/>
      <pageMargins left="0.84" right="0.22" top="0.73" bottom="0.33" header="0.16" footer="11.33"/>
      <pageSetup paperSize="9" scale="68" orientation="portrait" r:id="rId3"/>
    </customSheetView>
    <customSheetView guid="{4593F3EE-0998-4E0E-994A-E02D6BAF3A4B}" scale="91" showPageBreaks="1" printArea="1" topLeftCell="R37">
      <selection activeCell="R53" sqref="R53"/>
      <pageMargins left="0.84" right="0.22" top="0.73" bottom="0.33" header="0.16" footer="11.33"/>
      <pageSetup paperSize="9" scale="68" orientation="portrait" r:id="rId4"/>
    </customSheetView>
    <customSheetView guid="{917057C8-5E5F-4164-B84C-85103677A2E5}" scale="91" topLeftCell="A32">
      <selection activeCell="R53" sqref="R53"/>
      <pageMargins left="0.84" right="0.22" top="0.73" bottom="0.33" header="0.16" footer="11.33"/>
      <pageSetup paperSize="9" scale="68" orientation="portrait" r:id="rId5"/>
    </customSheetView>
    <customSheetView guid="{5A803268-F6C5-4035-B3E1-A94CB9AA8994}" scale="91" showPageBreaks="1" printArea="1" topLeftCell="H40">
      <selection activeCell="R53" sqref="R53"/>
      <pageMargins left="0.84" right="0.22" top="0.73" bottom="0.33" header="0.16" footer="11.33"/>
      <pageSetup paperSize="9" scale="68" orientation="portrait" r:id="rId6"/>
    </customSheetView>
    <customSheetView guid="{751D391F-C74F-4B53-B5B5-25E01AC12EA4}" scale="115" topLeftCell="T37">
      <selection activeCell="T53" sqref="T53"/>
      <pageMargins left="0.84" right="0.22" top="0.73" bottom="0.33" header="0.16" footer="11.33"/>
      <pageSetup paperSize="9" scale="68" orientation="portrait" r:id="rId7"/>
    </customSheetView>
    <customSheetView guid="{D1D1E152-95AB-45D3-AC07-4EC0834D3E0C}" scale="115" showPageBreaks="1" printArea="1" topLeftCell="T37">
      <selection activeCell="T53" sqref="T53"/>
      <pageMargins left="0.84" right="0.22" top="0.73" bottom="0.33" header="0.16" footer="11.33"/>
      <pageSetup paperSize="9" scale="68" orientation="portrait" r:id="rId8"/>
    </customSheetView>
    <customSheetView guid="{4DB6C640-CE65-4513-9E5A-F6CDD1F4B8AF}" scale="91" showPageBreaks="1" topLeftCell="A32">
      <selection activeCell="R53" sqref="R53"/>
      <pageMargins left="0.84" right="0.22" top="0.73" bottom="0.33" header="0.16" footer="11.33"/>
      <pageSetup paperSize="9" scale="68" orientation="portrait" r:id="rId9"/>
    </customSheetView>
    <customSheetView guid="{C3348F62-02F2-4500-9BF2-19F2DEA57A8D}" scale="115" showPageBreaks="1" printArea="1" topLeftCell="T37">
      <selection activeCell="T53" sqref="T53"/>
      <pageMargins left="0.84" right="0.22" top="0.73" bottom="0.33" header="0.16" footer="11.33"/>
      <pageSetup paperSize="9" scale="68" orientation="portrait" r:id="rId10"/>
    </customSheetView>
  </customSheetViews>
  <mergeCells count="2">
    <mergeCell ref="Y4:Z4"/>
    <mergeCell ref="AM9:AM13"/>
  </mergeCells>
  <pageMargins left="0.84" right="0.22" top="0.73" bottom="0.33" header="0.16" footer="11.33"/>
  <pageSetup paperSize="9" scale="68" orientation="portrait" r:id="rId11"/>
  <drawing r:id="rId1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1">
    <tabColor rgb="FFFFFF00"/>
  </sheetPr>
  <dimension ref="A1:F35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M22" sqref="M22"/>
    </sheetView>
  </sheetViews>
  <sheetFormatPr defaultColWidth="9.140625" defaultRowHeight="15"/>
  <cols>
    <col min="1" max="1" width="11.7109375" style="21" customWidth="1"/>
    <col min="2" max="2" width="8.28515625" style="23" customWidth="1"/>
    <col min="3" max="3" width="8.7109375" style="23" customWidth="1"/>
    <col min="4" max="4" width="117.7109375" style="22" customWidth="1"/>
    <col min="5" max="5" width="7.42578125" style="164" customWidth="1"/>
    <col min="6" max="6" width="79.28515625" style="21" customWidth="1"/>
    <col min="7" max="16384" width="9.140625" style="21"/>
  </cols>
  <sheetData>
    <row r="1" spans="1:6">
      <c r="A1" s="5310" t="s">
        <v>132</v>
      </c>
      <c r="B1" s="5310"/>
      <c r="C1" s="5310"/>
      <c r="D1" s="5310"/>
    </row>
    <row r="2" spans="1:6" ht="15.75">
      <c r="A2" s="30">
        <f>FWise!B6</f>
        <v>4.1666666666666602E-2</v>
      </c>
      <c r="B2" s="28">
        <f>IF(FWise!L6&gt;2500,FWise!L6,"")</f>
        <v>6213</v>
      </c>
      <c r="C2" s="27">
        <f>IF(FWise!O6&gt;0,FWise!O6,"")</f>
        <v>167</v>
      </c>
      <c r="D2" s="29" t="str">
        <f>"From NLDC: Gen. "&amp;FWise!L6&amp;" MW (Gas:"&amp;FWise!C6&amp;" LF:"&amp;FWise!F6&amp;" Coal:"&amp;FWise!G6&amp;" Hydro:"&amp;FWise!I6&amp;" HVDC:"&amp;FWise!K6&amp;" Tripura:"&amp;FWise!J6&amp;" RPCL:"&amp;GEntry!AR4&amp;" Solar:"&amp;FWise!H6&amp;") at "&amp;TEXT(A2,"hh:mm")&amp;" on "&amp;TEXT(FWise!$C$2,"dd-mm-yyyy")</f>
        <v>From NLDC: Gen. 6213 MW (Gas:4064 LF:1036 Coal:499 Hydro:80 HVDC:469 Tripura:65 RPCL:52 Solar:0) at 01:00 on 08-01-2022</v>
      </c>
      <c r="F2" s="29" t="str">
        <f>"From NLDC: Hourly Generation: "&amp;B2&amp;" MW and Load Shed: 0 MW at "&amp;TEXT(FWise!B6,"hh:mm")&amp;" on "&amp;TEXT(FWise!C2,"dd-mm-yyyy")</f>
        <v>From NLDC: Hourly Generation: 6213 MW and Load Shed: 0 MW at 01:00 on 08-01-2022</v>
      </c>
    </row>
    <row r="3" spans="1:6" ht="15.75">
      <c r="A3" s="26">
        <f>FWise!B7</f>
        <v>8.3333333333333301E-2</v>
      </c>
      <c r="B3" s="25">
        <f>IF(FWise!L7&gt;2500,FWise!L7,"")</f>
        <v>5788</v>
      </c>
      <c r="C3" s="24">
        <f>IF(FWise!O7&gt;0,FWise!O7,"")</f>
        <v>149</v>
      </c>
      <c r="D3" s="29" t="str">
        <f>"From NLDC: Gen. "&amp;FWise!L7&amp;" MW (Gas:"&amp;FWise!C7&amp;" LF:"&amp;FWise!F7&amp;" Coal:"&amp;FWise!G7&amp;" Hydro:"&amp;FWise!I7&amp;" HVDC:"&amp;FWise!K7&amp;" Tripura:"&amp;FWise!J7&amp;" RPCL:"&amp;GEntry!AR5&amp;" Solar:"&amp;FWise!H7&amp;") at "&amp;TEXT(A3,"hh:mm")&amp;" on "&amp;TEXT(FWise!$C$2,"dd-mm-yyyy")</f>
        <v>From NLDC: Gen. 5788 MW (Gas:4029 LF:697 Coal:499 Hydro:77 HVDC:422 Tripura:64 RPCL:52 Solar:0) at 02:00 on 08-01-2022</v>
      </c>
      <c r="F3" s="89" t="str">
        <f>"From NLDC: Hourly Generation: "&amp;B3&amp;" MW and Load Shed: 0 MW at "&amp;TEXT(FWise!B7,"hh:mm")&amp;" on "&amp;TEXT(FWise!C2,"dd-mm-yyyy")</f>
        <v>From NLDC: Hourly Generation: 5788 MW and Load Shed: 0 MW at 02:00 on 08-01-2022</v>
      </c>
    </row>
    <row r="4" spans="1:6" ht="15.75">
      <c r="A4" s="30">
        <f>FWise!B8</f>
        <v>0.125</v>
      </c>
      <c r="B4" s="28">
        <f>IF(FWise!L8&gt;2500,FWise!L8,"")</f>
        <v>5656</v>
      </c>
      <c r="C4" s="27">
        <f>IF(FWise!O8&gt;0,FWise!O8,"")</f>
        <v>131</v>
      </c>
      <c r="D4" s="29" t="str">
        <f>"From NLDC: Gen. "&amp;FWise!L8&amp;" MW (Gas:"&amp;FWise!C8&amp;" LF:"&amp;FWise!F8&amp;" Coal:"&amp;FWise!G8&amp;" Hydro:"&amp;FWise!I8&amp;" HVDC:"&amp;FWise!K8&amp;" Tripura:"&amp;FWise!J8&amp;" RPCL:"&amp;GEntry!AR6&amp;" Solar:"&amp;FWise!H8&amp;") at "&amp;TEXT(A4,"hh:mm")&amp;" on "&amp;TEXT(FWise!$C$2,"dd-mm-yyyy")</f>
        <v>From NLDC: Gen. 5656 MW (Gas:4077 LF:519 Coal:499 Hydro:78 HVDC:422 Tripura:61 RPCL:51 Solar:0) at 03:00 on 08-01-2022</v>
      </c>
      <c r="F4" s="29" t="str">
        <f>"From NLDC: Hourly Generation: "&amp;B4&amp;" MW and Load Shed: 0 MW at "&amp;TEXT(FWise!B8,"hh:mm")&amp;" on "&amp;TEXT(FWise!C2,"dd-mm-yyyy")</f>
        <v>From NLDC: Hourly Generation: 5656 MW and Load Shed: 0 MW at 03:00 on 08-01-2022</v>
      </c>
    </row>
    <row r="5" spans="1:6" ht="15.75">
      <c r="A5" s="26">
        <f>FWise!B9</f>
        <v>0.16666666666666699</v>
      </c>
      <c r="B5" s="25">
        <f>IF(FWise!L9&gt;2500,FWise!L9,"")</f>
        <v>5510</v>
      </c>
      <c r="C5" s="24">
        <f>IF(FWise!O9&gt;0,FWise!O9,"")</f>
        <v>131</v>
      </c>
      <c r="D5" s="29" t="str">
        <f>"From NLDC: Gen. "&amp;FWise!L9&amp;" MW (Gas:"&amp;FWise!C9&amp;" LF:"&amp;FWise!F9&amp;" Coal:"&amp;FWise!G9&amp;" Hydro:"&amp;FWise!I9&amp;" HVDC:"&amp;FWise!K9&amp;" Tripura:"&amp;FWise!J9&amp;" RPCL:"&amp;GEntry!AR7&amp;" Solar:"&amp;FWise!H9&amp;") at "&amp;TEXT(A5,"hh:mm")&amp;" on "&amp;TEXT(FWise!$C$2,"dd-mm-yyyy")</f>
        <v>From NLDC: Gen. 5510 MW (Gas:3983 LF:461 Coal:499 Hydro:83 HVDC:423 Tripura:61 RPCL:52 Solar:0) at 04:00 on 08-01-2022</v>
      </c>
      <c r="F5" s="89" t="str">
        <f>"From NLDC: Hourly Generation: "&amp;B5&amp;" MW and Load Shed: 0 MW at "&amp;TEXT(FWise!B9,"hh:mm")&amp;" on "&amp;TEXT(FWise!C2,"dd-mm-yyyy")</f>
        <v>From NLDC: Hourly Generation: 5510 MW and Load Shed: 0 MW at 04:00 on 08-01-2022</v>
      </c>
    </row>
    <row r="6" spans="1:6" ht="15.75">
      <c r="A6" s="30">
        <f>FWise!B10</f>
        <v>0.20833333333333401</v>
      </c>
      <c r="B6" s="28">
        <f>IF(FWise!L10&gt;2500,FWise!L10,"")</f>
        <v>5475</v>
      </c>
      <c r="C6" s="27">
        <f>IF(FWise!O10&gt;0,FWise!O10,"")</f>
        <v>131</v>
      </c>
      <c r="D6" s="29" t="str">
        <f>"From NLDC: Gen. "&amp;FWise!L10&amp;" MW (Gas:"&amp;FWise!C10&amp;" LF:"&amp;FWise!F10&amp;" Coal:"&amp;FWise!G10&amp;" Hydro:"&amp;FWise!I10&amp;" HVDC:"&amp;FWise!K10&amp;" Tripura:"&amp;FWise!J10&amp;" RPCL:"&amp;GEntry!AR8&amp;" Solar:"&amp;FWise!H10&amp;") at "&amp;TEXT(A6,"hh:mm")&amp;" on "&amp;TEXT(FWise!$C$2,"dd-mm-yyyy")</f>
        <v>From NLDC: Gen. 5475 MW (Gas:3950 LF:461 Coal:499 Hydro:78 HVDC:422 Tripura:65 RPCL:52 Solar:0) at 05:00 on 08-01-2022</v>
      </c>
      <c r="F6" s="29" t="str">
        <f>"From NLDC: Hourly Generation: "&amp;B6&amp;" MW and Load Shed: 0 MW at "&amp;TEXT(FWise!B10,"hh:mm")&amp;" on "&amp;TEXT(FWise!C2,"dd-mm-yyyy")</f>
        <v>From NLDC: Hourly Generation: 5475 MW and Load Shed: 0 MW at 05:00 on 08-01-2022</v>
      </c>
    </row>
    <row r="7" spans="1:6" ht="15.75">
      <c r="A7" s="26">
        <f>FWise!B11</f>
        <v>0.250000000000001</v>
      </c>
      <c r="B7" s="25">
        <f>IF(FWise!L11&gt;2500,FWise!L11,"")</f>
        <v>5762</v>
      </c>
      <c r="C7" s="24">
        <f>IF(FWise!O11&gt;0,FWise!O11,"")</f>
        <v>149</v>
      </c>
      <c r="D7" s="29" t="str">
        <f>"From NLDC: Gen. "&amp;FWise!L11&amp;" MW (Gas:"&amp;FWise!C11&amp;" LF:"&amp;FWise!F11&amp;" Coal:"&amp;FWise!G11&amp;" Hydro:"&amp;FWise!I11&amp;" HVDC:"&amp;FWise!K11&amp;" Tripura:"&amp;FWise!J11&amp;" RPCL:"&amp;GEntry!AR9&amp;" Solar:"&amp;FWise!H11&amp;") at "&amp;TEXT(A7,"hh:mm")&amp;" on "&amp;TEXT(FWise!$C$2,"dd-mm-yyyy")</f>
        <v>From NLDC: Gen. 5762 MW (Gas:4032 LF:656 Coal:499 Hydro:86 HVDC:423 Tripura:66 RPCL:52 Solar:0) at 06:00 on 08-01-2022</v>
      </c>
      <c r="F7" s="89" t="str">
        <f>"From NLDC: Hourly Generation: "&amp;B7&amp;" MW and Load Shed: 0 MW at "&amp;TEXT(FWise!B11,"hh:mm")&amp;" on "&amp;TEXT(FWise!C2,"dd-mm-yyyy")</f>
        <v>From NLDC: Hourly Generation: 5762 MW and Load Shed: 0 MW at 06:00 on 08-01-2022</v>
      </c>
    </row>
    <row r="8" spans="1:6" ht="15.75">
      <c r="A8" s="30">
        <f>FWise!B12</f>
        <v>0.29166666666666669</v>
      </c>
      <c r="B8" s="28">
        <f>IF(FWise!L12&gt;2500,FWise!L12,"")</f>
        <v>6266</v>
      </c>
      <c r="C8" s="27">
        <f>IF(FWise!O12&gt;0,FWise!O12,"")</f>
        <v>187</v>
      </c>
      <c r="D8" s="29" t="str">
        <f>"From NLDC: Gen. "&amp;FWise!L12&amp;" MW (Gas:"&amp;FWise!C12&amp;" LF:"&amp;FWise!F12&amp;" Coal:"&amp;FWise!G12&amp;" Hydro:"&amp;FWise!I12&amp;" HVDC:"&amp;FWise!K12&amp;" Tripura:"&amp;FWise!J12&amp;" RPCL:"&amp;GEntry!AR10&amp;" Solar:"&amp;FWise!H12&amp;") at "&amp;TEXT(A8,"hh:mm")&amp;" on "&amp;TEXT(FWise!$C$2,"dd-mm-yyyy")</f>
        <v>From NLDC: Gen. 6266 MW (Gas:4000 LF:1144 Coal:499 Hydro:86 HVDC:468 Tripura:66 RPCL:52 Solar:3) at 07:00 on 08-01-2022</v>
      </c>
      <c r="F8" s="29" t="str">
        <f>"From NLDC: Hourly Generation: "&amp;B8&amp;" MW and Load Shed: 0 MW at "&amp;TEXT(FWise!B12,"hh:mm")&amp;" on "&amp;TEXT(FWise!C2,"dd-mm-yyyy")</f>
        <v>From NLDC: Hourly Generation: 6266 MW and Load Shed: 0 MW at 07:00 on 08-01-2022</v>
      </c>
    </row>
    <row r="9" spans="1:6" ht="15.75">
      <c r="A9" s="26">
        <f>FWise!B13</f>
        <v>0.33333333333333331</v>
      </c>
      <c r="B9" s="25">
        <f>IF(FWise!L13&gt;2500,FWise!L13,"")</f>
        <v>6812</v>
      </c>
      <c r="C9" s="24">
        <f>IF(FWise!O13&gt;0,FWise!O13,"")</f>
        <v>162</v>
      </c>
      <c r="D9" s="29" t="str">
        <f>"From NLDC: Gen. "&amp;FWise!L13&amp;" MW (Gas:"&amp;FWise!C13&amp;" LF:"&amp;FWise!F13&amp;" Coal:"&amp;FWise!G13&amp;" Hydro:"&amp;FWise!I13&amp;" HVDC:"&amp;FWise!K13&amp;" Tripura:"&amp;FWise!J13&amp;" RPCL:"&amp;GEntry!AR11&amp;" Solar:"&amp;FWise!H13&amp;") at "&amp;TEXT(A9,"hh:mm")&amp;" on "&amp;TEXT(FWise!$C$2,"dd-mm-yyyy")</f>
        <v>From NLDC: Gen. 6812 MW (Gas:3865 LF:1601 Coal:499 Hydro:80 HVDC:657 Tripura:67 RPCL:52 Solar:43) at 08:00 on 08-01-2022</v>
      </c>
      <c r="F9" s="89" t="str">
        <f>"From NLDC: Hourly Generation: "&amp;B9&amp;" MW and Load Shed: 0 MW at "&amp;TEXT(FWise!B13,"hh:mm")&amp;" on "&amp;TEXT(FWise!C2,"dd-mm-yyyy")</f>
        <v>From NLDC: Hourly Generation: 6812 MW and Load Shed: 0 MW at 08:00 on 08-01-2022</v>
      </c>
    </row>
    <row r="10" spans="1:6" ht="15.75">
      <c r="A10" s="30">
        <f>FWise!B14</f>
        <v>0.375</v>
      </c>
      <c r="B10" s="28">
        <f>IF(FWise!L14&gt;2500,FWise!L14,"")</f>
        <v>6843</v>
      </c>
      <c r="C10" s="27">
        <f>IF(FWise!O14&gt;0,FWise!O14,"")</f>
        <v>122</v>
      </c>
      <c r="D10" s="29" t="str">
        <f>"From NLDC: Gen. "&amp;FWise!L14&amp;" MW (Gas:"&amp;FWise!C14&amp;" LF:"&amp;FWise!F14&amp;" Coal:"&amp;FWise!G14&amp;" Hydro:"&amp;FWise!I14&amp;" HVDC:"&amp;FWise!K14&amp;" Tripura:"&amp;FWise!J14&amp;" RPCL:"&amp;GEntry!AR12&amp;" Solar:"&amp;FWise!H14&amp;") at "&amp;TEXT(A10,"hh:mm")&amp;" on "&amp;TEXT(FWise!$C$2,"dd-mm-yyyy")</f>
        <v>From NLDC: Gen. 6843 MW (Gas:3655 LF:1847 Coal:449 Hydro:74 HVDC:657 Tripura:61 RPCL:52 Solar:100) at 09:00 on 08-01-2022</v>
      </c>
      <c r="F10" s="29" t="str">
        <f>"From NLDC: Hourly Generation: "&amp;B10&amp;" MW and Load Shed: 0 MW at "&amp;TEXT(FWise!B14,"hh:mm")&amp;" on "&amp;TEXT(FWise!C2,"dd-mm-yyyy")</f>
        <v>From NLDC: Hourly Generation: 6843 MW and Load Shed: 0 MW at 09:00 on 08-01-2022</v>
      </c>
    </row>
    <row r="11" spans="1:6" ht="15.75">
      <c r="A11" s="26">
        <f>FWise!B15</f>
        <v>0.41666666666666669</v>
      </c>
      <c r="B11" s="28">
        <f>IF(FWise!L15&gt;2500,FWise!L15,"")</f>
        <v>6667</v>
      </c>
      <c r="C11" s="24">
        <f>IF(FWise!O15&gt;0,FWise!O15,"")</f>
        <v>134</v>
      </c>
      <c r="D11" s="29" t="str">
        <f>"From NLDC: Gen. "&amp;FWise!L15&amp;" MW (Gas:"&amp;FWise!C15&amp;" LF:"&amp;FWise!F15&amp;" Coal:"&amp;FWise!G15&amp;" Hydro:"&amp;FWise!I15&amp;" HVDC:"&amp;FWise!K15&amp;" Tripura:"&amp;FWise!J15&amp;" RPCL:"&amp;GEntry!AR13&amp;" Solar:"&amp;FWise!H15&amp;") at "&amp;TEXT(A11,"hh:mm")&amp;" on "&amp;TEXT(FWise!$C$2,"dd-mm-yyyy")</f>
        <v>From NLDC: Gen. 6667 MW (Gas:3635 LF:1679 Coal:450 Hydro:40 HVDC:656 Tripura:63 RPCL:50 Solar:144) at 10:00 on 08-01-2022</v>
      </c>
      <c r="F11" s="89" t="str">
        <f>"From NLDC: Hourly Generation: "&amp;B11&amp;" MW and Load Shed: 0 MW at "&amp;TEXT(FWise!B15,"hh:mm")&amp;" on "&amp;TEXT(FWise!C2,"dd-mm-yyyy")</f>
        <v>From NLDC: Hourly Generation: 6667 MW and Load Shed: 0 MW at 10:00 on 08-01-2022</v>
      </c>
    </row>
    <row r="12" spans="1:6" ht="15.75">
      <c r="A12" s="30">
        <f>FWise!B16</f>
        <v>0.45833333333333331</v>
      </c>
      <c r="B12" s="28">
        <f>IF(FWise!L16&gt;2500,FWise!L16,"")</f>
        <v>6987</v>
      </c>
      <c r="C12" s="27">
        <f>IF(FWise!O16&gt;0,FWise!O16,"")</f>
        <v>148</v>
      </c>
      <c r="D12" s="29" t="str">
        <f>"From NLDC: Gen. "&amp;FWise!L16&amp;" MW (Gas:"&amp;FWise!C16&amp;" LF:"&amp;FWise!F16&amp;" Coal:"&amp;FWise!G16&amp;" Hydro:"&amp;FWise!I16&amp;" HVDC:"&amp;FWise!K16&amp;" Tripura:"&amp;FWise!J16&amp;" RPCL:"&amp;GEntry!AR14&amp;" Solar:"&amp;FWise!H16&amp;") at "&amp;TEXT(A12,"hh:mm")&amp;" on "&amp;TEXT(FWise!$C$2,"dd-mm-yyyy")</f>
        <v>From NLDC: Gen. 6987 MW (Gas:3755 LF:1811 Coal:450 Hydro:80 HVDC:655 Tripura:64 RPCL:49 Solar:172) at 11:00 on 08-01-2022</v>
      </c>
      <c r="F12" s="29" t="str">
        <f>"From NLDC: Hourly Generation: "&amp;B12&amp;" MW and Load Shed: 0 MW at "&amp;TEXT(FWise!B16,"hh:mm")&amp;" on "&amp;TEXT(FWise!C2,"dd-mm-yyyy")</f>
        <v>From NLDC: Hourly Generation: 6987 MW and Load Shed: 0 MW at 11:00 on 08-01-2022</v>
      </c>
    </row>
    <row r="13" spans="1:6" ht="15.75">
      <c r="A13" s="26">
        <f>FWise!B17</f>
        <v>0.5</v>
      </c>
      <c r="B13" s="1788" t="str">
        <f>IF(FWise!L17&gt;2500,FWise!L17,"")</f>
        <v/>
      </c>
      <c r="C13" s="24" t="str">
        <f>IF(FWise!O17&gt;0,FWise!O17,"")</f>
        <v/>
      </c>
      <c r="D13" s="29" t="str">
        <f>"From NLDC: Gen. "&amp;FWise!L17&amp;" MW (Gas:"&amp;FWise!C17&amp;" LF:"&amp;FWise!F17&amp;" Coal:"&amp;FWise!G17&amp;" Hydro:"&amp;FWise!I17&amp;" HVDC:"&amp;FWise!K17&amp;" Tripura:"&amp;FWise!J17&amp;" RPCL:"&amp;GEntry!AR15&amp;" Solar:"&amp;FWise!H17&amp;") at "&amp;TEXT(A13,"hh:mm")&amp;" on "&amp;TEXT(FWise!$C$2,"dd-mm-yyyy")</f>
        <v>From NLDC: Gen. 0 MW (Gas:0 LF:0 Coal:0 Hydro:0 HVDC:0 Tripura:0 RPCL: Solar:0) at 12:00 on 08-01-2022</v>
      </c>
      <c r="F13" s="89" t="str">
        <f>"From NLDC: Hourly Generation: "&amp;B13&amp;" MW and Load Shed: 0 MW at "&amp;TEXT(FWise!B17,"hh:mm")&amp;" on "&amp;TEXT(FWise!C2,"dd-mm-yyyy")</f>
        <v>From NLDC: Hourly Generation:  MW and Load Shed: 0 MW at 12:00 on 08-01-2022</v>
      </c>
    </row>
    <row r="14" spans="1:6" ht="15.75">
      <c r="A14" s="30">
        <f>FWise!B18</f>
        <v>0.54166666666666696</v>
      </c>
      <c r="B14" s="1789" t="str">
        <f>IF(FWise!L18&gt;2500,FWise!L18,"")</f>
        <v/>
      </c>
      <c r="C14" s="27" t="str">
        <f>IF(FWise!O18&gt;0,FWise!O18,"")</f>
        <v/>
      </c>
      <c r="D14" s="29" t="str">
        <f>"From NLDC: Gen. "&amp;FWise!L18&amp;" MW (Gas:"&amp;FWise!C18&amp;" LF:"&amp;FWise!F18&amp;" Coal:"&amp;FWise!G18&amp;" Hydro:"&amp;FWise!I18&amp;" HVDC:"&amp;FWise!K18&amp;" Tripura:"&amp;FWise!J18&amp;" RPCL:"&amp;GEntry!AR16&amp;" Solar:"&amp;FWise!H18&amp;") at "&amp;TEXT(A14,"hh:mm")&amp;" on "&amp;TEXT(FWise!$C$2,"dd-mm-yyyy")</f>
        <v>From NLDC: Gen. 0 MW (Gas:0 LF:0 Coal:0 Hydro:0 HVDC:0 Tripura:0 RPCL: Solar:0) at 13:00 on 08-01-2022</v>
      </c>
      <c r="F14" s="29" t="str">
        <f>"From NLDC: Hourly Generation: "&amp;B14&amp;" MW and Load Shed: 0 MW at "&amp;TEXT(FWise!B18,"hh:mm")&amp;" on "&amp;TEXT(FWise!C2,"dd-mm-yyyy")</f>
        <v>From NLDC: Hourly Generation:  MW and Load Shed: 0 MW at 13:00 on 08-01-2022</v>
      </c>
    </row>
    <row r="15" spans="1:6" ht="15.75">
      <c r="A15" s="26">
        <f>FWise!B19</f>
        <v>0.58333333333333337</v>
      </c>
      <c r="B15" s="1788" t="str">
        <f>IF(FWise!L19&gt;2500,FWise!L19,"")</f>
        <v/>
      </c>
      <c r="C15" s="1544" t="str">
        <f>IF(FWise!O19&gt;0,FWise!O19,"")</f>
        <v/>
      </c>
      <c r="D15" s="29" t="str">
        <f>"From NLDC: Gen. "&amp;FWise!L19&amp;" MW (Gas:"&amp;FWise!C19&amp;" LF:"&amp;FWise!F19&amp;" Coal:"&amp;FWise!G19&amp;" Hydro:"&amp;FWise!I19&amp;" HVDC:"&amp;FWise!K19&amp;" Tripura:"&amp;FWise!J19&amp;" RPCL:"&amp;GEntry!AR17&amp;" Solar:"&amp;FWise!H19&amp;") at "&amp;TEXT(A15,"hh:mm")&amp;" on "&amp;TEXT(FWise!$C$2,"dd-mm-yyyy")</f>
        <v>From NLDC: Gen. 0 MW (Gas:0 LF:0 Coal:0 Hydro:0 HVDC:0 Tripura:0 RPCL: Solar:0) at 14:00 on 08-01-2022</v>
      </c>
      <c r="F15" s="89" t="str">
        <f>"From NLDC: Hourly Generation: "&amp;B15&amp;" MW and Load Shed: 0 MW at "&amp;TEXT(FWise!B19,"hh:mm")&amp;" on "&amp;TEXT(FWise!C2,"dd-mm-yyyy")</f>
        <v>From NLDC: Hourly Generation:  MW and Load Shed: 0 MW at 14:00 on 08-01-2022</v>
      </c>
    </row>
    <row r="16" spans="1:6" ht="16.5" thickBot="1">
      <c r="A16" s="30">
        <f>FWise!B20</f>
        <v>0.625000000000003</v>
      </c>
      <c r="B16" s="1789" t="str">
        <f>IF(FWise!L20&gt;2500,FWise!L20,"")</f>
        <v/>
      </c>
      <c r="C16" s="27" t="str">
        <f>IF(FWise!O20&gt;0,FWise!O20,"")</f>
        <v/>
      </c>
      <c r="D16" s="29" t="str">
        <f>"From NLDC: Gen. "&amp;FWise!L20&amp;" MW (Gas:"&amp;FWise!C20&amp;" LF:"&amp;FWise!F20&amp;" Coal:"&amp;FWise!G20&amp;" Hydro:"&amp;FWise!I20&amp;" HVDC:"&amp;FWise!K20&amp;" Tripura:"&amp;FWise!J20&amp;" RPCL:"&amp;GEntry!AR18&amp;" Solar:"&amp;FWise!H20&amp;") at "&amp;TEXT(A16,"hh:mm")&amp;" on "&amp;TEXT(FWise!$C$2,"dd-mm-yyyy")</f>
        <v>From NLDC: Gen. 0 MW (Gas:0 LF:0 Coal:0 Hydro:0 HVDC:0 Tripura:0 RPCL: Solar:0) at 15:00 on 08-01-2022</v>
      </c>
      <c r="F16" s="29" t="str">
        <f>"From NLDC: Hourly Generation: "&amp;B16&amp;" MW and Load Shed: 0 MW at "&amp;TEXT(FWise!B20,"hh:mm")&amp;" on "&amp;TEXT(FWise!C2,"dd-mm-yyyy")</f>
        <v>From NLDC: Hourly Generation:  MW and Load Shed: 0 MW at 15:00 on 08-01-2022</v>
      </c>
    </row>
    <row r="17" spans="1:6" ht="15.75">
      <c r="A17" s="26">
        <f>FWise!B21</f>
        <v>0.66666666666666996</v>
      </c>
      <c r="B17" s="1788" t="str">
        <f>IF(FWise!L21&gt;2500,FWise!L21,"")</f>
        <v/>
      </c>
      <c r="C17" s="1544" t="str">
        <f>IF(FWise!O21&gt;0,FWise!O21,"")</f>
        <v/>
      </c>
      <c r="D17" s="29" t="str">
        <f>"From NLDC: Gen. "&amp;FWise!L21&amp;" MW (Gas:"&amp;FWise!C21&amp;" LF:"&amp;FWise!F21&amp;" Coal:"&amp;FWise!G21&amp;" Hydro:"&amp;FWise!I21&amp;" HVDC:"&amp;FWise!K21&amp;" Tripura:"&amp;FWise!J21&amp;" RPCL:"&amp;GEntry!AR19&amp;" Solar:"&amp;FWise!H21&amp;") at "&amp;TEXT(A17,"hh:mm")&amp;" on "&amp;TEXT(FWise!$C$2,"dd-mm-yyyy")</f>
        <v>From NLDC: Gen. 0 MW (Gas:0 LF:0 Coal:0 Hydro:0 HVDC:0 Tripura:0 RPCL: Solar:0) at 16:00 on 08-01-2022</v>
      </c>
      <c r="E17" s="5313" t="s">
        <v>173</v>
      </c>
      <c r="F17" s="165" t="str">
        <f>"From NLDC: Hourly Generation: "&amp;B17&amp;" MW and Load Shed: 0 MW at "&amp;TEXT(FWise!B21,"hh:mm")&amp;" on "&amp;TEXT((FWise!C2),"dd-mm-yyyy")</f>
        <v>From NLDC: Hourly Generation:  MW and Load Shed: 0 MW at 16:00 on 08-01-2022</v>
      </c>
    </row>
    <row r="18" spans="1:6" ht="15.75">
      <c r="A18" s="30">
        <f>FWise!B22</f>
        <v>0.70833333333333337</v>
      </c>
      <c r="B18" s="1789" t="str">
        <f>IF(FWise!L22&gt;2500,FWise!L22,"")</f>
        <v/>
      </c>
      <c r="C18" s="27" t="str">
        <f>IF(FWise!O22&gt;0,FWise!O22,"")</f>
        <v/>
      </c>
      <c r="D18" s="29" t="str">
        <f>"From NLDC: Gen. "&amp;FWise!L22&amp;" MW (Gas:"&amp;FWise!C22&amp;" LF:"&amp;FWise!F22&amp;" Coal:"&amp;FWise!G22&amp;" Hydro:"&amp;FWise!I22&amp;" HVDC:"&amp;FWise!K22&amp;" Tripura:"&amp;FWise!J22&amp;" RPCL:"&amp;GEntry!AR20&amp;" Solar:"&amp;FWise!H22&amp;") at "&amp;TEXT(A18,"hh:mm")&amp;" on "&amp;TEXT(FWise!$C$2,"dd-mm-yyyy")</f>
        <v>From NLDC: Gen. 0 MW (Gas:0 LF:0 Coal:0 Hydro:0 HVDC:0 Tripura:0 RPCL: Solar:0) at 17:00 on 08-01-2022</v>
      </c>
      <c r="E18" s="5314"/>
      <c r="F18" s="166" t="str">
        <f>"From NLDC: Hourly Generation: "&amp;B18&amp;" MW and Load Shed: 0 MW at "&amp;TEXT(FWise!B22,"hh:mm")&amp;" on "&amp;TEXT((FWise!C2),"dd-mm-yyyy")</f>
        <v>From NLDC: Hourly Generation:  MW and Load Shed: 0 MW at 17:00 on 08-01-2022</v>
      </c>
    </row>
    <row r="19" spans="1:6" ht="15.75">
      <c r="A19" s="26">
        <f>FWise!B23</f>
        <v>0.75</v>
      </c>
      <c r="B19" s="1788" t="str">
        <f>IF(FWise!L23&gt;2500,FWise!L23,"")</f>
        <v/>
      </c>
      <c r="C19" s="24" t="str">
        <f>IF(FWise!O23&gt;0,FWise!O23,"")</f>
        <v/>
      </c>
      <c r="D19" s="29" t="str">
        <f>"From NLDC: Gen. "&amp;FWise!L23&amp;" MW (Gas:"&amp;FWise!C23&amp;" LF:"&amp;FWise!F23&amp;" Coal:"&amp;FWise!G23&amp;" Hydro:"&amp;FWise!I23&amp;" HVDC:"&amp;FWise!K23&amp;" Tripura:"&amp;FWise!J23&amp;" RPCL:"&amp;GEntry!AR21&amp;" Solar:"&amp;FWise!H23&amp;") at "&amp;TEXT(A19,"hh:mm")&amp;" on "&amp;TEXT(FWise!$C$2,"dd-mm-yyyy")</f>
        <v>From NLDC: Gen. 0 MW (Gas:0 LF:0 Coal:0 Hydro:0 HVDC:0 Tripura:0 RPCL: Solar:0) at 18:00 on 08-01-2022</v>
      </c>
      <c r="E19" s="5314"/>
      <c r="F19" s="165" t="str">
        <f>"From NLDC: Hourly Generation: "&amp;B19&amp;" MW and Load Shed: 0 MW at "&amp;TEXT(FWise!B23,"hh:mm")&amp;" on "&amp;TEXT((FWise!C2),"dd-mm-yyyy")</f>
        <v>From NLDC: Hourly Generation:  MW and Load Shed: 0 MW at 18:00 on 08-01-2022</v>
      </c>
    </row>
    <row r="20" spans="1:6">
      <c r="A20" s="1420">
        <f>FWise!B24</f>
        <v>0.77083333333333337</v>
      </c>
      <c r="B20" s="1789" t="str">
        <f>IF(FWise!L24&gt;2500,FWise!L24,"")</f>
        <v/>
      </c>
      <c r="C20" s="27" t="str">
        <f>IF(FWise!O24&gt;0,FWise!O24,"")</f>
        <v/>
      </c>
      <c r="D20" s="29"/>
      <c r="E20" s="5314"/>
      <c r="F20" s="167"/>
    </row>
    <row r="21" spans="1:6" ht="15.75">
      <c r="A21" s="26">
        <f>FWise!B25</f>
        <v>0.79166666666666663</v>
      </c>
      <c r="B21" s="1559">
        <f>IF(FWise!L25&gt;2500,FWise!L25,"")</f>
        <v>8098</v>
      </c>
      <c r="C21" s="24">
        <f>IF(FWise!O25&gt;0,FWise!O25,"")</f>
        <v>229</v>
      </c>
      <c r="D21" s="29" t="str">
        <f>"From NLDC: Gen. "&amp;FWise!L25&amp;" MW (Gas:"&amp;FWise!C25&amp;" LF:"&amp;FWise!F25&amp;" Coal:"&amp;FWise!G25&amp;" Hydro:"&amp;FWise!I25&amp;" HVDC:"&amp;FWise!K25&amp;" Tripura:"&amp;FWise!J25&amp;" RPCL:"&amp;GEntry!AR23&amp;" Solar:"&amp;FWise!H25&amp;") at "&amp;TEXT(A21,"hh:mm")&amp;" on "&amp;TEXT(FWise!$C$2,"dd-mm-yyyy")</f>
        <v>From NLDC: Gen. 8098 MW (Gas:3896 LF:3114 Coal:269 Hydro:77 HVDC:656 Tripura:86 RPCL:50 Solar:0) at 19:00 on 08-01-2022</v>
      </c>
      <c r="E21" s="5314"/>
      <c r="F21" s="165" t="str">
        <f>"From NLDC: Hourly Generation: "&amp;B21&amp;" MW and Load Shed: 0 MW at "&amp;TEXT(FWise!B25,"hh:mm")&amp;" on "&amp;TEXT((FWise!C2),"dd-mm-yyyy")</f>
        <v>From NLDC: Hourly Generation: 8098 MW and Load Shed: 0 MW at 19:00 on 08-01-2022</v>
      </c>
    </row>
    <row r="22" spans="1:6" ht="15.75">
      <c r="A22" s="30">
        <f>FWise!B26</f>
        <v>0.8125</v>
      </c>
      <c r="B22" s="28">
        <f>IF(FWise!L26&gt;2500,FWise!L26,"")</f>
        <v>8218</v>
      </c>
      <c r="C22" s="27">
        <f>IF(FWise!O26&gt;0,FWise!O26,"")</f>
        <v>214</v>
      </c>
      <c r="D22" s="1834" t="str">
        <f ca="1">IF(B22&lt;&gt;"",IF(HOUR(NOW())&lt;12,IF(TODAY()-1&lt;&gt;FWise!C2,"-------------------------------Correct Date-----------------------------------",""),""),"")</f>
        <v/>
      </c>
      <c r="E22" s="5314"/>
      <c r="F22" s="167"/>
    </row>
    <row r="23" spans="1:6" ht="15.75">
      <c r="A23" s="26">
        <f>FWise!B27</f>
        <v>0.83333333333333337</v>
      </c>
      <c r="B23" s="1559">
        <f>IF(FWise!L27&gt;2500,FWise!L27,"")</f>
        <v>8163</v>
      </c>
      <c r="C23" s="24">
        <f>IF(FWise!O27&gt;0,FWise!O27,"")</f>
        <v>214</v>
      </c>
      <c r="D23" s="29" t="str">
        <f>"From NLDC: Gen. "&amp;FWise!L27&amp;" MW (Gas:"&amp;FWise!C27&amp;" LF:"&amp;FWise!F27&amp;" Coal:"&amp;FWise!G27&amp;" Hydro:"&amp;FWise!I27&amp;" HVDC:"&amp;FWise!K27&amp;" Tripura:"&amp;FWise!J27&amp;" RPCL:"&amp;GEntry!AR25&amp;" Solar:"&amp;FWise!H27&amp;") at "&amp;TEXT(A23,"hh:mm")&amp;" on "&amp;TEXT(FWise!$C$2,"dd-mm-yyyy")</f>
        <v>From NLDC: Gen. 8163 MW (Gas:4002 LF:2930 Coal:409 Hydro:79 HVDC:657 Tripura:86 RPCL:50 Solar:0) at 20:00 on 08-01-2022</v>
      </c>
      <c r="E23" s="5314"/>
      <c r="F23" s="165" t="str">
        <f>"From NLDC: Hourly Generation: "&amp;B23&amp;" MW and Load Shed: 0 MW at "&amp;TEXT(FWise!B27,"hh:mm")&amp;" on "&amp;TEXT((FWise!C2),"dd-mm-yyyy")</f>
        <v>From NLDC: Hourly Generation: 8163 MW and Load Shed: 0 MW at 20:00 on 08-01-2022</v>
      </c>
    </row>
    <row r="24" spans="1:6" ht="15.75">
      <c r="A24" s="30">
        <f>FWise!B28</f>
        <v>0.875</v>
      </c>
      <c r="B24" s="28">
        <f>IF(FWise!L28&gt;2500,FWise!L28,"")</f>
        <v>7993</v>
      </c>
      <c r="C24" s="27">
        <f>IF(FWise!O28&gt;0,FWise!O28,"")</f>
        <v>189</v>
      </c>
      <c r="D24" s="29" t="str">
        <f>"From NLDC: Gen. "&amp;FWise!L28&amp;" MW (Gas:"&amp;FWise!C28&amp;" LF:"&amp;FWise!F28&amp;" Coal:"&amp;FWise!G28&amp;" Hydro:"&amp;FWise!I28&amp;" HVDC:"&amp;FWise!K28&amp;" Tripura:"&amp;FWise!J28&amp;" RPCL:"&amp;GEntry!AR26&amp;" Solar:"&amp;FWise!H28&amp;") at "&amp;TEXT(A24,"hh:mm")&amp;" on "&amp;TEXT(FWise!$C$2,"dd-mm-yyyy")</f>
        <v>From NLDC: Gen. 7993 MW (Gas:4162 LF:2522 Coal:480 Hydro:86 HVDC:657 Tripura:86 RPCL:50 Solar:0) at 21:00 on 08-01-2022</v>
      </c>
      <c r="E24" s="5314"/>
      <c r="F24" s="166" t="str">
        <f>"From NLDC: Hourly Generation: "&amp;B24&amp;" MW and Load Shed: 0 MW at "&amp;TEXT(FWise!B28,"hh:mm")&amp;" on "&amp;TEXT((FWise!C2),"dd-mm-yyyy")</f>
        <v>From NLDC: Hourly Generation: 7993 MW and Load Shed: 0 MW at 21:00 on 08-01-2022</v>
      </c>
    </row>
    <row r="25" spans="1:6" ht="15.75">
      <c r="A25" s="26">
        <f>FWise!B29</f>
        <v>0.91666666666666663</v>
      </c>
      <c r="B25" s="28">
        <f>IF(FWise!L29&gt;2500,FWise!L29,"")</f>
        <v>7759</v>
      </c>
      <c r="C25" s="24">
        <f>IF(FWise!O29&gt;0,FWise!O29,"")</f>
        <v>189</v>
      </c>
      <c r="D25" s="29" t="str">
        <f>"From NLDC: Gen. "&amp;FWise!L29&amp;" MW (Gas:"&amp;FWise!C29&amp;" LF:"&amp;FWise!F29&amp;" Coal:"&amp;FWise!G29&amp;" Hydro:"&amp;FWise!I29&amp;" HVDC:"&amp;FWise!K29&amp;" Tripura:"&amp;FWise!J29&amp;" RPCL:"&amp;GEntry!AR27&amp;" Solar:"&amp;FWise!H29&amp;") at "&amp;TEXT(A25,"hh:mm")&amp;" on "&amp;TEXT(FWise!$C$2,"dd-mm-yyyy")</f>
        <v>From NLDC: Gen. 7759 MW (Gas:4087 LF:2265 Coal:579 Hydro:86 HVDC:658 Tripura:84 RPCL:50 Solar:0) at 22:00 on 08-01-2022</v>
      </c>
      <c r="E25" s="5314"/>
      <c r="F25" s="165" t="str">
        <f>"From NLDC: Hourly Generation: "&amp;B25&amp;" MW and Load Shed: 0 MW at "&amp;TEXT(FWise!B29,"hh:mm")&amp;" on "&amp;TEXT((FWise!C2),"dd-mm-yyyy")</f>
        <v>From NLDC: Hourly Generation: 7759 MW and Load Shed: 0 MW at 22:00 on 08-01-2022</v>
      </c>
    </row>
    <row r="26" spans="1:6" ht="15.75">
      <c r="A26" s="88">
        <f>FWise!B30</f>
        <v>0.95833333333333337</v>
      </c>
      <c r="B26" s="28">
        <f>IF(FWise!L30&gt;2500,FWise!L30,"")</f>
        <v>7232</v>
      </c>
      <c r="C26" s="27">
        <f>IF(FWise!O30&gt;0,FWise!O30,"")</f>
        <v>189</v>
      </c>
      <c r="D26" s="29" t="str">
        <f>"From NLDC: Gen. "&amp;FWise!L30&amp;" MW (Gas:"&amp;FWise!C30&amp;" LF:"&amp;FWise!F30&amp;" Coal:"&amp;FWise!G30&amp;" Hydro:"&amp;FWise!I30&amp;" HVDC:"&amp;FWise!K30&amp;" Tripura:"&amp;FWise!J30&amp;" RPCL:"&amp;GEntry!AR28&amp;" Solar:"&amp;FWise!H30&amp;") at "&amp;TEXT(A26,"hh:mm")&amp;" on "&amp;TEXT(FWise!$C$2,"dd-mm-yyyy")</f>
        <v>From NLDC: Gen. 7232 MW (Gas:4035 LF:1865 Coal:569 Hydro:77 HVDC:610 Tripura:76 RPCL:52 Solar:0) at 23:00 on 08-01-2022</v>
      </c>
      <c r="E26" s="5314"/>
      <c r="F26" s="166" t="str">
        <f>"From NLDC: Hourly Generation: "&amp;B26&amp;" MW and Load Shed: 0 MW at "&amp;TEXT(FWise!B30,"hh:mm")&amp;" on "&amp;TEXT((FWise!C2),"dd-mm-yyyy")</f>
        <v>From NLDC: Hourly Generation: 7232 MW and Load Shed: 0 MW at 23:00 on 08-01-2022</v>
      </c>
    </row>
    <row r="27" spans="1:6" ht="16.5" thickBot="1">
      <c r="A27" s="158" t="str">
        <f>FWise!B31</f>
        <v>24:00</v>
      </c>
      <c r="B27" s="25">
        <f>IF(FWise!L31&gt;2500,FWise!L31,"")</f>
        <v>6677</v>
      </c>
      <c r="C27" s="24">
        <f>IF(FWise!O31&gt;0,FWise!O31,"")</f>
        <v>189</v>
      </c>
      <c r="D27" s="29" t="str">
        <f>"From NLDC: Gen. "&amp;FWise!L31&amp;" MW (Gas:"&amp;FWise!C31&amp;" LF:"&amp;FWise!F31&amp;" Coal:"&amp;FWise!G31&amp;" Hydro:"&amp;FWise!I31&amp;" HVDC:"&amp;FWise!K31&amp;" Tripura:"&amp;FWise!J31&amp;" RPCL:"&amp;GEntry!AR29&amp;" Solar:"&amp;FWise!H31&amp;") at 24:00 on "&amp;TEXT(FWise!$C$2,"dd-mm-yyyy")</f>
        <v>From NLDC: Gen. 6677 MW (Gas:4042 LF:1501 Coal:519 Hydro:75 HVDC:469 Tripura:71 RPCL:52 Solar:0) at 24:00 on 08-01-2022</v>
      </c>
      <c r="E27" s="5315"/>
      <c r="F27" s="165" t="str">
        <f>"From NLDC: Hourly Generation: "&amp;B27&amp;" MW and Load Shed: 0 MW at 24:00 on "&amp;TEXT((FWise!C2),"dd-mm-yyyy")</f>
        <v>From NLDC: Hourly Generation: 6677 MW and Load Shed: 0 MW at 24:00 on 08-01-2022</v>
      </c>
    </row>
    <row r="28" spans="1:6">
      <c r="A28" s="5311" t="str">
        <f>FWise!N27</f>
        <v>Evn. peak</v>
      </c>
      <c r="B28" s="5312"/>
      <c r="C28" s="90"/>
    </row>
    <row r="29" spans="1:6" ht="15.75">
      <c r="A29" s="159"/>
      <c r="B29" s="1419">
        <f>FWise!N28</f>
        <v>8218</v>
      </c>
      <c r="C29" s="90"/>
      <c r="D29" s="1834" t="str">
        <f ca="1">IF(B29&lt;&gt;"",IF(HOUR(NOW())&lt;12,IF(TODAY()-1&lt;&gt;FWise!C9,"-------------------------------Correct Date-----------------------------------",""),""),"")</f>
        <v/>
      </c>
    </row>
    <row r="30" spans="1:6">
      <c r="A30" s="5311" t="str">
        <f>FWise!N10</f>
        <v>Minimum</v>
      </c>
      <c r="B30" s="5312"/>
      <c r="C30" s="90"/>
      <c r="E30" s="1417"/>
      <c r="F30" s="1418"/>
    </row>
    <row r="31" spans="1:6">
      <c r="A31" s="159"/>
      <c r="B31" s="1419">
        <f>FWise!N11</f>
        <v>5475</v>
      </c>
      <c r="C31" s="90"/>
    </row>
    <row r="32" spans="1:6">
      <c r="A32" s="5311" t="str">
        <f>FWise!N16</f>
        <v>Day peak</v>
      </c>
      <c r="B32" s="5312"/>
      <c r="C32" s="86"/>
    </row>
    <row r="33" spans="1:3">
      <c r="A33" s="159"/>
      <c r="B33" s="1416">
        <f>FWise!N17</f>
        <v>6987</v>
      </c>
      <c r="C33" s="86"/>
    </row>
    <row r="34" spans="1:3">
      <c r="A34" s="87"/>
      <c r="B34" s="86"/>
      <c r="C34" s="86"/>
    </row>
    <row r="35" spans="1:3">
      <c r="A35" s="87"/>
      <c r="B35" s="86"/>
      <c r="C35" s="86"/>
    </row>
  </sheetData>
  <customSheetViews>
    <customSheetView guid="{7C71EF2A-5ADA-494C-8F58-DDA71753DD90}" showPageBreaks="1">
      <pane xSplit="3" ySplit="1" topLeftCell="D2" activePane="bottomRight" state="frozen"/>
      <selection pane="bottomRight" activeCell="D2" sqref="D2"/>
      <pageMargins left="0.7" right="0.7" top="0.75" bottom="0.75" header="0.3" footer="0.3"/>
      <pageSetup orientation="portrait" r:id="rId1"/>
    </customSheetView>
    <customSheetView guid="{B91C2E87-5EDA-40AE-AC27-0E2C17E803CE}" showPageBreaks="1">
      <pane xSplit="3" ySplit="1" topLeftCell="D2" activePane="bottomRight" state="frozen"/>
      <selection pane="bottomRight" activeCell="F15" sqref="F15"/>
      <pageMargins left="0.7" right="0.7" top="0.75" bottom="0.75" header="0.3" footer="0.3"/>
      <pageSetup orientation="portrait" r:id="rId2"/>
    </customSheetView>
    <customSheetView guid="{23F4DC00-BC97-4745-AA5C-F05D469CB1EF}" scale="90" showPageBreaks="1" printArea="1">
      <pane xSplit="3" ySplit="1" topLeftCell="D2" activePane="bottomRight" state="frozen"/>
      <selection pane="bottomRight" activeCell="D18" sqref="D18"/>
      <pageMargins left="0.7" right="0.7" top="0.75" bottom="0.75" header="0.3" footer="0.3"/>
      <pageSetup orientation="portrait" r:id="rId3"/>
    </customSheetView>
    <customSheetView guid="{4593F3EE-0998-4E0E-994A-E02D6BAF3A4B}" showPageBreaks="1">
      <pane xSplit="3" ySplit="1" topLeftCell="D2" activePane="bottomRight" state="frozen"/>
      <selection pane="bottomRight" activeCell="D30" sqref="D30"/>
      <pageMargins left="0.7" right="0.7" top="0.75" bottom="0.75" header="0.3" footer="0.3"/>
      <pageSetup orientation="portrait" r:id="rId4"/>
    </customSheetView>
    <customSheetView guid="{917057C8-5E5F-4164-B84C-85103677A2E5}">
      <pane xSplit="3" ySplit="1" topLeftCell="D2" activePane="bottomRight" state="frozen"/>
      <selection pane="bottomRight" activeCell="D15" sqref="D15"/>
      <pageMargins left="0.7" right="0.7" top="0.75" bottom="0.75" header="0.3" footer="0.3"/>
      <pageSetup orientation="portrait" r:id="rId5"/>
    </customSheetView>
    <customSheetView guid="{5A803268-F6C5-4035-B3E1-A94CB9AA8994}" showPageBreaks="1">
      <pane xSplit="3" ySplit="1" topLeftCell="D2" activePane="bottomRight" state="frozen"/>
      <selection pane="bottomRight" activeCell="D2" sqref="D2"/>
      <pageMargins left="0.7" right="0.7" top="0.75" bottom="0.75" header="0.3" footer="0.3"/>
      <pageSetup orientation="portrait" r:id="rId6"/>
    </customSheetView>
    <customSheetView guid="{751D391F-C74F-4B53-B5B5-25E01AC12EA4}">
      <pane xSplit="1" ySplit="1" topLeftCell="D2" activePane="bottomRight" state="frozen"/>
      <selection pane="bottomRight" activeCell="D9" sqref="D9"/>
      <pageMargins left="0.7" right="0.7" top="0.75" bottom="0.75" header="0.3" footer="0.3"/>
      <pageSetup orientation="portrait" r:id="rId7"/>
    </customSheetView>
    <customSheetView guid="{D1D1E152-95AB-45D3-AC07-4EC0834D3E0C}">
      <pane xSplit="1" ySplit="1" topLeftCell="D2" activePane="bottomRight" state="frozen"/>
      <selection pane="bottomRight" activeCell="D9" sqref="D9"/>
      <pageMargins left="0.7" right="0.7" top="0.75" bottom="0.75" header="0.3" footer="0.3"/>
      <pageSetup orientation="portrait" r:id="rId8"/>
    </customSheetView>
    <customSheetView guid="{4DB6C640-CE65-4513-9E5A-F6CDD1F4B8AF}" showPageBreaks="1">
      <pane xSplit="1" ySplit="1" topLeftCell="D24" activePane="bottomRight" state="frozen"/>
      <selection pane="bottomRight" activeCell="D37" sqref="D37"/>
      <pageMargins left="0.7" right="0.7" top="0.75" bottom="0.75" header="0.3" footer="0.3"/>
      <pageSetup orientation="portrait" r:id="rId9"/>
    </customSheetView>
    <customSheetView guid="{C3348F62-02F2-4500-9BF2-19F2DEA57A8D}" showPageBreaks="1">
      <pane xSplit="1" ySplit="1" topLeftCell="D2" activePane="bottomRight" state="frozen"/>
      <selection pane="bottomRight" activeCell="M22" sqref="M22"/>
      <pageMargins left="0.7" right="0.7" top="0.75" bottom="0.75" header="0.3" footer="0.3"/>
      <pageSetup orientation="portrait" r:id="rId10"/>
    </customSheetView>
  </customSheetViews>
  <mergeCells count="5">
    <mergeCell ref="A1:D1"/>
    <mergeCell ref="A28:B28"/>
    <mergeCell ref="A30:B30"/>
    <mergeCell ref="A32:B32"/>
    <mergeCell ref="E17:E27"/>
  </mergeCells>
  <conditionalFormatting sqref="B2:B27">
    <cfRule type="cellIs" dxfId="2" priority="1" operator="equal">
      <formula>$B$33</formula>
    </cfRule>
    <cfRule type="cellIs" dxfId="1" priority="2" operator="equal">
      <formula>$B$31</formula>
    </cfRule>
    <cfRule type="cellIs" dxfId="0" priority="3" operator="equal">
      <formula>$B$29</formula>
    </cfRule>
  </conditionalFormatting>
  <pageMargins left="0.7" right="0.7" top="0.75" bottom="0.75" header="0.3" footer="0.3"/>
  <pageSetup orientation="portrait" r:id="rId1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4"/>
  <dimension ref="D2:F18"/>
  <sheetViews>
    <sheetView workbookViewId="0">
      <selection activeCell="N23" sqref="N23"/>
    </sheetView>
  </sheetViews>
  <sheetFormatPr defaultRowHeight="15"/>
  <cols>
    <col min="5" max="5" width="39.140625" customWidth="1"/>
    <col min="6" max="6" width="14" customWidth="1"/>
    <col min="12" max="12" width="9.140625" customWidth="1"/>
    <col min="23" max="23" width="9.140625" customWidth="1"/>
  </cols>
  <sheetData>
    <row r="2" spans="4:6" ht="33" customHeight="1">
      <c r="E2" s="1234" t="s">
        <v>859</v>
      </c>
    </row>
    <row r="4" spans="4:6" ht="23.25">
      <c r="D4" s="1163" t="s">
        <v>840</v>
      </c>
      <c r="E4" s="1979">
        <f>GEntry!A2</f>
        <v>43107</v>
      </c>
      <c r="F4" s="1164">
        <f>GEntry!A12</f>
        <v>0.375</v>
      </c>
    </row>
    <row r="5" spans="4:6" ht="23.25">
      <c r="D5" s="1165">
        <v>1</v>
      </c>
      <c r="E5" s="1166" t="s">
        <v>841</v>
      </c>
      <c r="F5" s="1167">
        <f>GEntry!R12</f>
        <v>0</v>
      </c>
    </row>
    <row r="6" spans="4:6" ht="26.25">
      <c r="D6" s="1165">
        <v>2</v>
      </c>
      <c r="E6" s="1166" t="s">
        <v>842</v>
      </c>
      <c r="F6" s="1168">
        <f>GEntry!S12</f>
        <v>0</v>
      </c>
    </row>
    <row r="7" spans="4:6" ht="26.25">
      <c r="D7" s="1165">
        <v>3</v>
      </c>
      <c r="E7" s="1169" t="s">
        <v>843</v>
      </c>
      <c r="F7" s="1168">
        <f>GEntry!AN12</f>
        <v>0</v>
      </c>
    </row>
    <row r="8" spans="4:6" ht="26.25">
      <c r="D8" s="1165">
        <v>4</v>
      </c>
      <c r="E8" s="1169" t="s">
        <v>844</v>
      </c>
      <c r="F8" s="1168">
        <f>GEntry!AQ12</f>
        <v>273</v>
      </c>
    </row>
    <row r="9" spans="4:6" ht="26.25">
      <c r="D9" s="1165">
        <v>5</v>
      </c>
      <c r="E9" s="1169" t="s">
        <v>845</v>
      </c>
      <c r="F9" s="1168">
        <f>GEntry!AP12</f>
        <v>180</v>
      </c>
    </row>
    <row r="10" spans="4:6" ht="26.25">
      <c r="D10" s="1165">
        <v>6</v>
      </c>
      <c r="E10" s="1169" t="s">
        <v>846</v>
      </c>
      <c r="F10" s="1168">
        <f>GEntry!BX12</f>
        <v>16</v>
      </c>
    </row>
    <row r="11" spans="4:6" ht="26.25">
      <c r="D11" s="1165">
        <v>7</v>
      </c>
      <c r="E11" s="1169" t="s">
        <v>847</v>
      </c>
      <c r="F11" s="1168">
        <f>GEntry!CL12</f>
        <v>0</v>
      </c>
    </row>
    <row r="12" spans="4:6" ht="26.25">
      <c r="D12" s="1165">
        <v>8</v>
      </c>
      <c r="E12" s="1169" t="s">
        <v>848</v>
      </c>
      <c r="F12" s="1168">
        <f>GEntry!CQ12</f>
        <v>0</v>
      </c>
    </row>
    <row r="13" spans="4:6" ht="26.25">
      <c r="D13" s="1165">
        <v>9</v>
      </c>
      <c r="E13" s="1169" t="s">
        <v>849</v>
      </c>
      <c r="F13" s="1168">
        <f>GEntry!CC12</f>
        <v>0</v>
      </c>
    </row>
    <row r="14" spans="4:6" ht="26.25">
      <c r="D14" s="1165">
        <v>10</v>
      </c>
      <c r="E14" s="1169" t="s">
        <v>1187</v>
      </c>
      <c r="F14" s="1168">
        <f>GEntry!AO12</f>
        <v>0</v>
      </c>
    </row>
    <row r="15" spans="4:6" ht="26.25">
      <c r="D15" s="1165">
        <v>11</v>
      </c>
      <c r="E15" s="1169" t="s">
        <v>850</v>
      </c>
      <c r="F15" s="1168">
        <f>GEntry!CX12</f>
        <v>40</v>
      </c>
    </row>
    <row r="17" spans="6:6">
      <c r="F17" s="3136">
        <f>SUM(F5:F16)</f>
        <v>509</v>
      </c>
    </row>
    <row r="18" spans="6:6">
      <c r="F18" s="138"/>
    </row>
  </sheetData>
  <customSheetViews>
    <customSheetView guid="{7C71EF2A-5ADA-494C-8F58-DDA71753DD90}" showPageBreaks="1">
      <selection activeCell="A8" sqref="A8"/>
      <pageMargins left="0.7" right="0.7" top="2" bottom="0.75" header="0.3" footer="0.3"/>
      <printOptions horizontalCentered="1"/>
      <pageSetup orientation="portrait" r:id="rId1"/>
    </customSheetView>
    <customSheetView guid="{B91C2E87-5EDA-40AE-AC27-0E2C17E803CE}" showPageBreaks="1" printArea="1">
      <selection activeCell="A11" sqref="A11:XFD11"/>
      <pageMargins left="0.7" right="0.7" top="2" bottom="0.75" header="0.3" footer="0.3"/>
      <printOptions horizontalCentered="1"/>
      <pageSetup orientation="portrait" r:id="rId2"/>
    </customSheetView>
    <customSheetView guid="{23F4DC00-BC97-4745-AA5C-F05D469CB1EF}" showPageBreaks="1" printArea="1">
      <selection activeCell="F21" sqref="F21"/>
      <pageMargins left="0.7" right="0.7" top="2" bottom="0.75" header="0.3" footer="0.3"/>
      <printOptions horizontalCentered="1"/>
      <pageSetup orientation="portrait" r:id="rId3"/>
    </customSheetView>
    <customSheetView guid="{4593F3EE-0998-4E0E-994A-E02D6BAF3A4B}" showPageBreaks="1" printArea="1">
      <selection activeCell="F21" sqref="F21"/>
      <pageMargins left="0.7" right="0.7" top="2" bottom="0.75" header="0.3" footer="0.3"/>
      <printOptions horizontalCentered="1"/>
      <pageSetup orientation="portrait" r:id="rId4"/>
    </customSheetView>
    <customSheetView guid="{917057C8-5E5F-4164-B84C-85103677A2E5}">
      <selection activeCell="F19" sqref="F19"/>
      <pageMargins left="0.7" right="0.7" top="2" bottom="0.75" header="0.3" footer="0.3"/>
      <printOptions horizontalCentered="1"/>
      <pageSetup orientation="portrait" r:id="rId5"/>
    </customSheetView>
    <customSheetView guid="{5A803268-F6C5-4035-B3E1-A94CB9AA8994}" showPageBreaks="1" printArea="1">
      <selection activeCell="F21" sqref="F21"/>
      <pageMargins left="0.7" right="0.7" top="2" bottom="0.75" header="0.3" footer="0.3"/>
      <printOptions horizontalCentered="1"/>
      <pageSetup orientation="portrait" r:id="rId6"/>
    </customSheetView>
    <customSheetView guid="{751D391F-C74F-4B53-B5B5-25E01AC12EA4}">
      <selection activeCell="G5" sqref="G5"/>
      <pageMargins left="0.7" right="0.7" top="2" bottom="0.75" header="0.3" footer="0.3"/>
      <printOptions horizontalCentered="1"/>
      <pageSetup orientation="portrait" r:id="rId7"/>
    </customSheetView>
    <customSheetView guid="{D1D1E152-95AB-45D3-AC07-4EC0834D3E0C}">
      <selection activeCell="O15" sqref="O15"/>
      <pageMargins left="0.7" right="0.7" top="2" bottom="0.75" header="0.3" footer="0.3"/>
      <printOptions horizontalCentered="1"/>
      <pageSetup orientation="portrait" r:id="rId8"/>
    </customSheetView>
    <customSheetView guid="{4DB6C640-CE65-4513-9E5A-F6CDD1F4B8AF}">
      <selection activeCell="A23" sqref="A23:XFD23"/>
      <pageMargins left="0.7" right="0.7" top="2" bottom="0.75" header="0.3" footer="0.3"/>
      <printOptions horizontalCentered="1"/>
      <pageSetup orientation="portrait" r:id="rId9"/>
    </customSheetView>
    <customSheetView guid="{C3348F62-02F2-4500-9BF2-19F2DEA57A8D}" showPageBreaks="1">
      <selection activeCell="N23" sqref="N23"/>
      <pageMargins left="0.7" right="0.7" top="2" bottom="0.75" header="0.3" footer="0.3"/>
      <printOptions horizontalCentered="1"/>
      <pageSetup orientation="portrait" r:id="rId10"/>
    </customSheetView>
  </customSheetViews>
  <printOptions horizontalCentered="1"/>
  <pageMargins left="0.7" right="0.7" top="2" bottom="0.75" header="0.3" footer="0.3"/>
  <pageSetup orientation="portrait" r:id="rId1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7">
    <tabColor theme="5" tint="-0.249977111117893"/>
  </sheetPr>
  <dimension ref="A1:M30"/>
  <sheetViews>
    <sheetView workbookViewId="0">
      <selection activeCell="M22" sqref="M22"/>
    </sheetView>
  </sheetViews>
  <sheetFormatPr defaultColWidth="9.140625" defaultRowHeight="15"/>
  <cols>
    <col min="1" max="1" width="18.42578125" style="6" customWidth="1"/>
    <col min="2" max="2" width="11.85546875" style="6" customWidth="1"/>
    <col min="3" max="3" width="12.85546875" style="6" customWidth="1"/>
    <col min="4" max="4" width="10.5703125" style="6" customWidth="1"/>
    <col min="5" max="5" width="11.85546875" style="6" customWidth="1"/>
    <col min="6" max="6" width="17" style="6" customWidth="1"/>
    <col min="7" max="7" width="7.140625" style="6" customWidth="1"/>
    <col min="8" max="9" width="9.140625" style="6"/>
    <col min="10" max="11" width="19.5703125" style="6" customWidth="1"/>
    <col min="12" max="12" width="24.140625" style="6" customWidth="1"/>
    <col min="13" max="16384" width="9.140625" style="6"/>
  </cols>
  <sheetData>
    <row r="1" spans="1:13" ht="22.5">
      <c r="A1" s="510"/>
      <c r="B1" s="510"/>
      <c r="C1" s="510"/>
      <c r="D1" s="510"/>
      <c r="E1" s="510"/>
      <c r="F1" s="510"/>
      <c r="G1" s="510"/>
      <c r="H1" s="511"/>
      <c r="I1" s="511"/>
      <c r="J1" s="511"/>
      <c r="K1" s="511"/>
      <c r="L1" s="511"/>
      <c r="M1" s="511"/>
    </row>
    <row r="2" spans="1:13" ht="18.75">
      <c r="A2" s="512" t="s">
        <v>643</v>
      </c>
      <c r="B2" s="512"/>
      <c r="C2" s="512"/>
      <c r="D2" s="512"/>
      <c r="E2" s="512"/>
      <c r="F2" s="512"/>
      <c r="G2" s="512"/>
      <c r="H2" s="511"/>
      <c r="I2" s="511"/>
      <c r="J2" s="971"/>
      <c r="K2" s="972"/>
      <c r="L2" s="973"/>
      <c r="M2" s="511"/>
    </row>
    <row r="3" spans="1:13" ht="18.75">
      <c r="A3" s="513"/>
      <c r="B3" s="513"/>
      <c r="C3" s="513"/>
      <c r="D3" s="513"/>
      <c r="E3" s="513"/>
      <c r="F3" s="513"/>
      <c r="G3" s="513"/>
      <c r="H3" s="511"/>
      <c r="I3" s="511"/>
      <c r="J3" s="974"/>
      <c r="K3" s="975"/>
      <c r="L3" s="976"/>
      <c r="M3" s="511"/>
    </row>
    <row r="4" spans="1:13" ht="17.25">
      <c r="A4" s="514" t="s">
        <v>644</v>
      </c>
      <c r="B4" s="514"/>
      <c r="C4" s="514"/>
      <c r="D4" s="514"/>
      <c r="E4" s="514"/>
      <c r="F4" s="514"/>
      <c r="G4" s="514"/>
      <c r="H4" s="511"/>
      <c r="I4" s="511"/>
      <c r="J4" s="974" t="s">
        <v>645</v>
      </c>
      <c r="K4" s="975"/>
      <c r="L4" s="976"/>
      <c r="M4" s="511"/>
    </row>
    <row r="5" spans="1:13" ht="16.5">
      <c r="A5" s="515" t="s">
        <v>646</v>
      </c>
      <c r="B5" s="515"/>
      <c r="C5" s="516">
        <f>Forecast!E3</f>
        <v>43107</v>
      </c>
      <c r="D5" s="515"/>
      <c r="E5" s="515"/>
      <c r="F5" s="515"/>
      <c r="G5" s="515"/>
      <c r="H5" s="511"/>
      <c r="I5" s="511"/>
      <c r="J5" s="974"/>
      <c r="K5" s="975"/>
      <c r="L5" s="976"/>
      <c r="M5" s="511"/>
    </row>
    <row r="6" spans="1:13" ht="16.5">
      <c r="A6" s="511"/>
      <c r="B6" s="517"/>
      <c r="C6" s="511"/>
      <c r="D6" s="511"/>
      <c r="E6" s="511"/>
      <c r="F6" s="511"/>
      <c r="G6" s="511"/>
      <c r="H6" s="511"/>
      <c r="I6" s="511"/>
      <c r="J6" s="977"/>
      <c r="K6" s="978"/>
      <c r="L6" s="979"/>
      <c r="M6" s="511"/>
    </row>
    <row r="7" spans="1:13" ht="16.5">
      <c r="A7" s="518"/>
      <c r="B7" s="519"/>
      <c r="C7" s="519"/>
      <c r="D7" s="519"/>
      <c r="E7" s="520"/>
      <c r="F7" s="520"/>
      <c r="G7" s="520"/>
      <c r="H7" s="511"/>
      <c r="I7" s="511"/>
      <c r="J7" s="5316" t="s">
        <v>647</v>
      </c>
      <c r="K7" s="5316" t="s">
        <v>648</v>
      </c>
      <c r="L7" s="5316"/>
      <c r="M7" s="511"/>
    </row>
    <row r="8" spans="1:13" ht="16.5">
      <c r="A8" s="521"/>
      <c r="B8" s="522" t="s">
        <v>649</v>
      </c>
      <c r="C8" s="523"/>
      <c r="D8" s="524"/>
      <c r="E8" s="522" t="s">
        <v>650</v>
      </c>
      <c r="F8" s="523"/>
      <c r="G8" s="524"/>
      <c r="H8" s="511"/>
      <c r="I8" s="511"/>
      <c r="J8" s="5316"/>
      <c r="K8" s="525" t="s">
        <v>651</v>
      </c>
      <c r="L8" s="525" t="s">
        <v>652</v>
      </c>
      <c r="M8" s="511"/>
    </row>
    <row r="9" spans="1:13" ht="31.5">
      <c r="A9" s="526" t="s">
        <v>647</v>
      </c>
      <c r="B9" s="527" t="s">
        <v>653</v>
      </c>
      <c r="C9" s="527" t="s">
        <v>654</v>
      </c>
      <c r="D9" s="527" t="s">
        <v>655</v>
      </c>
      <c r="E9" s="527" t="s">
        <v>653</v>
      </c>
      <c r="F9" s="527" t="s">
        <v>654</v>
      </c>
      <c r="G9" s="527" t="s">
        <v>655</v>
      </c>
      <c r="H9" s="511"/>
      <c r="I9" s="511"/>
      <c r="J9" s="528" t="s">
        <v>10</v>
      </c>
      <c r="K9" s="529">
        <v>0.39500000000000002</v>
      </c>
      <c r="L9" s="529">
        <v>0.39500000000000002</v>
      </c>
      <c r="M9" s="511"/>
    </row>
    <row r="10" spans="1:13" ht="16.5">
      <c r="A10" s="530" t="s">
        <v>10</v>
      </c>
      <c r="B10" s="531">
        <f>K9*L21</f>
        <v>3455.1045000000004</v>
      </c>
      <c r="C10" s="532">
        <v>3455</v>
      </c>
      <c r="D10" s="531">
        <f t="shared" ref="D10:D18" si="0">B10-C10</f>
        <v>0.10450000000037107</v>
      </c>
      <c r="E10" s="531">
        <f>Forecast!W190</f>
        <v>3341.4028023850087</v>
      </c>
      <c r="F10" s="531">
        <f>IF(G10=0,E10,Forecast!X190)</f>
        <v>3341.4028023850087</v>
      </c>
      <c r="G10" s="531">
        <f>Forecast!Y190</f>
        <v>0</v>
      </c>
      <c r="H10" s="511"/>
      <c r="I10" s="511"/>
      <c r="J10" s="528" t="s">
        <v>333</v>
      </c>
      <c r="K10" s="529">
        <v>0.1103</v>
      </c>
      <c r="L10" s="529">
        <v>0.1103</v>
      </c>
      <c r="M10" s="511"/>
    </row>
    <row r="11" spans="1:13" ht="16.5">
      <c r="A11" s="530" t="s">
        <v>333</v>
      </c>
      <c r="B11" s="531">
        <f>K10*L21</f>
        <v>964.80512999999996</v>
      </c>
      <c r="C11" s="532">
        <v>964.80512999999996</v>
      </c>
      <c r="D11" s="531">
        <f t="shared" si="0"/>
        <v>0</v>
      </c>
      <c r="E11" s="531">
        <f>Forecast!W191</f>
        <v>1131.8644463373084</v>
      </c>
      <c r="F11" s="531">
        <f>IF(G11=0,E11,Forecast!X191)</f>
        <v>1131.8644463373084</v>
      </c>
      <c r="G11" s="531">
        <f>Forecast!Y191</f>
        <v>0</v>
      </c>
      <c r="H11" s="511"/>
      <c r="I11" s="511"/>
      <c r="J11" s="528" t="s">
        <v>334</v>
      </c>
      <c r="K11" s="529">
        <v>0.12470000000000001</v>
      </c>
      <c r="L11" s="529">
        <v>0.12470000000000001</v>
      </c>
      <c r="M11" s="511"/>
    </row>
    <row r="12" spans="1:13" ht="16.5">
      <c r="A12" s="530" t="s">
        <v>334</v>
      </c>
      <c r="B12" s="531">
        <f>K11*L21</f>
        <v>1090.7633700000001</v>
      </c>
      <c r="C12" s="532">
        <v>1090.7633700000001</v>
      </c>
      <c r="D12" s="531">
        <f t="shared" si="0"/>
        <v>0</v>
      </c>
      <c r="E12" s="531">
        <f>Forecast!W192</f>
        <v>1013.329454855196</v>
      </c>
      <c r="F12" s="531">
        <f>IF(G12=0,E12,Forecast!X192)</f>
        <v>1013.329454855196</v>
      </c>
      <c r="G12" s="531">
        <f>Forecast!Y192</f>
        <v>0</v>
      </c>
      <c r="H12" s="511"/>
      <c r="I12" s="511"/>
      <c r="J12" s="528" t="s">
        <v>337</v>
      </c>
      <c r="K12" s="529">
        <v>0.1142</v>
      </c>
      <c r="L12" s="529">
        <v>0.1142</v>
      </c>
      <c r="M12" s="511"/>
    </row>
    <row r="13" spans="1:13" ht="16.5">
      <c r="A13" s="530" t="s">
        <v>337</v>
      </c>
      <c r="B13" s="531">
        <f>K12*L21</f>
        <v>998.91881999999998</v>
      </c>
      <c r="C13" s="532">
        <v>998.91881999999998</v>
      </c>
      <c r="D13" s="531">
        <f t="shared" si="0"/>
        <v>0</v>
      </c>
      <c r="E13" s="531">
        <f>Forecast!W193</f>
        <v>915.35043867120953</v>
      </c>
      <c r="F13" s="531">
        <f>IF(G13=0,E13,Forecast!X193)</f>
        <v>915.35043867120953</v>
      </c>
      <c r="G13" s="531">
        <f>Forecast!Y193</f>
        <v>0</v>
      </c>
      <c r="H13" s="511"/>
      <c r="I13" s="511"/>
      <c r="J13" s="528" t="s">
        <v>9</v>
      </c>
      <c r="K13" s="529">
        <v>7.5999999999999998E-2</v>
      </c>
      <c r="L13" s="529">
        <v>7.5999999999999998E-2</v>
      </c>
      <c r="M13" s="511"/>
    </row>
    <row r="14" spans="1:13" ht="16.5">
      <c r="A14" s="530" t="s">
        <v>9</v>
      </c>
      <c r="B14" s="531">
        <f>K13*L21</f>
        <v>664.77959999999996</v>
      </c>
      <c r="C14" s="532">
        <v>664.77959999999996</v>
      </c>
      <c r="D14" s="531">
        <f t="shared" si="0"/>
        <v>0</v>
      </c>
      <c r="E14" s="531">
        <f>Forecast!W194</f>
        <v>827.34235945485534</v>
      </c>
      <c r="F14" s="531">
        <f>IF(G14=0,E14,Forecast!X194)</f>
        <v>827.34235945485534</v>
      </c>
      <c r="G14" s="531">
        <f>Forecast!Y194</f>
        <v>0</v>
      </c>
      <c r="H14" s="511"/>
      <c r="I14" s="511"/>
      <c r="J14" s="528" t="s">
        <v>346</v>
      </c>
      <c r="K14" s="529">
        <v>5.62E-2</v>
      </c>
      <c r="L14" s="529">
        <v>5.62E-2</v>
      </c>
      <c r="M14" s="511"/>
    </row>
    <row r="15" spans="1:13" ht="16.5">
      <c r="A15" s="530" t="s">
        <v>106</v>
      </c>
      <c r="B15" s="531">
        <f>K14*L21</f>
        <v>491.58702</v>
      </c>
      <c r="C15" s="532">
        <v>491.58702</v>
      </c>
      <c r="D15" s="531">
        <f t="shared" si="0"/>
        <v>0</v>
      </c>
      <c r="E15" s="531">
        <f>Forecast!W195</f>
        <v>667.62491056218062</v>
      </c>
      <c r="F15" s="531">
        <f>IF(G15=0,E15,Forecast!X195)</f>
        <v>667.62491056218062</v>
      </c>
      <c r="G15" s="531">
        <f>Forecast!Y195</f>
        <v>0</v>
      </c>
      <c r="H15" s="511"/>
      <c r="I15" s="511"/>
      <c r="J15" s="528" t="s">
        <v>345</v>
      </c>
      <c r="K15" s="529">
        <v>4.5900000000000003E-2</v>
      </c>
      <c r="L15" s="529">
        <v>4.5900000000000003E-2</v>
      </c>
      <c r="M15" s="511"/>
    </row>
    <row r="16" spans="1:13" ht="16.5">
      <c r="A16" s="530" t="s">
        <v>345</v>
      </c>
      <c r="B16" s="531">
        <f>K15*L21</f>
        <v>401.49189000000007</v>
      </c>
      <c r="C16" s="532">
        <v>401.49189000000007</v>
      </c>
      <c r="D16" s="531">
        <f t="shared" si="0"/>
        <v>0</v>
      </c>
      <c r="E16" s="531">
        <f>Forecast!W196</f>
        <v>378.96181005110731</v>
      </c>
      <c r="F16" s="531">
        <f>IF(G16=0,E16,Forecast!X196)</f>
        <v>378.96181005110731</v>
      </c>
      <c r="G16" s="531">
        <f>Forecast!Y196</f>
        <v>0</v>
      </c>
      <c r="H16" s="511"/>
      <c r="I16" s="511"/>
      <c r="J16" s="528" t="s">
        <v>349</v>
      </c>
      <c r="K16" s="529">
        <v>0.02</v>
      </c>
      <c r="L16" s="529">
        <v>0.02</v>
      </c>
      <c r="M16" s="511"/>
    </row>
    <row r="17" spans="1:13" ht="16.5">
      <c r="A17" s="530" t="s">
        <v>349</v>
      </c>
      <c r="B17" s="531">
        <f>K16*L21</f>
        <v>174.94200000000001</v>
      </c>
      <c r="C17" s="532">
        <v>174.94200000000001</v>
      </c>
      <c r="D17" s="531">
        <f t="shared" si="0"/>
        <v>0</v>
      </c>
      <c r="E17" s="531">
        <f>Forecast!W197</f>
        <v>172.04522146507665</v>
      </c>
      <c r="F17" s="531">
        <f>IF(G17=0,E17,Forecast!X197)</f>
        <v>172.04522146507665</v>
      </c>
      <c r="G17" s="531">
        <f>Forecast!Y197</f>
        <v>0</v>
      </c>
      <c r="H17" s="511"/>
      <c r="I17" s="511"/>
      <c r="J17" s="528" t="s">
        <v>351</v>
      </c>
      <c r="K17" s="529">
        <v>5.7700000000000001E-2</v>
      </c>
      <c r="L17" s="529">
        <v>5.7700000000000001E-2</v>
      </c>
      <c r="M17" s="511"/>
    </row>
    <row r="18" spans="1:13" ht="16.5">
      <c r="A18" s="530" t="s">
        <v>351</v>
      </c>
      <c r="B18" s="531">
        <f>K17*L21</f>
        <v>504.70767000000001</v>
      </c>
      <c r="C18" s="532">
        <v>504.70767000000001</v>
      </c>
      <c r="D18" s="531">
        <f t="shared" si="0"/>
        <v>0</v>
      </c>
      <c r="E18" s="531">
        <f>Forecast!W198</f>
        <v>514.87839863713793</v>
      </c>
      <c r="F18" s="531">
        <f>IF(G18=0,E18,Forecast!X198)</f>
        <v>514.87839863713793</v>
      </c>
      <c r="G18" s="531">
        <f>Forecast!Y198</f>
        <v>0</v>
      </c>
      <c r="H18" s="511"/>
      <c r="I18" s="511"/>
      <c r="J18" s="980" t="s">
        <v>12</v>
      </c>
      <c r="K18" s="981">
        <v>1</v>
      </c>
      <c r="L18" s="982">
        <v>1</v>
      </c>
      <c r="M18" s="511"/>
    </row>
    <row r="19" spans="1:13" ht="16.5">
      <c r="A19" s="533" t="s">
        <v>656</v>
      </c>
      <c r="B19" s="534">
        <f>SUM(B10:B18)</f>
        <v>8747.1</v>
      </c>
      <c r="C19" s="534">
        <f>SUM(C10:C18)</f>
        <v>8746.9954999999991</v>
      </c>
      <c r="D19" s="534">
        <v>0</v>
      </c>
      <c r="E19" s="534">
        <f>SUM(E10:E18)</f>
        <v>8962.7998424190791</v>
      </c>
      <c r="F19" s="534">
        <f>SUM(F10:F18)</f>
        <v>8962.7998424190791</v>
      </c>
      <c r="G19" s="534">
        <f>SUM(G10:G18)</f>
        <v>0</v>
      </c>
      <c r="H19" s="511"/>
      <c r="I19" s="511"/>
      <c r="J19" s="5316" t="s">
        <v>657</v>
      </c>
      <c r="K19" s="5316"/>
      <c r="L19" s="5316"/>
      <c r="M19" s="511"/>
    </row>
    <row r="20" spans="1:13" ht="16.5">
      <c r="A20" s="511"/>
      <c r="B20" s="511"/>
      <c r="C20" s="511"/>
      <c r="D20" s="511"/>
      <c r="E20" s="511"/>
      <c r="F20" s="511"/>
      <c r="G20" s="511"/>
      <c r="H20" s="511"/>
      <c r="I20" s="511"/>
      <c r="J20" s="525"/>
      <c r="K20" s="525" t="s">
        <v>658</v>
      </c>
      <c r="L20" s="525" t="s">
        <v>659</v>
      </c>
      <c r="M20" s="511"/>
    </row>
    <row r="21" spans="1:13" ht="16.5">
      <c r="A21" s="511"/>
      <c r="B21" s="511"/>
      <c r="C21" s="511"/>
      <c r="D21" s="511"/>
      <c r="E21" s="511"/>
      <c r="F21" s="511"/>
      <c r="G21" s="511"/>
      <c r="H21" s="511"/>
      <c r="I21" s="511"/>
      <c r="J21" s="525" t="s">
        <v>119</v>
      </c>
      <c r="K21" s="535">
        <v>9719</v>
      </c>
      <c r="L21" s="525">
        <f>0.9*K21</f>
        <v>8747.1</v>
      </c>
      <c r="M21" s="511"/>
    </row>
    <row r="22" spans="1:13" ht="16.5">
      <c r="A22" s="511"/>
      <c r="B22" s="511"/>
      <c r="C22" s="511" t="s">
        <v>375</v>
      </c>
      <c r="D22" s="511"/>
      <c r="E22" s="511"/>
      <c r="F22" s="511"/>
      <c r="G22" s="511"/>
      <c r="H22" s="511"/>
      <c r="I22" s="511"/>
      <c r="J22" s="525" t="s">
        <v>118</v>
      </c>
      <c r="K22" s="536">
        <v>11500</v>
      </c>
      <c r="L22" s="525">
        <f>0.9*K22</f>
        <v>10350</v>
      </c>
      <c r="M22" s="511"/>
    </row>
    <row r="23" spans="1:13" ht="16.5">
      <c r="A23" s="511"/>
      <c r="B23" s="511"/>
      <c r="C23" s="511"/>
      <c r="D23" s="511"/>
      <c r="E23" s="511"/>
      <c r="F23" s="511"/>
      <c r="G23" s="511"/>
      <c r="H23" s="511"/>
      <c r="I23" s="511"/>
      <c r="J23" s="511"/>
      <c r="K23" s="511"/>
      <c r="L23" s="511"/>
      <c r="M23" s="511"/>
    </row>
    <row r="24" spans="1:13" ht="16.5">
      <c r="A24" s="511"/>
      <c r="B24" s="511"/>
      <c r="C24" s="511"/>
      <c r="D24" s="511"/>
      <c r="E24" s="511"/>
      <c r="F24" s="511"/>
      <c r="G24" s="511" t="s">
        <v>660</v>
      </c>
      <c r="H24" s="511"/>
      <c r="I24" s="511"/>
      <c r="J24" s="511"/>
      <c r="K24" s="511"/>
      <c r="L24" s="511"/>
      <c r="M24" s="511"/>
    </row>
    <row r="25" spans="1:13" ht="16.5">
      <c r="A25" s="511"/>
      <c r="B25" s="511"/>
      <c r="C25" s="511"/>
      <c r="D25" s="511"/>
      <c r="E25" s="511"/>
      <c r="F25" s="537" t="s">
        <v>661</v>
      </c>
      <c r="G25" s="537"/>
      <c r="H25" s="511"/>
      <c r="I25" s="511"/>
      <c r="J25" s="511"/>
      <c r="K25" s="511"/>
      <c r="L25" s="511"/>
      <c r="M25" s="511"/>
    </row>
    <row r="26" spans="1:13" ht="16.5">
      <c r="A26" s="511"/>
      <c r="B26" s="511"/>
      <c r="C26" s="511"/>
      <c r="D26" s="511"/>
      <c r="E26" s="511"/>
      <c r="F26" s="537" t="s">
        <v>662</v>
      </c>
      <c r="G26" s="537"/>
      <c r="H26" s="511"/>
      <c r="I26" s="511"/>
      <c r="J26" s="511"/>
      <c r="K26" s="511"/>
      <c r="L26" s="511"/>
      <c r="M26" s="511"/>
    </row>
    <row r="27" spans="1:13" ht="16.5">
      <c r="A27" s="511"/>
      <c r="B27" s="511"/>
      <c r="C27" s="511"/>
      <c r="D27" s="511"/>
      <c r="E27" s="511"/>
      <c r="F27" s="511"/>
      <c r="G27" s="511"/>
      <c r="H27" s="511"/>
      <c r="I27" s="511"/>
      <c r="J27" s="511"/>
      <c r="K27" s="511"/>
      <c r="L27" s="511"/>
      <c r="M27" s="511"/>
    </row>
    <row r="28" spans="1:13" ht="16.5">
      <c r="A28" s="511"/>
      <c r="B28" s="511"/>
      <c r="C28" s="511"/>
      <c r="D28" s="511"/>
      <c r="E28" s="511"/>
      <c r="F28" s="511"/>
      <c r="G28" s="511"/>
      <c r="H28" s="511"/>
      <c r="I28" s="511"/>
      <c r="J28" s="511"/>
      <c r="K28" s="511"/>
      <c r="L28" s="511"/>
      <c r="M28" s="511"/>
    </row>
    <row r="29" spans="1:13" ht="16.5">
      <c r="A29" s="511"/>
      <c r="B29" s="511"/>
      <c r="C29" s="511"/>
      <c r="D29" s="511"/>
      <c r="E29" s="511"/>
      <c r="F29" s="511"/>
      <c r="G29" s="511"/>
      <c r="H29" s="511"/>
      <c r="I29" s="511"/>
      <c r="J29" s="511"/>
      <c r="K29" s="511"/>
      <c r="L29" s="511"/>
      <c r="M29" s="511"/>
    </row>
    <row r="30" spans="1:13" ht="16.5">
      <c r="A30" s="511"/>
      <c r="B30" s="511"/>
      <c r="C30" s="511"/>
      <c r="D30" s="511"/>
      <c r="E30" s="511"/>
      <c r="F30" s="511"/>
      <c r="G30" s="511"/>
      <c r="H30" s="511"/>
      <c r="I30" s="511"/>
      <c r="J30" s="511"/>
      <c r="K30" s="511"/>
      <c r="L30" s="511"/>
      <c r="M30" s="511"/>
    </row>
  </sheetData>
  <customSheetViews>
    <customSheetView guid="{7C71EF2A-5ADA-494C-8F58-DDA71753DD90}" showPageBreaks="1">
      <selection activeCell="B32" sqref="B32"/>
      <pageMargins left="0.7" right="0.7" top="0.75" bottom="0.75" header="0.3" footer="0.3"/>
      <pageSetup orientation="portrait" r:id="rId1"/>
    </customSheetView>
    <customSheetView guid="{B91C2E87-5EDA-40AE-AC27-0E2C17E803CE}" showPageBreaks="1" printArea="1">
      <selection activeCell="D21" sqref="D21"/>
      <pageMargins left="0.7" right="0.7" top="0.75" bottom="0.75" header="0.3" footer="0.3"/>
      <pageSetup orientation="portrait" r:id="rId2"/>
    </customSheetView>
    <customSheetView guid="{23F4DC00-BC97-4745-AA5C-F05D469CB1EF}" showPageBreaks="1" printArea="1" topLeftCell="A7">
      <selection activeCell="G22" sqref="G22"/>
      <pageMargins left="0.7" right="0.7" top="0.75" bottom="0.75" header="0.3" footer="0.3"/>
      <pageSetup orientation="portrait" r:id="rId3"/>
    </customSheetView>
    <customSheetView guid="{4593F3EE-0998-4E0E-994A-E02D6BAF3A4B}" showPageBreaks="1" printArea="1">
      <selection activeCell="D21" sqref="D21"/>
      <pageMargins left="0.7" right="0.7" top="0.75" bottom="0.75" header="0.3" footer="0.3"/>
      <pageSetup orientation="portrait" r:id="rId4"/>
    </customSheetView>
    <customSheetView guid="{917057C8-5E5F-4164-B84C-85103677A2E5}">
      <selection activeCell="D21" sqref="D21"/>
      <pageMargins left="0.7" right="0.7" top="0.75" bottom="0.75" header="0.3" footer="0.3"/>
      <pageSetup orientation="portrait" r:id="rId5"/>
    </customSheetView>
    <customSheetView guid="{5A803268-F6C5-4035-B3E1-A94CB9AA8994}" showPageBreaks="1" printArea="1" topLeftCell="A7">
      <selection activeCell="G22" sqref="G22"/>
      <pageMargins left="0.7" right="0.7" top="0.75" bottom="0.75" header="0.3" footer="0.3"/>
      <pageSetup orientation="portrait" r:id="rId6"/>
    </customSheetView>
    <customSheetView guid="{751D391F-C74F-4B53-B5B5-25E01AC12EA4}">
      <selection activeCell="M22" sqref="M22"/>
      <pageMargins left="0.7" right="0.7" top="0.75" bottom="0.75" header="0.3" footer="0.3"/>
      <pageSetup orientation="portrait" r:id="rId7"/>
    </customSheetView>
    <customSheetView guid="{D1D1E152-95AB-45D3-AC07-4EC0834D3E0C}">
      <selection activeCell="M22" sqref="M22"/>
      <pageMargins left="0.7" right="0.7" top="0.75" bottom="0.75" header="0.3" footer="0.3"/>
      <pageSetup orientation="portrait" r:id="rId8"/>
    </customSheetView>
    <customSheetView guid="{4DB6C640-CE65-4513-9E5A-F6CDD1F4B8AF}">
      <selection activeCell="D24" sqref="D24"/>
      <pageMargins left="0.7" right="0.7" top="0.75" bottom="0.75" header="0.3" footer="0.3"/>
      <pageSetup orientation="portrait" r:id="rId9"/>
    </customSheetView>
    <customSheetView guid="{C3348F62-02F2-4500-9BF2-19F2DEA57A8D}" showPageBreaks="1">
      <selection activeCell="M22" sqref="M22"/>
      <pageMargins left="0.7" right="0.7" top="0.75" bottom="0.75" header="0.3" footer="0.3"/>
      <pageSetup orientation="portrait" r:id="rId10"/>
    </customSheetView>
  </customSheetViews>
  <mergeCells count="3">
    <mergeCell ref="J7:J8"/>
    <mergeCell ref="K7:L7"/>
    <mergeCell ref="J19:L19"/>
  </mergeCells>
  <pageMargins left="0.7" right="0.7" top="0.75" bottom="0.75" header="0.3" footer="0.3"/>
  <pageSetup orientation="portrait" r:id="rId1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3"/>
  <dimension ref="B5:S24"/>
  <sheetViews>
    <sheetView workbookViewId="0">
      <selection sqref="A1:N50"/>
    </sheetView>
  </sheetViews>
  <sheetFormatPr defaultColWidth="9.140625" defaultRowHeight="12.75"/>
  <cols>
    <col min="1" max="1" width="9.140625" style="1181"/>
    <col min="2" max="2" width="14.85546875" style="1181" customWidth="1"/>
    <col min="3" max="3" width="15.7109375" style="1181" customWidth="1"/>
    <col min="4" max="4" width="17.28515625" style="1181" customWidth="1"/>
    <col min="5" max="5" width="16.85546875" style="1181" customWidth="1"/>
    <col min="6" max="6" width="15.5703125" style="1181" customWidth="1"/>
    <col min="7" max="7" width="14.140625" style="1181" customWidth="1"/>
    <col min="8" max="13" width="9.140625" style="1181"/>
    <col min="14" max="14" width="16.7109375" style="1181" customWidth="1"/>
    <col min="15" max="15" width="21.85546875" style="1181" customWidth="1"/>
    <col min="16" max="16" width="20.7109375" style="1181" customWidth="1"/>
    <col min="17" max="17" width="22.28515625" style="1181" customWidth="1"/>
    <col min="18" max="18" width="26.7109375" style="1181" customWidth="1"/>
    <col min="19" max="16384" width="9.140625" style="1181"/>
  </cols>
  <sheetData>
    <row r="5" spans="2:19">
      <c r="Q5" s="3391"/>
    </row>
    <row r="6" spans="2:19">
      <c r="Q6" s="3391" t="s">
        <v>1230</v>
      </c>
    </row>
    <row r="9" spans="2:19" ht="26.25">
      <c r="N9" s="1826"/>
      <c r="P9" s="1625"/>
      <c r="R9" s="1826"/>
    </row>
    <row r="10" spans="2:19" ht="15">
      <c r="B10" s="1178" t="s">
        <v>851</v>
      </c>
      <c r="C10" s="1179"/>
      <c r="D10" s="1180"/>
      <c r="E10" s="1180"/>
      <c r="F10" s="1180"/>
      <c r="G10" s="1180"/>
      <c r="N10" s="1826"/>
      <c r="R10" s="1826"/>
    </row>
    <row r="11" spans="2:19" ht="23.25">
      <c r="N11" s="1827"/>
      <c r="O11" s="1623"/>
      <c r="P11" s="1623"/>
      <c r="Q11" s="1623"/>
      <c r="R11" s="1827"/>
    </row>
    <row r="12" spans="2:19" ht="22.5" customHeight="1">
      <c r="B12" s="1182" t="s">
        <v>150</v>
      </c>
      <c r="C12" s="1183">
        <f>Forecast!E3</f>
        <v>43107</v>
      </c>
      <c r="N12" s="1827"/>
      <c r="O12" s="1623"/>
      <c r="P12" s="1623"/>
      <c r="Q12" s="1623"/>
      <c r="R12" s="1827"/>
      <c r="S12" s="1620"/>
    </row>
    <row r="13" spans="2:19" ht="24" customHeight="1">
      <c r="B13" s="1184" t="s">
        <v>52</v>
      </c>
      <c r="C13" s="1185" t="s">
        <v>330</v>
      </c>
      <c r="D13" s="1185" t="s">
        <v>105</v>
      </c>
      <c r="E13" s="1186" t="s">
        <v>852</v>
      </c>
      <c r="F13" s="1187" t="s">
        <v>401</v>
      </c>
      <c r="G13" s="1188" t="s">
        <v>296</v>
      </c>
      <c r="N13" s="1828"/>
      <c r="O13" s="1624"/>
      <c r="P13" s="1624"/>
      <c r="Q13" s="1624"/>
      <c r="R13" s="1830"/>
    </row>
    <row r="14" spans="2:19" ht="19.5" customHeight="1">
      <c r="B14" s="1189"/>
      <c r="C14" s="1190" t="s">
        <v>36</v>
      </c>
      <c r="D14" s="1191" t="s">
        <v>36</v>
      </c>
      <c r="E14" s="1191" t="s">
        <v>36</v>
      </c>
      <c r="F14" s="1189"/>
      <c r="G14" s="1192"/>
      <c r="N14" s="1829"/>
      <c r="O14" s="1624"/>
      <c r="P14" s="1624"/>
      <c r="Q14" s="1624"/>
      <c r="R14" s="1831"/>
    </row>
    <row r="15" spans="2:19" ht="22.5" customHeight="1">
      <c r="B15" s="1193" t="s">
        <v>10</v>
      </c>
      <c r="C15" s="1194">
        <f>IF(E15=0,D15,Forecast!X190)</f>
        <v>3341.4028023850087</v>
      </c>
      <c r="D15" s="1195">
        <f>Forecast!W190</f>
        <v>3341.4028023850087</v>
      </c>
      <c r="E15" s="1196">
        <f>Forecast!Y190</f>
        <v>0</v>
      </c>
      <c r="F15" s="1197">
        <f>E15/C15</f>
        <v>0</v>
      </c>
      <c r="G15" s="1198"/>
      <c r="N15" s="1829"/>
      <c r="O15" s="1624"/>
      <c r="P15" s="1624"/>
      <c r="Q15" s="1624"/>
      <c r="R15" s="1832"/>
    </row>
    <row r="16" spans="2:19" ht="20.25" customHeight="1">
      <c r="B16" s="1199" t="s">
        <v>16</v>
      </c>
      <c r="C16" s="1194">
        <f>IF(E16=0,D16,Forecast!X191)</f>
        <v>1131.8644463373084</v>
      </c>
      <c r="D16" s="1195">
        <f>Forecast!W191</f>
        <v>1131.8644463373084</v>
      </c>
      <c r="E16" s="1196">
        <f>Forecast!Y191</f>
        <v>0</v>
      </c>
      <c r="F16" s="1197">
        <f t="shared" ref="F16:F23" si="0">E16/C16</f>
        <v>0</v>
      </c>
      <c r="G16" s="1200"/>
      <c r="N16" s="1829"/>
      <c r="O16" s="1624"/>
      <c r="P16" s="1624"/>
      <c r="Q16" s="1624"/>
      <c r="R16" s="1832"/>
    </row>
    <row r="17" spans="2:18" ht="21.75" customHeight="1">
      <c r="B17" s="1199" t="s">
        <v>334</v>
      </c>
      <c r="C17" s="1194">
        <f>IF(E17=0,D17,Forecast!X192)</f>
        <v>1013.329454855196</v>
      </c>
      <c r="D17" s="1195">
        <f>Forecast!W192</f>
        <v>1013.329454855196</v>
      </c>
      <c r="E17" s="1196">
        <f>Forecast!Y192</f>
        <v>0</v>
      </c>
      <c r="F17" s="1197">
        <f t="shared" si="0"/>
        <v>0</v>
      </c>
      <c r="G17" s="1200"/>
      <c r="N17" s="1829"/>
      <c r="O17" s="1624"/>
      <c r="P17" s="1624"/>
      <c r="Q17" s="1624"/>
      <c r="R17" s="1832"/>
    </row>
    <row r="18" spans="2:18" ht="21.75" customHeight="1">
      <c r="B18" s="1199" t="s">
        <v>55</v>
      </c>
      <c r="C18" s="1194">
        <f>IF(E18=0,D18,Forecast!X193)</f>
        <v>915.35043867120953</v>
      </c>
      <c r="D18" s="1195">
        <f>Forecast!W193</f>
        <v>915.35043867120953</v>
      </c>
      <c r="E18" s="1196">
        <f>Forecast!Y193</f>
        <v>0</v>
      </c>
      <c r="F18" s="1197">
        <f t="shared" si="0"/>
        <v>0</v>
      </c>
      <c r="G18" s="1200"/>
      <c r="N18" s="1829"/>
      <c r="O18" s="1624"/>
      <c r="P18" s="1624"/>
      <c r="Q18" s="1624"/>
      <c r="R18" s="1832"/>
    </row>
    <row r="19" spans="2:18" ht="19.5" customHeight="1">
      <c r="B19" s="1201" t="s">
        <v>9</v>
      </c>
      <c r="C19" s="1194">
        <f>IF(E19=0,D19,Forecast!X194)</f>
        <v>827.34235945485534</v>
      </c>
      <c r="D19" s="1195">
        <f>Forecast!W194</f>
        <v>827.34235945485534</v>
      </c>
      <c r="E19" s="1196">
        <f>Forecast!Y194</f>
        <v>0</v>
      </c>
      <c r="F19" s="1197">
        <f t="shared" si="0"/>
        <v>0</v>
      </c>
      <c r="G19" s="1200"/>
      <c r="N19" s="1829"/>
      <c r="O19" s="1624"/>
      <c r="P19" s="1624"/>
      <c r="Q19" s="1624"/>
      <c r="R19" s="1832"/>
    </row>
    <row r="20" spans="2:18" ht="20.25" customHeight="1">
      <c r="B20" s="1201" t="s">
        <v>346</v>
      </c>
      <c r="C20" s="1194">
        <f>IF(E20=0,D20,Forecast!X195)</f>
        <v>667.62491056218062</v>
      </c>
      <c r="D20" s="1195">
        <f>Forecast!W195</f>
        <v>667.62491056218062</v>
      </c>
      <c r="E20" s="1196">
        <f>Forecast!Y195</f>
        <v>0</v>
      </c>
      <c r="F20" s="1197">
        <f t="shared" si="0"/>
        <v>0</v>
      </c>
      <c r="G20" s="1200"/>
      <c r="N20" s="1829"/>
      <c r="O20" s="1624"/>
      <c r="P20" s="1624"/>
      <c r="Q20" s="1624"/>
      <c r="R20" s="1833"/>
    </row>
    <row r="21" spans="2:18" ht="21.75" customHeight="1">
      <c r="B21" s="1201" t="s">
        <v>4</v>
      </c>
      <c r="C21" s="1194">
        <f>IF(E21=0,D21,Forecast!X196)</f>
        <v>378.96181005110731</v>
      </c>
      <c r="D21" s="1195">
        <f>Forecast!W196</f>
        <v>378.96181005110731</v>
      </c>
      <c r="E21" s="1196">
        <f>Forecast!Y196</f>
        <v>0</v>
      </c>
      <c r="F21" s="1197">
        <f t="shared" si="0"/>
        <v>0</v>
      </c>
      <c r="G21" s="1200"/>
      <c r="N21" s="1621"/>
      <c r="O21" s="1622"/>
      <c r="P21" s="1622"/>
      <c r="Q21" s="1622"/>
      <c r="R21" s="1622"/>
    </row>
    <row r="22" spans="2:18" ht="27" customHeight="1">
      <c r="B22" s="1201" t="s">
        <v>56</v>
      </c>
      <c r="C22" s="1194">
        <f>IF(E22=0,D22,Forecast!X197)</f>
        <v>172.04522146507665</v>
      </c>
      <c r="D22" s="1195">
        <f>Forecast!W197</f>
        <v>172.04522146507665</v>
      </c>
      <c r="E22" s="1196">
        <f>Forecast!Y197</f>
        <v>0</v>
      </c>
      <c r="F22" s="1197">
        <f t="shared" si="0"/>
        <v>0</v>
      </c>
      <c r="G22" s="1200"/>
      <c r="N22" s="1826"/>
      <c r="R22" s="1826"/>
    </row>
    <row r="23" spans="2:18" ht="27" customHeight="1">
      <c r="B23" s="1202" t="s">
        <v>6</v>
      </c>
      <c r="C23" s="1194">
        <f>IF(E23=0,D23,Forecast!X198)</f>
        <v>514.87839863713793</v>
      </c>
      <c r="D23" s="1195">
        <f>Forecast!W198</f>
        <v>514.87839863713793</v>
      </c>
      <c r="E23" s="1196">
        <f>Forecast!Y198</f>
        <v>0</v>
      </c>
      <c r="F23" s="1203">
        <f t="shared" si="0"/>
        <v>0</v>
      </c>
      <c r="G23" s="1204"/>
      <c r="P23" s="1619"/>
    </row>
    <row r="24" spans="2:18" ht="23.25" customHeight="1">
      <c r="B24" s="1205" t="s">
        <v>12</v>
      </c>
      <c r="C24" s="1206">
        <f>SUM(C15:C23)</f>
        <v>8962.7998424190791</v>
      </c>
      <c r="D24" s="1206">
        <f>SUM(D15:D23)</f>
        <v>8962.7998424190791</v>
      </c>
      <c r="E24" s="1206">
        <f>SUM(E15:E23)</f>
        <v>0</v>
      </c>
      <c r="F24" s="1207"/>
      <c r="G24" s="1208"/>
    </row>
  </sheetData>
  <customSheetViews>
    <customSheetView guid="{7C71EF2A-5ADA-494C-8F58-DDA71753DD90}" showPageBreaks="1">
      <selection activeCell="B32" sqref="B32"/>
      <pageMargins left="0.62" right="0.42" top="1" bottom="1" header="0.5" footer="0.5"/>
      <pageSetup orientation="portrait" r:id="rId1"/>
      <headerFooter alignWithMargins="0"/>
    </customSheetView>
    <customSheetView guid="{B91C2E87-5EDA-40AE-AC27-0E2C17E803CE}" showPageBreaks="1" printArea="1">
      <selection sqref="A1:N50"/>
      <pageMargins left="0.62" right="0.42" top="1" bottom="1" header="0.5" footer="0.5"/>
      <pageSetup orientation="portrait" r:id="rId2"/>
      <headerFooter alignWithMargins="0"/>
    </customSheetView>
    <customSheetView guid="{23F4DC00-BC97-4745-AA5C-F05D469CB1EF}" showPageBreaks="1" printArea="1">
      <selection activeCell="F36" sqref="F36"/>
      <pageMargins left="0.62" right="0.42" top="1" bottom="1" header="0.5" footer="0.5"/>
      <pageSetup orientation="portrait" r:id="rId3"/>
      <headerFooter alignWithMargins="0"/>
    </customSheetView>
    <customSheetView guid="{4593F3EE-0998-4E0E-994A-E02D6BAF3A4B}" showPageBreaks="1" printArea="1">
      <selection sqref="A1:N50"/>
      <pageMargins left="0.62" right="0.42" top="1" bottom="1" header="0.5" footer="0.5"/>
      <pageSetup orientation="portrait" r:id="rId4"/>
      <headerFooter alignWithMargins="0"/>
    </customSheetView>
    <customSheetView guid="{917057C8-5E5F-4164-B84C-85103677A2E5}">
      <selection activeCell="J29" sqref="J29"/>
      <pageMargins left="0.62" right="0.42" top="1" bottom="1" header="0.5" footer="0.5"/>
      <pageSetup orientation="portrait" r:id="rId5"/>
      <headerFooter alignWithMargins="0"/>
    </customSheetView>
    <customSheetView guid="{5A803268-F6C5-4035-B3E1-A94CB9AA8994}" showPageBreaks="1" printArea="1" topLeftCell="A13">
      <selection sqref="A1:N50"/>
      <pageMargins left="0.62" right="0.42" top="1" bottom="1" header="0.5" footer="0.5"/>
      <pageSetup orientation="portrait" r:id="rId6"/>
      <headerFooter alignWithMargins="0"/>
    </customSheetView>
    <customSheetView guid="{751D391F-C74F-4B53-B5B5-25E01AC12EA4}">
      <selection sqref="A1:N50"/>
      <pageMargins left="0.62" right="0.42" top="1" bottom="1" header="0.5" footer="0.5"/>
      <pageSetup orientation="portrait" r:id="rId7"/>
      <headerFooter alignWithMargins="0"/>
    </customSheetView>
    <customSheetView guid="{D1D1E152-95AB-45D3-AC07-4EC0834D3E0C}">
      <selection sqref="A1:N50"/>
      <pageMargins left="0.62" right="0.42" top="1" bottom="1" header="0.5" footer="0.5"/>
      <pageSetup orientation="portrait" r:id="rId8"/>
      <headerFooter alignWithMargins="0"/>
    </customSheetView>
    <customSheetView guid="{4DB6C640-CE65-4513-9E5A-F6CDD1F4B8AF}">
      <selection sqref="A1:N50"/>
      <pageMargins left="0.62" right="0.42" top="1" bottom="1" header="0.5" footer="0.5"/>
      <pageSetup orientation="portrait" r:id="rId9"/>
      <headerFooter alignWithMargins="0"/>
    </customSheetView>
    <customSheetView guid="{C3348F62-02F2-4500-9BF2-19F2DEA57A8D}" showPageBreaks="1">
      <selection sqref="A1:N50"/>
      <pageMargins left="0.62" right="0.42" top="1" bottom="1" header="0.5" footer="0.5"/>
      <pageSetup orientation="portrait" r:id="rId10"/>
      <headerFooter alignWithMargins="0"/>
    </customSheetView>
  </customSheetViews>
  <pageMargins left="0.62" right="0.42" top="1" bottom="1" header="0.5" footer="0.5"/>
  <pageSetup orientation="portrait" r:id="rId1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00B050"/>
  </sheetPr>
  <dimension ref="A1:S115"/>
  <sheetViews>
    <sheetView zoomScale="85" zoomScaleNormal="8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L15" sqref="L15"/>
    </sheetView>
  </sheetViews>
  <sheetFormatPr defaultColWidth="9.140625" defaultRowHeight="18.75"/>
  <cols>
    <col min="1" max="1" width="3.85546875" style="98" customWidth="1"/>
    <col min="2" max="2" width="12" style="98" customWidth="1"/>
    <col min="3" max="3" width="22" style="98" customWidth="1"/>
    <col min="4" max="4" width="18.28515625" style="98" customWidth="1"/>
    <col min="5" max="5" width="14.85546875" style="98" customWidth="1"/>
    <col min="6" max="6" width="16.42578125" style="98" customWidth="1"/>
    <col min="7" max="7" width="14.28515625" style="98" customWidth="1"/>
    <col min="8" max="8" width="14.140625" style="98" customWidth="1"/>
    <col min="9" max="9" width="16.28515625" style="98" customWidth="1"/>
    <col min="10" max="10" width="14.28515625" style="98" customWidth="1"/>
    <col min="11" max="11" width="14.5703125" style="98" customWidth="1"/>
    <col min="12" max="12" width="22.7109375" style="98" customWidth="1"/>
    <col min="13" max="13" width="21.28515625" style="98" customWidth="1"/>
    <col min="14" max="14" width="21.28515625" style="103" customWidth="1"/>
    <col min="15" max="15" width="17.7109375" style="98" customWidth="1"/>
    <col min="16" max="16" width="14.42578125" style="98" customWidth="1"/>
    <col min="17" max="17" width="14" style="98" customWidth="1"/>
    <col min="18" max="18" width="13.42578125" style="98" customWidth="1"/>
    <col min="19" max="19" width="17.5703125" style="98" bestFit="1" customWidth="1"/>
    <col min="20" max="20" width="11.28515625" style="98" bestFit="1" customWidth="1"/>
    <col min="21" max="16384" width="9.140625" style="98"/>
  </cols>
  <sheetData>
    <row r="1" spans="1:19" ht="19.5" thickBot="1">
      <c r="A1" s="94"/>
      <c r="B1" s="95"/>
      <c r="C1" s="95"/>
      <c r="D1" s="95"/>
      <c r="E1" s="95" t="s">
        <v>18</v>
      </c>
      <c r="F1" s="95"/>
      <c r="G1" s="95"/>
      <c r="H1" s="95"/>
      <c r="I1" s="95"/>
      <c r="J1" s="95"/>
      <c r="K1" s="95"/>
      <c r="L1" s="96"/>
      <c r="M1" s="96"/>
      <c r="N1" s="949"/>
      <c r="Q1" s="189"/>
    </row>
    <row r="2" spans="1:19" ht="30" customHeight="1" thickBot="1">
      <c r="A2" s="94"/>
      <c r="B2" s="131" t="s">
        <v>19</v>
      </c>
      <c r="C2" s="5317">
        <f>Generation!B1</f>
        <v>43106</v>
      </c>
      <c r="D2" s="5318"/>
      <c r="E2" s="5319"/>
      <c r="F2" s="99" t="s">
        <v>18</v>
      </c>
      <c r="G2" s="99"/>
      <c r="H2" s="99"/>
      <c r="I2" s="99"/>
      <c r="J2" s="611"/>
      <c r="K2" s="99"/>
      <c r="L2" s="96"/>
      <c r="M2" s="96"/>
      <c r="N2" s="949"/>
      <c r="O2" s="1034" t="s">
        <v>107</v>
      </c>
      <c r="Q2" s="5320"/>
      <c r="R2" s="5320"/>
    </row>
    <row r="3" spans="1:19" ht="18" customHeight="1" thickBot="1">
      <c r="A3" s="94"/>
      <c r="B3" s="100"/>
      <c r="C3" s="99"/>
      <c r="D3" s="99"/>
      <c r="E3" s="99"/>
      <c r="F3" s="99"/>
      <c r="G3" s="99"/>
      <c r="H3" s="99"/>
      <c r="I3" s="99"/>
      <c r="J3" s="99"/>
      <c r="K3" s="99"/>
      <c r="L3" s="96"/>
      <c r="M3" s="96"/>
      <c r="N3" s="949"/>
      <c r="O3" s="1035" t="s">
        <v>108</v>
      </c>
      <c r="Q3" s="5320"/>
      <c r="R3" s="5320"/>
    </row>
    <row r="4" spans="1:19" s="93" customFormat="1" ht="26.25" customHeight="1" thickBot="1">
      <c r="A4" s="101"/>
      <c r="B4" s="5321" t="s">
        <v>20</v>
      </c>
      <c r="C4" s="1139"/>
      <c r="D4" s="1138"/>
      <c r="E4" s="1138"/>
      <c r="F4" s="1138"/>
      <c r="G4" s="1138" t="s">
        <v>14</v>
      </c>
      <c r="H4" s="1138"/>
      <c r="I4" s="1138"/>
      <c r="J4" s="1138"/>
      <c r="K4" s="1138"/>
      <c r="L4" s="1140"/>
      <c r="M4" s="5323" t="s">
        <v>26</v>
      </c>
      <c r="N4" s="950"/>
      <c r="O4" s="102"/>
    </row>
    <row r="5" spans="1:19" s="172" customFormat="1" ht="32.25" customHeight="1" thickBot="1">
      <c r="A5" s="171"/>
      <c r="B5" s="5322"/>
      <c r="C5" s="1096" t="s">
        <v>27</v>
      </c>
      <c r="D5" s="874" t="s">
        <v>21</v>
      </c>
      <c r="E5" s="874" t="s">
        <v>22</v>
      </c>
      <c r="F5" s="873" t="s">
        <v>23</v>
      </c>
      <c r="G5" s="873" t="s">
        <v>45</v>
      </c>
      <c r="H5" s="873" t="s">
        <v>175</v>
      </c>
      <c r="I5" s="873" t="s">
        <v>109</v>
      </c>
      <c r="J5" s="875" t="s">
        <v>129</v>
      </c>
      <c r="K5" s="875" t="s">
        <v>130</v>
      </c>
      <c r="L5" s="1097" t="s">
        <v>12</v>
      </c>
      <c r="M5" s="5324"/>
      <c r="N5" s="950"/>
      <c r="O5" s="953" t="s">
        <v>12</v>
      </c>
      <c r="P5" s="870" t="s">
        <v>3</v>
      </c>
      <c r="Q5" s="871" t="s">
        <v>127</v>
      </c>
      <c r="R5" s="872" t="s">
        <v>175</v>
      </c>
    </row>
    <row r="6" spans="1:19" ht="32.25" customHeight="1">
      <c r="A6" s="94"/>
      <c r="B6" s="1080">
        <v>4.1666666666666602E-2</v>
      </c>
      <c r="C6" s="1098">
        <v>3944</v>
      </c>
      <c r="D6" s="1074">
        <v>2011</v>
      </c>
      <c r="E6" s="1074">
        <v>0</v>
      </c>
      <c r="F6" s="1075">
        <v>2011</v>
      </c>
      <c r="G6" s="1075">
        <v>199</v>
      </c>
      <c r="H6" s="1075">
        <v>0</v>
      </c>
      <c r="I6" s="1075">
        <v>81</v>
      </c>
      <c r="J6" s="1075">
        <v>67</v>
      </c>
      <c r="K6" s="1076">
        <v>475</v>
      </c>
      <c r="L6" s="1099">
        <v>6777</v>
      </c>
      <c r="M6" s="1092"/>
      <c r="N6" s="951"/>
      <c r="O6" s="954">
        <v>192</v>
      </c>
      <c r="P6" s="866"/>
      <c r="Q6" s="866"/>
      <c r="R6" s="867"/>
      <c r="S6" s="93"/>
    </row>
    <row r="7" spans="1:19" ht="32.25" customHeight="1">
      <c r="A7" s="94"/>
      <c r="B7" s="1081">
        <v>8.3333333333333301E-2</v>
      </c>
      <c r="C7" s="1098">
        <v>3893</v>
      </c>
      <c r="D7" s="1077">
        <v>1654</v>
      </c>
      <c r="E7" s="1077">
        <v>0</v>
      </c>
      <c r="F7" s="1078">
        <v>1654</v>
      </c>
      <c r="G7" s="1078">
        <v>199</v>
      </c>
      <c r="H7" s="1075">
        <v>0</v>
      </c>
      <c r="I7" s="1078">
        <v>86</v>
      </c>
      <c r="J7" s="1078">
        <v>65</v>
      </c>
      <c r="K7" s="1079">
        <v>422</v>
      </c>
      <c r="L7" s="1099">
        <v>6319</v>
      </c>
      <c r="M7" s="1093"/>
      <c r="N7" s="951"/>
      <c r="O7" s="954">
        <v>192</v>
      </c>
      <c r="P7" s="866"/>
      <c r="Q7" s="866"/>
      <c r="R7" s="867"/>
      <c r="S7" s="93"/>
    </row>
    <row r="8" spans="1:19" ht="32.25" customHeight="1">
      <c r="A8" s="94"/>
      <c r="B8" s="1081">
        <v>0.125</v>
      </c>
      <c r="C8" s="1098">
        <v>3908</v>
      </c>
      <c r="D8" s="1077">
        <v>1426</v>
      </c>
      <c r="E8" s="1077">
        <v>0</v>
      </c>
      <c r="F8" s="1078">
        <v>1426</v>
      </c>
      <c r="G8" s="1078">
        <v>200</v>
      </c>
      <c r="H8" s="1075">
        <v>0</v>
      </c>
      <c r="I8" s="1078">
        <v>82</v>
      </c>
      <c r="J8" s="1078">
        <v>63</v>
      </c>
      <c r="K8" s="1079">
        <v>422</v>
      </c>
      <c r="L8" s="1099">
        <v>6101</v>
      </c>
      <c r="M8" s="1093"/>
      <c r="N8" s="951"/>
      <c r="O8" s="954">
        <v>192</v>
      </c>
      <c r="P8" s="866"/>
      <c r="Q8" s="866"/>
      <c r="R8" s="867"/>
      <c r="S8" s="93"/>
    </row>
    <row r="9" spans="1:19" ht="32.25" customHeight="1">
      <c r="A9" s="94"/>
      <c r="B9" s="1081">
        <v>0.16666666666666699</v>
      </c>
      <c r="C9" s="1098">
        <v>3898</v>
      </c>
      <c r="D9" s="1077">
        <v>1281</v>
      </c>
      <c r="E9" s="1077">
        <v>0</v>
      </c>
      <c r="F9" s="1078">
        <v>1281</v>
      </c>
      <c r="G9" s="1078">
        <v>200</v>
      </c>
      <c r="H9" s="1075">
        <v>0</v>
      </c>
      <c r="I9" s="1078">
        <v>73</v>
      </c>
      <c r="J9" s="1078">
        <v>62</v>
      </c>
      <c r="K9" s="1079">
        <v>422</v>
      </c>
      <c r="L9" s="1099">
        <v>5936</v>
      </c>
      <c r="M9" s="1093"/>
      <c r="N9" s="951"/>
      <c r="O9" s="954">
        <v>192</v>
      </c>
      <c r="P9" s="866"/>
      <c r="Q9" s="866"/>
      <c r="R9" s="867"/>
      <c r="S9" s="93"/>
    </row>
    <row r="10" spans="1:19" ht="32.25" customHeight="1">
      <c r="A10" s="94"/>
      <c r="B10" s="1082">
        <v>0.20833333333333401</v>
      </c>
      <c r="C10" s="1098">
        <v>3842</v>
      </c>
      <c r="D10" s="1077">
        <v>1244</v>
      </c>
      <c r="E10" s="1077">
        <v>0</v>
      </c>
      <c r="F10" s="1078">
        <v>1244</v>
      </c>
      <c r="G10" s="1078">
        <v>200</v>
      </c>
      <c r="H10" s="1075">
        <v>0</v>
      </c>
      <c r="I10" s="1078">
        <v>81</v>
      </c>
      <c r="J10" s="1078">
        <v>60</v>
      </c>
      <c r="K10" s="1079">
        <v>421</v>
      </c>
      <c r="L10" s="1099">
        <v>5848</v>
      </c>
      <c r="M10" s="1093"/>
      <c r="N10" s="951"/>
      <c r="O10" s="954">
        <v>192</v>
      </c>
      <c r="P10" s="866"/>
      <c r="Q10" s="866"/>
      <c r="R10" s="867"/>
      <c r="S10" s="93"/>
    </row>
    <row r="11" spans="1:19" ht="32.25" customHeight="1">
      <c r="A11" s="94"/>
      <c r="B11" s="1082">
        <v>0.25</v>
      </c>
      <c r="C11" s="1098">
        <v>3996</v>
      </c>
      <c r="D11" s="1077">
        <v>1216</v>
      </c>
      <c r="E11" s="1077">
        <v>0</v>
      </c>
      <c r="F11" s="1078">
        <v>1216</v>
      </c>
      <c r="G11" s="1078">
        <v>200</v>
      </c>
      <c r="H11" s="1075">
        <v>0</v>
      </c>
      <c r="I11" s="1078">
        <v>86</v>
      </c>
      <c r="J11" s="1078">
        <v>58</v>
      </c>
      <c r="K11" s="1079">
        <v>421</v>
      </c>
      <c r="L11" s="1099">
        <v>5977</v>
      </c>
      <c r="M11" s="1093"/>
      <c r="N11" s="951"/>
      <c r="O11" s="954">
        <v>183</v>
      </c>
      <c r="P11" s="866"/>
      <c r="Q11" s="866"/>
      <c r="R11" s="867"/>
      <c r="S11" s="93"/>
    </row>
    <row r="12" spans="1:19" ht="32.25" customHeight="1">
      <c r="A12" s="94"/>
      <c r="B12" s="1082">
        <v>0.29166666666666669</v>
      </c>
      <c r="C12" s="1098">
        <v>3985</v>
      </c>
      <c r="D12" s="1077">
        <v>1290</v>
      </c>
      <c r="E12" s="1077">
        <v>0</v>
      </c>
      <c r="F12" s="1078">
        <v>1290</v>
      </c>
      <c r="G12" s="1078">
        <v>200</v>
      </c>
      <c r="H12" s="1075">
        <v>3</v>
      </c>
      <c r="I12" s="1078">
        <v>40</v>
      </c>
      <c r="J12" s="1078">
        <v>54</v>
      </c>
      <c r="K12" s="1079">
        <v>422</v>
      </c>
      <c r="L12" s="1099">
        <v>5994</v>
      </c>
      <c r="M12" s="1093"/>
      <c r="N12" s="951"/>
      <c r="O12" s="954">
        <v>172</v>
      </c>
      <c r="P12" s="866"/>
      <c r="Q12" s="866"/>
      <c r="R12" s="867"/>
      <c r="S12" s="93"/>
    </row>
    <row r="13" spans="1:19" ht="32.25" customHeight="1">
      <c r="A13" s="94"/>
      <c r="B13" s="1083">
        <v>0.33333333333333331</v>
      </c>
      <c r="C13" s="1100">
        <v>3986</v>
      </c>
      <c r="D13" s="1084">
        <v>1644</v>
      </c>
      <c r="E13" s="1084">
        <v>0</v>
      </c>
      <c r="F13" s="1085">
        <v>1644</v>
      </c>
      <c r="G13" s="1085">
        <v>200</v>
      </c>
      <c r="H13" s="1075">
        <v>39</v>
      </c>
      <c r="I13" s="1085">
        <v>40</v>
      </c>
      <c r="J13" s="1085">
        <v>60</v>
      </c>
      <c r="K13" s="1086">
        <v>421</v>
      </c>
      <c r="L13" s="1099">
        <v>6390</v>
      </c>
      <c r="M13" s="1094"/>
      <c r="N13" s="951"/>
      <c r="O13" s="954">
        <v>172</v>
      </c>
      <c r="P13" s="866"/>
      <c r="Q13" s="866"/>
      <c r="R13" s="867"/>
      <c r="S13" s="93"/>
    </row>
    <row r="14" spans="1:19" ht="32.25" customHeight="1">
      <c r="A14" s="94"/>
      <c r="B14" s="1083">
        <v>0.375</v>
      </c>
      <c r="C14" s="1100">
        <v>3767</v>
      </c>
      <c r="D14" s="1084">
        <v>1872</v>
      </c>
      <c r="E14" s="1084">
        <v>0</v>
      </c>
      <c r="F14" s="1085">
        <v>1872</v>
      </c>
      <c r="G14" s="1085">
        <v>199</v>
      </c>
      <c r="H14" s="1075">
        <v>85</v>
      </c>
      <c r="I14" s="1085">
        <v>40</v>
      </c>
      <c r="J14" s="1085">
        <v>62</v>
      </c>
      <c r="K14" s="1086">
        <v>595</v>
      </c>
      <c r="L14" s="1099">
        <v>6620</v>
      </c>
      <c r="M14" s="1094"/>
      <c r="N14" s="951"/>
      <c r="O14" s="954">
        <v>154</v>
      </c>
      <c r="P14" s="866"/>
      <c r="Q14" s="866"/>
      <c r="R14" s="867"/>
      <c r="S14" s="93"/>
    </row>
    <row r="15" spans="1:19" ht="32.25" customHeight="1">
      <c r="A15" s="94"/>
      <c r="B15" s="1083">
        <v>0.41666666666666669</v>
      </c>
      <c r="C15" s="1100">
        <v>3579</v>
      </c>
      <c r="D15" s="1084">
        <v>1820</v>
      </c>
      <c r="E15" s="1084">
        <v>0</v>
      </c>
      <c r="F15" s="1085">
        <v>1820</v>
      </c>
      <c r="G15" s="1085">
        <v>199</v>
      </c>
      <c r="H15" s="1075">
        <v>139</v>
      </c>
      <c r="I15" s="1085">
        <v>75</v>
      </c>
      <c r="J15" s="1085">
        <v>63</v>
      </c>
      <c r="K15" s="1086">
        <v>610</v>
      </c>
      <c r="L15" s="1099">
        <v>6485</v>
      </c>
      <c r="M15" s="1094"/>
      <c r="N15" s="951"/>
      <c r="O15" s="954">
        <v>151</v>
      </c>
      <c r="P15" s="866"/>
      <c r="Q15" s="866"/>
      <c r="R15" s="867"/>
      <c r="S15" s="93"/>
    </row>
    <row r="16" spans="1:19" ht="32.25" customHeight="1">
      <c r="A16" s="94"/>
      <c r="B16" s="1083">
        <v>0.45833333333333331</v>
      </c>
      <c r="C16" s="1100">
        <v>3651</v>
      </c>
      <c r="D16" s="1084">
        <v>1807</v>
      </c>
      <c r="E16" s="1084">
        <v>0</v>
      </c>
      <c r="F16" s="1085">
        <v>1807</v>
      </c>
      <c r="G16" s="1085">
        <v>199</v>
      </c>
      <c r="H16" s="1075">
        <v>162</v>
      </c>
      <c r="I16" s="1085">
        <v>85</v>
      </c>
      <c r="J16" s="1085">
        <v>72</v>
      </c>
      <c r="K16" s="1086">
        <v>611</v>
      </c>
      <c r="L16" s="1099">
        <v>6587</v>
      </c>
      <c r="M16" s="1094"/>
      <c r="N16" s="951"/>
      <c r="O16" s="954">
        <v>151</v>
      </c>
      <c r="P16" s="866"/>
      <c r="Q16" s="866"/>
      <c r="R16" s="867"/>
      <c r="S16" s="93"/>
    </row>
    <row r="17" spans="1:19" ht="32.25" customHeight="1">
      <c r="A17" s="94"/>
      <c r="B17" s="1083">
        <v>0.5</v>
      </c>
      <c r="C17" s="1100">
        <v>3765</v>
      </c>
      <c r="D17" s="1084">
        <v>2025</v>
      </c>
      <c r="E17" s="1084">
        <v>0</v>
      </c>
      <c r="F17" s="1085">
        <v>2025</v>
      </c>
      <c r="G17" s="1085">
        <v>199</v>
      </c>
      <c r="H17" s="1075">
        <v>170</v>
      </c>
      <c r="I17" s="1085">
        <v>83</v>
      </c>
      <c r="J17" s="1085">
        <v>80</v>
      </c>
      <c r="K17" s="1086">
        <v>610</v>
      </c>
      <c r="L17" s="1099">
        <v>6932</v>
      </c>
      <c r="M17" s="1094"/>
      <c r="N17" s="951"/>
      <c r="O17" s="954">
        <v>153</v>
      </c>
      <c r="P17" s="866"/>
      <c r="Q17" s="866"/>
      <c r="R17" s="867"/>
      <c r="S17" s="93"/>
    </row>
    <row r="18" spans="1:19" ht="32.25" customHeight="1">
      <c r="A18" s="178"/>
      <c r="B18" s="1083">
        <v>0.54166666666666896</v>
      </c>
      <c r="C18" s="1100">
        <v>3633</v>
      </c>
      <c r="D18" s="1084">
        <v>2571</v>
      </c>
      <c r="E18" s="1084">
        <v>0</v>
      </c>
      <c r="F18" s="1085">
        <v>2571</v>
      </c>
      <c r="G18" s="1085">
        <v>199</v>
      </c>
      <c r="H18" s="1075">
        <v>167</v>
      </c>
      <c r="I18" s="1085">
        <v>73</v>
      </c>
      <c r="J18" s="1085">
        <v>82</v>
      </c>
      <c r="K18" s="1086">
        <v>610</v>
      </c>
      <c r="L18" s="1099">
        <v>7335</v>
      </c>
      <c r="M18" s="1094"/>
      <c r="N18" s="951"/>
      <c r="O18" s="954">
        <v>166</v>
      </c>
      <c r="P18" s="866"/>
      <c r="Q18" s="866"/>
      <c r="R18" s="867"/>
      <c r="S18" s="93"/>
    </row>
    <row r="19" spans="1:19" ht="32.25" customHeight="1">
      <c r="A19" s="94"/>
      <c r="B19" s="1082">
        <v>0.58333333333333337</v>
      </c>
      <c r="C19" s="1098">
        <v>3485</v>
      </c>
      <c r="D19" s="1077">
        <v>1933</v>
      </c>
      <c r="E19" s="1077">
        <v>0</v>
      </c>
      <c r="F19" s="1078">
        <v>1933</v>
      </c>
      <c r="G19" s="1078">
        <v>199</v>
      </c>
      <c r="H19" s="1075">
        <v>145</v>
      </c>
      <c r="I19" s="1078">
        <v>75</v>
      </c>
      <c r="J19" s="1078">
        <v>71</v>
      </c>
      <c r="K19" s="1079">
        <v>469</v>
      </c>
      <c r="L19" s="1099">
        <v>6377</v>
      </c>
      <c r="M19" s="1093"/>
      <c r="N19" s="951"/>
      <c r="O19" s="954">
        <v>148</v>
      </c>
      <c r="P19" s="866"/>
      <c r="Q19" s="866"/>
      <c r="R19" s="867"/>
      <c r="S19" s="93"/>
    </row>
    <row r="20" spans="1:19" ht="32.25" customHeight="1">
      <c r="A20" s="94"/>
      <c r="B20" s="1082">
        <v>0.625000000000003</v>
      </c>
      <c r="C20" s="1098">
        <v>3533</v>
      </c>
      <c r="D20" s="1077">
        <v>1619</v>
      </c>
      <c r="E20" s="1077">
        <v>0</v>
      </c>
      <c r="F20" s="1078">
        <v>1619</v>
      </c>
      <c r="G20" s="1078">
        <v>199</v>
      </c>
      <c r="H20" s="1075">
        <v>101</v>
      </c>
      <c r="I20" s="1078">
        <v>86</v>
      </c>
      <c r="J20" s="1078">
        <v>67</v>
      </c>
      <c r="K20" s="1079">
        <v>469</v>
      </c>
      <c r="L20" s="1099">
        <v>6074</v>
      </c>
      <c r="M20" s="1093"/>
      <c r="N20" s="951"/>
      <c r="O20" s="954">
        <v>147</v>
      </c>
      <c r="P20" s="866"/>
      <c r="Q20" s="866"/>
      <c r="R20" s="867"/>
      <c r="S20" s="93"/>
    </row>
    <row r="21" spans="1:19" ht="32.25" customHeight="1">
      <c r="A21" s="94"/>
      <c r="B21" s="1082">
        <v>0.66666666666666996</v>
      </c>
      <c r="C21" s="1098">
        <v>3634</v>
      </c>
      <c r="D21" s="1077">
        <v>1542</v>
      </c>
      <c r="E21" s="1077">
        <v>0</v>
      </c>
      <c r="F21" s="1078">
        <v>1542</v>
      </c>
      <c r="G21" s="1078">
        <v>199</v>
      </c>
      <c r="H21" s="1075">
        <v>48</v>
      </c>
      <c r="I21" s="1078">
        <v>86</v>
      </c>
      <c r="J21" s="1078">
        <v>62</v>
      </c>
      <c r="K21" s="1079">
        <v>469</v>
      </c>
      <c r="L21" s="1099">
        <v>6040</v>
      </c>
      <c r="M21" s="1093"/>
      <c r="N21" s="951"/>
      <c r="O21" s="954">
        <v>171</v>
      </c>
      <c r="P21" s="866"/>
      <c r="Q21" s="866"/>
      <c r="R21" s="867"/>
      <c r="S21" s="93"/>
    </row>
    <row r="22" spans="1:19" ht="35.25" customHeight="1">
      <c r="A22" s="94"/>
      <c r="B22" s="1082">
        <v>0.70833333333333337</v>
      </c>
      <c r="C22" s="1098">
        <v>3728</v>
      </c>
      <c r="D22" s="1077">
        <v>1680</v>
      </c>
      <c r="E22" s="1077">
        <v>0</v>
      </c>
      <c r="F22" s="1078">
        <v>1680</v>
      </c>
      <c r="G22" s="1078">
        <v>199</v>
      </c>
      <c r="H22" s="1075">
        <v>8</v>
      </c>
      <c r="I22" s="1078">
        <v>78</v>
      </c>
      <c r="J22" s="1078">
        <v>72</v>
      </c>
      <c r="K22" s="1079">
        <v>469</v>
      </c>
      <c r="L22" s="1099">
        <v>6234</v>
      </c>
      <c r="M22" s="1093"/>
      <c r="N22" s="951"/>
      <c r="O22" s="954">
        <v>171</v>
      </c>
      <c r="P22" s="866"/>
      <c r="Q22" s="866"/>
      <c r="R22" s="867"/>
      <c r="S22" s="93"/>
    </row>
    <row r="23" spans="1:19" ht="25.5" customHeight="1">
      <c r="A23" s="94"/>
      <c r="B23" s="1082">
        <v>0.75</v>
      </c>
      <c r="C23" s="1098">
        <v>3769</v>
      </c>
      <c r="D23" s="1077">
        <v>2716</v>
      </c>
      <c r="E23" s="1077">
        <v>121</v>
      </c>
      <c r="F23" s="1078">
        <v>2837</v>
      </c>
      <c r="G23" s="1078">
        <v>200</v>
      </c>
      <c r="H23" s="1075">
        <v>0</v>
      </c>
      <c r="I23" s="1078">
        <v>79</v>
      </c>
      <c r="J23" s="1078">
        <v>88</v>
      </c>
      <c r="K23" s="1079">
        <v>599</v>
      </c>
      <c r="L23" s="1099">
        <v>7572</v>
      </c>
      <c r="M23" s="1093"/>
      <c r="N23" s="951"/>
      <c r="O23" s="954">
        <v>196</v>
      </c>
      <c r="P23" s="866"/>
      <c r="Q23" s="866"/>
      <c r="R23" s="867"/>
      <c r="S23" s="93"/>
    </row>
    <row r="24" spans="1:19" ht="0.75" customHeight="1">
      <c r="A24" s="94"/>
      <c r="B24" s="1082">
        <v>0.77083333333333337</v>
      </c>
      <c r="C24" s="1098">
        <v>0</v>
      </c>
      <c r="D24" s="1077">
        <v>0</v>
      </c>
      <c r="E24" s="1077">
        <v>0</v>
      </c>
      <c r="F24" s="1078">
        <v>0</v>
      </c>
      <c r="G24" s="1078">
        <v>0</v>
      </c>
      <c r="H24" s="1075">
        <v>0</v>
      </c>
      <c r="I24" s="1078">
        <v>0</v>
      </c>
      <c r="J24" s="1078">
        <v>0</v>
      </c>
      <c r="K24" s="1079">
        <v>0</v>
      </c>
      <c r="L24" s="1099">
        <v>0</v>
      </c>
      <c r="M24" s="1093"/>
      <c r="N24" s="951"/>
      <c r="O24" s="954">
        <v>0</v>
      </c>
      <c r="P24" s="866"/>
      <c r="Q24" s="866"/>
      <c r="R24" s="867"/>
      <c r="S24" s="93"/>
    </row>
    <row r="25" spans="1:19" ht="32.25" customHeight="1">
      <c r="A25" s="94"/>
      <c r="B25" s="1082">
        <v>0.79166666666666663</v>
      </c>
      <c r="C25" s="1098">
        <v>3896</v>
      </c>
      <c r="D25" s="1077">
        <v>3064</v>
      </c>
      <c r="E25" s="1077">
        <v>50</v>
      </c>
      <c r="F25" s="1078">
        <v>3114</v>
      </c>
      <c r="G25" s="1078">
        <v>269</v>
      </c>
      <c r="H25" s="1075">
        <v>0</v>
      </c>
      <c r="I25" s="1078">
        <v>77</v>
      </c>
      <c r="J25" s="1078">
        <v>86</v>
      </c>
      <c r="K25" s="1079">
        <v>656</v>
      </c>
      <c r="L25" s="1099">
        <v>8098</v>
      </c>
      <c r="M25" s="1093"/>
      <c r="N25" s="951"/>
      <c r="O25" s="954">
        <v>229</v>
      </c>
      <c r="P25" s="866"/>
      <c r="Q25" s="866"/>
      <c r="R25" s="867" t="s">
        <v>18</v>
      </c>
      <c r="S25" s="93"/>
    </row>
    <row r="26" spans="1:19" ht="32.25" customHeight="1">
      <c r="A26" s="94"/>
      <c r="B26" s="1082">
        <v>0.8125</v>
      </c>
      <c r="C26" s="1098">
        <v>3950</v>
      </c>
      <c r="D26" s="1077">
        <v>3055</v>
      </c>
      <c r="E26" s="1077">
        <v>0</v>
      </c>
      <c r="F26" s="1078">
        <v>3055</v>
      </c>
      <c r="G26" s="1078">
        <v>389</v>
      </c>
      <c r="H26" s="1075">
        <v>0</v>
      </c>
      <c r="I26" s="1078">
        <v>78</v>
      </c>
      <c r="J26" s="1078">
        <v>88</v>
      </c>
      <c r="K26" s="1079">
        <v>658</v>
      </c>
      <c r="L26" s="1099">
        <v>8218</v>
      </c>
      <c r="M26" s="1093"/>
      <c r="N26" s="951"/>
      <c r="O26" s="954">
        <v>214</v>
      </c>
      <c r="P26" s="866"/>
      <c r="Q26" s="866"/>
      <c r="R26" s="867"/>
      <c r="S26" s="93"/>
    </row>
    <row r="27" spans="1:19" ht="32.25" customHeight="1">
      <c r="A27" s="94"/>
      <c r="B27" s="1082">
        <v>0.83333333333333337</v>
      </c>
      <c r="C27" s="1098">
        <v>4002</v>
      </c>
      <c r="D27" s="1077">
        <v>2930</v>
      </c>
      <c r="E27" s="1077">
        <v>0</v>
      </c>
      <c r="F27" s="1078">
        <v>2930</v>
      </c>
      <c r="G27" s="1078">
        <v>409</v>
      </c>
      <c r="H27" s="1075">
        <v>0</v>
      </c>
      <c r="I27" s="1078">
        <v>79</v>
      </c>
      <c r="J27" s="1078">
        <v>86</v>
      </c>
      <c r="K27" s="1079">
        <v>657</v>
      </c>
      <c r="L27" s="1099">
        <v>8163</v>
      </c>
      <c r="M27" s="1093"/>
      <c r="N27" s="951"/>
      <c r="O27" s="954">
        <v>214</v>
      </c>
      <c r="P27" s="866"/>
      <c r="Q27" s="866"/>
      <c r="R27" s="867"/>
      <c r="S27" s="93"/>
    </row>
    <row r="28" spans="1:19" ht="32.25" customHeight="1" thickBot="1">
      <c r="A28" s="94"/>
      <c r="B28" s="1082">
        <v>0.875</v>
      </c>
      <c r="C28" s="1098">
        <v>4162</v>
      </c>
      <c r="D28" s="1077">
        <v>2522</v>
      </c>
      <c r="E28" s="1077">
        <v>0</v>
      </c>
      <c r="F28" s="1078">
        <v>2522</v>
      </c>
      <c r="G28" s="1078">
        <v>480</v>
      </c>
      <c r="H28" s="1075">
        <v>0</v>
      </c>
      <c r="I28" s="1078">
        <v>86</v>
      </c>
      <c r="J28" s="1078">
        <v>86</v>
      </c>
      <c r="K28" s="1079">
        <v>657</v>
      </c>
      <c r="L28" s="1099">
        <v>7993</v>
      </c>
      <c r="M28" s="1093"/>
      <c r="N28" s="1230">
        <f>MAX(L25:L28)</f>
        <v>8218</v>
      </c>
      <c r="O28" s="954">
        <v>189</v>
      </c>
      <c r="P28" s="866"/>
      <c r="Q28" s="866"/>
      <c r="R28" s="867"/>
      <c r="S28" s="93"/>
    </row>
    <row r="29" spans="1:19" ht="32.25" customHeight="1">
      <c r="A29" s="94"/>
      <c r="B29" s="1083">
        <v>0.91666666666666663</v>
      </c>
      <c r="C29" s="1100">
        <v>4087</v>
      </c>
      <c r="D29" s="1084">
        <v>2265</v>
      </c>
      <c r="E29" s="1084">
        <v>0</v>
      </c>
      <c r="F29" s="1085">
        <v>2265</v>
      </c>
      <c r="G29" s="1085">
        <v>579</v>
      </c>
      <c r="H29" s="1075">
        <v>0</v>
      </c>
      <c r="I29" s="1085">
        <v>86</v>
      </c>
      <c r="J29" s="1085">
        <v>84</v>
      </c>
      <c r="K29" s="1086">
        <v>658</v>
      </c>
      <c r="L29" s="1099">
        <v>7759</v>
      </c>
      <c r="M29" s="1094"/>
      <c r="N29" s="951"/>
      <c r="O29" s="954">
        <v>189</v>
      </c>
      <c r="P29" s="866"/>
      <c r="Q29" s="866"/>
      <c r="R29" s="867"/>
      <c r="S29" s="93"/>
    </row>
    <row r="30" spans="1:19" ht="32.25" customHeight="1">
      <c r="A30" s="94"/>
      <c r="B30" s="1083">
        <v>0.95833333333333337</v>
      </c>
      <c r="C30" s="1100">
        <v>4035</v>
      </c>
      <c r="D30" s="1084">
        <v>1865</v>
      </c>
      <c r="E30" s="1084">
        <v>0</v>
      </c>
      <c r="F30" s="1085">
        <v>1865</v>
      </c>
      <c r="G30" s="1085">
        <v>569</v>
      </c>
      <c r="H30" s="1075">
        <v>0</v>
      </c>
      <c r="I30" s="1085">
        <v>77</v>
      </c>
      <c r="J30" s="1085">
        <v>76</v>
      </c>
      <c r="K30" s="1086">
        <v>610</v>
      </c>
      <c r="L30" s="1099">
        <v>7232</v>
      </c>
      <c r="M30" s="1094"/>
      <c r="N30" s="951"/>
      <c r="O30" s="954">
        <v>189</v>
      </c>
      <c r="P30" s="866"/>
      <c r="Q30" s="866">
        <v>265</v>
      </c>
      <c r="R30" s="867"/>
      <c r="S30" s="93"/>
    </row>
    <row r="31" spans="1:19" ht="32.25" customHeight="1" thickBot="1">
      <c r="A31" s="94"/>
      <c r="B31" s="1087" t="s">
        <v>24</v>
      </c>
      <c r="C31" s="1101">
        <v>4042</v>
      </c>
      <c r="D31" s="1088">
        <v>1501</v>
      </c>
      <c r="E31" s="1088">
        <v>0</v>
      </c>
      <c r="F31" s="1089">
        <v>1501</v>
      </c>
      <c r="G31" s="1089">
        <v>519</v>
      </c>
      <c r="H31" s="1075">
        <v>0</v>
      </c>
      <c r="I31" s="1089">
        <v>75</v>
      </c>
      <c r="J31" s="1089">
        <v>71</v>
      </c>
      <c r="K31" s="1090">
        <v>469</v>
      </c>
      <c r="L31" s="1099">
        <v>6677</v>
      </c>
      <c r="M31" s="1095"/>
      <c r="N31" s="951"/>
      <c r="O31" s="955">
        <v>189</v>
      </c>
      <c r="P31" s="866"/>
      <c r="Q31" s="868"/>
      <c r="R31" s="869"/>
      <c r="S31" s="93"/>
    </row>
    <row r="32" spans="1:19" s="137" customFormat="1" ht="31.5" customHeight="1" thickBot="1">
      <c r="B32" s="1091" t="s">
        <v>15</v>
      </c>
      <c r="C32" s="4223">
        <v>93789595</v>
      </c>
      <c r="D32" s="4224">
        <v>47989137</v>
      </c>
      <c r="E32" s="4225">
        <v>193117</v>
      </c>
      <c r="F32" s="4224">
        <v>48182254</v>
      </c>
      <c r="G32" s="4224">
        <v>6684700</v>
      </c>
      <c r="H32" s="4224">
        <v>1088598</v>
      </c>
      <c r="I32" s="4224">
        <v>1814800</v>
      </c>
      <c r="J32" s="4224">
        <v>1943040</v>
      </c>
      <c r="K32" s="4224">
        <v>12730909</v>
      </c>
      <c r="L32" s="4226">
        <v>166233896</v>
      </c>
      <c r="M32" s="1102"/>
      <c r="N32" s="952"/>
      <c r="R32" s="170"/>
      <c r="S32" s="93"/>
    </row>
    <row r="33" spans="2:19" ht="27.75" customHeight="1">
      <c r="B33" s="103"/>
      <c r="C33" s="103"/>
      <c r="S33" s="93"/>
    </row>
    <row r="34" spans="2:19" ht="31.5">
      <c r="B34" s="1818" t="s">
        <v>945</v>
      </c>
      <c r="C34" s="1882" t="s">
        <v>953</v>
      </c>
      <c r="D34" s="1883">
        <v>12893</v>
      </c>
      <c r="E34" s="1884">
        <v>0.875</v>
      </c>
      <c r="N34" s="4937"/>
      <c r="S34" s="93"/>
    </row>
    <row r="35" spans="2:19">
      <c r="B35" s="103"/>
      <c r="C35" s="1427"/>
      <c r="D35" s="1427"/>
      <c r="E35" s="1427"/>
      <c r="F35" s="1427"/>
      <c r="G35" s="1427"/>
      <c r="H35" s="1427"/>
      <c r="I35" s="1427"/>
      <c r="J35" s="1427"/>
      <c r="K35" s="1427"/>
      <c r="L35" s="1427"/>
      <c r="O35" s="140"/>
      <c r="S35" s="93"/>
    </row>
    <row r="36" spans="2:19">
      <c r="C36" s="1004"/>
      <c r="F36" s="104"/>
    </row>
    <row r="42" spans="2:19">
      <c r="H42" s="1672"/>
      <c r="I42" s="1672"/>
      <c r="J42" s="1672"/>
      <c r="K42" s="1672"/>
      <c r="L42" s="1672"/>
    </row>
    <row r="43" spans="2:19" ht="23.25">
      <c r="H43" s="1672"/>
      <c r="I43" s="1045"/>
      <c r="J43" s="1672"/>
      <c r="K43" s="1673"/>
      <c r="L43" s="1672"/>
    </row>
    <row r="44" spans="2:19" ht="23.25">
      <c r="H44" s="1672"/>
      <c r="I44" s="1045"/>
      <c r="J44" s="1672"/>
      <c r="K44" s="1673"/>
      <c r="L44" s="1672"/>
    </row>
    <row r="45" spans="2:19" ht="23.25">
      <c r="H45" s="1672"/>
      <c r="I45" s="1045"/>
      <c r="J45" s="1672"/>
      <c r="K45" s="1673"/>
      <c r="L45" s="1672"/>
    </row>
    <row r="46" spans="2:19" ht="23.25">
      <c r="H46" s="1672"/>
      <c r="I46" s="1045"/>
      <c r="J46" s="1672"/>
      <c r="K46" s="1673"/>
      <c r="L46" s="1672"/>
    </row>
    <row r="47" spans="2:19" ht="23.25">
      <c r="H47" s="1672"/>
      <c r="I47" s="1045"/>
      <c r="J47" s="1672"/>
      <c r="K47" s="1673"/>
      <c r="L47" s="1672"/>
    </row>
    <row r="48" spans="2:19" ht="23.25">
      <c r="H48" s="1672"/>
      <c r="I48" s="1045"/>
      <c r="J48" s="1672"/>
      <c r="K48" s="1673"/>
      <c r="L48" s="1672"/>
    </row>
    <row r="49" spans="8:12" ht="23.25">
      <c r="H49" s="1672"/>
      <c r="I49" s="1045"/>
      <c r="J49" s="1672"/>
      <c r="K49" s="1673"/>
      <c r="L49" s="1672"/>
    </row>
    <row r="50" spans="8:12" ht="23.25">
      <c r="H50" s="1672"/>
      <c r="I50" s="1045"/>
      <c r="J50" s="1672"/>
      <c r="K50" s="1673"/>
      <c r="L50" s="1672"/>
    </row>
    <row r="51" spans="8:12" ht="23.25">
      <c r="H51" s="1672"/>
      <c r="I51" s="1045"/>
      <c r="J51" s="1672"/>
      <c r="K51" s="1673"/>
      <c r="L51" s="1672"/>
    </row>
    <row r="52" spans="8:12" ht="23.25">
      <c r="H52" s="1672"/>
      <c r="I52" s="1045"/>
      <c r="J52" s="1672"/>
      <c r="K52" s="1673"/>
      <c r="L52" s="1672"/>
    </row>
    <row r="53" spans="8:12" ht="23.25">
      <c r="H53" s="1672"/>
      <c r="I53" s="1045"/>
      <c r="J53" s="1672"/>
      <c r="K53" s="1673"/>
      <c r="L53" s="1672"/>
    </row>
    <row r="54" spans="8:12" ht="23.25">
      <c r="H54" s="1672"/>
      <c r="I54" s="1045"/>
      <c r="J54" s="1672"/>
      <c r="K54" s="1673"/>
      <c r="L54" s="1672"/>
    </row>
    <row r="55" spans="8:12" ht="23.25">
      <c r="H55" s="1672"/>
      <c r="I55" s="1045"/>
      <c r="J55" s="1672"/>
      <c r="K55" s="1673"/>
      <c r="L55" s="1672"/>
    </row>
    <row r="56" spans="8:12" ht="23.25">
      <c r="H56" s="1672"/>
      <c r="I56" s="1045"/>
      <c r="J56" s="1672"/>
      <c r="K56" s="1673"/>
      <c r="L56" s="1672"/>
    </row>
    <row r="57" spans="8:12" ht="23.25">
      <c r="H57" s="1672"/>
      <c r="I57" s="1045"/>
      <c r="J57" s="1672"/>
      <c r="K57" s="1673"/>
      <c r="L57" s="1672"/>
    </row>
    <row r="58" spans="8:12" ht="23.25">
      <c r="H58" s="1672"/>
      <c r="I58" s="1045"/>
      <c r="J58" s="1672"/>
      <c r="K58" s="1673"/>
      <c r="L58" s="1672"/>
    </row>
    <row r="59" spans="8:12" ht="23.25">
      <c r="H59" s="1672"/>
      <c r="I59" s="1045"/>
      <c r="J59" s="1672"/>
      <c r="K59" s="1673"/>
      <c r="L59" s="1672"/>
    </row>
    <row r="60" spans="8:12" ht="23.25">
      <c r="H60" s="1672"/>
      <c r="I60" s="1045"/>
      <c r="J60" s="1672"/>
      <c r="K60" s="1673"/>
      <c r="L60" s="1672"/>
    </row>
    <row r="61" spans="8:12" ht="23.25">
      <c r="H61" s="1672"/>
      <c r="I61" s="1045"/>
      <c r="J61" s="1672"/>
      <c r="K61" s="1673"/>
      <c r="L61" s="1672"/>
    </row>
    <row r="62" spans="8:12" ht="23.25">
      <c r="H62" s="1672"/>
      <c r="I62" s="1045"/>
      <c r="J62" s="1672"/>
      <c r="K62" s="1673"/>
      <c r="L62" s="1672"/>
    </row>
    <row r="63" spans="8:12" ht="23.25">
      <c r="H63" s="1672"/>
      <c r="I63" s="1045"/>
      <c r="J63" s="1672"/>
      <c r="K63" s="1673"/>
      <c r="L63" s="1672"/>
    </row>
    <row r="64" spans="8:12" ht="23.25">
      <c r="H64" s="1672"/>
      <c r="I64" s="1045"/>
      <c r="J64" s="1672"/>
      <c r="K64" s="1673"/>
      <c r="L64" s="1672"/>
    </row>
    <row r="65" spans="1:12" ht="23.25">
      <c r="H65" s="1672"/>
      <c r="I65" s="1045"/>
      <c r="J65" s="1672"/>
      <c r="K65" s="1673"/>
      <c r="L65" s="1672"/>
    </row>
    <row r="66" spans="1:12" ht="23.25">
      <c r="H66" s="1672"/>
      <c r="I66" s="1045"/>
      <c r="J66" s="1672"/>
      <c r="K66" s="1673"/>
      <c r="L66" s="1672"/>
    </row>
    <row r="67" spans="1:12" ht="23.25">
      <c r="H67" s="1672"/>
      <c r="I67" s="1045"/>
      <c r="J67" s="1672"/>
      <c r="K67" s="1673"/>
      <c r="L67" s="1672"/>
    </row>
    <row r="68" spans="1:12" ht="23.25">
      <c r="A68" s="144"/>
      <c r="H68" s="1672"/>
      <c r="I68" s="1045"/>
      <c r="J68" s="1672"/>
      <c r="K68" s="1673"/>
      <c r="L68" s="1672"/>
    </row>
    <row r="73" spans="1:12">
      <c r="A73" s="144"/>
    </row>
    <row r="75" spans="1:12">
      <c r="A75" s="144"/>
    </row>
    <row r="87" spans="1:10">
      <c r="A87" s="173"/>
      <c r="B87" s="173"/>
      <c r="C87" s="173"/>
      <c r="D87" s="173"/>
      <c r="E87" s="173"/>
      <c r="F87" s="173"/>
      <c r="G87" s="173"/>
      <c r="H87" s="173"/>
      <c r="I87" s="173"/>
      <c r="J87" s="173"/>
    </row>
    <row r="88" spans="1:10">
      <c r="A88" s="173"/>
      <c r="B88" s="173"/>
      <c r="C88" s="173"/>
      <c r="D88" s="173"/>
      <c r="E88" s="173"/>
      <c r="F88" s="173"/>
      <c r="G88" s="173"/>
      <c r="H88" s="173"/>
      <c r="I88" s="173"/>
      <c r="J88" s="173"/>
    </row>
    <row r="89" spans="1:10">
      <c r="A89" s="173"/>
      <c r="B89" s="173"/>
      <c r="C89" s="173"/>
      <c r="D89" s="173"/>
      <c r="E89" s="173"/>
      <c r="F89" s="173"/>
      <c r="G89" s="173"/>
      <c r="H89" s="173"/>
      <c r="I89" s="173"/>
      <c r="J89" s="173"/>
    </row>
    <row r="90" spans="1:10">
      <c r="A90" s="174"/>
      <c r="B90" s="173"/>
      <c r="C90" s="173"/>
      <c r="D90" s="173"/>
      <c r="E90" s="173"/>
      <c r="F90" s="173"/>
      <c r="G90" s="173"/>
      <c r="H90" s="173"/>
      <c r="I90" s="173"/>
      <c r="J90" s="173"/>
    </row>
    <row r="91" spans="1:10">
      <c r="A91" s="175"/>
      <c r="B91" s="173"/>
      <c r="C91" s="173"/>
      <c r="D91" s="173"/>
      <c r="E91" s="173"/>
      <c r="F91" s="173"/>
      <c r="G91" s="173"/>
      <c r="H91" s="173"/>
      <c r="I91" s="173"/>
      <c r="J91" s="173"/>
    </row>
    <row r="92" spans="1:10">
      <c r="A92" s="176"/>
      <c r="B92" s="173"/>
      <c r="C92" s="173"/>
      <c r="D92" s="173"/>
      <c r="E92" s="173"/>
      <c r="F92" s="173"/>
      <c r="G92" s="173"/>
      <c r="H92" s="173"/>
      <c r="I92" s="173"/>
      <c r="J92" s="173"/>
    </row>
    <row r="93" spans="1:10">
      <c r="A93" s="173"/>
      <c r="B93" s="173"/>
      <c r="C93" s="173"/>
      <c r="D93" s="173"/>
      <c r="E93" s="173"/>
      <c r="F93" s="173"/>
      <c r="G93" s="173"/>
      <c r="H93" s="173"/>
      <c r="I93" s="173"/>
      <c r="J93" s="173"/>
    </row>
    <row r="94" spans="1:10">
      <c r="A94" s="173"/>
      <c r="B94" s="173"/>
      <c r="C94" s="173"/>
      <c r="D94" s="173"/>
      <c r="E94" s="173"/>
      <c r="F94" s="173"/>
      <c r="G94" s="173"/>
      <c r="H94" s="173"/>
      <c r="I94" s="173"/>
      <c r="J94" s="173"/>
    </row>
    <row r="95" spans="1:10">
      <c r="A95" s="173"/>
      <c r="B95" s="173"/>
      <c r="C95" s="173"/>
      <c r="D95" s="173"/>
      <c r="E95" s="173"/>
      <c r="F95" s="173"/>
      <c r="G95" s="173"/>
      <c r="H95" s="173"/>
      <c r="I95" s="173"/>
      <c r="J95" s="173"/>
    </row>
    <row r="96" spans="1:10">
      <c r="A96" s="173"/>
      <c r="B96" s="173"/>
      <c r="C96" s="173"/>
      <c r="D96" s="173"/>
      <c r="E96" s="173"/>
      <c r="F96" s="173"/>
      <c r="G96" s="173"/>
      <c r="H96" s="173"/>
      <c r="I96" s="173"/>
      <c r="J96" s="173"/>
    </row>
    <row r="97" spans="1:10">
      <c r="A97" s="173"/>
      <c r="B97" s="173"/>
      <c r="C97" s="173"/>
      <c r="D97" s="173"/>
      <c r="E97" s="173"/>
      <c r="F97" s="173"/>
      <c r="G97" s="173"/>
      <c r="H97" s="173"/>
      <c r="I97" s="173"/>
      <c r="J97" s="173"/>
    </row>
    <row r="98" spans="1:10">
      <c r="A98" s="173"/>
      <c r="B98" s="173"/>
      <c r="C98" s="173"/>
      <c r="D98" s="173"/>
      <c r="E98" s="173"/>
      <c r="F98" s="173"/>
      <c r="G98" s="173"/>
      <c r="H98" s="173"/>
      <c r="I98" s="173"/>
      <c r="J98" s="173"/>
    </row>
    <row r="99" spans="1:10">
      <c r="A99" s="173"/>
      <c r="B99" s="173"/>
      <c r="C99" s="173"/>
      <c r="D99" s="173"/>
      <c r="E99" s="173"/>
      <c r="F99" s="173"/>
      <c r="G99" s="173"/>
      <c r="H99" s="173"/>
      <c r="I99" s="173"/>
      <c r="J99" s="173"/>
    </row>
    <row r="100" spans="1:10">
      <c r="A100" s="173"/>
      <c r="B100" s="173"/>
      <c r="C100" s="173"/>
      <c r="D100" s="173"/>
      <c r="E100" s="173"/>
      <c r="F100" s="173"/>
      <c r="G100" s="173"/>
      <c r="H100" s="173"/>
      <c r="I100" s="173"/>
      <c r="J100" s="173"/>
    </row>
    <row r="101" spans="1:10">
      <c r="A101" s="173"/>
      <c r="B101" s="173"/>
      <c r="C101" s="173"/>
      <c r="D101" s="173"/>
      <c r="E101" s="173"/>
      <c r="F101" s="173"/>
      <c r="G101" s="173"/>
      <c r="H101" s="173"/>
      <c r="I101" s="173"/>
      <c r="J101" s="173"/>
    </row>
    <row r="102" spans="1:10">
      <c r="A102" s="173"/>
      <c r="B102" s="173"/>
      <c r="C102" s="173"/>
      <c r="D102" s="173"/>
      <c r="E102" s="173"/>
      <c r="F102" s="173"/>
      <c r="G102" s="173"/>
      <c r="H102" s="173"/>
      <c r="I102" s="173"/>
      <c r="J102" s="173"/>
    </row>
    <row r="103" spans="1:10">
      <c r="A103" s="173"/>
      <c r="B103" s="173"/>
      <c r="C103" s="173"/>
      <c r="D103" s="173"/>
      <c r="E103" s="173"/>
      <c r="F103" s="173"/>
      <c r="G103" s="173"/>
      <c r="H103" s="173"/>
      <c r="I103" s="173"/>
      <c r="J103" s="173"/>
    </row>
    <row r="104" spans="1:10">
      <c r="A104" s="173"/>
      <c r="B104" s="173"/>
      <c r="C104" s="173"/>
      <c r="D104" s="173"/>
      <c r="E104" s="173"/>
      <c r="F104" s="173"/>
      <c r="G104" s="173"/>
      <c r="H104" s="173"/>
      <c r="I104" s="173"/>
      <c r="J104" s="173"/>
    </row>
    <row r="105" spans="1:10">
      <c r="A105" s="173"/>
      <c r="B105" s="173"/>
      <c r="C105" s="173"/>
      <c r="D105" s="173"/>
      <c r="E105" s="173"/>
      <c r="F105" s="173"/>
      <c r="G105" s="173"/>
      <c r="H105" s="173"/>
      <c r="I105" s="173"/>
      <c r="J105" s="173"/>
    </row>
    <row r="106" spans="1:10">
      <c r="A106" s="173"/>
      <c r="B106" s="173"/>
      <c r="C106" s="173"/>
      <c r="D106" s="173"/>
      <c r="E106" s="173"/>
      <c r="F106" s="173"/>
      <c r="G106" s="173"/>
      <c r="H106" s="173"/>
      <c r="I106" s="173"/>
      <c r="J106" s="173"/>
    </row>
    <row r="107" spans="1:10">
      <c r="A107" s="173"/>
      <c r="B107" s="173"/>
      <c r="C107" s="173"/>
      <c r="D107" s="173"/>
      <c r="E107" s="173"/>
      <c r="F107" s="173"/>
      <c r="G107" s="173"/>
      <c r="H107" s="173"/>
      <c r="I107" s="173"/>
      <c r="J107" s="173"/>
    </row>
    <row r="108" spans="1:10">
      <c r="A108" s="173"/>
      <c r="B108" s="173"/>
      <c r="C108" s="173"/>
      <c r="D108" s="173"/>
      <c r="E108" s="173"/>
      <c r="F108" s="173"/>
      <c r="G108" s="173"/>
      <c r="H108" s="173"/>
      <c r="I108" s="173"/>
      <c r="J108" s="173"/>
    </row>
    <row r="109" spans="1:10">
      <c r="A109" s="173"/>
      <c r="B109" s="173"/>
      <c r="C109" s="173"/>
      <c r="D109" s="173"/>
      <c r="E109" s="173"/>
      <c r="F109" s="173"/>
      <c r="G109" s="173"/>
      <c r="H109" s="173"/>
      <c r="I109" s="173"/>
      <c r="J109" s="173"/>
    </row>
    <row r="110" spans="1:10">
      <c r="A110" s="173"/>
      <c r="B110" s="173"/>
      <c r="C110" s="173"/>
      <c r="D110" s="173"/>
      <c r="E110" s="173"/>
      <c r="F110" s="173"/>
      <c r="G110" s="173"/>
      <c r="H110" s="173"/>
      <c r="I110" s="173"/>
      <c r="J110" s="173"/>
    </row>
    <row r="111" spans="1:10">
      <c r="A111" s="173"/>
      <c r="B111" s="173"/>
      <c r="C111" s="173"/>
      <c r="D111" s="173"/>
      <c r="E111" s="173"/>
      <c r="F111" s="173"/>
      <c r="G111" s="173"/>
      <c r="H111" s="173"/>
      <c r="I111" s="173"/>
      <c r="J111" s="173"/>
    </row>
    <row r="112" spans="1:10">
      <c r="A112" s="173"/>
      <c r="B112" s="173"/>
      <c r="C112" s="173"/>
      <c r="D112" s="173"/>
      <c r="E112" s="173"/>
      <c r="F112" s="173"/>
      <c r="G112" s="173"/>
      <c r="H112" s="173"/>
      <c r="I112" s="173"/>
      <c r="J112" s="173"/>
    </row>
    <row r="113" spans="1:10">
      <c r="A113" s="173"/>
      <c r="B113" s="173"/>
      <c r="C113" s="173"/>
      <c r="D113" s="173"/>
      <c r="E113" s="173"/>
      <c r="F113" s="173"/>
      <c r="G113" s="173"/>
      <c r="H113" s="173"/>
      <c r="I113" s="173"/>
      <c r="J113" s="173"/>
    </row>
    <row r="114" spans="1:10">
      <c r="A114" s="173"/>
      <c r="B114" s="173"/>
      <c r="C114" s="173"/>
      <c r="D114" s="173"/>
      <c r="E114" s="173"/>
      <c r="F114" s="173"/>
      <c r="G114" s="173"/>
      <c r="H114" s="173"/>
      <c r="I114" s="173"/>
      <c r="J114" s="173"/>
    </row>
    <row r="115" spans="1:10">
      <c r="A115" s="173"/>
      <c r="B115" s="173"/>
      <c r="C115" s="173"/>
      <c r="D115" s="173"/>
      <c r="E115" s="173"/>
      <c r="F115" s="173"/>
      <c r="G115" s="173"/>
      <c r="H115" s="173"/>
      <c r="I115" s="173"/>
      <c r="J115" s="173"/>
    </row>
  </sheetData>
  <customSheetViews>
    <customSheetView guid="{7C71EF2A-5ADA-494C-8F58-DDA71753DD90}" scale="85" showPageBreaks="1" printArea="1">
      <pane xSplit="1" ySplit="2" topLeftCell="B3" activePane="bottomRight" state="frozen"/>
      <selection pane="bottomRight" activeCell="O6" sqref="O6:R31"/>
      <pageMargins left="0.24" right="6.6666666666666697E-3" top="1" bottom="0.75" header="0.3" footer="0.3"/>
      <printOptions horizontalCentered="1"/>
      <pageSetup paperSize="9" scale="55" orientation="portrait" r:id="rId1"/>
    </customSheetView>
    <customSheetView guid="{B91C2E87-5EDA-40AE-AC27-0E2C17E803CE}" showPageBreaks="1" printArea="1" hiddenRows="1">
      <pane xSplit="1" ySplit="2" topLeftCell="J21" activePane="bottomRight" state="frozen"/>
      <selection pane="bottomRight" activeCell="O31" sqref="O31"/>
      <pageMargins left="0.24" right="6.6666666666666697E-3" top="1" bottom="0.75" header="0.3" footer="0.3"/>
      <printOptions horizontalCentered="1"/>
      <pageSetup paperSize="9" scale="55" orientation="portrait" r:id="rId2"/>
    </customSheetView>
    <customSheetView guid="{23F4DC00-BC97-4745-AA5C-F05D469CB1EF}" scale="70" showPageBreaks="1" printArea="1" hiddenRows="1">
      <pane xSplit="1" ySplit="3" topLeftCell="B4" activePane="bottomRight" state="frozen"/>
      <selection pane="bottomRight" activeCell="O6" sqref="O6:R31"/>
      <pageMargins left="0.75" right="6.6666666666666697E-3" top="1" bottom="0.75" header="0.3" footer="0.3"/>
      <printOptions horizontalCentered="1"/>
      <pageSetup paperSize="9" scale="50" orientation="portrait" r:id="rId3"/>
    </customSheetView>
    <customSheetView guid="{4593F3EE-0998-4E0E-994A-E02D6BAF3A4B}" showPageBreaks="1" printArea="1" hiddenRows="1">
      <pane xSplit="1" ySplit="3" topLeftCell="B25" activePane="bottomRight" state="frozen"/>
      <selection pane="bottomRight" activeCell="L28" sqref="L28"/>
      <pageMargins left="0.24" right="6.6666666666666697E-3" top="1" bottom="0.75" header="0.3" footer="0.3"/>
      <printOptions horizontalCentered="1"/>
      <pageSetup paperSize="9" scale="55" orientation="portrait" r:id="rId4"/>
    </customSheetView>
    <customSheetView guid="{917057C8-5E5F-4164-B84C-85103677A2E5}" scale="85">
      <pane xSplit="1" ySplit="2" topLeftCell="B3" activePane="bottomRight" state="frozen"/>
      <selection pane="bottomRight" activeCell="O6" sqref="O6:R31"/>
      <pageMargins left="0.24" right="6.6666666666666697E-3" top="1" bottom="0.75" header="0.3" footer="0.3"/>
      <printOptions horizontalCentered="1"/>
      <pageSetup paperSize="9" scale="55" orientation="portrait" r:id="rId5"/>
    </customSheetView>
    <customSheetView guid="{5A803268-F6C5-4035-B3E1-A94CB9AA8994}" showPageBreaks="1" printArea="1" hiddenRows="1">
      <pane xSplit="1" ySplit="3" topLeftCell="B34" activePane="bottomRight" state="frozen"/>
      <selection pane="bottomRight" activeCell="J32" sqref="J32"/>
      <pageMargins left="0.24" right="6.6666666666666697E-3" top="1" bottom="0.75" header="0.3" footer="0.3"/>
      <printOptions horizontalCentered="1"/>
      <pageSetup paperSize="9" scale="65" orientation="portrait" r:id="rId6"/>
    </customSheetView>
    <customSheetView guid="{751D391F-C74F-4B53-B5B5-25E01AC12EA4}" scale="85">
      <pane xSplit="1" ySplit="2" topLeftCell="B6" activePane="bottomRight" state="frozen"/>
      <selection pane="bottomRight" activeCell="O6" sqref="O6:R31"/>
      <pageMargins left="0.24" right="6.6666666666666697E-3" top="1" bottom="0.75" header="0.3" footer="0.3"/>
      <printOptions horizontalCentered="1"/>
      <pageSetup paperSize="9" scale="55" orientation="portrait" r:id="rId7"/>
    </customSheetView>
    <customSheetView guid="{D1D1E152-95AB-45D3-AC07-4EC0834D3E0C}" scale="85" showPageBreaks="1" printArea="1">
      <pane xSplit="1" ySplit="2" topLeftCell="B9" activePane="bottomRight" state="frozen"/>
      <selection pane="bottomRight" activeCell="O6" sqref="O6:R31"/>
      <pageMargins left="0.24" right="6.6666666666666697E-3" top="1" bottom="0.75" header="0.3" footer="0.3"/>
      <printOptions horizontalCentered="1"/>
      <pageSetup paperSize="9" scale="55" orientation="portrait" r:id="rId8"/>
    </customSheetView>
    <customSheetView guid="{4DB6C640-CE65-4513-9E5A-F6CDD1F4B8AF}" scale="85" showPageBreaks="1">
      <pane xSplit="1" ySplit="2" topLeftCell="B12" activePane="bottomRight" state="frozen"/>
      <selection pane="bottomRight" activeCell="L30" sqref="L30"/>
      <pageMargins left="0.24" right="6.6666666666666697E-3" top="1" bottom="0.75" header="0.3" footer="0.3"/>
      <printOptions horizontalCentered="1"/>
      <pageSetup paperSize="9" scale="55" orientation="portrait" r:id="rId9"/>
    </customSheetView>
    <customSheetView guid="{C3348F62-02F2-4500-9BF2-19F2DEA57A8D}" scale="85" showPageBreaks="1" printArea="1">
      <pane xSplit="1" ySplit="2" topLeftCell="B6" activePane="bottomRight" state="frozen"/>
      <selection pane="bottomRight" activeCell="L15" sqref="L15"/>
      <pageMargins left="0.24" right="6.6666666666666697E-3" top="1" bottom="0.75" header="0.3" footer="0.3"/>
      <printOptions horizontalCentered="1"/>
      <pageSetup paperSize="9" scale="55" orientation="portrait" r:id="rId10"/>
    </customSheetView>
  </customSheetViews>
  <mergeCells count="5">
    <mergeCell ref="C2:E2"/>
    <mergeCell ref="Q2:R2"/>
    <mergeCell ref="Q3:R3"/>
    <mergeCell ref="B4:B5"/>
    <mergeCell ref="M4:M5"/>
  </mergeCells>
  <printOptions horizontalCentered="1"/>
  <pageMargins left="0.24" right="6.6666666666666697E-3" top="1" bottom="0.75" header="0.3" footer="0.3"/>
  <pageSetup paperSize="9" scale="55" orientation="portrait" r:id="rId1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3">
    <tabColor rgb="FFFF0000"/>
  </sheetPr>
  <dimension ref="A1:JO200"/>
  <sheetViews>
    <sheetView zoomScaleNormal="136" workbookViewId="0">
      <pane xSplit="1" ySplit="2" topLeftCell="B27" activePane="bottomRight" state="frozen"/>
      <selection pane="topRight" activeCell="B1" sqref="B1"/>
      <selection pane="bottomLeft" activeCell="A3" sqref="A3"/>
      <selection pane="bottomRight" activeCell="B42" sqref="B42:GT43"/>
    </sheetView>
  </sheetViews>
  <sheetFormatPr defaultColWidth="9.140625" defaultRowHeight="33"/>
  <cols>
    <col min="1" max="1" width="30" style="143" customWidth="1"/>
    <col min="2" max="2" width="18.7109375" style="143" customWidth="1"/>
    <col min="3" max="3" width="17.28515625" style="143" customWidth="1"/>
    <col min="4" max="4" width="19.5703125" style="143" customWidth="1"/>
    <col min="5" max="5" width="18.5703125" style="143" customWidth="1"/>
    <col min="6" max="6" width="18" style="143" customWidth="1"/>
    <col min="7" max="7" width="17" style="143" customWidth="1"/>
    <col min="8" max="9" width="17.7109375" style="143" customWidth="1"/>
    <col min="10" max="10" width="19" style="143" customWidth="1"/>
    <col min="11" max="11" width="18.5703125" style="143" customWidth="1"/>
    <col min="12" max="12" width="17.7109375" style="143" customWidth="1"/>
    <col min="13" max="13" width="19.42578125" style="143" customWidth="1"/>
    <col min="14" max="14" width="19.7109375" style="143" customWidth="1"/>
    <col min="15" max="16" width="19.42578125" style="143" customWidth="1"/>
    <col min="17" max="17" width="18" style="143" customWidth="1"/>
    <col min="18" max="18" width="20.140625" style="143" customWidth="1"/>
    <col min="19" max="19" width="18.28515625" style="143" customWidth="1"/>
    <col min="20" max="20" width="20.140625" style="143" customWidth="1"/>
    <col min="21" max="21" width="19.140625" style="143" customWidth="1"/>
    <col min="22" max="22" width="19.85546875" style="143" customWidth="1"/>
    <col min="23" max="23" width="20.7109375" style="143" customWidth="1"/>
    <col min="24" max="24" width="19.85546875" style="143" customWidth="1"/>
    <col min="25" max="25" width="19.5703125" style="143" customWidth="1"/>
    <col min="26" max="26" width="18.42578125" style="143" customWidth="1"/>
    <col min="27" max="27" width="16.7109375" style="143" customWidth="1"/>
    <col min="28" max="28" width="18.140625" style="143" customWidth="1"/>
    <col min="29" max="29" width="17.140625" style="143" customWidth="1"/>
    <col min="30" max="30" width="19.28515625" style="143" customWidth="1"/>
    <col min="31" max="31" width="14.140625" style="143" customWidth="1"/>
    <col min="32" max="32" width="16.5703125" style="143" customWidth="1"/>
    <col min="33" max="34" width="13.7109375" style="143" customWidth="1"/>
    <col min="35" max="35" width="15.85546875" style="143" customWidth="1"/>
    <col min="36" max="36" width="19.7109375" style="143" customWidth="1"/>
    <col min="37" max="37" width="9.28515625" style="143" customWidth="1"/>
    <col min="38" max="38" width="16.28515625" style="143" customWidth="1"/>
    <col min="39" max="39" width="15.5703125" style="143" customWidth="1"/>
    <col min="40" max="40" width="18.7109375" style="143" customWidth="1"/>
    <col min="41" max="41" width="19.28515625" style="143" customWidth="1"/>
    <col min="42" max="42" width="17" style="143" customWidth="1"/>
    <col min="43" max="43" width="18.42578125" style="143" customWidth="1"/>
    <col min="44" max="44" width="20.28515625" style="143" customWidth="1"/>
    <col min="45" max="45" width="18.140625" style="143" customWidth="1"/>
    <col min="46" max="46" width="19.140625" style="143" customWidth="1"/>
    <col min="47" max="47" width="17.42578125" style="143" customWidth="1"/>
    <col min="48" max="48" width="18.28515625" style="143" customWidth="1"/>
    <col min="49" max="49" width="21.28515625" style="143" customWidth="1"/>
    <col min="50" max="50" width="18.85546875" style="143" customWidth="1"/>
    <col min="51" max="51" width="18.5703125" style="143" customWidth="1"/>
    <col min="52" max="52" width="20.140625" style="143" customWidth="1"/>
    <col min="53" max="53" width="18.5703125" style="143" customWidth="1"/>
    <col min="54" max="54" width="16" style="143" customWidth="1"/>
    <col min="55" max="55" width="18.85546875" style="143" customWidth="1"/>
    <col min="56" max="56" width="19.140625" style="143" customWidth="1"/>
    <col min="57" max="57" width="19" style="143" customWidth="1"/>
    <col min="58" max="58" width="17.140625" style="143" customWidth="1"/>
    <col min="59" max="59" width="16.85546875" style="143" customWidth="1"/>
    <col min="60" max="60" width="17.85546875" style="143" customWidth="1"/>
    <col min="61" max="61" width="20.5703125" style="143" customWidth="1"/>
    <col min="62" max="62" width="21.5703125" style="143" customWidth="1"/>
    <col min="63" max="63" width="16.85546875" style="143" customWidth="1"/>
    <col min="64" max="64" width="17.7109375" style="143" customWidth="1"/>
    <col min="65" max="65" width="14.7109375" style="143" customWidth="1"/>
    <col min="66" max="66" width="14.140625" style="143" customWidth="1"/>
    <col min="67" max="67" width="14.28515625" style="143" customWidth="1"/>
    <col min="68" max="68" width="18.5703125" style="143" customWidth="1"/>
    <col min="69" max="69" width="18.140625" style="143" customWidth="1"/>
    <col min="70" max="70" width="18.28515625" style="143" customWidth="1"/>
    <col min="71" max="71" width="16.42578125" style="143" customWidth="1"/>
    <col min="72" max="72" width="15.42578125" style="143" customWidth="1"/>
    <col min="73" max="73" width="16" style="143" customWidth="1"/>
    <col min="74" max="74" width="14.42578125" style="143" customWidth="1"/>
    <col min="75" max="75" width="21.140625" style="143" customWidth="1"/>
    <col min="76" max="76" width="16.85546875" style="143" customWidth="1"/>
    <col min="77" max="77" width="18.7109375" style="143" customWidth="1"/>
    <col min="78" max="78" width="15.42578125" style="143" customWidth="1"/>
    <col min="79" max="79" width="14.7109375" style="143" customWidth="1"/>
    <col min="80" max="80" width="18" style="143" customWidth="1"/>
    <col min="81" max="81" width="16.85546875" style="143" customWidth="1"/>
    <col min="82" max="82" width="17.7109375" style="143" customWidth="1"/>
    <col min="83" max="83" width="17" style="143" customWidth="1"/>
    <col min="84" max="84" width="17.140625" style="143" customWidth="1"/>
    <col min="85" max="85" width="17.5703125" style="143" customWidth="1"/>
    <col min="86" max="86" width="17.85546875" style="143" customWidth="1"/>
    <col min="87" max="87" width="19.140625" style="143" customWidth="1"/>
    <col min="88" max="89" width="17.140625" style="143" customWidth="1"/>
    <col min="90" max="90" width="14.140625" style="143" customWidth="1"/>
    <col min="91" max="91" width="16.42578125" style="143" customWidth="1"/>
    <col min="92" max="92" width="14.42578125" style="143" customWidth="1"/>
    <col min="93" max="93" width="17" style="143" customWidth="1"/>
    <col min="94" max="94" width="18" style="143" customWidth="1"/>
    <col min="95" max="95" width="17.42578125" style="143" customWidth="1"/>
    <col min="96" max="96" width="19.140625" style="143" customWidth="1"/>
    <col min="97" max="97" width="18.7109375" style="143" customWidth="1"/>
    <col min="98" max="98" width="17.42578125" style="143" customWidth="1"/>
    <col min="99" max="99" width="19.140625" style="143" customWidth="1"/>
    <col min="100" max="101" width="19" style="143" customWidth="1"/>
    <col min="102" max="102" width="21.42578125" style="143" customWidth="1"/>
    <col min="103" max="127" width="19" style="143" customWidth="1"/>
    <col min="128" max="128" width="18.7109375" style="143" customWidth="1"/>
    <col min="129" max="129" width="20.85546875" style="143" customWidth="1"/>
    <col min="130" max="130" width="16.7109375" style="143" customWidth="1"/>
    <col min="131" max="131" width="17.5703125" style="143" customWidth="1"/>
    <col min="132" max="132" width="18" style="143" customWidth="1"/>
    <col min="133" max="133" width="21" style="143" customWidth="1"/>
    <col min="134" max="134" width="18.7109375" style="130" customWidth="1"/>
    <col min="135" max="135" width="10" style="143" customWidth="1"/>
    <col min="136" max="136" width="19.140625" style="143" customWidth="1"/>
    <col min="137" max="137" width="18.42578125" style="143" customWidth="1"/>
    <col min="138" max="138" width="18.7109375" style="143" customWidth="1"/>
    <col min="139" max="139" width="17.140625" style="143" customWidth="1"/>
    <col min="140" max="140" width="16.7109375" style="143" customWidth="1"/>
    <col min="141" max="141" width="14.42578125" style="143" customWidth="1"/>
    <col min="142" max="142" width="19.7109375" style="143" customWidth="1"/>
    <col min="143" max="143" width="14.7109375" style="143" customWidth="1"/>
    <col min="144" max="144" width="15.5703125" style="143" customWidth="1"/>
    <col min="145" max="145" width="14.42578125" style="143" customWidth="1"/>
    <col min="146" max="146" width="19.140625" style="143" customWidth="1"/>
    <col min="147" max="147" width="17.85546875" style="143" customWidth="1"/>
    <col min="148" max="148" width="22.7109375" style="143" customWidth="1"/>
    <col min="149" max="149" width="19" style="143" customWidth="1"/>
    <col min="150" max="150" width="17" style="143" customWidth="1"/>
    <col min="151" max="151" width="17.85546875" style="143" customWidth="1"/>
    <col min="152" max="152" width="19.28515625" style="143" customWidth="1"/>
    <col min="153" max="153" width="16.7109375" style="143" customWidth="1"/>
    <col min="154" max="154" width="14.140625" style="143" customWidth="1"/>
    <col min="155" max="155" width="14.7109375" style="143" customWidth="1"/>
    <col min="156" max="156" width="17.85546875" style="143" customWidth="1"/>
    <col min="157" max="157" width="15.7109375" style="143" customWidth="1"/>
    <col min="158" max="158" width="21.140625" style="143" customWidth="1"/>
    <col min="159" max="159" width="21.85546875" style="143" customWidth="1"/>
    <col min="160" max="161" width="17.140625" style="143" customWidth="1"/>
    <col min="162" max="169" width="19.42578125" style="143" customWidth="1"/>
    <col min="170" max="172" width="20.42578125" style="143" customWidth="1"/>
    <col min="173" max="173" width="27.7109375" style="143" customWidth="1"/>
    <col min="174" max="185" width="20.42578125" style="143" customWidth="1"/>
    <col min="186" max="186" width="18.42578125" style="143" customWidth="1"/>
    <col min="187" max="187" width="17.28515625" style="143" customWidth="1"/>
    <col min="188" max="188" width="18" style="143" customWidth="1"/>
    <col min="189" max="189" width="23.140625" style="143" customWidth="1"/>
    <col min="190" max="190" width="17" style="143" customWidth="1"/>
    <col min="191" max="191" width="16.5703125" style="143" customWidth="1"/>
    <col min="192" max="192" width="16.85546875" style="143" customWidth="1"/>
    <col min="193" max="193" width="20" style="143" customWidth="1"/>
    <col min="194" max="194" width="19.5703125" style="143" customWidth="1"/>
    <col min="195" max="195" width="16.140625" style="143" customWidth="1"/>
    <col min="196" max="196" width="15.140625" style="143" customWidth="1"/>
    <col min="197" max="197" width="18.5703125" style="143" customWidth="1"/>
    <col min="198" max="198" width="16.7109375" style="143" customWidth="1"/>
    <col min="199" max="199" width="15.28515625" style="143" customWidth="1"/>
    <col min="200" max="200" width="16" style="143" bestFit="1" customWidth="1"/>
    <col min="201" max="201" width="14.85546875" style="143" customWidth="1"/>
    <col min="202" max="202" width="19.42578125" style="143" customWidth="1"/>
    <col min="203" max="203" width="21.140625" style="143" customWidth="1"/>
    <col min="204" max="16384" width="9.140625" style="143"/>
  </cols>
  <sheetData>
    <row r="1" spans="1:259" ht="23.25" customHeight="1" thickBot="1">
      <c r="B1" s="1575" t="s">
        <v>894</v>
      </c>
      <c r="C1" s="1576"/>
      <c r="D1" s="1576"/>
      <c r="G1" s="139"/>
      <c r="DU1" s="139"/>
      <c r="DV1" s="139"/>
      <c r="DW1" s="139"/>
      <c r="EF1" s="139"/>
      <c r="GJ1" s="139"/>
      <c r="GK1" s="139"/>
      <c r="GN1" s="139"/>
      <c r="GO1" s="139"/>
    </row>
    <row r="2" spans="1:259" ht="21" customHeight="1" thickBot="1">
      <c r="A2" s="613">
        <f>GEntry!A2</f>
        <v>43107</v>
      </c>
      <c r="F2" s="139">
        <f>Master!Z19+Master!AC19+Master!AD19+Master!AE19+Master!AF19+Master!AG19+Master!AH19+Master!AI19+Master!AJ19</f>
        <v>149</v>
      </c>
      <c r="GJ2" s="139"/>
      <c r="GK2" s="139"/>
    </row>
    <row r="3" spans="1:259" s="97" customFormat="1" ht="57" customHeight="1" thickBot="1">
      <c r="A3" s="603" t="s">
        <v>267</v>
      </c>
      <c r="B3" s="186" t="s">
        <v>954</v>
      </c>
      <c r="C3" s="186" t="s">
        <v>1351</v>
      </c>
      <c r="D3" s="186" t="s">
        <v>956</v>
      </c>
      <c r="E3" s="186" t="s">
        <v>957</v>
      </c>
      <c r="F3" s="186" t="s">
        <v>958</v>
      </c>
      <c r="G3" s="186" t="s">
        <v>959</v>
      </c>
      <c r="H3" s="186" t="s">
        <v>960</v>
      </c>
      <c r="I3" s="186" t="s">
        <v>157</v>
      </c>
      <c r="J3" s="186" t="s">
        <v>961</v>
      </c>
      <c r="K3" s="186" t="s">
        <v>1087</v>
      </c>
      <c r="L3" s="186" t="s">
        <v>1091</v>
      </c>
      <c r="M3" s="186" t="s">
        <v>962</v>
      </c>
      <c r="N3" s="186" t="s">
        <v>116</v>
      </c>
      <c r="O3" s="186" t="s">
        <v>963</v>
      </c>
      <c r="P3" s="186" t="s">
        <v>964</v>
      </c>
      <c r="Q3" s="186" t="s">
        <v>965</v>
      </c>
      <c r="R3" s="186" t="s">
        <v>966</v>
      </c>
      <c r="S3" s="186" t="s">
        <v>967</v>
      </c>
      <c r="T3" s="186" t="s">
        <v>968</v>
      </c>
      <c r="U3" s="186" t="s">
        <v>969</v>
      </c>
      <c r="V3" s="186" t="s">
        <v>975</v>
      </c>
      <c r="W3" s="186" t="s">
        <v>970</v>
      </c>
      <c r="X3" s="186" t="s">
        <v>974</v>
      </c>
      <c r="Y3" s="186" t="s">
        <v>971</v>
      </c>
      <c r="Z3" s="186" t="s">
        <v>159</v>
      </c>
      <c r="AA3" s="186" t="s">
        <v>973</v>
      </c>
      <c r="AB3" s="186" t="s">
        <v>1093</v>
      </c>
      <c r="AC3" s="186" t="s">
        <v>972</v>
      </c>
      <c r="AD3" s="186" t="s">
        <v>976</v>
      </c>
      <c r="AE3" s="186" t="s">
        <v>977</v>
      </c>
      <c r="AF3" s="186" t="s">
        <v>260</v>
      </c>
      <c r="AG3" s="186" t="s">
        <v>261</v>
      </c>
      <c r="AH3" s="186" t="s">
        <v>1094</v>
      </c>
      <c r="AI3" s="186" t="s">
        <v>1095</v>
      </c>
      <c r="AJ3" s="186" t="s">
        <v>978</v>
      </c>
      <c r="AK3" s="186" t="s">
        <v>1092</v>
      </c>
      <c r="AL3" s="186" t="s">
        <v>980</v>
      </c>
      <c r="AM3" s="186" t="s">
        <v>981</v>
      </c>
      <c r="AN3" s="186" t="s">
        <v>982</v>
      </c>
      <c r="AO3" s="186" t="s">
        <v>983</v>
      </c>
      <c r="AP3" s="186" t="s">
        <v>984</v>
      </c>
      <c r="AQ3" s="186" t="s">
        <v>985</v>
      </c>
      <c r="AR3" s="186" t="s">
        <v>986</v>
      </c>
      <c r="AS3" s="186" t="s">
        <v>987</v>
      </c>
      <c r="AT3" s="186" t="s">
        <v>988</v>
      </c>
      <c r="AU3" s="186" t="s">
        <v>1087</v>
      </c>
      <c r="AV3" s="186" t="s">
        <v>1295</v>
      </c>
      <c r="AW3" s="186" t="s">
        <v>989</v>
      </c>
      <c r="AX3" s="186" t="s">
        <v>990</v>
      </c>
      <c r="AY3" s="186" t="s">
        <v>991</v>
      </c>
      <c r="AZ3" s="186" t="s">
        <v>992</v>
      </c>
      <c r="BA3" s="186" t="s">
        <v>993</v>
      </c>
      <c r="BB3" s="186" t="s">
        <v>994</v>
      </c>
      <c r="BC3" s="186" t="s">
        <v>161</v>
      </c>
      <c r="BD3" s="186" t="s">
        <v>995</v>
      </c>
      <c r="BE3" s="186" t="s">
        <v>996</v>
      </c>
      <c r="BF3" s="186" t="s">
        <v>997</v>
      </c>
      <c r="BG3" s="186" t="s">
        <v>998</v>
      </c>
      <c r="BH3" s="186" t="s">
        <v>999</v>
      </c>
      <c r="BI3" s="186" t="s">
        <v>1000</v>
      </c>
      <c r="BJ3" s="186" t="s">
        <v>1001</v>
      </c>
      <c r="BK3" s="186" t="s">
        <v>1002</v>
      </c>
      <c r="BL3" s="186" t="s">
        <v>1003</v>
      </c>
      <c r="BM3" s="186" t="s">
        <v>1004</v>
      </c>
      <c r="BN3" s="186" t="s">
        <v>1005</v>
      </c>
      <c r="BO3" s="186" t="s">
        <v>1006</v>
      </c>
      <c r="BP3" s="186" t="s">
        <v>730</v>
      </c>
      <c r="BQ3" s="186" t="s">
        <v>1007</v>
      </c>
      <c r="BR3" s="1545" t="s">
        <v>1008</v>
      </c>
      <c r="BS3" s="186" t="s">
        <v>1009</v>
      </c>
      <c r="BT3" s="186" t="s">
        <v>1010</v>
      </c>
      <c r="BU3" s="186" t="s">
        <v>1011</v>
      </c>
      <c r="BV3" s="186" t="s">
        <v>1012</v>
      </c>
      <c r="BW3" s="186" t="s">
        <v>1013</v>
      </c>
      <c r="BX3" s="186" t="s">
        <v>1014</v>
      </c>
      <c r="BY3" s="186" t="s">
        <v>1098</v>
      </c>
      <c r="BZ3" s="186" t="s">
        <v>1015</v>
      </c>
      <c r="CA3" s="186" t="s">
        <v>1016</v>
      </c>
      <c r="CB3" s="186" t="s">
        <v>1017</v>
      </c>
      <c r="CC3" s="186" t="s">
        <v>1018</v>
      </c>
      <c r="CD3" s="186" t="s">
        <v>1019</v>
      </c>
      <c r="CE3" s="186" t="s">
        <v>1020</v>
      </c>
      <c r="CF3" s="1545" t="s">
        <v>1021</v>
      </c>
      <c r="CG3" s="186" t="s">
        <v>1022</v>
      </c>
      <c r="CH3" s="186" t="s">
        <v>1023</v>
      </c>
      <c r="CI3" s="186" t="s">
        <v>1024</v>
      </c>
      <c r="CJ3" s="186" t="s">
        <v>1025</v>
      </c>
      <c r="CK3" s="186" t="s">
        <v>1242</v>
      </c>
      <c r="CL3" s="186" t="s">
        <v>1027</v>
      </c>
      <c r="CM3" s="186" t="s">
        <v>1028</v>
      </c>
      <c r="CN3" s="186" t="s">
        <v>1029</v>
      </c>
      <c r="CO3" s="186" t="s">
        <v>1030</v>
      </c>
      <c r="CP3" s="186" t="s">
        <v>1031</v>
      </c>
      <c r="CQ3" s="186" t="s">
        <v>1032</v>
      </c>
      <c r="CR3" s="186" t="s">
        <v>1033</v>
      </c>
      <c r="CS3" s="186" t="s">
        <v>1034</v>
      </c>
      <c r="CT3" s="186" t="s">
        <v>1035</v>
      </c>
      <c r="CU3" s="186" t="s">
        <v>1036</v>
      </c>
      <c r="CV3" s="186" t="s">
        <v>1099</v>
      </c>
      <c r="CW3" s="186" t="s">
        <v>1037</v>
      </c>
      <c r="CX3" s="186" t="s">
        <v>1038</v>
      </c>
      <c r="CY3" s="186" t="s">
        <v>1039</v>
      </c>
      <c r="CZ3" s="186" t="s">
        <v>1040</v>
      </c>
      <c r="DA3" s="186" t="s">
        <v>1041</v>
      </c>
      <c r="DB3" s="186" t="s">
        <v>1042</v>
      </c>
      <c r="DC3" s="186" t="s">
        <v>1157</v>
      </c>
      <c r="DD3" s="186" t="s">
        <v>1043</v>
      </c>
      <c r="DE3" s="186" t="s">
        <v>1044</v>
      </c>
      <c r="DF3" s="186" t="s">
        <v>1045</v>
      </c>
      <c r="DG3" s="186" t="s">
        <v>1046</v>
      </c>
      <c r="DH3" s="186" t="s">
        <v>1047</v>
      </c>
      <c r="DI3" s="186" t="s">
        <v>1139</v>
      </c>
      <c r="DJ3" s="186" t="s">
        <v>1147</v>
      </c>
      <c r="DK3" s="186" t="s">
        <v>1179</v>
      </c>
      <c r="DL3" s="186" t="s">
        <v>1185</v>
      </c>
      <c r="DM3" s="186" t="s">
        <v>1246</v>
      </c>
      <c r="DN3" s="186" t="s">
        <v>1247</v>
      </c>
      <c r="DO3" s="186" t="s">
        <v>1250</v>
      </c>
      <c r="DP3" s="186" t="s">
        <v>1293</v>
      </c>
      <c r="DQ3" s="186" t="s">
        <v>1292</v>
      </c>
      <c r="DR3" s="186" t="s">
        <v>1287</v>
      </c>
      <c r="DS3" s="186" t="s">
        <v>1297</v>
      </c>
      <c r="DT3" s="186" t="s">
        <v>1316</v>
      </c>
      <c r="DU3" s="186" t="s">
        <v>1318</v>
      </c>
      <c r="DV3" s="186" t="s">
        <v>1453</v>
      </c>
      <c r="DW3" s="186" t="s">
        <v>1456</v>
      </c>
      <c r="DX3" s="604" t="s">
        <v>865</v>
      </c>
      <c r="DY3" s="186" t="s">
        <v>266</v>
      </c>
      <c r="DZ3" s="186" t="s">
        <v>1244</v>
      </c>
      <c r="EA3" s="186" t="s">
        <v>1188</v>
      </c>
      <c r="EB3" s="186" t="s">
        <v>1048</v>
      </c>
      <c r="EC3" s="186" t="s">
        <v>1049</v>
      </c>
      <c r="ED3" s="186" t="s">
        <v>1050</v>
      </c>
      <c r="EE3" s="186" t="s">
        <v>265</v>
      </c>
      <c r="EF3" s="186" t="s">
        <v>911</v>
      </c>
      <c r="EG3" s="186" t="s">
        <v>1051</v>
      </c>
      <c r="EH3" s="186" t="s">
        <v>1052</v>
      </c>
      <c r="EI3" s="186" t="s">
        <v>1054</v>
      </c>
      <c r="EJ3" s="186" t="s">
        <v>1053</v>
      </c>
      <c r="EK3" s="186" t="s">
        <v>1057</v>
      </c>
      <c r="EL3" s="186" t="s">
        <v>1055</v>
      </c>
      <c r="EM3" s="186" t="s">
        <v>1056</v>
      </c>
      <c r="EN3" s="186" t="s">
        <v>1058</v>
      </c>
      <c r="EO3" s="186" t="s">
        <v>1059</v>
      </c>
      <c r="EP3" s="186" t="s">
        <v>1060</v>
      </c>
      <c r="EQ3" s="186" t="s">
        <v>1061</v>
      </c>
      <c r="ER3" s="186" t="s">
        <v>1062</v>
      </c>
      <c r="ES3" s="186" t="s">
        <v>1101</v>
      </c>
      <c r="ET3" s="186" t="s">
        <v>1063</v>
      </c>
      <c r="EU3" s="186" t="s">
        <v>1064</v>
      </c>
      <c r="EV3" s="186" t="s">
        <v>1065</v>
      </c>
      <c r="EW3" s="186" t="s">
        <v>1066</v>
      </c>
      <c r="EX3" s="186" t="s">
        <v>1067</v>
      </c>
      <c r="EY3" s="186" t="s">
        <v>1068</v>
      </c>
      <c r="EZ3" s="186" t="s">
        <v>1069</v>
      </c>
      <c r="FA3" s="186" t="s">
        <v>1070</v>
      </c>
      <c r="FB3" s="186" t="s">
        <v>1071</v>
      </c>
      <c r="FC3" s="186" t="s">
        <v>1072</v>
      </c>
      <c r="FD3" s="186" t="s">
        <v>1073</v>
      </c>
      <c r="FE3" s="604" t="s">
        <v>1074</v>
      </c>
      <c r="FF3" s="604" t="s">
        <v>1075</v>
      </c>
      <c r="FG3" s="604" t="s">
        <v>1076</v>
      </c>
      <c r="FH3" s="604" t="s">
        <v>1077</v>
      </c>
      <c r="FI3" s="604" t="s">
        <v>1078</v>
      </c>
      <c r="FJ3" s="604" t="s">
        <v>1079</v>
      </c>
      <c r="FK3" s="604" t="s">
        <v>1080</v>
      </c>
      <c r="FL3" s="604" t="s">
        <v>1081</v>
      </c>
      <c r="FM3" s="604" t="s">
        <v>1082</v>
      </c>
      <c r="FN3" s="604" t="s">
        <v>1108</v>
      </c>
      <c r="FO3" s="604" t="s">
        <v>1083</v>
      </c>
      <c r="FP3" s="604" t="s">
        <v>1084</v>
      </c>
      <c r="FQ3" s="604" t="s">
        <v>1162</v>
      </c>
      <c r="FR3" s="604" t="s">
        <v>1085</v>
      </c>
      <c r="FS3" s="604" t="s">
        <v>1086</v>
      </c>
      <c r="FT3" s="604" t="s">
        <v>1105</v>
      </c>
      <c r="FU3" s="604" t="s">
        <v>1111</v>
      </c>
      <c r="FV3" s="604" t="s">
        <v>1159</v>
      </c>
      <c r="FW3" s="604" t="s">
        <v>1192</v>
      </c>
      <c r="FX3" s="604" t="s">
        <v>1281</v>
      </c>
      <c r="FY3" s="604" t="s">
        <v>1282</v>
      </c>
      <c r="FZ3" s="604" t="s">
        <v>1290</v>
      </c>
      <c r="GA3" s="4416" t="s">
        <v>1353</v>
      </c>
      <c r="GB3" s="4416" t="s">
        <v>1467</v>
      </c>
      <c r="GC3" s="4416" t="s">
        <v>1481</v>
      </c>
      <c r="GD3" s="604" t="s">
        <v>864</v>
      </c>
      <c r="GE3" s="1072" t="s">
        <v>501</v>
      </c>
      <c r="GF3" s="1072" t="s">
        <v>743</v>
      </c>
      <c r="GG3" s="1061" t="s">
        <v>742</v>
      </c>
      <c r="GH3" s="1073" t="s">
        <v>739</v>
      </c>
      <c r="GI3" s="1070" t="s">
        <v>130</v>
      </c>
      <c r="GJ3" s="1073" t="s">
        <v>740</v>
      </c>
      <c r="GK3" s="1071" t="s">
        <v>1461</v>
      </c>
      <c r="GL3" s="1071" t="s">
        <v>1463</v>
      </c>
      <c r="GM3" s="1071" t="s">
        <v>45</v>
      </c>
      <c r="GN3" s="1071" t="s">
        <v>109</v>
      </c>
      <c r="GO3" s="1071" t="s">
        <v>1462</v>
      </c>
      <c r="GP3" s="1071" t="s">
        <v>1464</v>
      </c>
      <c r="GQ3" s="1071" t="s">
        <v>129</v>
      </c>
      <c r="GR3" s="1071" t="s">
        <v>175</v>
      </c>
      <c r="GS3" s="1070" t="s">
        <v>26</v>
      </c>
      <c r="GT3" s="1061" t="s">
        <v>823</v>
      </c>
      <c r="GV3" s="97" t="s">
        <v>21</v>
      </c>
      <c r="GW3" s="97" t="s">
        <v>22</v>
      </c>
    </row>
    <row r="4" spans="1:259" s="97" customFormat="1" ht="30" customHeight="1" thickBot="1">
      <c r="A4" s="605" t="s">
        <v>805</v>
      </c>
      <c r="B4" s="185" t="s">
        <v>37</v>
      </c>
      <c r="C4" s="185" t="s">
        <v>37</v>
      </c>
      <c r="D4" s="185" t="s">
        <v>37</v>
      </c>
      <c r="E4" s="185" t="s">
        <v>37</v>
      </c>
      <c r="F4" s="185" t="s">
        <v>37</v>
      </c>
      <c r="G4" s="185" t="s">
        <v>28</v>
      </c>
      <c r="H4" s="185" t="s">
        <v>13</v>
      </c>
      <c r="I4" s="185" t="s">
        <v>8</v>
      </c>
      <c r="J4" s="185" t="s">
        <v>28</v>
      </c>
      <c r="K4" s="185"/>
      <c r="L4" s="185" t="s">
        <v>124</v>
      </c>
      <c r="M4" s="185" t="s">
        <v>28</v>
      </c>
      <c r="N4" s="185" t="s">
        <v>28</v>
      </c>
      <c r="O4" s="185" t="s">
        <v>13</v>
      </c>
      <c r="P4" s="185" t="s">
        <v>111</v>
      </c>
      <c r="Q4" s="185" t="s">
        <v>137</v>
      </c>
      <c r="R4" s="185" t="s">
        <v>8</v>
      </c>
      <c r="S4" s="185" t="s">
        <v>37</v>
      </c>
      <c r="T4" s="185" t="s">
        <v>8</v>
      </c>
      <c r="U4" s="185" t="s">
        <v>111</v>
      </c>
      <c r="V4" s="185" t="s">
        <v>28</v>
      </c>
      <c r="W4" s="185" t="s">
        <v>135</v>
      </c>
      <c r="X4" s="185" t="s">
        <v>13</v>
      </c>
      <c r="Y4" s="185" t="s">
        <v>28</v>
      </c>
      <c r="Z4" s="185" t="s">
        <v>111</v>
      </c>
      <c r="AA4" s="185" t="s">
        <v>28</v>
      </c>
      <c r="AB4" s="185" t="s">
        <v>28</v>
      </c>
      <c r="AC4" s="1546" t="s">
        <v>28</v>
      </c>
      <c r="AD4" s="1546" t="s">
        <v>28</v>
      </c>
      <c r="AE4" s="185" t="s">
        <v>123</v>
      </c>
      <c r="AF4" s="185" t="s">
        <v>156</v>
      </c>
      <c r="AG4" s="185" t="s">
        <v>156</v>
      </c>
      <c r="AH4" s="185" t="s">
        <v>156</v>
      </c>
      <c r="AI4" s="185" t="s">
        <v>156</v>
      </c>
      <c r="AJ4" s="185" t="s">
        <v>3</v>
      </c>
      <c r="AK4" s="185" t="s">
        <v>37</v>
      </c>
      <c r="AL4" s="185" t="s">
        <v>37</v>
      </c>
      <c r="AM4" s="185" t="s">
        <v>37</v>
      </c>
      <c r="AN4" s="185" t="s">
        <v>37</v>
      </c>
      <c r="AO4" s="185" t="s">
        <v>37</v>
      </c>
      <c r="AP4" s="185" t="s">
        <v>28</v>
      </c>
      <c r="AQ4" s="185" t="s">
        <v>37</v>
      </c>
      <c r="AR4" s="185" t="s">
        <v>37</v>
      </c>
      <c r="AS4" s="185" t="s">
        <v>37</v>
      </c>
      <c r="AT4" s="185" t="s">
        <v>37</v>
      </c>
      <c r="AU4" s="185"/>
      <c r="AV4" s="185" t="s">
        <v>28</v>
      </c>
      <c r="AW4" s="185" t="s">
        <v>37</v>
      </c>
      <c r="AX4" s="185" t="s">
        <v>37</v>
      </c>
      <c r="AY4" s="185" t="s">
        <v>13</v>
      </c>
      <c r="AZ4" s="185" t="s">
        <v>28</v>
      </c>
      <c r="BA4" s="185" t="s">
        <v>28</v>
      </c>
      <c r="BB4" s="185" t="s">
        <v>125</v>
      </c>
      <c r="BC4" s="185"/>
      <c r="BD4" s="185" t="s">
        <v>40</v>
      </c>
      <c r="BE4" s="185" t="s">
        <v>40</v>
      </c>
      <c r="BF4" s="185" t="s">
        <v>40</v>
      </c>
      <c r="BG4" s="185" t="s">
        <v>40</v>
      </c>
      <c r="BH4" s="185" t="s">
        <v>40</v>
      </c>
      <c r="BI4" s="185" t="s">
        <v>40</v>
      </c>
      <c r="BJ4" s="185" t="s">
        <v>28</v>
      </c>
      <c r="BK4" s="185" t="s">
        <v>37</v>
      </c>
      <c r="BL4" s="185" t="s">
        <v>40</v>
      </c>
      <c r="BM4" s="185" t="s">
        <v>110</v>
      </c>
      <c r="BN4" s="185" t="s">
        <v>13</v>
      </c>
      <c r="BO4" s="185" t="s">
        <v>28</v>
      </c>
      <c r="BP4" s="185" t="s">
        <v>111</v>
      </c>
      <c r="BQ4" s="185" t="s">
        <v>37</v>
      </c>
      <c r="BR4" s="1546" t="s">
        <v>28</v>
      </c>
      <c r="BS4" s="185" t="s">
        <v>125</v>
      </c>
      <c r="BT4" s="185" t="s">
        <v>123</v>
      </c>
      <c r="BU4" s="185" t="s">
        <v>125</v>
      </c>
      <c r="BV4" s="185" t="s">
        <v>125</v>
      </c>
      <c r="BW4" s="185" t="s">
        <v>142</v>
      </c>
      <c r="BX4" s="185" t="s">
        <v>28</v>
      </c>
      <c r="BY4" s="185" t="s">
        <v>28</v>
      </c>
      <c r="BZ4" s="185" t="s">
        <v>125</v>
      </c>
      <c r="CA4" s="185" t="s">
        <v>28</v>
      </c>
      <c r="CB4" s="185" t="s">
        <v>37</v>
      </c>
      <c r="CC4" s="185" t="s">
        <v>37</v>
      </c>
      <c r="CD4" s="185" t="s">
        <v>110</v>
      </c>
      <c r="CE4" s="185" t="s">
        <v>11</v>
      </c>
      <c r="CF4" s="1546" t="s">
        <v>28</v>
      </c>
      <c r="CG4" s="185" t="s">
        <v>37</v>
      </c>
      <c r="CH4" s="185" t="s">
        <v>37</v>
      </c>
      <c r="CI4" s="185" t="s">
        <v>110</v>
      </c>
      <c r="CJ4" s="185" t="s">
        <v>11</v>
      </c>
      <c r="CK4" s="185" t="s">
        <v>37</v>
      </c>
      <c r="CL4" s="185" t="s">
        <v>37</v>
      </c>
      <c r="CM4" s="185" t="s">
        <v>110</v>
      </c>
      <c r="CN4" s="185" t="s">
        <v>110</v>
      </c>
      <c r="CO4" s="185" t="s">
        <v>28</v>
      </c>
      <c r="CP4" s="185" t="s">
        <v>123</v>
      </c>
      <c r="CQ4" s="185" t="s">
        <v>123</v>
      </c>
      <c r="CR4" s="185" t="s">
        <v>28</v>
      </c>
      <c r="CS4" s="185" t="s">
        <v>28</v>
      </c>
      <c r="CT4" s="185" t="s">
        <v>28</v>
      </c>
      <c r="CU4" s="185" t="s">
        <v>28</v>
      </c>
      <c r="CV4" s="185" t="s">
        <v>28</v>
      </c>
      <c r="CW4" s="185" t="s">
        <v>28</v>
      </c>
      <c r="CX4" s="185" t="s">
        <v>28</v>
      </c>
      <c r="CY4" s="185" t="s">
        <v>910</v>
      </c>
      <c r="CZ4" s="185" t="s">
        <v>28</v>
      </c>
      <c r="DA4" s="185" t="s">
        <v>28</v>
      </c>
      <c r="DB4" s="185" t="s">
        <v>28</v>
      </c>
      <c r="DC4" s="185" t="s">
        <v>37</v>
      </c>
      <c r="DD4" s="185" t="s">
        <v>28</v>
      </c>
      <c r="DE4" s="185" t="s">
        <v>3</v>
      </c>
      <c r="DF4" s="185" t="s">
        <v>28</v>
      </c>
      <c r="DG4" s="185" t="s">
        <v>37</v>
      </c>
      <c r="DH4" s="185" t="s">
        <v>28</v>
      </c>
      <c r="DI4" s="185" t="s">
        <v>28</v>
      </c>
      <c r="DJ4" s="185" t="s">
        <v>28</v>
      </c>
      <c r="DK4" s="185" t="s">
        <v>28</v>
      </c>
      <c r="DL4" s="185" t="s">
        <v>28</v>
      </c>
      <c r="DM4" s="185" t="s">
        <v>28</v>
      </c>
      <c r="DN4" s="185" t="s">
        <v>37</v>
      </c>
      <c r="DO4" s="185" t="s">
        <v>28</v>
      </c>
      <c r="DP4" s="185" t="s">
        <v>28</v>
      </c>
      <c r="DQ4" s="185" t="s">
        <v>28</v>
      </c>
      <c r="DR4" s="185" t="s">
        <v>28</v>
      </c>
      <c r="DS4" s="185" t="s">
        <v>37</v>
      </c>
      <c r="DT4" s="185" t="s">
        <v>28</v>
      </c>
      <c r="DU4" s="185" t="s">
        <v>28</v>
      </c>
      <c r="DV4" s="185" t="s">
        <v>28</v>
      </c>
      <c r="DW4" s="185" t="s">
        <v>28</v>
      </c>
      <c r="DX4" s="185"/>
      <c r="DY4" s="185" t="s">
        <v>142</v>
      </c>
      <c r="DZ4" s="185" t="s">
        <v>37</v>
      </c>
      <c r="EA4" s="185" t="s">
        <v>17</v>
      </c>
      <c r="EB4" s="185" t="s">
        <v>28</v>
      </c>
      <c r="EC4" s="185" t="s">
        <v>13</v>
      </c>
      <c r="ED4" s="185" t="s">
        <v>17</v>
      </c>
      <c r="EE4" s="185" t="s">
        <v>37</v>
      </c>
      <c r="EF4" s="185" t="s">
        <v>13</v>
      </c>
      <c r="EG4" s="185" t="s">
        <v>37</v>
      </c>
      <c r="EH4" s="185" t="s">
        <v>37</v>
      </c>
      <c r="EI4" s="185" t="s">
        <v>13</v>
      </c>
      <c r="EJ4" s="185" t="s">
        <v>37</v>
      </c>
      <c r="EK4" s="185" t="s">
        <v>11</v>
      </c>
      <c r="EL4" s="185" t="s">
        <v>28</v>
      </c>
      <c r="EM4" s="185" t="s">
        <v>37</v>
      </c>
      <c r="EN4" s="185" t="s">
        <v>37</v>
      </c>
      <c r="EO4" s="185" t="s">
        <v>37</v>
      </c>
      <c r="EP4" s="185" t="s">
        <v>37</v>
      </c>
      <c r="EQ4" s="185" t="s">
        <v>37</v>
      </c>
      <c r="ER4" s="185" t="s">
        <v>37</v>
      </c>
      <c r="ES4" s="185" t="s">
        <v>13</v>
      </c>
      <c r="ET4" s="185" t="s">
        <v>13</v>
      </c>
      <c r="EU4" s="185" t="s">
        <v>37</v>
      </c>
      <c r="EV4" s="185" t="s">
        <v>28</v>
      </c>
      <c r="EW4" s="185" t="s">
        <v>37</v>
      </c>
      <c r="EX4" s="185" t="s">
        <v>110</v>
      </c>
      <c r="EY4" s="185" t="s">
        <v>110</v>
      </c>
      <c r="EZ4" s="185" t="s">
        <v>123</v>
      </c>
      <c r="FA4" s="185" t="s">
        <v>37</v>
      </c>
      <c r="FB4" s="185" t="s">
        <v>37</v>
      </c>
      <c r="FC4" s="185" t="s">
        <v>37</v>
      </c>
      <c r="FD4" s="185" t="s">
        <v>37</v>
      </c>
      <c r="FE4" s="185" t="s">
        <v>37</v>
      </c>
      <c r="FF4" s="185" t="s">
        <v>17</v>
      </c>
      <c r="FG4" s="185" t="s">
        <v>17</v>
      </c>
      <c r="FH4" s="185" t="s">
        <v>17</v>
      </c>
      <c r="FI4" s="185" t="s">
        <v>17</v>
      </c>
      <c r="FJ4" s="185" t="s">
        <v>13</v>
      </c>
      <c r="FK4" s="1547" t="s">
        <v>28</v>
      </c>
      <c r="FL4" s="1547" t="s">
        <v>17</v>
      </c>
      <c r="FM4" s="1547" t="s">
        <v>17</v>
      </c>
      <c r="FN4" s="1547" t="s">
        <v>907</v>
      </c>
      <c r="FO4" s="1547" t="s">
        <v>28</v>
      </c>
      <c r="FP4" s="1547" t="s">
        <v>28</v>
      </c>
      <c r="FQ4" s="1547" t="s">
        <v>28</v>
      </c>
      <c r="FR4" s="1547" t="s">
        <v>17</v>
      </c>
      <c r="FS4" s="1547" t="s">
        <v>28</v>
      </c>
      <c r="FT4" s="1547" t="s">
        <v>1279</v>
      </c>
      <c r="FU4" s="1547" t="s">
        <v>28</v>
      </c>
      <c r="FV4" s="1547" t="s">
        <v>28</v>
      </c>
      <c r="FW4" s="1547" t="s">
        <v>1245</v>
      </c>
      <c r="FX4" s="1547" t="s">
        <v>28</v>
      </c>
      <c r="FY4" s="1547" t="s">
        <v>28</v>
      </c>
      <c r="FZ4" s="1547" t="s">
        <v>28</v>
      </c>
      <c r="GA4" s="1547" t="s">
        <v>17</v>
      </c>
      <c r="GB4" s="1547" t="s">
        <v>28</v>
      </c>
      <c r="GC4" s="1547" t="s">
        <v>28</v>
      </c>
      <c r="GD4" s="185"/>
      <c r="GE4" s="1049"/>
      <c r="GF4" s="1049"/>
      <c r="GG4" s="1050"/>
      <c r="GH4" s="1051"/>
      <c r="GI4" s="1052"/>
      <c r="GJ4" s="1051"/>
      <c r="GK4" s="4634"/>
      <c r="GL4" s="1053"/>
      <c r="GM4" s="1053"/>
      <c r="GN4" s="1053"/>
      <c r="GO4" s="1053"/>
      <c r="GP4" s="1053"/>
      <c r="GQ4" s="1053"/>
      <c r="GR4" s="1053"/>
      <c r="GS4" s="1052"/>
      <c r="GT4" s="1050"/>
    </row>
    <row r="5" spans="1:259" s="97" customFormat="1" ht="21.75" customHeight="1" thickBot="1">
      <c r="A5" s="605" t="s">
        <v>790</v>
      </c>
      <c r="B5" s="185" t="s">
        <v>27</v>
      </c>
      <c r="C5" s="185" t="s">
        <v>27</v>
      </c>
      <c r="D5" s="185" t="s">
        <v>27</v>
      </c>
      <c r="E5" s="185" t="s">
        <v>27</v>
      </c>
      <c r="F5" s="185" t="s">
        <v>27</v>
      </c>
      <c r="G5" s="185" t="s">
        <v>27</v>
      </c>
      <c r="H5" s="185" t="s">
        <v>27</v>
      </c>
      <c r="I5" s="185" t="s">
        <v>27</v>
      </c>
      <c r="J5" s="185" t="s">
        <v>27</v>
      </c>
      <c r="K5" s="185"/>
      <c r="L5" s="185" t="s">
        <v>27</v>
      </c>
      <c r="M5" s="185" t="s">
        <v>27</v>
      </c>
      <c r="N5" s="185" t="s">
        <v>27</v>
      </c>
      <c r="O5" s="185" t="s">
        <v>21</v>
      </c>
      <c r="P5" s="185" t="s">
        <v>21</v>
      </c>
      <c r="Q5" s="185" t="s">
        <v>21</v>
      </c>
      <c r="R5" s="185" t="s">
        <v>27</v>
      </c>
      <c r="S5" s="185" t="s">
        <v>27</v>
      </c>
      <c r="T5" s="185" t="s">
        <v>27</v>
      </c>
      <c r="U5" s="185" t="s">
        <v>21</v>
      </c>
      <c r="V5" s="185" t="s">
        <v>21</v>
      </c>
      <c r="W5" s="185" t="s">
        <v>21</v>
      </c>
      <c r="X5" s="185" t="s">
        <v>21</v>
      </c>
      <c r="Y5" s="185" t="s">
        <v>21</v>
      </c>
      <c r="Z5" s="185" t="s">
        <v>22</v>
      </c>
      <c r="AA5" s="185" t="s">
        <v>21</v>
      </c>
      <c r="AB5" s="185" t="s">
        <v>21</v>
      </c>
      <c r="AC5" s="185" t="s">
        <v>21</v>
      </c>
      <c r="AD5" s="185" t="s">
        <v>21</v>
      </c>
      <c r="AE5" s="185" t="s">
        <v>27</v>
      </c>
      <c r="AF5" s="185" t="s">
        <v>27</v>
      </c>
      <c r="AG5" s="185" t="s">
        <v>27</v>
      </c>
      <c r="AH5" s="185" t="s">
        <v>27</v>
      </c>
      <c r="AI5" s="185" t="s">
        <v>27</v>
      </c>
      <c r="AJ5" s="185" t="s">
        <v>21</v>
      </c>
      <c r="AK5" s="185" t="s">
        <v>27</v>
      </c>
      <c r="AL5" s="185" t="s">
        <v>109</v>
      </c>
      <c r="AM5" s="185" t="s">
        <v>109</v>
      </c>
      <c r="AN5" s="185" t="s">
        <v>27</v>
      </c>
      <c r="AO5" s="185" t="s">
        <v>27</v>
      </c>
      <c r="AP5" s="185" t="s">
        <v>21</v>
      </c>
      <c r="AQ5" s="185" t="s">
        <v>27</v>
      </c>
      <c r="AR5" s="185" t="s">
        <v>22</v>
      </c>
      <c r="AS5" s="185" t="s">
        <v>27</v>
      </c>
      <c r="AT5" s="185" t="s">
        <v>22</v>
      </c>
      <c r="AU5" s="185"/>
      <c r="AV5" s="185" t="s">
        <v>21</v>
      </c>
      <c r="AW5" s="185" t="s">
        <v>21</v>
      </c>
      <c r="AX5" s="185" t="s">
        <v>21</v>
      </c>
      <c r="AY5" s="185" t="s">
        <v>21</v>
      </c>
      <c r="AZ5" s="185" t="s">
        <v>21</v>
      </c>
      <c r="BA5" s="185" t="s">
        <v>21</v>
      </c>
      <c r="BB5" s="185" t="s">
        <v>27</v>
      </c>
      <c r="BC5" s="185" t="s">
        <v>27</v>
      </c>
      <c r="BD5" s="185" t="s">
        <v>27</v>
      </c>
      <c r="BE5" s="185" t="s">
        <v>27</v>
      </c>
      <c r="BF5" s="185" t="s">
        <v>27</v>
      </c>
      <c r="BG5" s="185" t="s">
        <v>27</v>
      </c>
      <c r="BH5" s="185" t="s">
        <v>27</v>
      </c>
      <c r="BI5" s="185" t="s">
        <v>27</v>
      </c>
      <c r="BJ5" s="185" t="s">
        <v>27</v>
      </c>
      <c r="BK5" s="185" t="s">
        <v>27</v>
      </c>
      <c r="BL5" s="185" t="s">
        <v>27</v>
      </c>
      <c r="BM5" s="185" t="s">
        <v>27</v>
      </c>
      <c r="BN5" s="185" t="s">
        <v>27</v>
      </c>
      <c r="BO5" s="185" t="s">
        <v>27</v>
      </c>
      <c r="BP5" s="185" t="s">
        <v>27</v>
      </c>
      <c r="BQ5" s="185" t="s">
        <v>21</v>
      </c>
      <c r="BR5" s="1546" t="s">
        <v>21</v>
      </c>
      <c r="BS5" s="185" t="s">
        <v>27</v>
      </c>
      <c r="BT5" s="185" t="s">
        <v>27</v>
      </c>
      <c r="BU5" s="185" t="s">
        <v>27</v>
      </c>
      <c r="BV5" s="185" t="s">
        <v>27</v>
      </c>
      <c r="BW5" s="185"/>
      <c r="BX5" s="185" t="s">
        <v>27</v>
      </c>
      <c r="BY5" s="185" t="s">
        <v>21</v>
      </c>
      <c r="BZ5" s="185" t="s">
        <v>27</v>
      </c>
      <c r="CA5" s="185" t="s">
        <v>175</v>
      </c>
      <c r="CB5" s="185" t="s">
        <v>27</v>
      </c>
      <c r="CC5" s="185" t="s">
        <v>27</v>
      </c>
      <c r="CD5" s="185" t="s">
        <v>27</v>
      </c>
      <c r="CE5" s="185" t="s">
        <v>27</v>
      </c>
      <c r="CF5" s="1546" t="s">
        <v>27</v>
      </c>
      <c r="CG5" s="185" t="s">
        <v>27</v>
      </c>
      <c r="CH5" s="185" t="s">
        <v>27</v>
      </c>
      <c r="CI5" s="185" t="s">
        <v>27</v>
      </c>
      <c r="CJ5" s="185" t="s">
        <v>27</v>
      </c>
      <c r="CK5" s="185" t="s">
        <v>27</v>
      </c>
      <c r="CL5" s="185" t="s">
        <v>27</v>
      </c>
      <c r="CM5" s="185" t="s">
        <v>27</v>
      </c>
      <c r="CN5" s="185" t="s">
        <v>27</v>
      </c>
      <c r="CO5" s="185" t="s">
        <v>27</v>
      </c>
      <c r="CP5" s="185" t="s">
        <v>27</v>
      </c>
      <c r="CQ5" s="185" t="s">
        <v>27</v>
      </c>
      <c r="CR5" s="185" t="s">
        <v>22</v>
      </c>
      <c r="CS5" s="1547" t="s">
        <v>21</v>
      </c>
      <c r="CT5" s="185" t="s">
        <v>22</v>
      </c>
      <c r="CU5" s="185" t="s">
        <v>22</v>
      </c>
      <c r="CV5" s="185" t="s">
        <v>21</v>
      </c>
      <c r="CW5" s="185" t="s">
        <v>22</v>
      </c>
      <c r="CX5" s="185" t="s">
        <v>21</v>
      </c>
      <c r="CY5" s="185" t="s">
        <v>175</v>
      </c>
      <c r="CZ5" s="185" t="s">
        <v>21</v>
      </c>
      <c r="DA5" s="185" t="s">
        <v>21</v>
      </c>
      <c r="DB5" s="185" t="s">
        <v>21</v>
      </c>
      <c r="DC5" s="185" t="s">
        <v>27</v>
      </c>
      <c r="DD5" s="185" t="s">
        <v>21</v>
      </c>
      <c r="DE5" s="185" t="s">
        <v>21</v>
      </c>
      <c r="DF5" s="185" t="s">
        <v>21</v>
      </c>
      <c r="DG5" s="185" t="s">
        <v>175</v>
      </c>
      <c r="DH5" s="185" t="s">
        <v>21</v>
      </c>
      <c r="DI5" s="185" t="s">
        <v>21</v>
      </c>
      <c r="DJ5" s="185" t="s">
        <v>21</v>
      </c>
      <c r="DK5" s="185" t="s">
        <v>21</v>
      </c>
      <c r="DL5" s="185" t="s">
        <v>21</v>
      </c>
      <c r="DM5" s="185" t="s">
        <v>21</v>
      </c>
      <c r="DN5" s="185" t="s">
        <v>27</v>
      </c>
      <c r="DO5" s="185" t="s">
        <v>21</v>
      </c>
      <c r="DP5" s="185" t="s">
        <v>175</v>
      </c>
      <c r="DQ5" s="185" t="s">
        <v>21</v>
      </c>
      <c r="DR5" s="185" t="s">
        <v>21</v>
      </c>
      <c r="DS5" s="185" t="s">
        <v>27</v>
      </c>
      <c r="DT5" s="185" t="s">
        <v>21</v>
      </c>
      <c r="DU5" s="185" t="s">
        <v>175</v>
      </c>
      <c r="DV5" s="185" t="s">
        <v>21</v>
      </c>
      <c r="DW5" s="185" t="s">
        <v>21</v>
      </c>
      <c r="DX5" s="185"/>
      <c r="DY5" s="185"/>
      <c r="DZ5" s="185" t="s">
        <v>22</v>
      </c>
      <c r="EA5" s="185" t="s">
        <v>27</v>
      </c>
      <c r="EB5" s="185" t="s">
        <v>21</v>
      </c>
      <c r="EC5" s="185" t="s">
        <v>21</v>
      </c>
      <c r="ED5" s="185" t="s">
        <v>22</v>
      </c>
      <c r="EE5" s="185"/>
      <c r="EF5" s="185" t="s">
        <v>22</v>
      </c>
      <c r="EG5" s="185" t="s">
        <v>21</v>
      </c>
      <c r="EH5" s="185" t="s">
        <v>21</v>
      </c>
      <c r="EI5" s="185" t="s">
        <v>21</v>
      </c>
      <c r="EJ5" s="185" t="s">
        <v>27</v>
      </c>
      <c r="EK5" s="185" t="s">
        <v>27</v>
      </c>
      <c r="EL5" s="185" t="s">
        <v>21</v>
      </c>
      <c r="EM5" s="185" t="s">
        <v>22</v>
      </c>
      <c r="EN5" s="185" t="s">
        <v>27</v>
      </c>
      <c r="EO5" s="185" t="s">
        <v>27</v>
      </c>
      <c r="EP5" s="185" t="s">
        <v>21</v>
      </c>
      <c r="EQ5" s="185" t="s">
        <v>21</v>
      </c>
      <c r="ER5" s="185" t="s">
        <v>21</v>
      </c>
      <c r="ES5" s="185" t="s">
        <v>21</v>
      </c>
      <c r="ET5" s="185" t="s">
        <v>21</v>
      </c>
      <c r="EU5" s="185" t="s">
        <v>21</v>
      </c>
      <c r="EV5" s="185" t="s">
        <v>21</v>
      </c>
      <c r="EW5" s="185" t="s">
        <v>21</v>
      </c>
      <c r="EX5" s="185" t="s">
        <v>27</v>
      </c>
      <c r="EY5" s="185" t="s">
        <v>27</v>
      </c>
      <c r="EZ5" s="185" t="s">
        <v>27</v>
      </c>
      <c r="FA5" s="185" t="s">
        <v>45</v>
      </c>
      <c r="FB5" s="185" t="s">
        <v>45</v>
      </c>
      <c r="FC5" s="185" t="s">
        <v>45</v>
      </c>
      <c r="FD5" s="185" t="s">
        <v>22</v>
      </c>
      <c r="FE5" s="185" t="s">
        <v>22</v>
      </c>
      <c r="FF5" s="185" t="s">
        <v>27</v>
      </c>
      <c r="FG5" s="185" t="s">
        <v>22</v>
      </c>
      <c r="FH5" s="185" t="s">
        <v>27</v>
      </c>
      <c r="FI5" s="185" t="s">
        <v>22</v>
      </c>
      <c r="FJ5" s="185" t="s">
        <v>27</v>
      </c>
      <c r="FK5" s="185" t="s">
        <v>22</v>
      </c>
      <c r="FL5" s="185" t="s">
        <v>27</v>
      </c>
      <c r="FM5" s="185" t="s">
        <v>22</v>
      </c>
      <c r="FN5" s="185" t="s">
        <v>27</v>
      </c>
      <c r="FO5" s="185" t="s">
        <v>21</v>
      </c>
      <c r="FP5" s="185" t="s">
        <v>22</v>
      </c>
      <c r="FQ5" s="185" t="s">
        <v>21</v>
      </c>
      <c r="FR5" s="185" t="s">
        <v>21</v>
      </c>
      <c r="FS5" s="185" t="s">
        <v>21</v>
      </c>
      <c r="FT5" s="185" t="s">
        <v>22</v>
      </c>
      <c r="FU5" s="185" t="s">
        <v>175</v>
      </c>
      <c r="FV5" s="185" t="s">
        <v>21</v>
      </c>
      <c r="FW5" s="185" t="s">
        <v>45</v>
      </c>
      <c r="FX5" s="185" t="s">
        <v>27</v>
      </c>
      <c r="FY5" s="185" t="s">
        <v>22</v>
      </c>
      <c r="FZ5" s="185" t="s">
        <v>21</v>
      </c>
      <c r="GA5" s="185" t="s">
        <v>175</v>
      </c>
      <c r="GB5" s="185" t="s">
        <v>175</v>
      </c>
      <c r="GC5" s="185" t="s">
        <v>21</v>
      </c>
      <c r="GD5" s="185"/>
      <c r="GE5" s="1049"/>
      <c r="GF5" s="1049"/>
      <c r="GG5" s="1050"/>
      <c r="GH5" s="1051"/>
      <c r="GI5" s="1052"/>
      <c r="GJ5" s="1051"/>
      <c r="GK5" s="4634"/>
      <c r="GL5" s="1053"/>
      <c r="GM5" s="1053"/>
      <c r="GN5" s="1053"/>
      <c r="GO5" s="1053"/>
      <c r="GP5" s="1053"/>
      <c r="GQ5" s="1053"/>
      <c r="GR5" s="1053"/>
      <c r="GS5" s="1052"/>
      <c r="GT5" s="1050"/>
    </row>
    <row r="6" spans="1:259" s="97" customFormat="1" ht="30" customHeight="1" thickBot="1">
      <c r="A6" s="5330" t="s">
        <v>178</v>
      </c>
      <c r="B6" s="185" t="s">
        <v>183</v>
      </c>
      <c r="C6" s="185" t="s">
        <v>1352</v>
      </c>
      <c r="D6" s="185" t="s">
        <v>184</v>
      </c>
      <c r="E6" s="185" t="s">
        <v>184</v>
      </c>
      <c r="F6" s="185" t="s">
        <v>870</v>
      </c>
      <c r="G6" s="185" t="s">
        <v>185</v>
      </c>
      <c r="H6" s="185" t="s">
        <v>876</v>
      </c>
      <c r="I6" s="185" t="s">
        <v>187</v>
      </c>
      <c r="J6" s="185" t="s">
        <v>298</v>
      </c>
      <c r="K6" s="185"/>
      <c r="L6" s="185" t="s">
        <v>186</v>
      </c>
      <c r="M6" s="185" t="s">
        <v>188</v>
      </c>
      <c r="N6" s="185" t="s">
        <v>190</v>
      </c>
      <c r="O6" s="185" t="s">
        <v>189</v>
      </c>
      <c r="P6" s="185" t="s">
        <v>191</v>
      </c>
      <c r="Q6" s="185" t="s">
        <v>723</v>
      </c>
      <c r="R6" s="185" t="s">
        <v>1155</v>
      </c>
      <c r="S6" s="185" t="s">
        <v>194</v>
      </c>
      <c r="T6" s="185" t="s">
        <v>195</v>
      </c>
      <c r="U6" s="185" t="s">
        <v>189</v>
      </c>
      <c r="V6" s="185" t="s">
        <v>197</v>
      </c>
      <c r="W6" s="185" t="s">
        <v>199</v>
      </c>
      <c r="X6" s="185" t="s">
        <v>192</v>
      </c>
      <c r="Y6" s="185" t="s">
        <v>724</v>
      </c>
      <c r="Z6" s="185" t="s">
        <v>196</v>
      </c>
      <c r="AA6" s="185" t="s">
        <v>198</v>
      </c>
      <c r="AB6" s="185" t="s">
        <v>253</v>
      </c>
      <c r="AC6" s="185" t="s">
        <v>200</v>
      </c>
      <c r="AD6" s="185" t="s">
        <v>200</v>
      </c>
      <c r="AE6" s="185" t="s">
        <v>193</v>
      </c>
      <c r="AF6" s="1546" t="s">
        <v>877</v>
      </c>
      <c r="AG6" s="1546" t="s">
        <v>878</v>
      </c>
      <c r="AH6" s="185" t="s">
        <v>201</v>
      </c>
      <c r="AI6" s="185" t="s">
        <v>201</v>
      </c>
      <c r="AJ6" s="185" t="s">
        <v>202</v>
      </c>
      <c r="AK6" s="185" t="s">
        <v>203</v>
      </c>
      <c r="AL6" s="185" t="s">
        <v>725</v>
      </c>
      <c r="AM6" s="185" t="s">
        <v>726</v>
      </c>
      <c r="AN6" s="185" t="s">
        <v>184</v>
      </c>
      <c r="AO6" s="185" t="s">
        <v>184</v>
      </c>
      <c r="AP6" s="185" t="s">
        <v>204</v>
      </c>
      <c r="AQ6" s="185" t="s">
        <v>871</v>
      </c>
      <c r="AR6" s="185" t="s">
        <v>871</v>
      </c>
      <c r="AS6" s="185" t="s">
        <v>205</v>
      </c>
      <c r="AT6" s="185" t="s">
        <v>205</v>
      </c>
      <c r="AU6" s="185"/>
      <c r="AV6" s="185" t="s">
        <v>1296</v>
      </c>
      <c r="AW6" s="185" t="s">
        <v>206</v>
      </c>
      <c r="AX6" s="185" t="s">
        <v>191</v>
      </c>
      <c r="AY6" s="185" t="s">
        <v>192</v>
      </c>
      <c r="AZ6" s="185" t="s">
        <v>727</v>
      </c>
      <c r="BA6" s="185" t="s">
        <v>254</v>
      </c>
      <c r="BB6" s="185" t="s">
        <v>193</v>
      </c>
      <c r="BC6" s="185" t="s">
        <v>207</v>
      </c>
      <c r="BD6" s="185" t="s">
        <v>208</v>
      </c>
      <c r="BE6" s="185" t="s">
        <v>208</v>
      </c>
      <c r="BF6" s="185" t="s">
        <v>208</v>
      </c>
      <c r="BG6" s="185" t="s">
        <v>210</v>
      </c>
      <c r="BH6" s="185" t="s">
        <v>210</v>
      </c>
      <c r="BI6" s="185" t="s">
        <v>209</v>
      </c>
      <c r="BJ6" s="185" t="s">
        <v>880</v>
      </c>
      <c r="BK6" s="185" t="s">
        <v>218</v>
      </c>
      <c r="BL6" s="185" t="s">
        <v>211</v>
      </c>
      <c r="BM6" s="185" t="s">
        <v>212</v>
      </c>
      <c r="BN6" s="185" t="s">
        <v>214</v>
      </c>
      <c r="BO6" s="185" t="s">
        <v>215</v>
      </c>
      <c r="BP6" s="185" t="s">
        <v>216</v>
      </c>
      <c r="BQ6" s="185" t="s">
        <v>217</v>
      </c>
      <c r="BR6" s="1546" t="s">
        <v>217</v>
      </c>
      <c r="BS6" s="185" t="s">
        <v>193</v>
      </c>
      <c r="BT6" s="185" t="s">
        <v>219</v>
      </c>
      <c r="BU6" s="185" t="s">
        <v>201</v>
      </c>
      <c r="BV6" s="185" t="s">
        <v>729</v>
      </c>
      <c r="BW6" s="185"/>
      <c r="BX6" s="185" t="s">
        <v>220</v>
      </c>
      <c r="BY6" s="185" t="s">
        <v>197</v>
      </c>
      <c r="BZ6" s="185" t="s">
        <v>193</v>
      </c>
      <c r="CA6" s="185" t="s">
        <v>221</v>
      </c>
      <c r="CB6" s="185" t="s">
        <v>222</v>
      </c>
      <c r="CC6" s="185" t="s">
        <v>223</v>
      </c>
      <c r="CD6" s="185" t="s">
        <v>224</v>
      </c>
      <c r="CE6" s="185" t="s">
        <v>225</v>
      </c>
      <c r="CF6" s="1546" t="s">
        <v>881</v>
      </c>
      <c r="CG6" s="185" t="s">
        <v>731</v>
      </c>
      <c r="CH6" s="185" t="s">
        <v>226</v>
      </c>
      <c r="CI6" s="185" t="s">
        <v>227</v>
      </c>
      <c r="CJ6" s="185" t="s">
        <v>228</v>
      </c>
      <c r="CK6" s="185" t="s">
        <v>1243</v>
      </c>
      <c r="CL6" s="185" t="s">
        <v>229</v>
      </c>
      <c r="CM6" s="185" t="s">
        <v>230</v>
      </c>
      <c r="CN6" s="185" t="s">
        <v>233</v>
      </c>
      <c r="CO6" s="185" t="s">
        <v>232</v>
      </c>
      <c r="CP6" s="185" t="s">
        <v>231</v>
      </c>
      <c r="CQ6" s="185" t="s">
        <v>219</v>
      </c>
      <c r="CR6" s="185" t="s">
        <v>873</v>
      </c>
      <c r="CS6" s="185" t="s">
        <v>872</v>
      </c>
      <c r="CT6" s="185" t="s">
        <v>920</v>
      </c>
      <c r="CU6" s="185">
        <v>100</v>
      </c>
      <c r="CV6" s="185">
        <v>200</v>
      </c>
      <c r="CW6" s="185" t="s">
        <v>890</v>
      </c>
      <c r="CX6" s="185">
        <v>149</v>
      </c>
      <c r="CY6" s="185">
        <v>20</v>
      </c>
      <c r="CZ6" s="185"/>
      <c r="DA6" s="185"/>
      <c r="DB6" s="185" t="s">
        <v>924</v>
      </c>
      <c r="DC6" s="185" t="s">
        <v>1156</v>
      </c>
      <c r="DD6" s="185" t="s">
        <v>930</v>
      </c>
      <c r="DE6" s="185" t="s">
        <v>939</v>
      </c>
      <c r="DF6" s="185" t="s">
        <v>947</v>
      </c>
      <c r="DG6" s="185" t="s">
        <v>949</v>
      </c>
      <c r="DH6" s="185" t="s">
        <v>950</v>
      </c>
      <c r="DI6" s="185" t="s">
        <v>1149</v>
      </c>
      <c r="DJ6" s="185">
        <v>110</v>
      </c>
      <c r="DK6" s="185" t="s">
        <v>1180</v>
      </c>
      <c r="DL6" s="185" t="s">
        <v>1186</v>
      </c>
      <c r="DM6" s="185" t="s">
        <v>1241</v>
      </c>
      <c r="DN6" s="185" t="s">
        <v>1156</v>
      </c>
      <c r="DO6" s="185" t="s">
        <v>1248</v>
      </c>
      <c r="DP6" s="185">
        <v>50</v>
      </c>
      <c r="DQ6" s="185" t="s">
        <v>1286</v>
      </c>
      <c r="DR6" s="185" t="s">
        <v>1288</v>
      </c>
      <c r="DS6" s="185" t="s">
        <v>245</v>
      </c>
      <c r="DT6" s="185" t="s">
        <v>1317</v>
      </c>
      <c r="DU6" s="185">
        <v>35</v>
      </c>
      <c r="DV6" s="185">
        <v>115</v>
      </c>
      <c r="DW6" s="185">
        <v>55</v>
      </c>
      <c r="DX6" s="185"/>
      <c r="DY6" s="185" t="s">
        <v>909</v>
      </c>
      <c r="DZ6" s="185" t="s">
        <v>229</v>
      </c>
      <c r="EA6" s="185" t="s">
        <v>882</v>
      </c>
      <c r="EB6" s="185" t="s">
        <v>234</v>
      </c>
      <c r="EC6" s="185" t="s">
        <v>235</v>
      </c>
      <c r="ED6" s="185" t="s">
        <v>249</v>
      </c>
      <c r="EE6" s="185"/>
      <c r="EF6" s="185" t="s">
        <v>239</v>
      </c>
      <c r="EG6" s="185" t="s">
        <v>236</v>
      </c>
      <c r="EH6" s="185" t="s">
        <v>237</v>
      </c>
      <c r="EI6" s="185" t="s">
        <v>238</v>
      </c>
      <c r="EJ6" s="185" t="s">
        <v>243</v>
      </c>
      <c r="EK6" s="185" t="s">
        <v>242</v>
      </c>
      <c r="EL6" s="185" t="s">
        <v>240</v>
      </c>
      <c r="EM6" s="185" t="s">
        <v>241</v>
      </c>
      <c r="EN6" s="185" t="s">
        <v>245</v>
      </c>
      <c r="EO6" s="185" t="s">
        <v>244</v>
      </c>
      <c r="EP6" s="185" t="s">
        <v>202</v>
      </c>
      <c r="EQ6" s="185" t="s">
        <v>246</v>
      </c>
      <c r="ER6" s="185" t="s">
        <v>197</v>
      </c>
      <c r="ES6" s="185" t="s">
        <v>247</v>
      </c>
      <c r="ET6" s="185" t="s">
        <v>202</v>
      </c>
      <c r="EU6" s="185" t="s">
        <v>248</v>
      </c>
      <c r="EV6" s="185" t="s">
        <v>217</v>
      </c>
      <c r="EW6" s="185" t="s">
        <v>248</v>
      </c>
      <c r="EX6" s="185" t="s">
        <v>250</v>
      </c>
      <c r="EY6" s="185" t="s">
        <v>251</v>
      </c>
      <c r="EZ6" s="185" t="s">
        <v>219</v>
      </c>
      <c r="FA6" s="185" t="s">
        <v>252</v>
      </c>
      <c r="FB6" s="185" t="s">
        <v>252</v>
      </c>
      <c r="FC6" s="185" t="s">
        <v>874</v>
      </c>
      <c r="FD6" s="185" t="s">
        <v>229</v>
      </c>
      <c r="FE6" s="185" t="s">
        <v>229</v>
      </c>
      <c r="FF6" s="185" t="s">
        <v>249</v>
      </c>
      <c r="FG6" s="185" t="s">
        <v>249</v>
      </c>
      <c r="FH6" s="185" t="s">
        <v>249</v>
      </c>
      <c r="FI6" s="185" t="s">
        <v>249</v>
      </c>
      <c r="FJ6" s="185" t="s">
        <v>213</v>
      </c>
      <c r="FK6" s="185" t="s">
        <v>875</v>
      </c>
      <c r="FL6" s="185" t="s">
        <v>918</v>
      </c>
      <c r="FM6" s="185" t="s">
        <v>249</v>
      </c>
      <c r="FN6" s="185" t="s">
        <v>944</v>
      </c>
      <c r="FO6" s="185" t="s">
        <v>919</v>
      </c>
      <c r="FP6" s="185" t="s">
        <v>926</v>
      </c>
      <c r="FQ6" s="185" t="s">
        <v>931</v>
      </c>
      <c r="FR6" s="185" t="s">
        <v>939</v>
      </c>
      <c r="FS6" s="185" t="s">
        <v>931</v>
      </c>
      <c r="FT6" s="185" t="s">
        <v>1106</v>
      </c>
      <c r="FU6" s="185" t="s">
        <v>1110</v>
      </c>
      <c r="FV6" s="185" t="s">
        <v>1158</v>
      </c>
      <c r="FW6" s="185" t="s">
        <v>1309</v>
      </c>
      <c r="FX6" s="185">
        <v>220</v>
      </c>
      <c r="FY6" s="185">
        <v>212</v>
      </c>
      <c r="FZ6" s="185" t="s">
        <v>1289</v>
      </c>
      <c r="GA6" s="185" t="s">
        <v>1354</v>
      </c>
      <c r="GB6" s="185">
        <v>100</v>
      </c>
      <c r="GC6" s="185">
        <v>115</v>
      </c>
      <c r="GD6" s="185"/>
      <c r="GE6" s="1049"/>
      <c r="GF6" s="1049"/>
      <c r="GG6" s="1050"/>
      <c r="GH6" s="1051"/>
      <c r="GI6" s="1052"/>
      <c r="GJ6" s="1051"/>
      <c r="GK6" s="4634"/>
      <c r="GL6" s="1053"/>
      <c r="GM6" s="1053"/>
      <c r="GN6" s="1053"/>
      <c r="GO6" s="1053"/>
      <c r="GP6" s="1053"/>
      <c r="GQ6" s="1053"/>
      <c r="GR6" s="1053"/>
      <c r="GS6" s="1052"/>
      <c r="GT6" s="1050"/>
    </row>
    <row r="7" spans="1:259" s="97" customFormat="1" ht="19.5" customHeight="1" thickBot="1">
      <c r="A7" s="5331"/>
      <c r="B7" s="185">
        <v>0</v>
      </c>
      <c r="C7" s="185">
        <v>260</v>
      </c>
      <c r="D7" s="185">
        <f>1*210</f>
        <v>210</v>
      </c>
      <c r="E7" s="185">
        <f>1*210</f>
        <v>210</v>
      </c>
      <c r="F7" s="185">
        <v>365</v>
      </c>
      <c r="G7" s="185">
        <v>108</v>
      </c>
      <c r="H7" s="185">
        <v>0</v>
      </c>
      <c r="I7" s="185">
        <f>1*273+1*139</f>
        <v>412</v>
      </c>
      <c r="J7" s="185">
        <f>1*235+1*125</f>
        <v>360</v>
      </c>
      <c r="K7" s="185"/>
      <c r="L7" s="185">
        <f>1*32</f>
        <v>32</v>
      </c>
      <c r="M7" s="185">
        <f>2*150+1*150</f>
        <v>450</v>
      </c>
      <c r="N7" s="185">
        <v>305</v>
      </c>
      <c r="O7" s="185">
        <v>100</v>
      </c>
      <c r="P7" s="185">
        <f>6*17</f>
        <v>102</v>
      </c>
      <c r="Q7" s="185">
        <v>55</v>
      </c>
      <c r="R7" s="185">
        <v>335</v>
      </c>
      <c r="S7" s="185">
        <f xml:space="preserve"> 1*210</f>
        <v>210</v>
      </c>
      <c r="T7" s="185">
        <f>2*105</f>
        <v>210</v>
      </c>
      <c r="U7" s="185">
        <v>100</v>
      </c>
      <c r="V7" s="185">
        <v>102</v>
      </c>
      <c r="W7" s="185">
        <v>149</v>
      </c>
      <c r="X7" s="185">
        <v>100</v>
      </c>
      <c r="Y7" s="185">
        <v>108</v>
      </c>
      <c r="Z7" s="185"/>
      <c r="AA7" s="185">
        <v>51</v>
      </c>
      <c r="AB7" s="185">
        <v>54</v>
      </c>
      <c r="AC7" s="185">
        <v>55</v>
      </c>
      <c r="AD7" s="185">
        <v>55</v>
      </c>
      <c r="AE7" s="185">
        <v>22</v>
      </c>
      <c r="AF7" s="1546">
        <v>45</v>
      </c>
      <c r="AG7" s="1546">
        <v>35</v>
      </c>
      <c r="AH7" s="185">
        <v>33</v>
      </c>
      <c r="AI7" s="185">
        <v>33</v>
      </c>
      <c r="AJ7" s="185">
        <v>52</v>
      </c>
      <c r="AK7" s="185">
        <f>1* 105</f>
        <v>105</v>
      </c>
      <c r="AL7" s="185">
        <f>2*40+50</f>
        <v>130</v>
      </c>
      <c r="AM7" s="185">
        <f>2*50</f>
        <v>100</v>
      </c>
      <c r="AN7" s="185">
        <f>1*210</f>
        <v>210</v>
      </c>
      <c r="AO7" s="185">
        <f>1*210</f>
        <v>210</v>
      </c>
      <c r="AP7" s="185">
        <v>25</v>
      </c>
      <c r="AQ7" s="185">
        <v>225</v>
      </c>
      <c r="AR7" s="185">
        <v>225</v>
      </c>
      <c r="AS7" s="185">
        <f>1*150</f>
        <v>150</v>
      </c>
      <c r="AT7" s="185">
        <f>1*150</f>
        <v>150</v>
      </c>
      <c r="AU7" s="185"/>
      <c r="AV7" s="185">
        <v>22</v>
      </c>
      <c r="AW7" s="185">
        <v>98</v>
      </c>
      <c r="AX7" s="185">
        <f>6*17</f>
        <v>102</v>
      </c>
      <c r="AY7" s="185">
        <v>100</v>
      </c>
      <c r="AZ7" s="612">
        <v>108</v>
      </c>
      <c r="BA7" s="185">
        <v>50</v>
      </c>
      <c r="BB7" s="185">
        <v>22</v>
      </c>
      <c r="BC7" s="185"/>
      <c r="BD7" s="185">
        <f>1*150</f>
        <v>150</v>
      </c>
      <c r="BE7" s="185">
        <f>1*150</f>
        <v>150</v>
      </c>
      <c r="BF7" s="185">
        <f>1*150</f>
        <v>150</v>
      </c>
      <c r="BG7" s="185">
        <v>360</v>
      </c>
      <c r="BH7" s="185">
        <f>1*360</f>
        <v>360</v>
      </c>
      <c r="BI7" s="185">
        <v>221</v>
      </c>
      <c r="BJ7" s="185">
        <v>195</v>
      </c>
      <c r="BK7" s="185">
        <f>1*106+1*57</f>
        <v>163</v>
      </c>
      <c r="BL7" s="612">
        <v>53</v>
      </c>
      <c r="BM7" s="185">
        <v>55</v>
      </c>
      <c r="BN7" s="185">
        <v>53</v>
      </c>
      <c r="BO7" s="185">
        <v>51</v>
      </c>
      <c r="BP7" s="185">
        <v>85</v>
      </c>
      <c r="BQ7" s="185">
        <v>52</v>
      </c>
      <c r="BR7" s="1546">
        <v>52</v>
      </c>
      <c r="BS7" s="185">
        <v>22</v>
      </c>
      <c r="BT7" s="185">
        <v>11</v>
      </c>
      <c r="BU7" s="185">
        <v>33</v>
      </c>
      <c r="BV7" s="185">
        <v>25</v>
      </c>
      <c r="BW7" s="185">
        <v>160</v>
      </c>
      <c r="BX7" s="185">
        <f>4*35+1*70</f>
        <v>210</v>
      </c>
      <c r="BY7" s="185">
        <v>95</v>
      </c>
      <c r="BZ7" s="185">
        <v>22</v>
      </c>
      <c r="CA7" s="185">
        <f>1*3</f>
        <v>3</v>
      </c>
      <c r="CB7" s="185">
        <f>2*32+1*33</f>
        <v>97</v>
      </c>
      <c r="CC7" s="185">
        <v>104</v>
      </c>
      <c r="CD7" s="185">
        <v>51</v>
      </c>
      <c r="CE7" s="185">
        <v>0</v>
      </c>
      <c r="CF7" s="1546">
        <v>163</v>
      </c>
      <c r="CG7" s="185">
        <v>330</v>
      </c>
      <c r="CH7" s="185">
        <f>2*35</f>
        <v>70</v>
      </c>
      <c r="CI7" s="185">
        <v>86</v>
      </c>
      <c r="CJ7" s="185">
        <v>50</v>
      </c>
      <c r="CK7" s="185">
        <f>1*142+1*89</f>
        <v>231</v>
      </c>
      <c r="CL7" s="185">
        <f>1*20</f>
        <v>20</v>
      </c>
      <c r="CM7" s="185">
        <v>0</v>
      </c>
      <c r="CN7" s="185">
        <v>10</v>
      </c>
      <c r="CO7" s="185">
        <f>1*222+1*119</f>
        <v>341</v>
      </c>
      <c r="CP7" s="185">
        <v>25</v>
      </c>
      <c r="CQ7" s="185">
        <v>11</v>
      </c>
      <c r="CR7" s="185">
        <v>200</v>
      </c>
      <c r="CS7" s="185">
        <v>300</v>
      </c>
      <c r="CT7" s="185">
        <v>300</v>
      </c>
      <c r="CU7" s="185">
        <v>100</v>
      </c>
      <c r="CV7" s="185">
        <v>200</v>
      </c>
      <c r="CW7" s="185">
        <v>100</v>
      </c>
      <c r="CX7" s="185">
        <v>149</v>
      </c>
      <c r="CY7" s="185">
        <v>20</v>
      </c>
      <c r="CZ7" s="185">
        <v>100</v>
      </c>
      <c r="DA7" s="185">
        <v>200</v>
      </c>
      <c r="DB7" s="185">
        <v>150</v>
      </c>
      <c r="DC7" s="185">
        <v>400</v>
      </c>
      <c r="DD7" s="185">
        <v>115</v>
      </c>
      <c r="DE7" s="185">
        <v>105</v>
      </c>
      <c r="DF7" s="185">
        <v>105</v>
      </c>
      <c r="DG7" s="185">
        <v>7</v>
      </c>
      <c r="DH7" s="185">
        <v>300</v>
      </c>
      <c r="DI7" s="185">
        <v>54</v>
      </c>
      <c r="DJ7" s="185">
        <v>110</v>
      </c>
      <c r="DK7" s="185">
        <v>114</v>
      </c>
      <c r="DL7" s="185">
        <v>113</v>
      </c>
      <c r="DM7" s="185">
        <v>100</v>
      </c>
      <c r="DN7" s="185">
        <v>383</v>
      </c>
      <c r="DO7" s="185">
        <v>104</v>
      </c>
      <c r="DP7" s="185">
        <v>50</v>
      </c>
      <c r="DQ7" s="185">
        <v>162</v>
      </c>
      <c r="DR7" s="185">
        <v>116</v>
      </c>
      <c r="DS7" s="185">
        <v>100</v>
      </c>
      <c r="DT7" s="185">
        <v>54</v>
      </c>
      <c r="DU7" s="185">
        <v>35</v>
      </c>
      <c r="DV7" s="185"/>
      <c r="DW7" s="185"/>
      <c r="DX7" s="185"/>
      <c r="DY7" s="185">
        <v>1000</v>
      </c>
      <c r="DZ7" s="185">
        <f>1*20</f>
        <v>20</v>
      </c>
      <c r="EA7" s="185">
        <v>410</v>
      </c>
      <c r="EB7" s="185"/>
      <c r="EC7" s="185">
        <v>115</v>
      </c>
      <c r="ED7" s="185">
        <v>230</v>
      </c>
      <c r="EE7" s="185"/>
      <c r="EF7" s="185"/>
      <c r="EG7" s="185">
        <v>54</v>
      </c>
      <c r="EH7" s="185">
        <v>109</v>
      </c>
      <c r="EI7" s="185">
        <v>0</v>
      </c>
      <c r="EJ7" s="185">
        <f>2*63+1*68</f>
        <v>194</v>
      </c>
      <c r="EK7" s="185">
        <v>33</v>
      </c>
      <c r="EL7" s="612">
        <v>110</v>
      </c>
      <c r="EM7" s="185">
        <f>2*20</f>
        <v>40</v>
      </c>
      <c r="EN7" s="185">
        <f>1*100</f>
        <v>100</v>
      </c>
      <c r="EO7" s="185">
        <f>1*71</f>
        <v>71</v>
      </c>
      <c r="EP7" s="185">
        <v>52</v>
      </c>
      <c r="EQ7" s="185">
        <v>71</v>
      </c>
      <c r="ER7" s="612">
        <v>104</v>
      </c>
      <c r="ES7" s="185">
        <v>50</v>
      </c>
      <c r="ET7" s="185">
        <v>50</v>
      </c>
      <c r="EU7" s="185">
        <v>50</v>
      </c>
      <c r="EV7" s="185">
        <v>52</v>
      </c>
      <c r="EW7" s="185">
        <v>50</v>
      </c>
      <c r="EX7" s="185">
        <v>22</v>
      </c>
      <c r="EY7" s="185">
        <v>20</v>
      </c>
      <c r="EZ7" s="185">
        <v>11</v>
      </c>
      <c r="FA7" s="185">
        <f>1*125</f>
        <v>125</v>
      </c>
      <c r="FB7" s="185">
        <f>1*125</f>
        <v>125</v>
      </c>
      <c r="FC7" s="185">
        <v>274</v>
      </c>
      <c r="FD7" s="185">
        <f>1*20</f>
        <v>20</v>
      </c>
      <c r="FE7" s="185">
        <f>1*20</f>
        <v>20</v>
      </c>
      <c r="FF7" s="185">
        <v>210</v>
      </c>
      <c r="FG7" s="185">
        <v>210</v>
      </c>
      <c r="FH7" s="185">
        <v>220</v>
      </c>
      <c r="FI7" s="185">
        <v>220</v>
      </c>
      <c r="FJ7" s="185">
        <v>95</v>
      </c>
      <c r="FK7" s="185">
        <v>100</v>
      </c>
      <c r="FL7" s="185">
        <v>220</v>
      </c>
      <c r="FM7" s="185">
        <v>220</v>
      </c>
      <c r="FN7" s="185">
        <v>414</v>
      </c>
      <c r="FO7" s="185">
        <v>105</v>
      </c>
      <c r="FP7" s="185">
        <v>200</v>
      </c>
      <c r="FQ7" s="185">
        <v>113</v>
      </c>
      <c r="FR7" s="185">
        <v>105</v>
      </c>
      <c r="FS7" s="185">
        <v>113</v>
      </c>
      <c r="FT7" s="185"/>
      <c r="FU7" s="185">
        <v>8</v>
      </c>
      <c r="FV7" s="185">
        <v>113</v>
      </c>
      <c r="FW7" s="185">
        <v>1244</v>
      </c>
      <c r="FX7" s="185">
        <v>220</v>
      </c>
      <c r="FY7" s="185">
        <v>220</v>
      </c>
      <c r="FZ7" s="185">
        <v>150</v>
      </c>
      <c r="GA7" s="185">
        <v>6</v>
      </c>
      <c r="GB7" s="185"/>
      <c r="GC7" s="185"/>
      <c r="GD7" s="185"/>
      <c r="GE7" s="1049"/>
      <c r="GF7" s="1049"/>
      <c r="GG7" s="1050"/>
      <c r="GH7" s="1051"/>
      <c r="GI7" s="1052"/>
      <c r="GJ7" s="1051"/>
      <c r="GK7" s="4634"/>
      <c r="GL7" s="1053"/>
      <c r="GM7" s="1053"/>
      <c r="GN7" s="1053"/>
      <c r="GO7" s="1053"/>
      <c r="GP7" s="1053"/>
      <c r="GQ7" s="1053"/>
      <c r="GR7" s="1053"/>
      <c r="GS7" s="1052"/>
      <c r="GT7" s="1050"/>
      <c r="GV7" s="4194">
        <f>O7+P7+Q7+U7+V7+W7+X7+Y7+AA7+AB7+AC7+AD7+AJ7+AP7+AV7+AW7+AX7+AY7+AZ7+BA7+BQ7+BY7+CS7+CV7+CX7+DA7+DB7+CZ7+DD7+DE7+DF7+DH7+DI7+DJ7+DK7+DL7+DM7+DO7+DQ7+DR7+EC7+EG7+EH7+EI7+EL7+EP7+EQ7+ER7+ES7+ET7+EU7+EV7+EW7+FO7+FQ7+FR7+FS7+FV7+FZ7+BR7</f>
        <v>5950</v>
      </c>
      <c r="GW7" s="97">
        <f>AR7+AT7+CR7+CT7+CU7+CW7+DZ7+ED7+EM7+FD7+FE7+FG7+FH7+FK7+FM7+FP7</f>
        <v>2355</v>
      </c>
    </row>
    <row r="8" spans="1:259" s="97" customFormat="1" ht="24" customHeight="1" thickBot="1">
      <c r="A8" s="605" t="s">
        <v>179</v>
      </c>
      <c r="B8" s="185">
        <v>0</v>
      </c>
      <c r="C8" s="185">
        <v>260</v>
      </c>
      <c r="D8" s="185">
        <v>180</v>
      </c>
      <c r="E8" s="185">
        <v>190</v>
      </c>
      <c r="F8" s="185">
        <v>365</v>
      </c>
      <c r="G8" s="185">
        <v>108</v>
      </c>
      <c r="H8" s="185"/>
      <c r="I8" s="185">
        <v>412</v>
      </c>
      <c r="J8" s="185">
        <v>360</v>
      </c>
      <c r="K8" s="185"/>
      <c r="L8" s="185">
        <v>20</v>
      </c>
      <c r="M8" s="185">
        <v>450</v>
      </c>
      <c r="N8" s="185">
        <v>305</v>
      </c>
      <c r="O8" s="185">
        <v>0</v>
      </c>
      <c r="P8" s="185"/>
      <c r="Q8" s="185">
        <v>55</v>
      </c>
      <c r="R8" s="185">
        <v>335</v>
      </c>
      <c r="S8" s="185">
        <v>115</v>
      </c>
      <c r="T8" s="185">
        <v>210</v>
      </c>
      <c r="U8" s="185">
        <v>0</v>
      </c>
      <c r="V8" s="185">
        <v>102</v>
      </c>
      <c r="W8" s="185">
        <v>149</v>
      </c>
      <c r="X8" s="185">
        <v>100</v>
      </c>
      <c r="Y8" s="185">
        <v>0</v>
      </c>
      <c r="Z8" s="185"/>
      <c r="AA8" s="185">
        <v>0</v>
      </c>
      <c r="AB8" s="185">
        <v>54</v>
      </c>
      <c r="AC8" s="185">
        <v>55</v>
      </c>
      <c r="AD8" s="185">
        <v>55</v>
      </c>
      <c r="AE8" s="185">
        <v>22</v>
      </c>
      <c r="AF8" s="1546">
        <v>45</v>
      </c>
      <c r="AG8" s="1546">
        <v>35</v>
      </c>
      <c r="AH8" s="185">
        <v>33</v>
      </c>
      <c r="AI8" s="185">
        <v>33</v>
      </c>
      <c r="AJ8" s="185">
        <v>52</v>
      </c>
      <c r="AK8" s="185">
        <v>105</v>
      </c>
      <c r="AL8" s="185">
        <v>130</v>
      </c>
      <c r="AM8" s="185">
        <v>100</v>
      </c>
      <c r="AN8" s="185">
        <v>180</v>
      </c>
      <c r="AO8" s="185">
        <v>180</v>
      </c>
      <c r="AP8" s="185">
        <v>25</v>
      </c>
      <c r="AQ8" s="185">
        <v>225</v>
      </c>
      <c r="AR8" s="185">
        <v>225</v>
      </c>
      <c r="AS8" s="185">
        <v>150</v>
      </c>
      <c r="AT8" s="185">
        <v>150</v>
      </c>
      <c r="AU8" s="185"/>
      <c r="AV8" s="185">
        <v>22</v>
      </c>
      <c r="AW8" s="185">
        <v>98</v>
      </c>
      <c r="AX8" s="185">
        <v>102</v>
      </c>
      <c r="AY8" s="185">
        <v>100</v>
      </c>
      <c r="AZ8" s="185">
        <v>108</v>
      </c>
      <c r="BA8" s="185">
        <v>50</v>
      </c>
      <c r="BB8" s="185">
        <v>22</v>
      </c>
      <c r="BC8" s="185"/>
      <c r="BD8" s="185">
        <v>135</v>
      </c>
      <c r="BE8" s="185">
        <v>129</v>
      </c>
      <c r="BF8" s="185">
        <v>134</v>
      </c>
      <c r="BG8" s="185">
        <v>360</v>
      </c>
      <c r="BH8" s="185">
        <v>360</v>
      </c>
      <c r="BI8" s="185">
        <v>221</v>
      </c>
      <c r="BJ8" s="185">
        <v>195</v>
      </c>
      <c r="BK8" s="185">
        <v>163</v>
      </c>
      <c r="BL8" s="185">
        <v>45</v>
      </c>
      <c r="BM8" s="185">
        <v>55</v>
      </c>
      <c r="BN8" s="185">
        <v>53</v>
      </c>
      <c r="BO8" s="185">
        <v>51</v>
      </c>
      <c r="BP8" s="185">
        <v>85</v>
      </c>
      <c r="BQ8" s="185">
        <v>52</v>
      </c>
      <c r="BR8" s="1546">
        <v>52</v>
      </c>
      <c r="BS8" s="185">
        <v>22</v>
      </c>
      <c r="BT8" s="185">
        <v>11</v>
      </c>
      <c r="BU8" s="185">
        <v>33</v>
      </c>
      <c r="BV8" s="185">
        <v>25</v>
      </c>
      <c r="BW8" s="185">
        <v>160</v>
      </c>
      <c r="BX8" s="185">
        <v>202</v>
      </c>
      <c r="BY8" s="185">
        <v>8</v>
      </c>
      <c r="BZ8" s="185">
        <v>22</v>
      </c>
      <c r="CA8" s="185">
        <v>3</v>
      </c>
      <c r="CB8" s="185">
        <v>70</v>
      </c>
      <c r="CC8" s="185">
        <v>90</v>
      </c>
      <c r="CD8" s="185">
        <v>51</v>
      </c>
      <c r="CE8" s="185"/>
      <c r="CF8" s="1546">
        <v>163</v>
      </c>
      <c r="CG8" s="185">
        <v>330</v>
      </c>
      <c r="CH8" s="185">
        <v>66</v>
      </c>
      <c r="CI8" s="185">
        <v>86</v>
      </c>
      <c r="CJ8" s="185">
        <v>50</v>
      </c>
      <c r="CK8" s="185">
        <v>231</v>
      </c>
      <c r="CL8" s="185">
        <v>20</v>
      </c>
      <c r="CM8" s="185"/>
      <c r="CN8" s="185">
        <v>10</v>
      </c>
      <c r="CO8" s="185">
        <v>341</v>
      </c>
      <c r="CP8" s="185">
        <v>25</v>
      </c>
      <c r="CQ8" s="185">
        <v>11</v>
      </c>
      <c r="CR8" s="185">
        <v>200</v>
      </c>
      <c r="CS8" s="185">
        <v>300</v>
      </c>
      <c r="CT8" s="185">
        <v>300</v>
      </c>
      <c r="CU8" s="185">
        <v>100</v>
      </c>
      <c r="CV8" s="185">
        <v>200</v>
      </c>
      <c r="CW8" s="185">
        <v>100</v>
      </c>
      <c r="CX8" s="185">
        <v>149</v>
      </c>
      <c r="CY8" s="185">
        <v>20</v>
      </c>
      <c r="CZ8" s="185">
        <v>100</v>
      </c>
      <c r="DA8" s="185">
        <v>200</v>
      </c>
      <c r="DB8" s="185">
        <v>150</v>
      </c>
      <c r="DC8" s="185">
        <v>400</v>
      </c>
      <c r="DD8" s="185">
        <v>115</v>
      </c>
      <c r="DE8" s="185">
        <v>105</v>
      </c>
      <c r="DF8" s="185">
        <v>105</v>
      </c>
      <c r="DG8" s="185">
        <v>7</v>
      </c>
      <c r="DH8" s="185">
        <v>300</v>
      </c>
      <c r="DI8" s="185">
        <v>54</v>
      </c>
      <c r="DJ8" s="185">
        <v>110</v>
      </c>
      <c r="DK8" s="185">
        <v>114</v>
      </c>
      <c r="DL8" s="185">
        <v>113</v>
      </c>
      <c r="DM8" s="185">
        <v>100</v>
      </c>
      <c r="DN8" s="185">
        <v>383</v>
      </c>
      <c r="DO8" s="185">
        <v>104</v>
      </c>
      <c r="DP8" s="185">
        <v>50</v>
      </c>
      <c r="DQ8" s="185">
        <v>162</v>
      </c>
      <c r="DR8" s="185">
        <v>116</v>
      </c>
      <c r="DS8" s="185">
        <v>100</v>
      </c>
      <c r="DT8" s="185">
        <v>54</v>
      </c>
      <c r="DU8" s="185">
        <v>35</v>
      </c>
      <c r="DV8" s="185"/>
      <c r="DW8" s="185"/>
      <c r="DX8" s="185"/>
      <c r="DY8" s="185">
        <v>1000</v>
      </c>
      <c r="DZ8" s="185">
        <v>16</v>
      </c>
      <c r="EA8" s="185">
        <v>410</v>
      </c>
      <c r="EB8" s="185"/>
      <c r="EC8" s="185">
        <v>0</v>
      </c>
      <c r="ED8" s="185">
        <v>230</v>
      </c>
      <c r="EE8" s="185"/>
      <c r="EF8" s="185">
        <v>0</v>
      </c>
      <c r="EG8" s="185">
        <v>54</v>
      </c>
      <c r="EH8" s="185">
        <v>109</v>
      </c>
      <c r="EI8" s="185">
        <v>0</v>
      </c>
      <c r="EJ8" s="185">
        <v>194</v>
      </c>
      <c r="EK8" s="185">
        <v>33</v>
      </c>
      <c r="EL8" s="185">
        <v>110</v>
      </c>
      <c r="EM8" s="185">
        <v>30</v>
      </c>
      <c r="EN8" s="185">
        <v>100</v>
      </c>
      <c r="EO8" s="185">
        <v>71</v>
      </c>
      <c r="EP8" s="185">
        <v>52</v>
      </c>
      <c r="EQ8" s="185">
        <v>71</v>
      </c>
      <c r="ER8" s="185">
        <v>104</v>
      </c>
      <c r="ES8" s="185">
        <v>50</v>
      </c>
      <c r="ET8" s="185">
        <v>50</v>
      </c>
      <c r="EU8" s="185">
        <v>50</v>
      </c>
      <c r="EV8" s="185">
        <v>52</v>
      </c>
      <c r="EW8" s="185">
        <v>50</v>
      </c>
      <c r="EX8" s="185">
        <v>22</v>
      </c>
      <c r="EY8" s="185"/>
      <c r="EZ8" s="185">
        <v>11</v>
      </c>
      <c r="FA8" s="185">
        <v>85</v>
      </c>
      <c r="FB8" s="185">
        <v>85</v>
      </c>
      <c r="FC8" s="185">
        <v>274</v>
      </c>
      <c r="FD8" s="185">
        <v>20</v>
      </c>
      <c r="FE8" s="185">
        <v>20</v>
      </c>
      <c r="FF8" s="185">
        <v>210</v>
      </c>
      <c r="FG8" s="185">
        <v>210</v>
      </c>
      <c r="FH8" s="185">
        <v>220</v>
      </c>
      <c r="FI8" s="185">
        <v>220</v>
      </c>
      <c r="FJ8" s="185">
        <v>95</v>
      </c>
      <c r="FK8" s="185">
        <v>100</v>
      </c>
      <c r="FL8" s="185">
        <v>220</v>
      </c>
      <c r="FM8" s="185">
        <v>220</v>
      </c>
      <c r="FN8" s="185">
        <v>414</v>
      </c>
      <c r="FO8" s="185">
        <v>105</v>
      </c>
      <c r="FP8" s="185">
        <v>200</v>
      </c>
      <c r="FQ8" s="185">
        <v>113</v>
      </c>
      <c r="FR8" s="185">
        <v>105</v>
      </c>
      <c r="FS8" s="185">
        <v>113</v>
      </c>
      <c r="FT8" s="185"/>
      <c r="FU8" s="185">
        <v>8</v>
      </c>
      <c r="FV8" s="185">
        <v>113</v>
      </c>
      <c r="FW8" s="185">
        <v>1244</v>
      </c>
      <c r="FX8" s="185">
        <v>220</v>
      </c>
      <c r="FY8" s="185">
        <v>220</v>
      </c>
      <c r="FZ8" s="185">
        <v>150</v>
      </c>
      <c r="GA8" s="185">
        <v>6</v>
      </c>
      <c r="GB8" s="185"/>
      <c r="GC8" s="185"/>
      <c r="GD8" s="185"/>
      <c r="GE8" s="1049"/>
      <c r="GF8" s="1049"/>
      <c r="GG8" s="1050"/>
      <c r="GH8" s="1051"/>
      <c r="GI8" s="1052"/>
      <c r="GJ8" s="1051"/>
      <c r="GK8" s="4634"/>
      <c r="GL8" s="1053"/>
      <c r="GM8" s="1053"/>
      <c r="GN8" s="1053"/>
      <c r="GO8" s="1053"/>
      <c r="GP8" s="1053"/>
      <c r="GQ8" s="1053"/>
      <c r="GR8" s="1053"/>
      <c r="GS8" s="1052"/>
      <c r="GT8" s="1050"/>
    </row>
    <row r="9" spans="1:259" s="97" customFormat="1" ht="19.5" customHeight="1" thickBot="1">
      <c r="A9" s="605" t="s">
        <v>25</v>
      </c>
      <c r="B9" s="185">
        <v>1.64</v>
      </c>
      <c r="C9" s="185">
        <v>1.48</v>
      </c>
      <c r="D9" s="185">
        <v>1.46</v>
      </c>
      <c r="E9" s="185">
        <v>1.47</v>
      </c>
      <c r="F9" s="185">
        <v>1.1100000000000001</v>
      </c>
      <c r="G9" s="185">
        <v>1.32</v>
      </c>
      <c r="H9" s="185">
        <v>1.7</v>
      </c>
      <c r="I9" s="185">
        <v>1.01</v>
      </c>
      <c r="J9" s="185">
        <v>1.03</v>
      </c>
      <c r="K9" s="185"/>
      <c r="L9" s="185">
        <v>2.1</v>
      </c>
      <c r="M9" s="185">
        <v>1.0900000000000001</v>
      </c>
      <c r="N9" s="185">
        <v>1.1100000000000001</v>
      </c>
      <c r="O9" s="185">
        <v>7.59</v>
      </c>
      <c r="P9" s="185">
        <v>6.89</v>
      </c>
      <c r="Q9" s="185">
        <v>8.4600000000000009</v>
      </c>
      <c r="R9" s="185">
        <v>1.04</v>
      </c>
      <c r="S9" s="185">
        <v>2.58</v>
      </c>
      <c r="T9" s="185">
        <v>1.73</v>
      </c>
      <c r="U9" s="185">
        <v>7.53</v>
      </c>
      <c r="V9" s="185">
        <v>9.1199999999999992</v>
      </c>
      <c r="W9" s="185">
        <v>9.84</v>
      </c>
      <c r="X9" s="185">
        <v>9.2200000000000006</v>
      </c>
      <c r="Y9" s="185">
        <v>7.16</v>
      </c>
      <c r="Z9" s="185">
        <v>15.99</v>
      </c>
      <c r="AA9" s="185">
        <v>9.09</v>
      </c>
      <c r="AB9" s="185">
        <v>7.3</v>
      </c>
      <c r="AC9" s="185">
        <v>7.73</v>
      </c>
      <c r="AD9" s="185">
        <v>9.86</v>
      </c>
      <c r="AE9" s="185">
        <v>0.75</v>
      </c>
      <c r="AF9" s="185">
        <v>0.75</v>
      </c>
      <c r="AG9" s="185"/>
      <c r="AH9" s="185"/>
      <c r="AI9" s="185"/>
      <c r="AJ9" s="185">
        <v>9.67</v>
      </c>
      <c r="AK9" s="185">
        <v>2.44</v>
      </c>
      <c r="AL9" s="185">
        <v>0.27</v>
      </c>
      <c r="AM9" s="185">
        <v>0.27</v>
      </c>
      <c r="AN9" s="185">
        <v>1.81</v>
      </c>
      <c r="AO9" s="185">
        <v>1.81</v>
      </c>
      <c r="AP9" s="185">
        <v>9.2899999999999991</v>
      </c>
      <c r="AQ9" s="185">
        <v>1.0900000000000001</v>
      </c>
      <c r="AR9" s="185">
        <v>14.56</v>
      </c>
      <c r="AS9" s="185">
        <v>1.7</v>
      </c>
      <c r="AT9" s="185">
        <v>20.350000000000001</v>
      </c>
      <c r="AU9" s="185"/>
      <c r="AV9" s="185"/>
      <c r="AW9" s="185">
        <v>9.67</v>
      </c>
      <c r="AX9" s="185">
        <v>9.6999999999999993</v>
      </c>
      <c r="AY9" s="185">
        <v>9.5500000000000007</v>
      </c>
      <c r="AZ9" s="185">
        <v>8.6999999999999993</v>
      </c>
      <c r="BA9" s="185">
        <v>7.92</v>
      </c>
      <c r="BB9" s="185">
        <v>1.26</v>
      </c>
      <c r="BC9" s="185">
        <v>2.97</v>
      </c>
      <c r="BD9" s="185">
        <v>1.48</v>
      </c>
      <c r="BE9" s="185">
        <v>1.48</v>
      </c>
      <c r="BF9" s="185">
        <v>1.47</v>
      </c>
      <c r="BG9" s="185">
        <v>0.74</v>
      </c>
      <c r="BH9" s="185">
        <v>1</v>
      </c>
      <c r="BI9" s="185">
        <v>0.92</v>
      </c>
      <c r="BJ9" s="185">
        <v>1.29</v>
      </c>
      <c r="BK9" s="185">
        <v>1.1499999999999999</v>
      </c>
      <c r="BL9" s="185">
        <v>1.1299999999999999</v>
      </c>
      <c r="BM9" s="185">
        <v>1.4</v>
      </c>
      <c r="BN9" s="185">
        <v>1.54</v>
      </c>
      <c r="BO9" s="185">
        <v>1.71</v>
      </c>
      <c r="BP9" s="185">
        <v>1.39</v>
      </c>
      <c r="BQ9" s="185">
        <v>10.1</v>
      </c>
      <c r="BR9" s="1546">
        <v>9.5500000000000007</v>
      </c>
      <c r="BS9" s="185">
        <v>1.27</v>
      </c>
      <c r="BT9" s="185">
        <v>0.75</v>
      </c>
      <c r="BU9" s="185">
        <v>1.75</v>
      </c>
      <c r="BV9" s="185">
        <v>0.75</v>
      </c>
      <c r="BW9" s="185">
        <v>7.5</v>
      </c>
      <c r="BX9" s="185">
        <v>1.06</v>
      </c>
      <c r="BY9" s="185">
        <v>9.08</v>
      </c>
      <c r="BZ9" s="185">
        <v>1.27</v>
      </c>
      <c r="CA9" s="185">
        <v>15.94</v>
      </c>
      <c r="CB9" s="185">
        <v>1.64</v>
      </c>
      <c r="CC9" s="185">
        <v>1.6</v>
      </c>
      <c r="CD9" s="185">
        <v>1.78</v>
      </c>
      <c r="CE9" s="185">
        <v>1.56</v>
      </c>
      <c r="CF9" s="185">
        <v>1.1399999999999999</v>
      </c>
      <c r="CG9" s="185">
        <v>1.04</v>
      </c>
      <c r="CH9" s="185">
        <v>1.97</v>
      </c>
      <c r="CI9" s="185">
        <v>1.91</v>
      </c>
      <c r="CJ9" s="185">
        <v>1.1100000000000001</v>
      </c>
      <c r="CK9" s="185">
        <v>1.73</v>
      </c>
      <c r="CL9" s="185">
        <v>2.19</v>
      </c>
      <c r="CM9" s="185">
        <v>1.17</v>
      </c>
      <c r="CN9" s="185">
        <v>2.04</v>
      </c>
      <c r="CO9" s="185">
        <v>1.01</v>
      </c>
      <c r="CP9" s="185">
        <v>0.75</v>
      </c>
      <c r="CQ9" s="185">
        <v>0.76</v>
      </c>
      <c r="CR9" s="185">
        <v>17.010000000000002</v>
      </c>
      <c r="CS9" s="185">
        <v>7.56</v>
      </c>
      <c r="CT9" s="185">
        <v>16.98</v>
      </c>
      <c r="CU9" s="185">
        <v>16.72</v>
      </c>
      <c r="CV9" s="185">
        <v>5.2</v>
      </c>
      <c r="CW9" s="185">
        <v>16.72</v>
      </c>
      <c r="CX9" s="185">
        <v>9.84</v>
      </c>
      <c r="CY9" s="185">
        <v>11.69</v>
      </c>
      <c r="CZ9" s="185">
        <v>8.15</v>
      </c>
      <c r="DA9" s="185">
        <v>10.85</v>
      </c>
      <c r="DB9" s="185">
        <v>7.05</v>
      </c>
      <c r="DC9" s="185">
        <v>0.93</v>
      </c>
      <c r="DD9" s="185">
        <v>9.1199999999999992</v>
      </c>
      <c r="DE9" s="185">
        <v>9.4499999999999993</v>
      </c>
      <c r="DF9" s="185">
        <v>8.7100000000000009</v>
      </c>
      <c r="DG9" s="185"/>
      <c r="DH9" s="185">
        <v>7.56</v>
      </c>
      <c r="DI9" s="185">
        <v>8.7100000000000009</v>
      </c>
      <c r="DJ9" s="185">
        <v>8.7899999999999991</v>
      </c>
      <c r="DK9" s="185">
        <v>9.98</v>
      </c>
      <c r="DL9" s="185">
        <v>8.57</v>
      </c>
      <c r="DM9" s="185">
        <v>6.66</v>
      </c>
      <c r="DN9" s="185"/>
      <c r="DO9" s="185"/>
      <c r="DP9" s="185"/>
      <c r="DQ9" s="185"/>
      <c r="DR9" s="185"/>
      <c r="DS9" s="185"/>
      <c r="DT9" s="185"/>
      <c r="DU9" s="185"/>
      <c r="DV9" s="185"/>
      <c r="DW9" s="185"/>
      <c r="DX9" s="185"/>
      <c r="DY9" s="185">
        <v>5.76</v>
      </c>
      <c r="DZ9" s="185">
        <v>28.6</v>
      </c>
      <c r="EA9" s="185">
        <v>1.05</v>
      </c>
      <c r="EB9" s="185">
        <v>7.86</v>
      </c>
      <c r="EC9" s="185">
        <v>7.86</v>
      </c>
      <c r="ED9" s="185">
        <v>13.86</v>
      </c>
      <c r="EE9" s="185"/>
      <c r="EF9" s="185">
        <v>15.96</v>
      </c>
      <c r="EG9" s="185">
        <v>10.49</v>
      </c>
      <c r="EH9" s="185">
        <v>10.48</v>
      </c>
      <c r="EI9" s="185">
        <v>10.42</v>
      </c>
      <c r="EJ9" s="185">
        <v>1.1299999999999999</v>
      </c>
      <c r="EK9" s="185">
        <v>1.55</v>
      </c>
      <c r="EL9" s="185">
        <v>9.76</v>
      </c>
      <c r="EM9" s="185">
        <v>2.78</v>
      </c>
      <c r="EN9" s="185">
        <v>2.0499999999999998</v>
      </c>
      <c r="EO9" s="185">
        <v>2.0499999999999998</v>
      </c>
      <c r="EP9" s="185">
        <v>9.84</v>
      </c>
      <c r="EQ9" s="185">
        <v>10.16</v>
      </c>
      <c r="ER9" s="185">
        <v>8.85</v>
      </c>
      <c r="ES9" s="185">
        <v>7.7</v>
      </c>
      <c r="ET9" s="185">
        <v>13.52</v>
      </c>
      <c r="EU9" s="185">
        <v>9.69</v>
      </c>
      <c r="EV9" s="185">
        <v>9.69</v>
      </c>
      <c r="EW9" s="185">
        <v>9.6999999999999993</v>
      </c>
      <c r="EX9" s="185">
        <v>1.92</v>
      </c>
      <c r="EY9" s="185">
        <v>1.55</v>
      </c>
      <c r="EZ9" s="185">
        <v>0.75700000000000001</v>
      </c>
      <c r="FA9" s="185">
        <v>6.03</v>
      </c>
      <c r="FB9" s="185">
        <v>6.03</v>
      </c>
      <c r="FC9" s="185">
        <v>5.42</v>
      </c>
      <c r="FD9" s="185">
        <v>34.65</v>
      </c>
      <c r="FE9" s="185">
        <v>28.53</v>
      </c>
      <c r="FF9" s="185">
        <v>1.17</v>
      </c>
      <c r="FG9" s="185">
        <v>14.23</v>
      </c>
      <c r="FH9" s="185">
        <v>1.32</v>
      </c>
      <c r="FI9" s="185">
        <v>14.72</v>
      </c>
      <c r="FJ9" s="185">
        <v>1.5</v>
      </c>
      <c r="FK9" s="185">
        <v>17.010000000000002</v>
      </c>
      <c r="FL9" s="185">
        <v>1.17</v>
      </c>
      <c r="FM9" s="185">
        <v>14.57</v>
      </c>
      <c r="FN9" s="185">
        <v>0.99</v>
      </c>
      <c r="FO9" s="185">
        <v>10.44</v>
      </c>
      <c r="FP9" s="185">
        <v>17.010000000000002</v>
      </c>
      <c r="FQ9" s="185">
        <v>9.49</v>
      </c>
      <c r="FR9" s="185">
        <v>9.44</v>
      </c>
      <c r="FS9" s="185">
        <v>7.76</v>
      </c>
      <c r="FT9" s="185"/>
      <c r="FU9" s="185">
        <v>11.05</v>
      </c>
      <c r="FV9" s="185">
        <v>7.39</v>
      </c>
      <c r="FW9" s="185">
        <v>4.3899999999999997</v>
      </c>
      <c r="FX9" s="185"/>
      <c r="FY9" s="185"/>
      <c r="FZ9" s="185"/>
      <c r="GA9" s="185"/>
      <c r="GB9" s="185"/>
      <c r="GC9" s="185"/>
      <c r="GD9" s="185"/>
      <c r="GE9" s="1049"/>
      <c r="GF9" s="1049"/>
      <c r="GG9" s="1050"/>
      <c r="GH9" s="1051"/>
      <c r="GI9" s="1052"/>
      <c r="GJ9" s="1051"/>
      <c r="GK9" s="4634"/>
      <c r="GL9" s="1053"/>
      <c r="GM9" s="1053"/>
      <c r="GN9" s="1053"/>
      <c r="GO9" s="1053"/>
      <c r="GP9" s="1053"/>
      <c r="GQ9" s="1053"/>
      <c r="GR9" s="1053"/>
      <c r="GS9" s="1052"/>
      <c r="GT9" s="1050"/>
    </row>
    <row r="10" spans="1:259" s="97" customFormat="1" ht="19.5" customHeight="1" thickBot="1">
      <c r="A10" s="605" t="s">
        <v>758</v>
      </c>
      <c r="B10" s="185" t="s">
        <v>10</v>
      </c>
      <c r="C10" s="185" t="s">
        <v>10</v>
      </c>
      <c r="D10" s="185" t="s">
        <v>10</v>
      </c>
      <c r="E10" s="185" t="s">
        <v>10</v>
      </c>
      <c r="F10" s="185" t="s">
        <v>10</v>
      </c>
      <c r="G10" s="185" t="s">
        <v>10</v>
      </c>
      <c r="H10" s="185" t="s">
        <v>10</v>
      </c>
      <c r="I10" s="185" t="s">
        <v>10</v>
      </c>
      <c r="J10" s="185" t="s">
        <v>10</v>
      </c>
      <c r="K10" s="185"/>
      <c r="L10" s="185" t="s">
        <v>10</v>
      </c>
      <c r="M10" s="185" t="s">
        <v>10</v>
      </c>
      <c r="N10" s="185" t="s">
        <v>10</v>
      </c>
      <c r="O10" s="185" t="s">
        <v>10</v>
      </c>
      <c r="P10" s="185" t="s">
        <v>10</v>
      </c>
      <c r="Q10" s="185" t="s">
        <v>10</v>
      </c>
      <c r="R10" s="185" t="s">
        <v>10</v>
      </c>
      <c r="S10" s="185" t="s">
        <v>10</v>
      </c>
      <c r="T10" s="185" t="s">
        <v>10</v>
      </c>
      <c r="U10" s="185" t="s">
        <v>10</v>
      </c>
      <c r="V10" s="185" t="s">
        <v>10</v>
      </c>
      <c r="W10" s="185" t="s">
        <v>10</v>
      </c>
      <c r="X10" s="185" t="s">
        <v>10</v>
      </c>
      <c r="Y10" s="185" t="s">
        <v>10</v>
      </c>
      <c r="Z10" s="185" t="s">
        <v>10</v>
      </c>
      <c r="AA10" s="185" t="s">
        <v>10</v>
      </c>
      <c r="AB10" s="185" t="s">
        <v>10</v>
      </c>
      <c r="AC10" s="185" t="s">
        <v>10</v>
      </c>
      <c r="AD10" s="185" t="s">
        <v>10</v>
      </c>
      <c r="AE10" s="185" t="s">
        <v>10</v>
      </c>
      <c r="AF10" s="185" t="s">
        <v>10</v>
      </c>
      <c r="AG10" s="185" t="s">
        <v>10</v>
      </c>
      <c r="AH10" s="185" t="s">
        <v>10</v>
      </c>
      <c r="AI10" s="185" t="s">
        <v>10</v>
      </c>
      <c r="AJ10" s="185" t="s">
        <v>10</v>
      </c>
      <c r="AK10" s="185" t="s">
        <v>10</v>
      </c>
      <c r="AL10" s="185" t="s">
        <v>914</v>
      </c>
      <c r="AM10" s="185" t="s">
        <v>914</v>
      </c>
      <c r="AN10" s="185" t="s">
        <v>914</v>
      </c>
      <c r="AO10" s="185" t="s">
        <v>914</v>
      </c>
      <c r="AP10" s="185" t="s">
        <v>914</v>
      </c>
      <c r="AQ10" s="185" t="s">
        <v>914</v>
      </c>
      <c r="AR10" s="185" t="s">
        <v>914</v>
      </c>
      <c r="AS10" s="185" t="s">
        <v>914</v>
      </c>
      <c r="AT10" s="185" t="s">
        <v>914</v>
      </c>
      <c r="AU10" s="185"/>
      <c r="AV10" s="185" t="s">
        <v>106</v>
      </c>
      <c r="AW10" s="185" t="s">
        <v>914</v>
      </c>
      <c r="AX10" s="185" t="s">
        <v>914</v>
      </c>
      <c r="AY10" s="185" t="s">
        <v>914</v>
      </c>
      <c r="AZ10" s="185" t="s">
        <v>914</v>
      </c>
      <c r="BA10" s="185" t="s">
        <v>914</v>
      </c>
      <c r="BB10" s="185" t="s">
        <v>914</v>
      </c>
      <c r="BC10" s="185" t="s">
        <v>914</v>
      </c>
      <c r="BD10" s="185" t="s">
        <v>913</v>
      </c>
      <c r="BE10" s="185" t="s">
        <v>913</v>
      </c>
      <c r="BF10" s="185" t="s">
        <v>913</v>
      </c>
      <c r="BG10" s="185" t="s">
        <v>913</v>
      </c>
      <c r="BH10" s="185" t="s">
        <v>913</v>
      </c>
      <c r="BI10" s="185" t="s">
        <v>913</v>
      </c>
      <c r="BJ10" s="185" t="s">
        <v>913</v>
      </c>
      <c r="BK10" s="185" t="s">
        <v>913</v>
      </c>
      <c r="BL10" s="185" t="s">
        <v>913</v>
      </c>
      <c r="BM10" s="185" t="s">
        <v>913</v>
      </c>
      <c r="BN10" s="185" t="s">
        <v>913</v>
      </c>
      <c r="BO10" s="185" t="s">
        <v>913</v>
      </c>
      <c r="BP10" s="185" t="s">
        <v>913</v>
      </c>
      <c r="BQ10" s="185" t="s">
        <v>913</v>
      </c>
      <c r="BR10" s="1546" t="s">
        <v>913</v>
      </c>
      <c r="BS10" s="185" t="s">
        <v>913</v>
      </c>
      <c r="BT10" s="185" t="s">
        <v>913</v>
      </c>
      <c r="BU10" s="185" t="s">
        <v>913</v>
      </c>
      <c r="BV10" s="185" t="s">
        <v>913</v>
      </c>
      <c r="BW10" s="185" t="s">
        <v>913</v>
      </c>
      <c r="BX10" s="185" t="s">
        <v>106</v>
      </c>
      <c r="BY10" s="185" t="s">
        <v>106</v>
      </c>
      <c r="BZ10" s="185" t="s">
        <v>106</v>
      </c>
      <c r="CA10" s="185" t="s">
        <v>106</v>
      </c>
      <c r="CB10" s="185" t="s">
        <v>4</v>
      </c>
      <c r="CC10" s="185" t="s">
        <v>4</v>
      </c>
      <c r="CD10" s="185" t="s">
        <v>4</v>
      </c>
      <c r="CE10" s="185" t="s">
        <v>4</v>
      </c>
      <c r="CF10" s="185" t="s">
        <v>4</v>
      </c>
      <c r="CG10" s="185" t="s">
        <v>4</v>
      </c>
      <c r="CH10" s="185" t="s">
        <v>4</v>
      </c>
      <c r="CI10" s="185" t="s">
        <v>4</v>
      </c>
      <c r="CJ10" s="185" t="s">
        <v>4</v>
      </c>
      <c r="CK10" s="185" t="s">
        <v>4</v>
      </c>
      <c r="CL10" s="185" t="s">
        <v>4</v>
      </c>
      <c r="CM10" s="185" t="s">
        <v>4</v>
      </c>
      <c r="CN10" s="185" t="s">
        <v>4</v>
      </c>
      <c r="CO10" s="185" t="s">
        <v>4</v>
      </c>
      <c r="CP10" s="185" t="s">
        <v>4</v>
      </c>
      <c r="CQ10" s="185" t="s">
        <v>4</v>
      </c>
      <c r="CR10" s="185" t="s">
        <v>913</v>
      </c>
      <c r="CS10" s="185" t="s">
        <v>10</v>
      </c>
      <c r="CT10" s="185" t="s">
        <v>10</v>
      </c>
      <c r="CU10" s="185" t="s">
        <v>10</v>
      </c>
      <c r="CV10" s="185" t="s">
        <v>106</v>
      </c>
      <c r="CW10" s="185" t="s">
        <v>10</v>
      </c>
      <c r="CX10" s="185" t="s">
        <v>10</v>
      </c>
      <c r="CY10" s="185" t="s">
        <v>914</v>
      </c>
      <c r="CZ10" s="185" t="s">
        <v>914</v>
      </c>
      <c r="DA10" s="185" t="s">
        <v>913</v>
      </c>
      <c r="DB10" s="185" t="s">
        <v>913</v>
      </c>
      <c r="DC10" s="185" t="s">
        <v>4</v>
      </c>
      <c r="DD10" s="185" t="s">
        <v>106</v>
      </c>
      <c r="DE10" s="185" t="s">
        <v>10</v>
      </c>
      <c r="DF10" s="185" t="s">
        <v>914</v>
      </c>
      <c r="DG10" s="185" t="s">
        <v>914</v>
      </c>
      <c r="DH10" s="185" t="s">
        <v>914</v>
      </c>
      <c r="DI10" s="185" t="s">
        <v>914</v>
      </c>
      <c r="DJ10" s="185" t="s">
        <v>914</v>
      </c>
      <c r="DK10" s="185" t="s">
        <v>913</v>
      </c>
      <c r="DL10" s="185" t="s">
        <v>913</v>
      </c>
      <c r="DM10" s="185" t="s">
        <v>914</v>
      </c>
      <c r="DN10" s="185" t="s">
        <v>4</v>
      </c>
      <c r="DO10" s="185" t="s">
        <v>10</v>
      </c>
      <c r="DP10" s="185" t="s">
        <v>106</v>
      </c>
      <c r="DQ10" s="185" t="s">
        <v>10</v>
      </c>
      <c r="DR10" s="185" t="s">
        <v>914</v>
      </c>
      <c r="DS10" s="185" t="s">
        <v>4</v>
      </c>
      <c r="DT10" s="185" t="s">
        <v>913</v>
      </c>
      <c r="DU10" s="185" t="s">
        <v>10</v>
      </c>
      <c r="DV10" s="185" t="s">
        <v>913</v>
      </c>
      <c r="DW10" s="185" t="s">
        <v>10</v>
      </c>
      <c r="DX10" s="185"/>
      <c r="DY10" s="185" t="s">
        <v>5</v>
      </c>
      <c r="DZ10" s="185" t="s">
        <v>5</v>
      </c>
      <c r="EA10" s="185" t="s">
        <v>5</v>
      </c>
      <c r="EB10" s="185" t="s">
        <v>5</v>
      </c>
      <c r="EC10" s="185" t="s">
        <v>5</v>
      </c>
      <c r="ED10" s="185" t="s">
        <v>5</v>
      </c>
      <c r="EE10" s="185" t="s">
        <v>5</v>
      </c>
      <c r="EF10" s="185" t="s">
        <v>5</v>
      </c>
      <c r="EG10" s="185" t="s">
        <v>5</v>
      </c>
      <c r="EH10" s="185" t="s">
        <v>5</v>
      </c>
      <c r="EI10" s="185" t="s">
        <v>5</v>
      </c>
      <c r="EJ10" s="185" t="s">
        <v>5</v>
      </c>
      <c r="EK10" s="185" t="s">
        <v>5</v>
      </c>
      <c r="EL10" s="185" t="s">
        <v>5</v>
      </c>
      <c r="EM10" s="185" t="s">
        <v>5</v>
      </c>
      <c r="EN10" s="185" t="s">
        <v>55</v>
      </c>
      <c r="EO10" s="185" t="s">
        <v>55</v>
      </c>
      <c r="EP10" s="185" t="s">
        <v>55</v>
      </c>
      <c r="EQ10" s="185" t="s">
        <v>55</v>
      </c>
      <c r="ER10" s="185" t="s">
        <v>55</v>
      </c>
      <c r="ES10" s="185" t="s">
        <v>55</v>
      </c>
      <c r="ET10" s="185" t="s">
        <v>55</v>
      </c>
      <c r="EU10" s="185" t="s">
        <v>55</v>
      </c>
      <c r="EV10" s="185" t="s">
        <v>55</v>
      </c>
      <c r="EW10" s="185" t="s">
        <v>55</v>
      </c>
      <c r="EX10" s="185" t="s">
        <v>55</v>
      </c>
      <c r="EY10" s="185" t="s">
        <v>55</v>
      </c>
      <c r="EZ10" s="185" t="s">
        <v>55</v>
      </c>
      <c r="FA10" s="185" t="s">
        <v>6</v>
      </c>
      <c r="FB10" s="185" t="s">
        <v>6</v>
      </c>
      <c r="FC10" s="185" t="s">
        <v>6</v>
      </c>
      <c r="FD10" s="185" t="s">
        <v>6</v>
      </c>
      <c r="FE10" s="185" t="s">
        <v>6</v>
      </c>
      <c r="FF10" s="185" t="s">
        <v>55</v>
      </c>
      <c r="FG10" s="185" t="s">
        <v>55</v>
      </c>
      <c r="FH10" s="185" t="s">
        <v>55</v>
      </c>
      <c r="FI10" s="185" t="s">
        <v>55</v>
      </c>
      <c r="FJ10" s="185" t="s">
        <v>56</v>
      </c>
      <c r="FK10" s="185" t="s">
        <v>5</v>
      </c>
      <c r="FL10" s="185" t="s">
        <v>55</v>
      </c>
      <c r="FM10" s="185" t="s">
        <v>55</v>
      </c>
      <c r="FN10" s="185" t="s">
        <v>55</v>
      </c>
      <c r="FO10" s="185" t="s">
        <v>5</v>
      </c>
      <c r="FP10" s="185" t="s">
        <v>55</v>
      </c>
      <c r="FQ10" s="185" t="s">
        <v>55</v>
      </c>
      <c r="FR10" s="185" t="s">
        <v>5</v>
      </c>
      <c r="FS10" s="185" t="s">
        <v>6</v>
      </c>
      <c r="FT10" s="185" t="s">
        <v>55</v>
      </c>
      <c r="FU10" s="185" t="s">
        <v>6</v>
      </c>
      <c r="FV10" s="185" t="s">
        <v>55</v>
      </c>
      <c r="FW10" s="185" t="s">
        <v>5</v>
      </c>
      <c r="FX10" s="185" t="s">
        <v>1283</v>
      </c>
      <c r="FY10" s="185" t="s">
        <v>1283</v>
      </c>
      <c r="FZ10" s="185" t="s">
        <v>56</v>
      </c>
      <c r="GA10" s="185" t="s">
        <v>55</v>
      </c>
      <c r="GB10" s="185" t="s">
        <v>5</v>
      </c>
      <c r="GC10" s="185" t="s">
        <v>6</v>
      </c>
      <c r="GD10" s="185"/>
      <c r="GE10" s="1049"/>
      <c r="GF10" s="1049"/>
      <c r="GG10" s="1050"/>
      <c r="GH10" s="1051"/>
      <c r="GI10" s="1052"/>
      <c r="GJ10" s="1051"/>
      <c r="GK10" s="4634"/>
      <c r="GL10" s="1053"/>
      <c r="GM10" s="1053"/>
      <c r="GN10" s="1053"/>
      <c r="GO10" s="1053"/>
      <c r="GP10" s="1053"/>
      <c r="GQ10" s="1053"/>
      <c r="GR10" s="1053"/>
      <c r="GS10" s="1052"/>
      <c r="GT10" s="1050"/>
    </row>
    <row r="11" spans="1:259" s="97" customFormat="1" ht="19.5" customHeight="1" thickBot="1">
      <c r="A11" s="605" t="s">
        <v>177</v>
      </c>
      <c r="B11" s="185" t="s">
        <v>807</v>
      </c>
      <c r="C11" s="185" t="s">
        <v>807</v>
      </c>
      <c r="D11" s="185" t="s">
        <v>807</v>
      </c>
      <c r="E11" s="185" t="s">
        <v>807</v>
      </c>
      <c r="F11" s="185" t="s">
        <v>807</v>
      </c>
      <c r="G11" s="185" t="s">
        <v>800</v>
      </c>
      <c r="H11" s="185" t="s">
        <v>800</v>
      </c>
      <c r="I11" s="185" t="s">
        <v>801</v>
      </c>
      <c r="J11" s="185" t="s">
        <v>800</v>
      </c>
      <c r="K11" s="185"/>
      <c r="L11" s="185" t="s">
        <v>801</v>
      </c>
      <c r="M11" s="185" t="s">
        <v>800</v>
      </c>
      <c r="N11" s="185" t="s">
        <v>800</v>
      </c>
      <c r="O11" s="185" t="s">
        <v>800</v>
      </c>
      <c r="P11" s="185" t="s">
        <v>800</v>
      </c>
      <c r="Q11" s="185" t="s">
        <v>800</v>
      </c>
      <c r="R11" s="185" t="s">
        <v>801</v>
      </c>
      <c r="S11" s="185" t="s">
        <v>801</v>
      </c>
      <c r="T11" s="185" t="s">
        <v>801</v>
      </c>
      <c r="U11" s="185" t="s">
        <v>800</v>
      </c>
      <c r="V11" s="185" t="s">
        <v>800</v>
      </c>
      <c r="W11" s="185" t="s">
        <v>801</v>
      </c>
      <c r="X11" s="185" t="s">
        <v>800</v>
      </c>
      <c r="Y11" s="185" t="s">
        <v>800</v>
      </c>
      <c r="Z11" s="185" t="s">
        <v>800</v>
      </c>
      <c r="AA11" s="185" t="s">
        <v>800</v>
      </c>
      <c r="AB11" s="185" t="s">
        <v>800</v>
      </c>
      <c r="AC11" s="185" t="s">
        <v>800</v>
      </c>
      <c r="AD11" s="185" t="s">
        <v>800</v>
      </c>
      <c r="AE11" s="185" t="s">
        <v>801</v>
      </c>
      <c r="AF11" s="185" t="s">
        <v>801</v>
      </c>
      <c r="AG11" s="185" t="s">
        <v>801</v>
      </c>
      <c r="AH11" s="185" t="s">
        <v>801</v>
      </c>
      <c r="AI11" s="185" t="s">
        <v>801</v>
      </c>
      <c r="AJ11" s="185" t="s">
        <v>800</v>
      </c>
      <c r="AK11" s="185" t="s">
        <v>801</v>
      </c>
      <c r="AL11" s="185" t="s">
        <v>801</v>
      </c>
      <c r="AM11" s="185" t="s">
        <v>801</v>
      </c>
      <c r="AN11" s="185" t="s">
        <v>801</v>
      </c>
      <c r="AO11" s="185" t="s">
        <v>801</v>
      </c>
      <c r="AP11" s="185" t="s">
        <v>800</v>
      </c>
      <c r="AQ11" s="185" t="s">
        <v>801</v>
      </c>
      <c r="AR11" s="185" t="s">
        <v>801</v>
      </c>
      <c r="AS11" s="185" t="s">
        <v>801</v>
      </c>
      <c r="AT11" s="185" t="s">
        <v>801</v>
      </c>
      <c r="AU11" s="185"/>
      <c r="AV11" s="185" t="s">
        <v>800</v>
      </c>
      <c r="AW11" s="185" t="s">
        <v>801</v>
      </c>
      <c r="AX11" s="185" t="s">
        <v>801</v>
      </c>
      <c r="AY11" s="185" t="s">
        <v>800</v>
      </c>
      <c r="AZ11" s="185" t="s">
        <v>800</v>
      </c>
      <c r="BA11" s="185" t="s">
        <v>800</v>
      </c>
      <c r="BB11" s="185" t="s">
        <v>801</v>
      </c>
      <c r="BC11" s="185" t="s">
        <v>800</v>
      </c>
      <c r="BD11" s="185" t="s">
        <v>801</v>
      </c>
      <c r="BE11" s="185" t="s">
        <v>801</v>
      </c>
      <c r="BF11" s="185" t="s">
        <v>801</v>
      </c>
      <c r="BG11" s="185" t="s">
        <v>801</v>
      </c>
      <c r="BH11" s="185" t="s">
        <v>801</v>
      </c>
      <c r="BI11" s="185" t="s">
        <v>801</v>
      </c>
      <c r="BJ11" s="185" t="s">
        <v>800</v>
      </c>
      <c r="BK11" s="185" t="s">
        <v>801</v>
      </c>
      <c r="BL11" s="185" t="s">
        <v>801</v>
      </c>
      <c r="BM11" s="185" t="s">
        <v>800</v>
      </c>
      <c r="BN11" s="185" t="s">
        <v>800</v>
      </c>
      <c r="BO11" s="185" t="s">
        <v>800</v>
      </c>
      <c r="BP11" s="185" t="s">
        <v>800</v>
      </c>
      <c r="BQ11" s="185" t="s">
        <v>801</v>
      </c>
      <c r="BR11" s="1546" t="s">
        <v>800</v>
      </c>
      <c r="BS11" s="185" t="s">
        <v>801</v>
      </c>
      <c r="BT11" s="185" t="s">
        <v>801</v>
      </c>
      <c r="BU11" s="185" t="s">
        <v>801</v>
      </c>
      <c r="BV11" s="185" t="s">
        <v>801</v>
      </c>
      <c r="BW11" s="185" t="s">
        <v>808</v>
      </c>
      <c r="BX11" s="185" t="s">
        <v>801</v>
      </c>
      <c r="BY11" s="185" t="s">
        <v>800</v>
      </c>
      <c r="BZ11" s="185" t="s">
        <v>801</v>
      </c>
      <c r="CA11" s="185" t="s">
        <v>800</v>
      </c>
      <c r="CB11" s="185" t="s">
        <v>801</v>
      </c>
      <c r="CC11" s="185" t="s">
        <v>801</v>
      </c>
      <c r="CD11" s="185" t="s">
        <v>800</v>
      </c>
      <c r="CE11" s="185" t="s">
        <v>800</v>
      </c>
      <c r="CF11" s="185" t="s">
        <v>800</v>
      </c>
      <c r="CG11" s="185" t="s">
        <v>801</v>
      </c>
      <c r="CH11" s="185" t="s">
        <v>801</v>
      </c>
      <c r="CI11" s="185" t="s">
        <v>800</v>
      </c>
      <c r="CJ11" s="185" t="s">
        <v>800</v>
      </c>
      <c r="CK11" s="185" t="s">
        <v>801</v>
      </c>
      <c r="CL11" s="185" t="s">
        <v>801</v>
      </c>
      <c r="CM11" s="185" t="s">
        <v>800</v>
      </c>
      <c r="CN11" s="185" t="s">
        <v>800</v>
      </c>
      <c r="CO11" s="185" t="s">
        <v>800</v>
      </c>
      <c r="CP11" s="185" t="s">
        <v>801</v>
      </c>
      <c r="CQ11" s="185" t="s">
        <v>801</v>
      </c>
      <c r="CR11" s="185" t="s">
        <v>800</v>
      </c>
      <c r="CS11" s="185" t="s">
        <v>800</v>
      </c>
      <c r="CT11" s="185" t="s">
        <v>800</v>
      </c>
      <c r="CU11" s="185" t="s">
        <v>800</v>
      </c>
      <c r="CV11" s="185" t="s">
        <v>800</v>
      </c>
      <c r="CW11" s="185" t="s">
        <v>800</v>
      </c>
      <c r="CX11" s="185" t="s">
        <v>800</v>
      </c>
      <c r="CY11" s="185" t="s">
        <v>800</v>
      </c>
      <c r="CZ11" s="185" t="s">
        <v>800</v>
      </c>
      <c r="DA11" s="185" t="s">
        <v>800</v>
      </c>
      <c r="DB11" s="185" t="s">
        <v>800</v>
      </c>
      <c r="DC11" s="185" t="s">
        <v>801</v>
      </c>
      <c r="DD11" s="185" t="s">
        <v>800</v>
      </c>
      <c r="DE11" s="185" t="s">
        <v>800</v>
      </c>
      <c r="DF11" s="185" t="s">
        <v>800</v>
      </c>
      <c r="DG11" s="185" t="s">
        <v>801</v>
      </c>
      <c r="DH11" s="185" t="s">
        <v>800</v>
      </c>
      <c r="DI11" s="185" t="s">
        <v>800</v>
      </c>
      <c r="DJ11" s="185" t="s">
        <v>800</v>
      </c>
      <c r="DK11" s="185" t="s">
        <v>800</v>
      </c>
      <c r="DL11" s="185" t="s">
        <v>800</v>
      </c>
      <c r="DM11" s="185" t="s">
        <v>800</v>
      </c>
      <c r="DN11" s="185" t="s">
        <v>801</v>
      </c>
      <c r="DO11" s="185" t="s">
        <v>800</v>
      </c>
      <c r="DP11" s="185" t="s">
        <v>800</v>
      </c>
      <c r="DQ11" s="185" t="s">
        <v>800</v>
      </c>
      <c r="DR11" s="185" t="s">
        <v>800</v>
      </c>
      <c r="DS11" s="185" t="s">
        <v>801</v>
      </c>
      <c r="DT11" s="185" t="s">
        <v>800</v>
      </c>
      <c r="DU11" s="185" t="s">
        <v>800</v>
      </c>
      <c r="DV11" s="185" t="s">
        <v>800</v>
      </c>
      <c r="DW11" s="185" t="s">
        <v>800</v>
      </c>
      <c r="DX11" s="185"/>
      <c r="DY11" s="185" t="s">
        <v>808</v>
      </c>
      <c r="DZ11" s="185" t="s">
        <v>801</v>
      </c>
      <c r="EA11" s="185" t="s">
        <v>801</v>
      </c>
      <c r="EB11" s="185" t="s">
        <v>800</v>
      </c>
      <c r="EC11" s="185" t="s">
        <v>800</v>
      </c>
      <c r="ED11" s="185" t="s">
        <v>801</v>
      </c>
      <c r="EE11" s="185" t="s">
        <v>801</v>
      </c>
      <c r="EF11" s="185" t="s">
        <v>800</v>
      </c>
      <c r="EG11" s="185" t="s">
        <v>801</v>
      </c>
      <c r="EH11" s="185" t="s">
        <v>801</v>
      </c>
      <c r="EI11" s="185" t="s">
        <v>800</v>
      </c>
      <c r="EJ11" s="185" t="s">
        <v>801</v>
      </c>
      <c r="EK11" s="185" t="s">
        <v>800</v>
      </c>
      <c r="EL11" s="185" t="s">
        <v>800</v>
      </c>
      <c r="EM11" s="185" t="s">
        <v>801</v>
      </c>
      <c r="EN11" s="185" t="s">
        <v>801</v>
      </c>
      <c r="EO11" s="185" t="s">
        <v>801</v>
      </c>
      <c r="EP11" s="185" t="s">
        <v>801</v>
      </c>
      <c r="EQ11" s="185" t="s">
        <v>801</v>
      </c>
      <c r="ER11" s="185" t="s">
        <v>801</v>
      </c>
      <c r="ES11" s="185" t="s">
        <v>800</v>
      </c>
      <c r="ET11" s="185" t="s">
        <v>800</v>
      </c>
      <c r="EU11" s="185" t="s">
        <v>801</v>
      </c>
      <c r="EV11" s="185" t="s">
        <v>800</v>
      </c>
      <c r="EW11" s="185" t="s">
        <v>801</v>
      </c>
      <c r="EX11" s="185" t="s">
        <v>800</v>
      </c>
      <c r="EY11" s="185" t="s">
        <v>800</v>
      </c>
      <c r="EZ11" s="185" t="s">
        <v>801</v>
      </c>
      <c r="FA11" s="185" t="s">
        <v>801</v>
      </c>
      <c r="FB11" s="185" t="s">
        <v>801</v>
      </c>
      <c r="FC11" s="185" t="s">
        <v>801</v>
      </c>
      <c r="FD11" s="185" t="s">
        <v>801</v>
      </c>
      <c r="FE11" s="185" t="s">
        <v>801</v>
      </c>
      <c r="FF11" s="185" t="s">
        <v>801</v>
      </c>
      <c r="FG11" s="185" t="s">
        <v>801</v>
      </c>
      <c r="FH11" s="185" t="s">
        <v>801</v>
      </c>
      <c r="FI11" s="185" t="s">
        <v>801</v>
      </c>
      <c r="FJ11" s="185" t="s">
        <v>800</v>
      </c>
      <c r="FK11" s="185" t="s">
        <v>800</v>
      </c>
      <c r="FL11" s="185" t="s">
        <v>801</v>
      </c>
      <c r="FM11" s="185" t="s">
        <v>801</v>
      </c>
      <c r="FN11" s="185" t="s">
        <v>801</v>
      </c>
      <c r="FO11" s="185" t="s">
        <v>800</v>
      </c>
      <c r="FP11" s="185" t="s">
        <v>800</v>
      </c>
      <c r="FQ11" s="185" t="s">
        <v>800</v>
      </c>
      <c r="FR11" s="185" t="s">
        <v>800</v>
      </c>
      <c r="FS11" s="185" t="s">
        <v>800</v>
      </c>
      <c r="FT11" s="185" t="s">
        <v>801</v>
      </c>
      <c r="FU11" s="185" t="s">
        <v>800</v>
      </c>
      <c r="FV11" s="185" t="s">
        <v>800</v>
      </c>
      <c r="FW11" s="185" t="s">
        <v>801</v>
      </c>
      <c r="FX11" s="185" t="s">
        <v>800</v>
      </c>
      <c r="FY11" s="185" t="s">
        <v>800</v>
      </c>
      <c r="FZ11" s="185" t="s">
        <v>800</v>
      </c>
      <c r="GA11" s="185" t="s">
        <v>800</v>
      </c>
      <c r="GB11" s="185" t="s">
        <v>800</v>
      </c>
      <c r="GC11" s="185" t="s">
        <v>800</v>
      </c>
      <c r="GD11" s="185"/>
      <c r="GE11" s="1049"/>
      <c r="GF11" s="1049"/>
      <c r="GG11" s="1050"/>
      <c r="GH11" s="1051"/>
      <c r="GI11" s="1052"/>
      <c r="GJ11" s="1051"/>
      <c r="GK11" s="4634"/>
      <c r="GL11" s="1053"/>
      <c r="GM11" s="1053"/>
      <c r="GN11" s="1053"/>
      <c r="GO11" s="1053"/>
      <c r="GP11" s="1053"/>
      <c r="GQ11" s="1053"/>
      <c r="GR11" s="1053"/>
      <c r="GS11" s="1052"/>
      <c r="GT11" s="1050"/>
    </row>
    <row r="12" spans="1:259" s="97" customFormat="1" ht="21.75" customHeight="1" thickBot="1">
      <c r="A12" s="603" t="s">
        <v>268</v>
      </c>
      <c r="B12" s="606"/>
      <c r="C12" s="606"/>
      <c r="D12" s="606"/>
      <c r="E12" s="606"/>
      <c r="F12" s="606"/>
      <c r="G12" s="606"/>
      <c r="H12" s="606"/>
      <c r="I12" s="606"/>
      <c r="J12" s="606"/>
      <c r="K12" s="606"/>
      <c r="L12" s="606"/>
      <c r="M12" s="606"/>
      <c r="N12" s="606"/>
      <c r="O12" s="606"/>
      <c r="P12" s="606"/>
      <c r="Q12" s="606"/>
      <c r="R12" s="606"/>
      <c r="S12" s="606"/>
      <c r="T12" s="606"/>
      <c r="U12" s="606"/>
      <c r="V12" s="606"/>
      <c r="W12" s="606"/>
      <c r="X12" s="606"/>
      <c r="Y12" s="606"/>
      <c r="Z12" s="606"/>
      <c r="AA12" s="606"/>
      <c r="AB12" s="606"/>
      <c r="AC12" s="606"/>
      <c r="AD12" s="606"/>
      <c r="AE12" s="606"/>
      <c r="AF12" s="606"/>
      <c r="AG12" s="606"/>
      <c r="AH12" s="606"/>
      <c r="AI12" s="606"/>
      <c r="AJ12" s="606"/>
      <c r="AK12" s="606"/>
      <c r="AL12" s="606"/>
      <c r="AM12" s="606"/>
      <c r="AN12" s="606"/>
      <c r="AO12" s="606"/>
      <c r="AP12" s="606"/>
      <c r="AQ12" s="606"/>
      <c r="AR12" s="606"/>
      <c r="AS12" s="606"/>
      <c r="AT12" s="606"/>
      <c r="AU12" s="606"/>
      <c r="AV12" s="606"/>
      <c r="AW12" s="606"/>
      <c r="AX12" s="606"/>
      <c r="AY12" s="606"/>
      <c r="AZ12" s="606"/>
      <c r="BA12" s="606"/>
      <c r="BB12" s="606"/>
      <c r="BC12" s="606"/>
      <c r="BD12" s="606"/>
      <c r="BE12" s="606"/>
      <c r="BF12" s="606"/>
      <c r="BG12" s="606"/>
      <c r="BH12" s="606"/>
      <c r="BI12" s="606"/>
      <c r="BJ12" s="606"/>
      <c r="BK12" s="606"/>
      <c r="BL12" s="606"/>
      <c r="BM12" s="606"/>
      <c r="BN12" s="606"/>
      <c r="BO12" s="606"/>
      <c r="BP12" s="606"/>
      <c r="BQ12" s="606"/>
      <c r="BR12" s="606"/>
      <c r="BS12" s="606"/>
      <c r="BT12" s="606"/>
      <c r="BU12" s="606"/>
      <c r="BV12" s="606"/>
      <c r="BW12" s="606"/>
      <c r="BX12" s="606"/>
      <c r="BY12" s="606"/>
      <c r="BZ12" s="606"/>
      <c r="CA12" s="606"/>
      <c r="CB12" s="606"/>
      <c r="CC12" s="606"/>
      <c r="CD12" s="606"/>
      <c r="CE12" s="606"/>
      <c r="CF12" s="606"/>
      <c r="CG12" s="606"/>
      <c r="CH12" s="606"/>
      <c r="CI12" s="606"/>
      <c r="CJ12" s="606"/>
      <c r="CK12" s="606"/>
      <c r="CL12" s="606"/>
      <c r="CM12" s="606"/>
      <c r="CN12" s="606"/>
      <c r="CO12" s="606"/>
      <c r="CP12" s="606"/>
      <c r="CQ12" s="606"/>
      <c r="CR12" s="606"/>
      <c r="CS12" s="606"/>
      <c r="CT12" s="606"/>
      <c r="CU12" s="606"/>
      <c r="CV12" s="984">
        <v>41798</v>
      </c>
      <c r="CW12" s="984">
        <v>41813</v>
      </c>
      <c r="CX12" s="984">
        <v>41826</v>
      </c>
      <c r="CY12" s="984">
        <v>41894</v>
      </c>
      <c r="CZ12" s="984">
        <v>41934</v>
      </c>
      <c r="DA12" s="984">
        <v>41939</v>
      </c>
      <c r="DB12" s="984">
        <v>41944</v>
      </c>
      <c r="DC12" s="984">
        <v>41965</v>
      </c>
      <c r="DD12" s="984">
        <v>42031</v>
      </c>
      <c r="DE12" s="984">
        <v>42109</v>
      </c>
      <c r="DF12" s="984">
        <v>42138</v>
      </c>
      <c r="DG12" s="984">
        <v>42129</v>
      </c>
      <c r="DH12" s="984">
        <v>42145</v>
      </c>
      <c r="DI12" s="984">
        <v>42212</v>
      </c>
      <c r="DJ12" s="984">
        <v>42214</v>
      </c>
      <c r="DK12" s="984">
        <v>42322</v>
      </c>
      <c r="DL12" s="984">
        <v>42359</v>
      </c>
      <c r="DM12" s="984">
        <v>42443</v>
      </c>
      <c r="DN12" s="984">
        <v>42524</v>
      </c>
      <c r="DO12" s="984">
        <v>42543</v>
      </c>
      <c r="DP12" s="984">
        <v>42667</v>
      </c>
      <c r="DQ12" s="984">
        <v>42665</v>
      </c>
      <c r="DR12" s="984">
        <v>42697</v>
      </c>
      <c r="DS12" s="984">
        <v>42678</v>
      </c>
      <c r="DT12" s="984">
        <v>42771</v>
      </c>
      <c r="DU12" s="984">
        <v>42773</v>
      </c>
      <c r="DV12" s="984">
        <v>43062</v>
      </c>
      <c r="DW12" s="984">
        <v>43069</v>
      </c>
      <c r="DX12" s="984"/>
      <c r="DY12" s="606"/>
      <c r="DZ12" s="606"/>
      <c r="EA12" s="606"/>
      <c r="EB12" s="606"/>
      <c r="EC12" s="606"/>
      <c r="ED12" s="606"/>
      <c r="EE12" s="606"/>
      <c r="EF12" s="606"/>
      <c r="EG12" s="606"/>
      <c r="EH12" s="606"/>
      <c r="EI12" s="606"/>
      <c r="EJ12" s="606"/>
      <c r="EK12" s="606"/>
      <c r="EL12" s="606"/>
      <c r="EM12" s="606"/>
      <c r="EN12" s="606"/>
      <c r="EO12" s="606"/>
      <c r="EP12" s="606"/>
      <c r="EQ12" s="606"/>
      <c r="ER12" s="606"/>
      <c r="ES12" s="606"/>
      <c r="ET12" s="606"/>
      <c r="EU12" s="606"/>
      <c r="EV12" s="606"/>
      <c r="EW12" s="606"/>
      <c r="EX12" s="606"/>
      <c r="EY12" s="606"/>
      <c r="EZ12" s="606"/>
      <c r="FA12" s="606"/>
      <c r="FB12" s="606"/>
      <c r="FC12" s="606"/>
      <c r="FD12" s="606"/>
      <c r="FE12" s="606"/>
      <c r="FF12" s="984">
        <v>39921</v>
      </c>
      <c r="FG12" s="984">
        <v>41414</v>
      </c>
      <c r="FH12" s="984">
        <v>41673</v>
      </c>
      <c r="FI12" s="984">
        <v>41670</v>
      </c>
      <c r="FJ12" s="984"/>
      <c r="FK12" s="984"/>
      <c r="FL12" s="984">
        <v>41786</v>
      </c>
      <c r="FM12" s="984">
        <v>41786</v>
      </c>
      <c r="FN12" s="984">
        <v>41885</v>
      </c>
      <c r="FO12" s="984">
        <v>41918</v>
      </c>
      <c r="FP12" s="984">
        <v>42013</v>
      </c>
      <c r="FQ12" s="984">
        <v>42031</v>
      </c>
      <c r="FR12" s="984">
        <v>42078</v>
      </c>
      <c r="FS12" s="984">
        <v>42152</v>
      </c>
      <c r="FT12" s="984">
        <v>42193</v>
      </c>
      <c r="FU12" s="984">
        <v>42206</v>
      </c>
      <c r="FV12" s="984">
        <v>42295</v>
      </c>
      <c r="FW12" s="984">
        <v>42381</v>
      </c>
      <c r="FX12" s="984">
        <v>42668</v>
      </c>
      <c r="FY12" s="984">
        <v>42668</v>
      </c>
      <c r="FZ12" s="984">
        <v>42693</v>
      </c>
      <c r="GA12" s="984">
        <v>42871</v>
      </c>
      <c r="GB12" s="984">
        <v>43081</v>
      </c>
      <c r="GC12" s="984">
        <v>43089</v>
      </c>
      <c r="GD12" s="606"/>
      <c r="GE12" s="1054"/>
      <c r="GF12" s="1054"/>
      <c r="GG12" s="1055"/>
      <c r="GH12" s="1056"/>
      <c r="GI12" s="1057"/>
      <c r="GJ12" s="1056"/>
      <c r="GK12" s="4635"/>
      <c r="GL12" s="1058"/>
      <c r="GM12" s="1058"/>
      <c r="GN12" s="1058"/>
      <c r="GO12" s="4636"/>
      <c r="GP12" s="1058"/>
      <c r="GQ12" s="1058"/>
      <c r="GR12" s="1058"/>
      <c r="GS12" s="1057"/>
      <c r="GT12" s="1055"/>
    </row>
    <row r="13" spans="1:259" s="135" customFormat="1" ht="7.5" customHeight="1" thickBot="1">
      <c r="A13" s="881"/>
      <c r="B13" s="882"/>
      <c r="C13" s="882"/>
      <c r="D13" s="882"/>
      <c r="E13" s="882"/>
      <c r="F13" s="882"/>
      <c r="G13" s="882"/>
      <c r="H13" s="882"/>
      <c r="I13" s="882"/>
      <c r="J13" s="882"/>
      <c r="K13" s="882"/>
      <c r="L13" s="882"/>
      <c r="M13" s="882"/>
      <c r="N13" s="882"/>
      <c r="O13" s="882"/>
      <c r="P13" s="882"/>
      <c r="Q13" s="882"/>
      <c r="R13" s="882"/>
      <c r="S13" s="882"/>
      <c r="T13" s="882"/>
      <c r="U13" s="882"/>
      <c r="V13" s="882"/>
      <c r="W13" s="882"/>
      <c r="X13" s="882"/>
      <c r="Y13" s="882"/>
      <c r="Z13" s="882"/>
      <c r="AA13" s="882"/>
      <c r="AB13" s="882"/>
      <c r="AC13" s="882"/>
      <c r="AD13" s="882"/>
      <c r="AE13" s="882"/>
      <c r="AF13" s="882"/>
      <c r="AG13" s="882"/>
      <c r="AH13" s="882"/>
      <c r="AI13" s="882"/>
      <c r="AJ13" s="882"/>
      <c r="AK13" s="882"/>
      <c r="AL13" s="882"/>
      <c r="AM13" s="882"/>
      <c r="AN13" s="882"/>
      <c r="AO13" s="882"/>
      <c r="AP13" s="882"/>
      <c r="AQ13" s="882"/>
      <c r="AR13" s="882"/>
      <c r="AS13" s="882"/>
      <c r="AT13" s="882"/>
      <c r="AU13" s="882"/>
      <c r="AV13" s="882"/>
      <c r="AW13" s="882"/>
      <c r="AX13" s="882"/>
      <c r="AY13" s="882"/>
      <c r="AZ13" s="882"/>
      <c r="BA13" s="882"/>
      <c r="BB13" s="882"/>
      <c r="BC13" s="882"/>
      <c r="BD13" s="882"/>
      <c r="BE13" s="882"/>
      <c r="BF13" s="882"/>
      <c r="BG13" s="882"/>
      <c r="BH13" s="882"/>
      <c r="BI13" s="882"/>
      <c r="BJ13" s="882"/>
      <c r="BK13" s="882"/>
      <c r="BL13" s="882"/>
      <c r="BM13" s="882"/>
      <c r="BN13" s="882"/>
      <c r="BO13" s="882"/>
      <c r="BP13" s="882"/>
      <c r="BQ13" s="882"/>
      <c r="BR13" s="882"/>
      <c r="BS13" s="882"/>
      <c r="BT13" s="882"/>
      <c r="BU13" s="882"/>
      <c r="BV13" s="882"/>
      <c r="BW13" s="882"/>
      <c r="BX13" s="882"/>
      <c r="BY13" s="882"/>
      <c r="BZ13" s="882"/>
      <c r="CA13" s="882"/>
      <c r="CB13" s="882"/>
      <c r="CC13" s="882"/>
      <c r="CD13" s="882"/>
      <c r="CE13" s="882"/>
      <c r="CF13" s="882"/>
      <c r="CG13" s="882"/>
      <c r="CH13" s="882"/>
      <c r="CI13" s="882"/>
      <c r="CJ13" s="882"/>
      <c r="CK13" s="882"/>
      <c r="CL13" s="882"/>
      <c r="CM13" s="882"/>
      <c r="CN13" s="882"/>
      <c r="CO13" s="882"/>
      <c r="CP13" s="882"/>
      <c r="CQ13" s="882"/>
      <c r="CR13" s="884"/>
      <c r="CS13" s="884"/>
      <c r="CT13" s="884"/>
      <c r="CU13" s="884"/>
      <c r="CV13" s="884"/>
      <c r="CW13" s="884"/>
      <c r="CX13" s="884"/>
      <c r="CY13" s="884"/>
      <c r="CZ13" s="884"/>
      <c r="DA13" s="884"/>
      <c r="DB13" s="884"/>
      <c r="DC13" s="884"/>
      <c r="DD13" s="884"/>
      <c r="DE13" s="884"/>
      <c r="DF13" s="884"/>
      <c r="DG13" s="884"/>
      <c r="DH13" s="884"/>
      <c r="DI13" s="884"/>
      <c r="DJ13" s="884"/>
      <c r="DK13" s="884"/>
      <c r="DL13" s="884"/>
      <c r="DM13" s="3368"/>
      <c r="DN13" s="884"/>
      <c r="DO13" s="884"/>
      <c r="DP13" s="884"/>
      <c r="DQ13" s="884"/>
      <c r="DR13" s="3368"/>
      <c r="DS13" s="3368"/>
      <c r="DT13" s="884"/>
      <c r="DU13" s="884"/>
      <c r="DV13" s="884"/>
      <c r="DW13" s="884"/>
      <c r="DX13" s="884"/>
      <c r="DY13" s="882"/>
      <c r="DZ13" s="882"/>
      <c r="EA13" s="882"/>
      <c r="EB13" s="882"/>
      <c r="EC13" s="882"/>
      <c r="ED13" s="882"/>
      <c r="EE13" s="882"/>
      <c r="EF13" s="882"/>
      <c r="EG13" s="882"/>
      <c r="EH13" s="882"/>
      <c r="EI13" s="882"/>
      <c r="EJ13" s="882"/>
      <c r="EK13" s="882"/>
      <c r="EL13" s="882"/>
      <c r="EM13" s="882"/>
      <c r="EN13" s="882"/>
      <c r="EO13" s="882"/>
      <c r="EP13" s="882"/>
      <c r="EQ13" s="882"/>
      <c r="ER13" s="882"/>
      <c r="ES13" s="882"/>
      <c r="ET13" s="882"/>
      <c r="EU13" s="882"/>
      <c r="EV13" s="882"/>
      <c r="EW13" s="882"/>
      <c r="EX13" s="882"/>
      <c r="EY13" s="882"/>
      <c r="EZ13" s="882"/>
      <c r="FA13" s="882"/>
      <c r="FB13" s="882"/>
      <c r="FC13" s="882"/>
      <c r="FD13" s="882"/>
      <c r="FE13" s="882"/>
      <c r="FF13" s="884"/>
      <c r="FG13" s="884"/>
      <c r="FH13" s="884"/>
      <c r="FI13" s="884"/>
      <c r="FJ13" s="884"/>
      <c r="FK13" s="884"/>
      <c r="FL13" s="884"/>
      <c r="FM13" s="884"/>
      <c r="FN13" s="884"/>
      <c r="FO13" s="884"/>
      <c r="FP13" s="884"/>
      <c r="FQ13" s="884"/>
      <c r="FR13" s="884"/>
      <c r="FS13" s="884"/>
      <c r="FT13" s="884"/>
      <c r="FU13" s="884"/>
      <c r="FV13" s="884"/>
      <c r="FW13" s="884"/>
      <c r="FX13" s="884"/>
      <c r="FY13" s="884"/>
      <c r="FZ13" s="884"/>
      <c r="GA13" s="3368"/>
      <c r="GB13" s="884"/>
      <c r="GC13" s="884"/>
      <c r="GD13" s="884"/>
      <c r="GE13" s="882"/>
      <c r="GF13" s="882"/>
      <c r="GG13" s="882"/>
      <c r="GH13" s="1003"/>
      <c r="GI13" s="616"/>
      <c r="GJ13" s="616"/>
      <c r="GK13" s="865"/>
      <c r="GL13" s="616"/>
      <c r="GM13" s="616"/>
      <c r="GN13" s="616"/>
      <c r="GO13" s="865"/>
      <c r="GP13" s="616"/>
      <c r="GQ13" s="616"/>
      <c r="GR13" s="616"/>
      <c r="GS13" s="865"/>
      <c r="GT13" s="865"/>
    </row>
    <row r="14" spans="1:259" ht="23.25" customHeight="1" thickBot="1">
      <c r="A14" s="607">
        <v>4.1666666666666602E-2</v>
      </c>
      <c r="B14" s="760">
        <f>GEntry!W4</f>
        <v>0</v>
      </c>
      <c r="C14" s="756">
        <f>GEntry!X4</f>
        <v>0</v>
      </c>
      <c r="D14" s="756">
        <f>GEntry!Y4</f>
        <v>240</v>
      </c>
      <c r="E14" s="756">
        <f>GEntry!Z4</f>
        <v>0</v>
      </c>
      <c r="F14" s="757">
        <f>GEntry!AB4</f>
        <v>0</v>
      </c>
      <c r="G14" s="757">
        <f>GEntry!BY4</f>
        <v>0</v>
      </c>
      <c r="H14" s="756">
        <f>GEntry!CS4</f>
        <v>0</v>
      </c>
      <c r="I14" s="756">
        <f>GEntry!AO4</f>
        <v>0</v>
      </c>
      <c r="J14" s="756">
        <f>GEntry!AQ4</f>
        <v>244</v>
      </c>
      <c r="K14" s="756"/>
      <c r="L14" s="756">
        <f>GEntry!AN4</f>
        <v>0</v>
      </c>
      <c r="M14" s="756">
        <f>GEntry!AP4</f>
        <v>180</v>
      </c>
      <c r="N14" s="756">
        <f>GEntry!CP4</f>
        <v>0</v>
      </c>
      <c r="O14" s="756">
        <f>GEntry!CQ4</f>
        <v>0</v>
      </c>
      <c r="P14" s="756">
        <f>GEntry!CL4</f>
        <v>0</v>
      </c>
      <c r="Q14" s="756">
        <f>GEntry!DC4</f>
        <v>0</v>
      </c>
      <c r="R14" s="756">
        <f>GEntry!T4</f>
        <v>0</v>
      </c>
      <c r="S14" s="756">
        <f>GEntry!R4</f>
        <v>0</v>
      </c>
      <c r="T14" s="756">
        <f>GEntry!S4</f>
        <v>0</v>
      </c>
      <c r="U14" s="756">
        <f>GEntry!CC4</f>
        <v>0</v>
      </c>
      <c r="V14" s="757">
        <f>GEntry!CX4</f>
        <v>0</v>
      </c>
      <c r="W14" s="756">
        <f>GEntry!CE4</f>
        <v>0</v>
      </c>
      <c r="X14" s="756">
        <f>GEntry!CO4</f>
        <v>0</v>
      </c>
      <c r="Y14" s="756">
        <f>GEntry!DB4</f>
        <v>0</v>
      </c>
      <c r="Z14" s="756">
        <f>GEntry!CM4</f>
        <v>0</v>
      </c>
      <c r="AA14" s="756">
        <f>GEntry!DA4</f>
        <v>0</v>
      </c>
      <c r="AB14" s="756">
        <f>GEntry!DG4</f>
        <v>35</v>
      </c>
      <c r="AC14" s="756">
        <f>GEntry!DD4</f>
        <v>35</v>
      </c>
      <c r="AD14" s="756">
        <f>GEntry!BJ4</f>
        <v>35</v>
      </c>
      <c r="AE14" s="756">
        <f>GEntry!BM4</f>
        <v>16</v>
      </c>
      <c r="AF14" s="756">
        <f>GEntry!BU4</f>
        <v>25</v>
      </c>
      <c r="AG14" s="756">
        <f>GEntry!BV4</f>
        <v>9</v>
      </c>
      <c r="AH14" s="756">
        <f>GEntry!BW4</f>
        <v>14</v>
      </c>
      <c r="AI14" s="756">
        <f>GEntry!BX4</f>
        <v>33</v>
      </c>
      <c r="AJ14" s="756">
        <f>GEntry!CD4</f>
        <v>0</v>
      </c>
      <c r="AK14" s="756">
        <f>GEntry!AM4</f>
        <v>0</v>
      </c>
      <c r="AL14" s="1156">
        <f>GEntry!B4</f>
        <v>40</v>
      </c>
      <c r="AM14" s="1156">
        <f>GEntry!C4</f>
        <v>40</v>
      </c>
      <c r="AN14" s="756">
        <f>GEntry!D4</f>
        <v>0</v>
      </c>
      <c r="AO14" s="756">
        <f>GEntry!E4</f>
        <v>0</v>
      </c>
      <c r="AP14" s="756">
        <f>GEntry!F4</f>
        <v>0</v>
      </c>
      <c r="AQ14" s="756">
        <f>GEntry!H4</f>
        <v>0</v>
      </c>
      <c r="AR14" s="756">
        <f>GEntry!I4</f>
        <v>0</v>
      </c>
      <c r="AS14" s="756">
        <f>GEntry!K4</f>
        <v>0</v>
      </c>
      <c r="AT14" s="756">
        <f>GEntry!L4</f>
        <v>0</v>
      </c>
      <c r="AU14" s="756"/>
      <c r="AV14" s="756">
        <f>GEntry!BK4</f>
        <v>22</v>
      </c>
      <c r="AW14" s="756">
        <f>GEntry!N4</f>
        <v>0</v>
      </c>
      <c r="AX14" s="756">
        <f>GEntry!M4</f>
        <v>0</v>
      </c>
      <c r="AY14" s="756">
        <f>GEntry!CU4</f>
        <v>0</v>
      </c>
      <c r="AZ14" s="756">
        <f>GEntry!CZ4</f>
        <v>8</v>
      </c>
      <c r="BA14" s="756">
        <f>GEntry!CY4</f>
        <v>0</v>
      </c>
      <c r="BB14" s="756">
        <f>GEntry!BL4</f>
        <v>21</v>
      </c>
      <c r="BC14" s="756">
        <f>GEntry!BP4</f>
        <v>32</v>
      </c>
      <c r="BD14" s="756">
        <f>GEntry!AD4</f>
        <v>0</v>
      </c>
      <c r="BE14" s="756">
        <f>GEntry!AE4</f>
        <v>0</v>
      </c>
      <c r="BF14" s="756">
        <f>GEntry!AF4</f>
        <v>80</v>
      </c>
      <c r="BG14" s="756">
        <f>GEntry!AJ4</f>
        <v>150</v>
      </c>
      <c r="BH14" s="756">
        <f>GEntry!AI4</f>
        <v>310</v>
      </c>
      <c r="BI14" s="756">
        <f>GEntry!AH4</f>
        <v>143</v>
      </c>
      <c r="BJ14" s="756">
        <f>GEntry!V4</f>
        <v>8</v>
      </c>
      <c r="BK14" s="756">
        <f>GEntry!AL4</f>
        <v>135</v>
      </c>
      <c r="BL14" s="756">
        <f>GEntry!AG4</f>
        <v>3</v>
      </c>
      <c r="BM14" s="756">
        <f>GEntry!AK4</f>
        <v>5</v>
      </c>
      <c r="BN14" s="756">
        <f>GEntry!CT4</f>
        <v>0</v>
      </c>
      <c r="BO14" s="757">
        <f>GEntry!CW4</f>
        <v>51</v>
      </c>
      <c r="BP14" s="757">
        <f>GEntry!CN4</f>
        <v>0</v>
      </c>
      <c r="BQ14" s="757">
        <f>GEntry!Q4</f>
        <v>0</v>
      </c>
      <c r="BR14" s="756">
        <f>GEntry!CG4</f>
        <v>8</v>
      </c>
      <c r="BS14" s="757">
        <f>GEntry!BQ4</f>
        <v>21</v>
      </c>
      <c r="BT14" s="757">
        <f>GEntry!BR4</f>
        <v>11</v>
      </c>
      <c r="BU14" s="757">
        <f>GEntry!BS4</f>
        <v>33</v>
      </c>
      <c r="BV14" s="757">
        <f>GEntry!BT4</f>
        <v>9</v>
      </c>
      <c r="BW14" s="748">
        <f>GEntry!BO4</f>
        <v>65</v>
      </c>
      <c r="BX14" s="757">
        <f>GEntry!AR4</f>
        <v>52</v>
      </c>
      <c r="BY14" s="757">
        <f>GEntry!CF4</f>
        <v>0</v>
      </c>
      <c r="BZ14" s="757">
        <f>GEntry!BN4</f>
        <v>22</v>
      </c>
      <c r="CA14" s="1158">
        <f>GEntry!DF4</f>
        <v>0</v>
      </c>
      <c r="CB14" s="757">
        <f>GEntry!AT4</f>
        <v>42</v>
      </c>
      <c r="CC14" s="757">
        <f>GEntry!AU4</f>
        <v>0</v>
      </c>
      <c r="CD14" s="757">
        <f>GEntry!BF4</f>
        <v>50</v>
      </c>
      <c r="CE14" s="757">
        <f>GEntry!CV4</f>
        <v>0</v>
      </c>
      <c r="CF14" s="757">
        <f>GEntry!DE4</f>
        <v>130</v>
      </c>
      <c r="CG14" s="757">
        <f>GEntry!AV4</f>
        <v>0</v>
      </c>
      <c r="CH14" s="757">
        <f>GEntry!AW4</f>
        <v>71</v>
      </c>
      <c r="CI14" s="757">
        <f>GEntry!AX4</f>
        <v>79</v>
      </c>
      <c r="CJ14" s="757">
        <f>GEntry!AZ4</f>
        <v>0</v>
      </c>
      <c r="CK14" s="757">
        <f>GEntry!BA4</f>
        <v>190</v>
      </c>
      <c r="CL14" s="757">
        <f>GEntry!BB4</f>
        <v>18</v>
      </c>
      <c r="CM14" s="757">
        <f>GEntry!BC4</f>
        <v>0</v>
      </c>
      <c r="CN14" s="757">
        <f>GEntry!BD4</f>
        <v>10</v>
      </c>
      <c r="CO14" s="757">
        <f>GEntry!BH4</f>
        <v>295</v>
      </c>
      <c r="CP14" s="757">
        <f>GEntry!BG4</f>
        <v>22</v>
      </c>
      <c r="CQ14" s="985">
        <f>GEntry!BE4</f>
        <v>8</v>
      </c>
      <c r="CR14" s="985">
        <f>GEntry!P4</f>
        <v>0</v>
      </c>
      <c r="CS14" s="985">
        <f>GEntry!U4</f>
        <v>60</v>
      </c>
      <c r="CT14" s="757">
        <f>GEntry!DH4</f>
        <v>0</v>
      </c>
      <c r="CU14" s="985">
        <f>GEntry!DI4</f>
        <v>0</v>
      </c>
      <c r="CV14" s="985">
        <f>GEntry!DJ4</f>
        <v>130</v>
      </c>
      <c r="CW14" s="757">
        <f>GEntry!DK4</f>
        <v>0</v>
      </c>
      <c r="CX14" s="985">
        <f>GEntry!DL4</f>
        <v>0</v>
      </c>
      <c r="CY14" s="985">
        <f>GEntry!G4</f>
        <v>0</v>
      </c>
      <c r="CZ14" s="985">
        <f>GEntry!DM4</f>
        <v>90</v>
      </c>
      <c r="DA14" s="757">
        <f>GEntry!DN4</f>
        <v>0</v>
      </c>
      <c r="DB14" s="985">
        <f>GEntry!DO4</f>
        <v>150</v>
      </c>
      <c r="DC14" s="757">
        <f>GEntry!DP4</f>
        <v>0</v>
      </c>
      <c r="DD14" s="985">
        <f>GEntry!DQ4</f>
        <v>0</v>
      </c>
      <c r="DE14" s="757">
        <f>GEntry!CH4</f>
        <v>17</v>
      </c>
      <c r="DF14" s="985">
        <f>GEntry!O4</f>
        <v>0</v>
      </c>
      <c r="DG14" s="757">
        <f>GEntry!CI4</f>
        <v>0</v>
      </c>
      <c r="DH14" s="985">
        <f>GEntry!DR4</f>
        <v>0</v>
      </c>
      <c r="DI14" s="757">
        <f>GEntry!CJ4</f>
        <v>54</v>
      </c>
      <c r="DJ14" s="757">
        <f>GEntry!CK4</f>
        <v>68</v>
      </c>
      <c r="DK14" s="985">
        <f>GEntry!BZ4</f>
        <v>0</v>
      </c>
      <c r="DL14" s="985">
        <f>GEntry!CA4</f>
        <v>75</v>
      </c>
      <c r="DM14" s="757">
        <f>GEntry!DS4</f>
        <v>50</v>
      </c>
      <c r="DN14" s="985">
        <f>GEntry!BI4</f>
        <v>400</v>
      </c>
      <c r="DO14" s="757">
        <f>GEntry!CR4</f>
        <v>0</v>
      </c>
      <c r="DP14" s="985">
        <f>GEntry!AS4</f>
        <v>0</v>
      </c>
      <c r="DQ14" s="985">
        <f>GEntry!CB4</f>
        <v>0</v>
      </c>
      <c r="DR14" s="985">
        <f>GEntry!DT4</f>
        <v>116</v>
      </c>
      <c r="DS14" s="757">
        <f>GEntry!AY4</f>
        <v>0</v>
      </c>
      <c r="DT14" s="985">
        <f>GEntry!DU4</f>
        <v>17</v>
      </c>
      <c r="DU14" s="757">
        <f>GEntry!DV4</f>
        <v>0</v>
      </c>
      <c r="DV14" s="757">
        <f>GEntry!DW4</f>
        <v>0</v>
      </c>
      <c r="DW14" s="757">
        <f>GEntry!DX4</f>
        <v>0</v>
      </c>
      <c r="DX14" s="989"/>
      <c r="DY14" s="766">
        <f>GEntry!EX4</f>
        <v>469</v>
      </c>
      <c r="DZ14" s="762">
        <f>GEntry!EV4</f>
        <v>0</v>
      </c>
      <c r="EA14" s="762">
        <f>GEntry!EY4</f>
        <v>0</v>
      </c>
      <c r="EB14" s="762">
        <f>GEntry!EB4</f>
        <v>0</v>
      </c>
      <c r="EC14" s="762">
        <f>GEntry!EC4</f>
        <v>0</v>
      </c>
      <c r="ED14" s="762">
        <f>GEntry!EG4</f>
        <v>0</v>
      </c>
      <c r="EE14" s="762">
        <f>GEntry!EA4</f>
        <v>0</v>
      </c>
      <c r="EF14" s="762">
        <f>GEntry!EE4</f>
        <v>0</v>
      </c>
      <c r="EG14" s="762">
        <f>GEntry!EF4</f>
        <v>2</v>
      </c>
      <c r="EH14" s="762">
        <f>GEntry!EU4</f>
        <v>0</v>
      </c>
      <c r="EI14" s="762">
        <f>GEntry!ET4</f>
        <v>0</v>
      </c>
      <c r="EJ14" s="762">
        <f>GEntry!EQ4</f>
        <v>91</v>
      </c>
      <c r="EK14" s="762">
        <f>GEntry!ER4</f>
        <v>19</v>
      </c>
      <c r="EL14" s="762">
        <f>GEntry!EN4</f>
        <v>0</v>
      </c>
      <c r="EM14" s="762">
        <f>GEntry!EO4</f>
        <v>0</v>
      </c>
      <c r="EN14" s="762">
        <f>GEntry!FF4</f>
        <v>0</v>
      </c>
      <c r="EO14" s="762">
        <f>GEntry!FE4</f>
        <v>0</v>
      </c>
      <c r="EP14" s="762">
        <f>GEntry!FG4</f>
        <v>0</v>
      </c>
      <c r="EQ14" s="762">
        <f>GEntry!FQ4</f>
        <v>0</v>
      </c>
      <c r="ER14" s="762">
        <f>GEntry!FZ4</f>
        <v>0</v>
      </c>
      <c r="ES14" s="762">
        <f>GEntry!FU4</f>
        <v>0</v>
      </c>
      <c r="ET14" s="762">
        <f>GEntry!FV4</f>
        <v>0</v>
      </c>
      <c r="EU14" s="762">
        <f>GEntry!FW4</f>
        <v>0</v>
      </c>
      <c r="EV14" s="762">
        <f>GEntry!FY4</f>
        <v>8</v>
      </c>
      <c r="EW14" s="762">
        <f>GEntry!FX4</f>
        <v>0</v>
      </c>
      <c r="EX14" s="762">
        <f>GEntry!FR4</f>
        <v>22</v>
      </c>
      <c r="EY14" s="764">
        <f>GEntry!FS4</f>
        <v>0</v>
      </c>
      <c r="EZ14" s="764">
        <f>GEntry!FT4</f>
        <v>8</v>
      </c>
      <c r="FA14" s="1154">
        <f>GEntry!FB4</f>
        <v>0</v>
      </c>
      <c r="FB14" s="1154">
        <f>GEntry!FC4</f>
        <v>0</v>
      </c>
      <c r="FC14" s="1154">
        <f>GEntry!FD4</f>
        <v>199</v>
      </c>
      <c r="FD14" s="762">
        <f>GEntry!GD4</f>
        <v>0</v>
      </c>
      <c r="FE14" s="763">
        <f>GEntry!GE4</f>
        <v>0</v>
      </c>
      <c r="FF14" s="763">
        <f>GEntry!FI4</f>
        <v>0</v>
      </c>
      <c r="FG14" s="763">
        <f>GEntry!FJ4</f>
        <v>0</v>
      </c>
      <c r="FH14" s="763">
        <f>GEntry!FK4</f>
        <v>0</v>
      </c>
      <c r="FI14" s="763">
        <f>GEntry!FL4</f>
        <v>0</v>
      </c>
      <c r="FJ14" s="763">
        <f>GEntry!EP4</f>
        <v>11</v>
      </c>
      <c r="FK14" s="763">
        <f>GEntry!ES4</f>
        <v>0</v>
      </c>
      <c r="FL14" s="763">
        <f>GEntry!FM4</f>
        <v>165</v>
      </c>
      <c r="FM14" s="763">
        <f>GEntry!FN4</f>
        <v>0</v>
      </c>
      <c r="FN14" s="762">
        <f>GEntry!FO4</f>
        <v>385</v>
      </c>
      <c r="FO14" s="763">
        <f>GEntry!EH4</f>
        <v>0</v>
      </c>
      <c r="FP14" s="762">
        <f>GEntry!GA4</f>
        <v>0</v>
      </c>
      <c r="FQ14" s="762">
        <f>GEntry!GB4</f>
        <v>0</v>
      </c>
      <c r="FR14" s="763">
        <f>GEntry!EW4</f>
        <v>0</v>
      </c>
      <c r="FS14" s="763">
        <f>GEntry!GF4</f>
        <v>56</v>
      </c>
      <c r="FT14" s="762">
        <f>GEntry!FP4</f>
        <v>0</v>
      </c>
      <c r="FU14" s="763">
        <f>GEntry!GG4</f>
        <v>0</v>
      </c>
      <c r="FV14" s="763">
        <f>GEntry!GC4</f>
        <v>0</v>
      </c>
      <c r="FW14" s="762">
        <f>GEntry!EZ4</f>
        <v>300</v>
      </c>
      <c r="FX14" s="762">
        <f>GEntry!EL4</f>
        <v>201</v>
      </c>
      <c r="FY14" s="763">
        <f>GEntry!EM4</f>
        <v>0</v>
      </c>
      <c r="FZ14" s="762">
        <f>GEntry!EK4</f>
        <v>0</v>
      </c>
      <c r="GA14" s="763">
        <f>GEntry!FH4</f>
        <v>0</v>
      </c>
      <c r="GB14" s="763">
        <f>GEntry!EI4</f>
        <v>0</v>
      </c>
      <c r="GC14" s="762">
        <f>GEntry!GH4</f>
        <v>0</v>
      </c>
      <c r="GD14" s="992"/>
      <c r="GE14" s="910">
        <f>SUM(B14:DX14)</f>
        <v>4277</v>
      </c>
      <c r="GF14" s="909">
        <f>SUM(DY14:GD14)</f>
        <v>1936</v>
      </c>
      <c r="GG14" s="906">
        <f>GE14+GF14</f>
        <v>6213</v>
      </c>
      <c r="GH14" s="650">
        <f>B14+C14+D14+E14+F14+I14+L14+R14+S14+T14+AE14+AF14+AG14+AH14+AI14+AK14+AN14+AO14+AQ14+AS14+AU14++BB14+BD14+BE14+BF14+BG14+BH14+BI14+BK14+BL14+BS14+BT14+BU14+BV14+BX14+BZ14+CB14++CC14+CG14+CH14+CK14+CL14+CP14+CQ14+EA14+EJ14  +EN14+EO14+EZ14+FF14+FH14+FL14+DC14+DN14+DS14</f>
        <v>2342</v>
      </c>
      <c r="GI14" s="650">
        <f t="shared" ref="GI14:GI41" si="0">DY14</f>
        <v>469</v>
      </c>
      <c r="GJ14" s="650">
        <f>G14+H14 +J14+M14+N14+BC14+BJ14+BM14 +BN14+BO14+BP14+CD14+CE14+CF14+CI14+CJ14+CM14+CN14+CO14+EK14+EX14+EY14+FJ14+FN14+FX14</f>
        <v>1722</v>
      </c>
      <c r="GK14" s="650">
        <f>Z14+CR14+CT14+CU14+CW14+EF14+FK14+FP14+FY14</f>
        <v>0</v>
      </c>
      <c r="GL14" s="650">
        <f t="shared" ref="GL14:GL41" si="1">K14+O14+P14+Q14 +U14+V14+X14+Y14+AA14+AB14+AC14+AD14+AJ14+AP14+AV14+AY14+AZ14+BA14+BR14+BY14+EB14+EC14+EI14+EL14+ES14+ET14+EV14+CS14+CV14+CX14+FO14+CZ14+DA14+DB14+DD14+FQ14+FR14+DE14+DF14+DH14+FS14+DI14+DJ14+FV14+DK14+DL14+DM14+DO14+DQ14+FZ14+DR14+DT14+DV14+DW14+GC14</f>
        <v>1034</v>
      </c>
      <c r="GM14" s="650">
        <f t="shared" ref="GM14:GM41" si="2">FA14+FB14+FC14+FW14</f>
        <v>499</v>
      </c>
      <c r="GN14" s="650">
        <f t="shared" ref="GN14:GN41" si="3">AL14+AM14</f>
        <v>80</v>
      </c>
      <c r="GO14" s="650">
        <f>AR14+AT14+DZ14+ED14+EM14+FD14+FE14+FG14+FI14+FM14+FT14</f>
        <v>0</v>
      </c>
      <c r="GP14" s="650">
        <f>W14+AW14+AX14+BQ14+EG14+EH14+EP14+EQ14+ER14+EU14+EW14+FI14</f>
        <v>2</v>
      </c>
      <c r="GQ14" s="650">
        <f t="shared" ref="GQ14:GQ41" si="4">BW14</f>
        <v>65</v>
      </c>
      <c r="GR14" s="905">
        <f t="shared" ref="GR14:GR41" si="5">CA14+CY14+DG14+FU14+DP14+DU14+GA14+GB14</f>
        <v>0</v>
      </c>
      <c r="GS14" s="904">
        <f>FWise!M6</f>
        <v>0</v>
      </c>
      <c r="GT14" s="3543">
        <f>GEntry!GL4</f>
        <v>97.3</v>
      </c>
      <c r="GU14" s="13"/>
      <c r="GV14" s="13"/>
      <c r="GW14" s="13"/>
      <c r="HF14" s="139"/>
      <c r="HG14" s="139"/>
      <c r="IX14" s="139"/>
      <c r="IY14" s="139"/>
    </row>
    <row r="15" spans="1:259" ht="23.25" customHeight="1" thickBot="1">
      <c r="A15" s="608">
        <v>8.3333333333333301E-2</v>
      </c>
      <c r="B15" s="761">
        <f>GEntry!W5</f>
        <v>0</v>
      </c>
      <c r="C15" s="758">
        <f>GEntry!X5</f>
        <v>0</v>
      </c>
      <c r="D15" s="758">
        <f>GEntry!Y5</f>
        <v>240</v>
      </c>
      <c r="E15" s="758">
        <f>GEntry!Z5</f>
        <v>0</v>
      </c>
      <c r="F15" s="759">
        <f>GEntry!AB5</f>
        <v>0</v>
      </c>
      <c r="G15" s="759">
        <f>GEntry!BY5</f>
        <v>0</v>
      </c>
      <c r="H15" s="758">
        <f>GEntry!CS5</f>
        <v>0</v>
      </c>
      <c r="I15" s="758">
        <f>GEntry!AO5</f>
        <v>0</v>
      </c>
      <c r="J15" s="758">
        <f>GEntry!AQ5</f>
        <v>254</v>
      </c>
      <c r="K15" s="758"/>
      <c r="L15" s="758">
        <f>GEntry!AN5</f>
        <v>0</v>
      </c>
      <c r="M15" s="758">
        <f>GEntry!AP5</f>
        <v>180</v>
      </c>
      <c r="N15" s="758">
        <f>GEntry!CP5</f>
        <v>0</v>
      </c>
      <c r="O15" s="758">
        <f>GEntry!CQ5</f>
        <v>0</v>
      </c>
      <c r="P15" s="758">
        <f>GEntry!CL5</f>
        <v>0</v>
      </c>
      <c r="Q15" s="758">
        <f>GEntry!DC5</f>
        <v>0</v>
      </c>
      <c r="R15" s="758">
        <f>GEntry!T5</f>
        <v>0</v>
      </c>
      <c r="S15" s="758">
        <f>GEntry!R5</f>
        <v>0</v>
      </c>
      <c r="T15" s="758">
        <f>GEntry!S5</f>
        <v>0</v>
      </c>
      <c r="U15" s="758">
        <f>GEntry!CC5</f>
        <v>0</v>
      </c>
      <c r="V15" s="759">
        <f>GEntry!CX5</f>
        <v>0</v>
      </c>
      <c r="W15" s="758">
        <f>GEntry!CE5</f>
        <v>0</v>
      </c>
      <c r="X15" s="758">
        <f>GEntry!CO5</f>
        <v>0</v>
      </c>
      <c r="Y15" s="758">
        <f>GEntry!DB5</f>
        <v>0</v>
      </c>
      <c r="Z15" s="758">
        <f>GEntry!CM5</f>
        <v>0</v>
      </c>
      <c r="AA15" s="758">
        <f>GEntry!DA5</f>
        <v>0</v>
      </c>
      <c r="AB15" s="758">
        <f>GEntry!DG5</f>
        <v>35</v>
      </c>
      <c r="AC15" s="758">
        <f>GEntry!DD5</f>
        <v>17</v>
      </c>
      <c r="AD15" s="758">
        <f>GEntry!BJ5</f>
        <v>35</v>
      </c>
      <c r="AE15" s="758">
        <f>GEntry!BM5</f>
        <v>16</v>
      </c>
      <c r="AF15" s="758">
        <f>GEntry!BU5</f>
        <v>25</v>
      </c>
      <c r="AG15" s="758">
        <f>GEntry!BV5</f>
        <v>9</v>
      </c>
      <c r="AH15" s="758">
        <f>GEntry!BW5</f>
        <v>14</v>
      </c>
      <c r="AI15" s="758">
        <f>GEntry!BX5</f>
        <v>33</v>
      </c>
      <c r="AJ15" s="758">
        <f>GEntry!CD5</f>
        <v>0</v>
      </c>
      <c r="AK15" s="758">
        <f>GEntry!AM5</f>
        <v>0</v>
      </c>
      <c r="AL15" s="1157">
        <f>GEntry!B5</f>
        <v>37</v>
      </c>
      <c r="AM15" s="1157">
        <f>GEntry!C5</f>
        <v>40</v>
      </c>
      <c r="AN15" s="758">
        <f>GEntry!D5</f>
        <v>0</v>
      </c>
      <c r="AO15" s="758">
        <f>GEntry!E5</f>
        <v>0</v>
      </c>
      <c r="AP15" s="758">
        <f>GEntry!F5</f>
        <v>0</v>
      </c>
      <c r="AQ15" s="758">
        <f>GEntry!H5</f>
        <v>0</v>
      </c>
      <c r="AR15" s="758">
        <f>GEntry!I5</f>
        <v>0</v>
      </c>
      <c r="AS15" s="758">
        <f>GEntry!K5</f>
        <v>0</v>
      </c>
      <c r="AT15" s="758">
        <f>GEntry!L5</f>
        <v>0</v>
      </c>
      <c r="AU15" s="758"/>
      <c r="AV15" s="758">
        <f>GEntry!BK5</f>
        <v>22</v>
      </c>
      <c r="AW15" s="758">
        <f>GEntry!N5</f>
        <v>0</v>
      </c>
      <c r="AX15" s="758">
        <f>GEntry!M5</f>
        <v>0</v>
      </c>
      <c r="AY15" s="758">
        <f>GEntry!CU5</f>
        <v>0</v>
      </c>
      <c r="AZ15" s="758">
        <f>GEntry!CZ5</f>
        <v>6</v>
      </c>
      <c r="BA15" s="758">
        <f>GEntry!CY5</f>
        <v>0</v>
      </c>
      <c r="BB15" s="758">
        <f>GEntry!BL5</f>
        <v>21</v>
      </c>
      <c r="BC15" s="758">
        <f>GEntry!BP5</f>
        <v>32</v>
      </c>
      <c r="BD15" s="758">
        <f>GEntry!AD5</f>
        <v>0</v>
      </c>
      <c r="BE15" s="758">
        <f>GEntry!AE5</f>
        <v>0</v>
      </c>
      <c r="BF15" s="758">
        <f>GEntry!AF5</f>
        <v>80</v>
      </c>
      <c r="BG15" s="758">
        <f>GEntry!AJ5</f>
        <v>150</v>
      </c>
      <c r="BH15" s="758">
        <f>GEntry!AI5</f>
        <v>310</v>
      </c>
      <c r="BI15" s="758">
        <f>GEntry!AH5</f>
        <v>148</v>
      </c>
      <c r="BJ15" s="758">
        <f>GEntry!V5</f>
        <v>8</v>
      </c>
      <c r="BK15" s="758">
        <f>GEntry!AL5</f>
        <v>136</v>
      </c>
      <c r="BL15" s="758">
        <f>GEntry!AG5</f>
        <v>3</v>
      </c>
      <c r="BM15" s="758">
        <f>GEntry!AK5</f>
        <v>5</v>
      </c>
      <c r="BN15" s="758">
        <f>GEntry!CT5</f>
        <v>0</v>
      </c>
      <c r="BO15" s="759">
        <f>GEntry!CW5</f>
        <v>51</v>
      </c>
      <c r="BP15" s="759">
        <f>GEntry!CN5</f>
        <v>0</v>
      </c>
      <c r="BQ15" s="759">
        <f>GEntry!Q5</f>
        <v>0</v>
      </c>
      <c r="BR15" s="758">
        <f>GEntry!CG5</f>
        <v>8</v>
      </c>
      <c r="BS15" s="759">
        <f>GEntry!BQ5</f>
        <v>21</v>
      </c>
      <c r="BT15" s="759">
        <f>GEntry!BR5</f>
        <v>11</v>
      </c>
      <c r="BU15" s="759">
        <f>GEntry!BS5</f>
        <v>33</v>
      </c>
      <c r="BV15" s="759">
        <f>GEntry!BT5</f>
        <v>9</v>
      </c>
      <c r="BW15" s="749">
        <f>GEntry!BO5</f>
        <v>64</v>
      </c>
      <c r="BX15" s="759">
        <f>GEntry!AR5</f>
        <v>52</v>
      </c>
      <c r="BY15" s="759">
        <f>GEntry!CF5</f>
        <v>0</v>
      </c>
      <c r="BZ15" s="759">
        <f>GEntry!BN5</f>
        <v>22</v>
      </c>
      <c r="CA15" s="1159">
        <f>GEntry!DF5</f>
        <v>0</v>
      </c>
      <c r="CB15" s="759">
        <f>GEntry!AT5</f>
        <v>42</v>
      </c>
      <c r="CC15" s="759">
        <f>GEntry!AU5</f>
        <v>0</v>
      </c>
      <c r="CD15" s="759">
        <f>GEntry!BF5</f>
        <v>50</v>
      </c>
      <c r="CE15" s="759">
        <f>GEntry!CV5</f>
        <v>0</v>
      </c>
      <c r="CF15" s="759">
        <f>GEntry!DE5</f>
        <v>130</v>
      </c>
      <c r="CG15" s="759">
        <f>GEntry!AV5</f>
        <v>0</v>
      </c>
      <c r="CH15" s="759">
        <f>GEntry!AW5</f>
        <v>71</v>
      </c>
      <c r="CI15" s="759">
        <f>GEntry!AX5</f>
        <v>79</v>
      </c>
      <c r="CJ15" s="759">
        <f>GEntry!AZ5</f>
        <v>0</v>
      </c>
      <c r="CK15" s="759">
        <f>GEntry!BA5</f>
        <v>190</v>
      </c>
      <c r="CL15" s="759">
        <f>GEntry!BB5</f>
        <v>18</v>
      </c>
      <c r="CM15" s="759">
        <f>GEntry!BC5</f>
        <v>0</v>
      </c>
      <c r="CN15" s="759">
        <f>GEntry!BD5</f>
        <v>10</v>
      </c>
      <c r="CO15" s="759">
        <f>GEntry!BH5</f>
        <v>280</v>
      </c>
      <c r="CP15" s="759">
        <f>GEntry!BG5</f>
        <v>22</v>
      </c>
      <c r="CQ15" s="986">
        <f>GEntry!BE5</f>
        <v>8</v>
      </c>
      <c r="CR15" s="986">
        <f>GEntry!P5</f>
        <v>0</v>
      </c>
      <c r="CS15" s="986">
        <f>GEntry!U5</f>
        <v>60</v>
      </c>
      <c r="CT15" s="759">
        <f>GEntry!DH5</f>
        <v>0</v>
      </c>
      <c r="CU15" s="986">
        <f>GEntry!DI5</f>
        <v>0</v>
      </c>
      <c r="CV15" s="986">
        <f>GEntry!DJ5</f>
        <v>45</v>
      </c>
      <c r="CW15" s="759">
        <f>GEntry!DK5</f>
        <v>0</v>
      </c>
      <c r="CX15" s="986">
        <f>GEntry!DL5</f>
        <v>0</v>
      </c>
      <c r="CY15" s="986">
        <f>GEntry!G5</f>
        <v>0</v>
      </c>
      <c r="CZ15" s="986">
        <f>GEntry!DM5</f>
        <v>70</v>
      </c>
      <c r="DA15" s="759">
        <f>GEntry!DN5</f>
        <v>0</v>
      </c>
      <c r="DB15" s="1667">
        <f>GEntry!DO5</f>
        <v>80</v>
      </c>
      <c r="DC15" s="1652">
        <f>GEntry!DP5</f>
        <v>0</v>
      </c>
      <c r="DD15" s="1760">
        <f>GEntry!DQ5</f>
        <v>0</v>
      </c>
      <c r="DE15" s="1759">
        <f>GEntry!CH5</f>
        <v>17</v>
      </c>
      <c r="DF15" s="1864">
        <f>GEntry!O5</f>
        <v>0</v>
      </c>
      <c r="DG15" s="1857">
        <f>GEntry!CI5</f>
        <v>0</v>
      </c>
      <c r="DH15" s="2064">
        <f>GEntry!DR5</f>
        <v>0</v>
      </c>
      <c r="DI15" s="2065">
        <f>GEntry!CJ5</f>
        <v>54</v>
      </c>
      <c r="DJ15" s="2077">
        <f>GEntry!CK5</f>
        <v>17</v>
      </c>
      <c r="DK15" s="3078">
        <f>GEntry!BZ5</f>
        <v>0</v>
      </c>
      <c r="DL15" s="3370">
        <f>GEntry!CA5</f>
        <v>36</v>
      </c>
      <c r="DM15" s="3079">
        <f>GEntry!DS5</f>
        <v>20</v>
      </c>
      <c r="DN15" s="3517">
        <f>GEntry!BI5</f>
        <v>400</v>
      </c>
      <c r="DO15" s="3518">
        <f>GEntry!CR5</f>
        <v>0</v>
      </c>
      <c r="DP15" s="3720">
        <f>GEntry!AS5</f>
        <v>0</v>
      </c>
      <c r="DQ15" s="3777">
        <f>GEntry!CB5</f>
        <v>0</v>
      </c>
      <c r="DR15" s="3848">
        <f>GEntry!DT5</f>
        <v>116</v>
      </c>
      <c r="DS15" s="3850">
        <f>GEntry!AY5</f>
        <v>0</v>
      </c>
      <c r="DT15" s="4039">
        <f>GEntry!DU5</f>
        <v>17</v>
      </c>
      <c r="DU15" s="4041">
        <f>GEntry!DV5</f>
        <v>0</v>
      </c>
      <c r="DV15" s="4793">
        <f>GEntry!DW5</f>
        <v>0</v>
      </c>
      <c r="DW15" s="4793">
        <f>GEntry!DX5</f>
        <v>0</v>
      </c>
      <c r="DX15" s="990"/>
      <c r="DY15" s="767">
        <f>GEntry!EX5</f>
        <v>422</v>
      </c>
      <c r="DZ15" s="764">
        <f>GEntry!EV5</f>
        <v>0</v>
      </c>
      <c r="EA15" s="764">
        <f>GEntry!EY5</f>
        <v>0</v>
      </c>
      <c r="EB15" s="764">
        <f>GEntry!EB5</f>
        <v>0</v>
      </c>
      <c r="EC15" s="764">
        <f>GEntry!EC5</f>
        <v>0</v>
      </c>
      <c r="ED15" s="764">
        <f>GEntry!EG5</f>
        <v>0</v>
      </c>
      <c r="EE15" s="764">
        <f>GEntry!EA5</f>
        <v>0</v>
      </c>
      <c r="EF15" s="764">
        <f>GEntry!EE5</f>
        <v>0</v>
      </c>
      <c r="EG15" s="764">
        <f>GEntry!EF5</f>
        <v>0</v>
      </c>
      <c r="EH15" s="764">
        <f>GEntry!EU5</f>
        <v>0</v>
      </c>
      <c r="EI15" s="764">
        <f>GEntry!ET5</f>
        <v>0</v>
      </c>
      <c r="EJ15" s="764">
        <f>GEntry!EQ5</f>
        <v>91</v>
      </c>
      <c r="EK15" s="764">
        <f>GEntry!ER5</f>
        <v>16</v>
      </c>
      <c r="EL15" s="764">
        <f>GEntry!EN5</f>
        <v>0</v>
      </c>
      <c r="EM15" s="764">
        <f>GEntry!EO5</f>
        <v>0</v>
      </c>
      <c r="EN15" s="764">
        <f>GEntry!FF5</f>
        <v>0</v>
      </c>
      <c r="EO15" s="764">
        <f>GEntry!FE5</f>
        <v>0</v>
      </c>
      <c r="EP15" s="764">
        <f>GEntry!FG5</f>
        <v>0</v>
      </c>
      <c r="EQ15" s="764">
        <f>GEntry!FQ5</f>
        <v>0</v>
      </c>
      <c r="ER15" s="764">
        <f>GEntry!FZ5</f>
        <v>0</v>
      </c>
      <c r="ES15" s="764">
        <f>GEntry!FU5</f>
        <v>0</v>
      </c>
      <c r="ET15" s="764">
        <f>GEntry!FV5</f>
        <v>0</v>
      </c>
      <c r="EU15" s="764">
        <f>GEntry!FW5</f>
        <v>0</v>
      </c>
      <c r="EV15" s="764">
        <f>GEntry!FY5</f>
        <v>8</v>
      </c>
      <c r="EW15" s="764">
        <f>GEntry!FX5</f>
        <v>0</v>
      </c>
      <c r="EX15" s="764">
        <f>GEntry!FR5</f>
        <v>22</v>
      </c>
      <c r="EY15" s="764">
        <f>GEntry!FS5</f>
        <v>0</v>
      </c>
      <c r="EZ15" s="764">
        <f>GEntry!FT5</f>
        <v>8</v>
      </c>
      <c r="FA15" s="1155">
        <f>GEntry!FB5</f>
        <v>0</v>
      </c>
      <c r="FB15" s="1155">
        <f>GEntry!FC5</f>
        <v>0</v>
      </c>
      <c r="FC15" s="1155">
        <f>GEntry!FD5</f>
        <v>199</v>
      </c>
      <c r="FD15" s="764">
        <f>GEntry!GD5</f>
        <v>0</v>
      </c>
      <c r="FE15" s="765">
        <f>GEntry!GE5</f>
        <v>0</v>
      </c>
      <c r="FF15" s="765">
        <f>GEntry!FI5</f>
        <v>0</v>
      </c>
      <c r="FG15" s="765">
        <f>GEntry!FJ5</f>
        <v>0</v>
      </c>
      <c r="FH15" s="765">
        <f>GEntry!FK5</f>
        <v>0</v>
      </c>
      <c r="FI15" s="765">
        <f>GEntry!FL5</f>
        <v>0</v>
      </c>
      <c r="FJ15" s="765">
        <f>GEntry!EP5</f>
        <v>11</v>
      </c>
      <c r="FK15" s="765">
        <f>GEntry!ES5</f>
        <v>0</v>
      </c>
      <c r="FL15" s="763">
        <f>GEntry!FM5</f>
        <v>174</v>
      </c>
      <c r="FM15" s="765">
        <f>GEntry!FN5</f>
        <v>0</v>
      </c>
      <c r="FN15" s="764">
        <f>GEntry!FO5</f>
        <v>364</v>
      </c>
      <c r="FO15" s="1687">
        <f>GEntry!EH5</f>
        <v>0</v>
      </c>
      <c r="FP15" s="1689">
        <f>GEntry!GA5</f>
        <v>0</v>
      </c>
      <c r="FQ15" s="1694">
        <f>GEntry!GB5</f>
        <v>0</v>
      </c>
      <c r="FR15" s="1877">
        <f>GEntry!EW5</f>
        <v>0</v>
      </c>
      <c r="FS15" s="1981">
        <f>GEntry!GF5</f>
        <v>34</v>
      </c>
      <c r="FT15" s="1983">
        <f>GEntry!FP5</f>
        <v>0</v>
      </c>
      <c r="FU15" s="2154">
        <f>GEntry!GG5</f>
        <v>0</v>
      </c>
      <c r="FV15" s="3143">
        <f>GEntry!GC5</f>
        <v>0</v>
      </c>
      <c r="FW15" s="764">
        <f>GEntry!EZ5</f>
        <v>300</v>
      </c>
      <c r="FX15" s="3685">
        <f>GEntry!EL5</f>
        <v>180</v>
      </c>
      <c r="FY15" s="3758">
        <f>GEntry!EM5</f>
        <v>0</v>
      </c>
      <c r="FZ15" s="3760">
        <f>GEntry!EK5</f>
        <v>0</v>
      </c>
      <c r="GA15" s="4897">
        <f>GEntry!FH5</f>
        <v>0</v>
      </c>
      <c r="GB15" s="4984">
        <f>GEntry!EI5</f>
        <v>0</v>
      </c>
      <c r="GC15" s="3685">
        <f>GEntry!GH5</f>
        <v>0</v>
      </c>
      <c r="GD15" s="993"/>
      <c r="GE15" s="910">
        <f>SUM(B15:DX15)</f>
        <v>3959</v>
      </c>
      <c r="GF15" s="909">
        <f t="shared" ref="GF15:GF41" si="6">SUM(DY15:GD15)</f>
        <v>1829</v>
      </c>
      <c r="GG15" s="906">
        <f t="shared" ref="GG15:GG41" si="7">GE15+GF15</f>
        <v>5788</v>
      </c>
      <c r="GH15" s="650">
        <f t="shared" ref="GH15:GH41" si="8">B15+C15+D15+E15+F15+I15+L15+R15+S15+T15+AE15+AF15+AG15+AH15+AI15+AK15+AN15+AO15+AQ15+AS15+AU15++BB15+BD15+BE15+BF15+BG15+BH15+BI15+BK15+BL15+BS15+BT15+BU15+BV15+BX15+BZ15+CB15++CC15+CG15+CH15+CK15+CL15+CP15+CQ15+EA15+EJ15  +EN15+EO15+EZ15+FF15+FH15+FL15+DC15+DN15+DS15</f>
        <v>2357</v>
      </c>
      <c r="GI15" s="650">
        <f t="shared" si="0"/>
        <v>422</v>
      </c>
      <c r="GJ15" s="650">
        <f>G15+H15 +J15+M15+N15+BC15+BJ15+BM15 +BN15+BO15+BP15+CD15+CE15+CF15+CI15+CJ15+CM15+CN15+CO15+EK15+EX15+EY15+FJ15+FN15+FX15</f>
        <v>1672</v>
      </c>
      <c r="GK15" s="650">
        <f t="shared" ref="GK15:GK41" si="9">Z15+CR15+CT15+CU15+CW15+EF15+FK15+FP15+FY15</f>
        <v>0</v>
      </c>
      <c r="GL15" s="650">
        <f t="shared" si="1"/>
        <v>697</v>
      </c>
      <c r="GM15" s="650">
        <f t="shared" si="2"/>
        <v>499</v>
      </c>
      <c r="GN15" s="650">
        <f t="shared" si="3"/>
        <v>77</v>
      </c>
      <c r="GO15" s="650">
        <f t="shared" ref="GO15:GO41" si="10">AR15+AT15+DZ15+ED15+EM15+FD15+FE15+FG15+FI15+FM15+FT15</f>
        <v>0</v>
      </c>
      <c r="GP15" s="650">
        <f>W15+AW15+AX15+BQ15+EG15+EH15+EP15+EQ15+ER15+EU15+EW15+FI15</f>
        <v>0</v>
      </c>
      <c r="GQ15" s="650">
        <f t="shared" si="4"/>
        <v>64</v>
      </c>
      <c r="GR15" s="905">
        <f t="shared" si="5"/>
        <v>0</v>
      </c>
      <c r="GS15" s="904">
        <f>FWise!M7</f>
        <v>0</v>
      </c>
      <c r="GT15" s="3543">
        <f>GEntry!GL5</f>
        <v>97.29</v>
      </c>
      <c r="GU15" s="13"/>
      <c r="GV15" s="13"/>
      <c r="GW15" s="13"/>
      <c r="HF15" s="139"/>
      <c r="HG15" s="139"/>
      <c r="IX15" s="139"/>
      <c r="IY15" s="139"/>
    </row>
    <row r="16" spans="1:259" ht="21" customHeight="1" thickBot="1">
      <c r="A16" s="608">
        <v>0.125</v>
      </c>
      <c r="B16" s="761">
        <f>GEntry!W6</f>
        <v>0</v>
      </c>
      <c r="C16" s="758">
        <f>GEntry!X6</f>
        <v>0</v>
      </c>
      <c r="D16" s="758">
        <f>GEntry!Y6</f>
        <v>242</v>
      </c>
      <c r="E16" s="758">
        <f>GEntry!Z6</f>
        <v>0</v>
      </c>
      <c r="F16" s="759">
        <f>GEntry!AB6</f>
        <v>0</v>
      </c>
      <c r="G16" s="759">
        <f>GEntry!BY6</f>
        <v>0</v>
      </c>
      <c r="H16" s="758">
        <f>GEntry!CS6</f>
        <v>0</v>
      </c>
      <c r="I16" s="758">
        <f>GEntry!AO6</f>
        <v>0</v>
      </c>
      <c r="J16" s="758">
        <f>GEntry!AQ6</f>
        <v>254</v>
      </c>
      <c r="K16" s="758"/>
      <c r="L16" s="758">
        <f>GEntry!AN6</f>
        <v>0</v>
      </c>
      <c r="M16" s="758">
        <f>GEntry!AP6</f>
        <v>180</v>
      </c>
      <c r="N16" s="758">
        <f>GEntry!CP6</f>
        <v>0</v>
      </c>
      <c r="O16" s="758">
        <f>GEntry!CQ6</f>
        <v>0</v>
      </c>
      <c r="P16" s="758">
        <f>GEntry!CL6</f>
        <v>0</v>
      </c>
      <c r="Q16" s="758">
        <f>GEntry!DC6</f>
        <v>0</v>
      </c>
      <c r="R16" s="758">
        <f>GEntry!T6</f>
        <v>0</v>
      </c>
      <c r="S16" s="758">
        <f>GEntry!R6</f>
        <v>0</v>
      </c>
      <c r="T16" s="758">
        <f>GEntry!S6</f>
        <v>0</v>
      </c>
      <c r="U16" s="758">
        <f>GEntry!CC6</f>
        <v>0</v>
      </c>
      <c r="V16" s="759">
        <f>GEntry!CX6</f>
        <v>0</v>
      </c>
      <c r="W16" s="758">
        <f>GEntry!CE6</f>
        <v>0</v>
      </c>
      <c r="X16" s="758">
        <f>GEntry!CO6</f>
        <v>0</v>
      </c>
      <c r="Y16" s="758">
        <f>GEntry!DB6</f>
        <v>0</v>
      </c>
      <c r="Z16" s="758">
        <f>GEntry!CM6</f>
        <v>0</v>
      </c>
      <c r="AA16" s="758">
        <f>GEntry!DA6</f>
        <v>0</v>
      </c>
      <c r="AB16" s="758">
        <f>GEntry!DG6</f>
        <v>35</v>
      </c>
      <c r="AC16" s="758">
        <f>GEntry!DD6</f>
        <v>17</v>
      </c>
      <c r="AD16" s="758">
        <f>GEntry!BJ6</f>
        <v>17</v>
      </c>
      <c r="AE16" s="758">
        <f>GEntry!BM6</f>
        <v>16</v>
      </c>
      <c r="AF16" s="758">
        <f>GEntry!BU6</f>
        <v>25</v>
      </c>
      <c r="AG16" s="758">
        <f>GEntry!BV6</f>
        <v>9</v>
      </c>
      <c r="AH16" s="758">
        <f>GEntry!BW6</f>
        <v>14</v>
      </c>
      <c r="AI16" s="758">
        <f>GEntry!BX6</f>
        <v>33</v>
      </c>
      <c r="AJ16" s="758">
        <f>GEntry!CD6</f>
        <v>0</v>
      </c>
      <c r="AK16" s="758">
        <f>GEntry!AM6</f>
        <v>0</v>
      </c>
      <c r="AL16" s="1157">
        <f>GEntry!B6</f>
        <v>38</v>
      </c>
      <c r="AM16" s="1157">
        <f>GEntry!C6</f>
        <v>40</v>
      </c>
      <c r="AN16" s="758">
        <f>GEntry!D6</f>
        <v>0</v>
      </c>
      <c r="AO16" s="758">
        <f>GEntry!E6</f>
        <v>0</v>
      </c>
      <c r="AP16" s="758">
        <f>GEntry!F6</f>
        <v>0</v>
      </c>
      <c r="AQ16" s="758">
        <f>GEntry!H6</f>
        <v>0</v>
      </c>
      <c r="AR16" s="758">
        <f>GEntry!I6</f>
        <v>0</v>
      </c>
      <c r="AS16" s="758">
        <f>GEntry!K6</f>
        <v>0</v>
      </c>
      <c r="AT16" s="758">
        <f>GEntry!L6</f>
        <v>0</v>
      </c>
      <c r="AU16" s="758"/>
      <c r="AV16" s="758">
        <f>GEntry!BK6</f>
        <v>22</v>
      </c>
      <c r="AW16" s="758">
        <f>GEntry!N6</f>
        <v>0</v>
      </c>
      <c r="AX16" s="758">
        <f>GEntry!M6</f>
        <v>0</v>
      </c>
      <c r="AY16" s="758">
        <f>GEntry!CU6</f>
        <v>0</v>
      </c>
      <c r="AZ16" s="758">
        <f>GEntry!CZ6</f>
        <v>5</v>
      </c>
      <c r="BA16" s="758">
        <f>GEntry!CY6</f>
        <v>0</v>
      </c>
      <c r="BB16" s="758">
        <f>GEntry!BL6</f>
        <v>21</v>
      </c>
      <c r="BC16" s="758">
        <f>GEntry!BP6</f>
        <v>32</v>
      </c>
      <c r="BD16" s="758">
        <f>GEntry!AD6</f>
        <v>0</v>
      </c>
      <c r="BE16" s="758">
        <f>GEntry!AE6</f>
        <v>0</v>
      </c>
      <c r="BF16" s="758">
        <f>GEntry!AF6</f>
        <v>80</v>
      </c>
      <c r="BG16" s="758">
        <f>GEntry!AJ6</f>
        <v>150</v>
      </c>
      <c r="BH16" s="758">
        <f>GEntry!AI6</f>
        <v>310</v>
      </c>
      <c r="BI16" s="758">
        <f>GEntry!AH6</f>
        <v>156</v>
      </c>
      <c r="BJ16" s="758">
        <f>GEntry!V6</f>
        <v>8</v>
      </c>
      <c r="BK16" s="758">
        <f>GEntry!AL6</f>
        <v>134</v>
      </c>
      <c r="BL16" s="758">
        <f>GEntry!AG6</f>
        <v>3</v>
      </c>
      <c r="BM16" s="758">
        <f>GEntry!AK6</f>
        <v>5</v>
      </c>
      <c r="BN16" s="758">
        <f>GEntry!CT6</f>
        <v>0</v>
      </c>
      <c r="BO16" s="759">
        <f>GEntry!CW6</f>
        <v>51</v>
      </c>
      <c r="BP16" s="759">
        <f>GEntry!CN6</f>
        <v>0</v>
      </c>
      <c r="BQ16" s="759">
        <f>GEntry!Q6</f>
        <v>0</v>
      </c>
      <c r="BR16" s="758">
        <f>GEntry!CG6</f>
        <v>8</v>
      </c>
      <c r="BS16" s="759">
        <f>GEntry!BQ6</f>
        <v>21</v>
      </c>
      <c r="BT16" s="759">
        <f>GEntry!BR6</f>
        <v>11</v>
      </c>
      <c r="BU16" s="759">
        <f>GEntry!BS6</f>
        <v>33</v>
      </c>
      <c r="BV16" s="759">
        <f>GEntry!BT6</f>
        <v>9</v>
      </c>
      <c r="BW16" s="749">
        <f>GEntry!BO6</f>
        <v>61</v>
      </c>
      <c r="BX16" s="759">
        <f>GEntry!AR6</f>
        <v>51</v>
      </c>
      <c r="BY16" s="759">
        <f>GEntry!CF6</f>
        <v>0</v>
      </c>
      <c r="BZ16" s="759">
        <f>GEntry!BN6</f>
        <v>22</v>
      </c>
      <c r="CA16" s="1159">
        <f>GEntry!DF6</f>
        <v>0</v>
      </c>
      <c r="CB16" s="759">
        <f>GEntry!AT6</f>
        <v>42</v>
      </c>
      <c r="CC16" s="759">
        <f>GEntry!AU6</f>
        <v>0</v>
      </c>
      <c r="CD16" s="759">
        <f>GEntry!BF6</f>
        <v>50</v>
      </c>
      <c r="CE16" s="759">
        <f>GEntry!CV6</f>
        <v>0</v>
      </c>
      <c r="CF16" s="759">
        <f>GEntry!DE6</f>
        <v>130</v>
      </c>
      <c r="CG16" s="759">
        <f>GEntry!AV6</f>
        <v>0</v>
      </c>
      <c r="CH16" s="759">
        <f>GEntry!AW6</f>
        <v>71</v>
      </c>
      <c r="CI16" s="759">
        <f>GEntry!AX6</f>
        <v>79</v>
      </c>
      <c r="CJ16" s="759">
        <f>GEntry!AZ6</f>
        <v>0</v>
      </c>
      <c r="CK16" s="759">
        <f>GEntry!BA6</f>
        <v>190</v>
      </c>
      <c r="CL16" s="759">
        <f>GEntry!BB6</f>
        <v>18</v>
      </c>
      <c r="CM16" s="759">
        <f>GEntry!BC6</f>
        <v>0</v>
      </c>
      <c r="CN16" s="759">
        <f>GEntry!BD6</f>
        <v>10</v>
      </c>
      <c r="CO16" s="759">
        <f>GEntry!BH6</f>
        <v>305</v>
      </c>
      <c r="CP16" s="759">
        <f>GEntry!BG6</f>
        <v>22</v>
      </c>
      <c r="CQ16" s="986">
        <f>GEntry!BE6</f>
        <v>8</v>
      </c>
      <c r="CR16" s="986">
        <f>GEntry!P6</f>
        <v>0</v>
      </c>
      <c r="CS16" s="986">
        <f>GEntry!U6</f>
        <v>30</v>
      </c>
      <c r="CT16" s="759">
        <f>GEntry!DH6</f>
        <v>0</v>
      </c>
      <c r="CU16" s="986">
        <f>GEntry!DI6</f>
        <v>0</v>
      </c>
      <c r="CV16" s="986">
        <f>GEntry!DJ6</f>
        <v>45</v>
      </c>
      <c r="CW16" s="759">
        <f>GEntry!DK6</f>
        <v>0</v>
      </c>
      <c r="CX16" s="986">
        <f>GEntry!DL6</f>
        <v>0</v>
      </c>
      <c r="CY16" s="986">
        <f>GEntry!G6</f>
        <v>0</v>
      </c>
      <c r="CZ16" s="986">
        <f>GEntry!DM6</f>
        <v>70</v>
      </c>
      <c r="DA16" s="759">
        <f>GEntry!DN6</f>
        <v>0</v>
      </c>
      <c r="DB16" s="1667">
        <f>GEntry!DO6</f>
        <v>50</v>
      </c>
      <c r="DC16" s="1652">
        <f>GEntry!DP6</f>
        <v>0</v>
      </c>
      <c r="DD16" s="1760">
        <f>GEntry!DQ6</f>
        <v>0</v>
      </c>
      <c r="DE16" s="1759">
        <f>GEntry!CH6</f>
        <v>0</v>
      </c>
      <c r="DF16" s="1864">
        <f>GEntry!O6</f>
        <v>0</v>
      </c>
      <c r="DG16" s="1857">
        <f>GEntry!CI6</f>
        <v>0</v>
      </c>
      <c r="DH16" s="2064">
        <f>GEntry!DR6</f>
        <v>0</v>
      </c>
      <c r="DI16" s="2065">
        <f>GEntry!CJ6</f>
        <v>54</v>
      </c>
      <c r="DJ16" s="2077">
        <f>GEntry!CK6</f>
        <v>17</v>
      </c>
      <c r="DK16" s="3078">
        <f>GEntry!BZ6</f>
        <v>0</v>
      </c>
      <c r="DL16" s="3370">
        <f>GEntry!CA6</f>
        <v>8</v>
      </c>
      <c r="DM16" s="3079">
        <f>GEntry!DS6</f>
        <v>0</v>
      </c>
      <c r="DN16" s="3517">
        <f>GEntry!BI6</f>
        <v>400</v>
      </c>
      <c r="DO16" s="3518">
        <f>GEntry!CR6</f>
        <v>0</v>
      </c>
      <c r="DP16" s="3720">
        <f>GEntry!AS6</f>
        <v>0</v>
      </c>
      <c r="DQ16" s="3777">
        <f>GEntry!CB6</f>
        <v>0</v>
      </c>
      <c r="DR16" s="3848">
        <f>GEntry!DT6</f>
        <v>116</v>
      </c>
      <c r="DS16" s="3850">
        <f>GEntry!AY6</f>
        <v>0</v>
      </c>
      <c r="DT16" s="4039">
        <f>GEntry!DU6</f>
        <v>17</v>
      </c>
      <c r="DU16" s="4041">
        <f>GEntry!DV6</f>
        <v>0</v>
      </c>
      <c r="DV16" s="4793">
        <f>GEntry!DW6</f>
        <v>0</v>
      </c>
      <c r="DW16" s="4793">
        <f>GEntry!DX6</f>
        <v>0</v>
      </c>
      <c r="DX16" s="990"/>
      <c r="DY16" s="767">
        <f>GEntry!EX6</f>
        <v>422</v>
      </c>
      <c r="DZ16" s="764">
        <f>GEntry!EV6</f>
        <v>0</v>
      </c>
      <c r="EA16" s="764">
        <f>GEntry!EY6</f>
        <v>0</v>
      </c>
      <c r="EB16" s="764">
        <f>GEntry!EB6</f>
        <v>0</v>
      </c>
      <c r="EC16" s="764">
        <f>GEntry!EC6</f>
        <v>0</v>
      </c>
      <c r="ED16" s="764">
        <f>GEntry!EG6</f>
        <v>0</v>
      </c>
      <c r="EE16" s="764">
        <f>GEntry!EA6</f>
        <v>0</v>
      </c>
      <c r="EF16" s="764">
        <f>GEntry!EE6</f>
        <v>0</v>
      </c>
      <c r="EG16" s="764">
        <f>GEntry!EF6</f>
        <v>0</v>
      </c>
      <c r="EH16" s="764">
        <f>GEntry!EU6</f>
        <v>0</v>
      </c>
      <c r="EI16" s="764">
        <f>GEntry!ET6</f>
        <v>0</v>
      </c>
      <c r="EJ16" s="764">
        <f>GEntry!EQ6</f>
        <v>91</v>
      </c>
      <c r="EK16" s="764">
        <f>GEntry!ER6</f>
        <v>15</v>
      </c>
      <c r="EL16" s="764">
        <f>GEntry!EN6</f>
        <v>0</v>
      </c>
      <c r="EM16" s="764">
        <f>GEntry!EO6</f>
        <v>0</v>
      </c>
      <c r="EN16" s="764">
        <f>GEntry!FF6</f>
        <v>0</v>
      </c>
      <c r="EO16" s="764">
        <f>GEntry!FE6</f>
        <v>0</v>
      </c>
      <c r="EP16" s="764">
        <f>GEntry!FG6</f>
        <v>0</v>
      </c>
      <c r="EQ16" s="764">
        <f>GEntry!FQ6</f>
        <v>0</v>
      </c>
      <c r="ER16" s="764">
        <f>GEntry!FZ6</f>
        <v>0</v>
      </c>
      <c r="ES16" s="764">
        <f>GEntry!FU6</f>
        <v>0</v>
      </c>
      <c r="ET16" s="764">
        <f>GEntry!FV6</f>
        <v>0</v>
      </c>
      <c r="EU16" s="764">
        <f>GEntry!FW6</f>
        <v>0</v>
      </c>
      <c r="EV16" s="764">
        <f>GEntry!FY6</f>
        <v>8</v>
      </c>
      <c r="EW16" s="764">
        <f>GEntry!FX6</f>
        <v>0</v>
      </c>
      <c r="EX16" s="764">
        <f>GEntry!FR6</f>
        <v>22</v>
      </c>
      <c r="EY16" s="764">
        <f>GEntry!FS6</f>
        <v>0</v>
      </c>
      <c r="EZ16" s="764">
        <f>GEntry!FT6</f>
        <v>8</v>
      </c>
      <c r="FA16" s="1155">
        <f>GEntry!FB6</f>
        <v>0</v>
      </c>
      <c r="FB16" s="1155">
        <f>GEntry!FC6</f>
        <v>0</v>
      </c>
      <c r="FC16" s="1155">
        <f>GEntry!FD6</f>
        <v>199</v>
      </c>
      <c r="FD16" s="764">
        <f>GEntry!GD6</f>
        <v>0</v>
      </c>
      <c r="FE16" s="765">
        <f>GEntry!GE6</f>
        <v>0</v>
      </c>
      <c r="FF16" s="765">
        <f>GEntry!FI6</f>
        <v>0</v>
      </c>
      <c r="FG16" s="765">
        <f>GEntry!FJ6</f>
        <v>0</v>
      </c>
      <c r="FH16" s="765">
        <f>GEntry!FK6</f>
        <v>0</v>
      </c>
      <c r="FI16" s="765">
        <f>GEntry!FL6</f>
        <v>0</v>
      </c>
      <c r="FJ16" s="765">
        <f>GEntry!EP6</f>
        <v>11</v>
      </c>
      <c r="FK16" s="765">
        <f>GEntry!ES6</f>
        <v>0</v>
      </c>
      <c r="FL16" s="763">
        <f>GEntry!FM6</f>
        <v>175</v>
      </c>
      <c r="FM16" s="765">
        <f>GEntry!FN6</f>
        <v>0</v>
      </c>
      <c r="FN16" s="764">
        <f>GEntry!FO6</f>
        <v>380</v>
      </c>
      <c r="FO16" s="1687">
        <f>GEntry!EH6</f>
        <v>0</v>
      </c>
      <c r="FP16" s="1689">
        <f>GEntry!GA6</f>
        <v>0</v>
      </c>
      <c r="FQ16" s="1694">
        <f>GEntry!GB6</f>
        <v>0</v>
      </c>
      <c r="FR16" s="1877">
        <f>GEntry!EW6</f>
        <v>0</v>
      </c>
      <c r="FS16" s="1981">
        <f>GEntry!GF6</f>
        <v>0</v>
      </c>
      <c r="FT16" s="1983">
        <f>GEntry!FP6</f>
        <v>0</v>
      </c>
      <c r="FU16" s="2154">
        <f>GEntry!GG6</f>
        <v>0</v>
      </c>
      <c r="FV16" s="3143">
        <f>GEntry!GC6</f>
        <v>0</v>
      </c>
      <c r="FW16" s="764">
        <f>GEntry!EZ6</f>
        <v>300</v>
      </c>
      <c r="FX16" s="3685">
        <f>GEntry!EL6</f>
        <v>180</v>
      </c>
      <c r="FY16" s="3758">
        <f>GEntry!EM6</f>
        <v>0</v>
      </c>
      <c r="FZ16" s="3760">
        <f>GEntry!EK6</f>
        <v>0</v>
      </c>
      <c r="GA16" s="4897">
        <f>GEntry!FH6</f>
        <v>0</v>
      </c>
      <c r="GB16" s="4984">
        <f>GEntry!EI6</f>
        <v>0</v>
      </c>
      <c r="GC16" s="3685">
        <f>GEntry!GH6</f>
        <v>0</v>
      </c>
      <c r="GD16" s="993"/>
      <c r="GE16" s="910">
        <f>SUM(B16:DX16)</f>
        <v>3845</v>
      </c>
      <c r="GF16" s="909">
        <f t="shared" si="6"/>
        <v>1811</v>
      </c>
      <c r="GG16" s="906">
        <f t="shared" si="7"/>
        <v>5656</v>
      </c>
      <c r="GH16" s="650">
        <f t="shared" si="8"/>
        <v>2365</v>
      </c>
      <c r="GI16" s="650">
        <f t="shared" si="0"/>
        <v>422</v>
      </c>
      <c r="GJ16" s="650">
        <f>G16+H16 +J16+M16+N16+BC16+BJ16+BM16 +BN16+BO16+BP16+CD16+CE16+CF16+CI16+CJ16+CM16+CN16+CO16+EK16+EX16+EY16+FJ16+FN16+FX16</f>
        <v>1712</v>
      </c>
      <c r="GK16" s="650">
        <f t="shared" si="9"/>
        <v>0</v>
      </c>
      <c r="GL16" s="650">
        <f t="shared" si="1"/>
        <v>519</v>
      </c>
      <c r="GM16" s="650">
        <f t="shared" si="2"/>
        <v>499</v>
      </c>
      <c r="GN16" s="650">
        <f t="shared" si="3"/>
        <v>78</v>
      </c>
      <c r="GO16" s="650">
        <f t="shared" si="10"/>
        <v>0</v>
      </c>
      <c r="GP16" s="650">
        <f t="shared" ref="GP16:GP41" si="11">W16+AW16+AX16+BQ16+EG16+EH16+EP16+EQ16+ER16+EU16+EW16+FI16</f>
        <v>0</v>
      </c>
      <c r="GQ16" s="650">
        <f t="shared" si="4"/>
        <v>61</v>
      </c>
      <c r="GR16" s="905">
        <f t="shared" si="5"/>
        <v>0</v>
      </c>
      <c r="GS16" s="904">
        <f>FWise!M8</f>
        <v>0</v>
      </c>
      <c r="GT16" s="3543">
        <f>GEntry!GL6</f>
        <v>97.28</v>
      </c>
      <c r="GU16" s="13"/>
      <c r="GV16" s="13"/>
      <c r="GW16" s="13"/>
      <c r="HF16" s="139"/>
      <c r="HG16" s="139"/>
      <c r="IX16" s="139"/>
      <c r="IY16" s="139"/>
    </row>
    <row r="17" spans="1:275" ht="23.25" customHeight="1" thickBot="1">
      <c r="A17" s="608">
        <v>0.16666666666666699</v>
      </c>
      <c r="B17" s="761">
        <f>GEntry!W7</f>
        <v>0</v>
      </c>
      <c r="C17" s="758">
        <f>GEntry!X8</f>
        <v>0</v>
      </c>
      <c r="D17" s="758">
        <f>GEntry!Y7</f>
        <v>240</v>
      </c>
      <c r="E17" s="758">
        <f>GEntry!Z7</f>
        <v>0</v>
      </c>
      <c r="F17" s="759">
        <f>GEntry!AB7</f>
        <v>0</v>
      </c>
      <c r="G17" s="759">
        <f>GEntry!BY7</f>
        <v>0</v>
      </c>
      <c r="H17" s="758">
        <f>GEntry!CS7</f>
        <v>0</v>
      </c>
      <c r="I17" s="758">
        <f>GEntry!AO7</f>
        <v>0</v>
      </c>
      <c r="J17" s="758">
        <f>GEntry!AQ7</f>
        <v>270</v>
      </c>
      <c r="K17" s="758"/>
      <c r="L17" s="758">
        <f>GEntry!AN7</f>
        <v>0</v>
      </c>
      <c r="M17" s="758">
        <f>GEntry!AP7</f>
        <v>180</v>
      </c>
      <c r="N17" s="758">
        <f>GEntry!CP7</f>
        <v>0</v>
      </c>
      <c r="O17" s="758">
        <f>GEntry!CQ7</f>
        <v>0</v>
      </c>
      <c r="P17" s="758">
        <f>GEntry!CL7</f>
        <v>0</v>
      </c>
      <c r="Q17" s="758">
        <f>GEntry!DC7</f>
        <v>0</v>
      </c>
      <c r="R17" s="758">
        <f>GEntry!T7</f>
        <v>0</v>
      </c>
      <c r="S17" s="758">
        <f>GEntry!R7</f>
        <v>0</v>
      </c>
      <c r="T17" s="758">
        <f>GEntry!S7</f>
        <v>0</v>
      </c>
      <c r="U17" s="758">
        <f>GEntry!CC7</f>
        <v>0</v>
      </c>
      <c r="V17" s="759">
        <f>GEntry!CX7</f>
        <v>0</v>
      </c>
      <c r="W17" s="758">
        <f>GEntry!CE7</f>
        <v>0</v>
      </c>
      <c r="X17" s="758">
        <f>GEntry!CO7</f>
        <v>0</v>
      </c>
      <c r="Y17" s="758">
        <f>GEntry!DB7</f>
        <v>0</v>
      </c>
      <c r="Z17" s="758">
        <f>GEntry!CM7</f>
        <v>0</v>
      </c>
      <c r="AA17" s="758">
        <f>GEntry!DA7</f>
        <v>0</v>
      </c>
      <c r="AB17" s="758">
        <f>GEntry!DG7</f>
        <v>35</v>
      </c>
      <c r="AC17" s="758">
        <f>GEntry!DD7</f>
        <v>17</v>
      </c>
      <c r="AD17" s="758">
        <f>GEntry!BJ7</f>
        <v>17</v>
      </c>
      <c r="AE17" s="758">
        <f>GEntry!BM7</f>
        <v>16</v>
      </c>
      <c r="AF17" s="758">
        <f>GEntry!BU7</f>
        <v>25</v>
      </c>
      <c r="AG17" s="758">
        <f>GEntry!BV7</f>
        <v>9</v>
      </c>
      <c r="AH17" s="758">
        <f>GEntry!BW7</f>
        <v>14</v>
      </c>
      <c r="AI17" s="758">
        <f>GEntry!BX7</f>
        <v>33</v>
      </c>
      <c r="AJ17" s="758">
        <f>GEntry!CD7</f>
        <v>0</v>
      </c>
      <c r="AK17" s="758">
        <f>GEntry!AM7</f>
        <v>0</v>
      </c>
      <c r="AL17" s="1157">
        <f>GEntry!B7</f>
        <v>43</v>
      </c>
      <c r="AM17" s="1157">
        <f>GEntry!C7</f>
        <v>40</v>
      </c>
      <c r="AN17" s="758">
        <f>GEntry!D7</f>
        <v>0</v>
      </c>
      <c r="AO17" s="758">
        <f>GEntry!E7</f>
        <v>0</v>
      </c>
      <c r="AP17" s="758">
        <f>GEntry!F7</f>
        <v>0</v>
      </c>
      <c r="AQ17" s="758">
        <f>GEntry!H7</f>
        <v>0</v>
      </c>
      <c r="AR17" s="758">
        <f>GEntry!I7</f>
        <v>0</v>
      </c>
      <c r="AS17" s="758">
        <f>GEntry!K7</f>
        <v>0</v>
      </c>
      <c r="AT17" s="758">
        <f>GEntry!L7</f>
        <v>0</v>
      </c>
      <c r="AU17" s="758"/>
      <c r="AV17" s="758">
        <f>GEntry!BK7</f>
        <v>22</v>
      </c>
      <c r="AW17" s="758">
        <f>GEntry!N7</f>
        <v>0</v>
      </c>
      <c r="AX17" s="758">
        <f>GEntry!M7</f>
        <v>0</v>
      </c>
      <c r="AY17" s="758">
        <f>GEntry!CU7</f>
        <v>0</v>
      </c>
      <c r="AZ17" s="758">
        <f>GEntry!CZ7</f>
        <v>6</v>
      </c>
      <c r="BA17" s="758">
        <f>GEntry!CY7</f>
        <v>0</v>
      </c>
      <c r="BB17" s="758">
        <f>GEntry!BL7</f>
        <v>21</v>
      </c>
      <c r="BC17" s="758">
        <f>GEntry!BP7</f>
        <v>32</v>
      </c>
      <c r="BD17" s="758">
        <f>GEntry!AD7</f>
        <v>0</v>
      </c>
      <c r="BE17" s="758">
        <f>GEntry!AE7</f>
        <v>0</v>
      </c>
      <c r="BF17" s="758">
        <f>GEntry!AF7</f>
        <v>80</v>
      </c>
      <c r="BG17" s="758">
        <f>GEntry!AJ7</f>
        <v>150</v>
      </c>
      <c r="BH17" s="758">
        <f>GEntry!AI7</f>
        <v>275</v>
      </c>
      <c r="BI17" s="758">
        <f>GEntry!AH7</f>
        <v>161</v>
      </c>
      <c r="BJ17" s="758">
        <f>GEntry!V7</f>
        <v>8</v>
      </c>
      <c r="BK17" s="758">
        <f>GEntry!AL7</f>
        <v>133</v>
      </c>
      <c r="BL17" s="758">
        <f>GEntry!AG7</f>
        <v>3</v>
      </c>
      <c r="BM17" s="758">
        <f>GEntry!AK7</f>
        <v>5</v>
      </c>
      <c r="BN17" s="758">
        <f>GEntry!CT7</f>
        <v>0</v>
      </c>
      <c r="BO17" s="759">
        <f>GEntry!CW7</f>
        <v>51</v>
      </c>
      <c r="BP17" s="759">
        <f>GEntry!CN7</f>
        <v>0</v>
      </c>
      <c r="BQ17" s="759">
        <f>GEntry!Q7</f>
        <v>0</v>
      </c>
      <c r="BR17" s="758">
        <f>GEntry!CG7</f>
        <v>8</v>
      </c>
      <c r="BS17" s="759">
        <f>GEntry!BQ7</f>
        <v>21</v>
      </c>
      <c r="BT17" s="759">
        <f>GEntry!BR7</f>
        <v>11</v>
      </c>
      <c r="BU17" s="759">
        <f>GEntry!BS7</f>
        <v>33</v>
      </c>
      <c r="BV17" s="759">
        <f>GEntry!BT7</f>
        <v>9</v>
      </c>
      <c r="BW17" s="749">
        <f>GEntry!BO7</f>
        <v>61</v>
      </c>
      <c r="BX17" s="759">
        <f>GEntry!AR7</f>
        <v>52</v>
      </c>
      <c r="BY17" s="759">
        <f>GEntry!CF7</f>
        <v>0</v>
      </c>
      <c r="BZ17" s="759">
        <f>GEntry!BN7</f>
        <v>22</v>
      </c>
      <c r="CA17" s="1159">
        <f>GEntry!DF7</f>
        <v>0</v>
      </c>
      <c r="CB17" s="759">
        <f>GEntry!AT7</f>
        <v>42</v>
      </c>
      <c r="CC17" s="759">
        <f>GEntry!AU7</f>
        <v>0</v>
      </c>
      <c r="CD17" s="759">
        <f>GEntry!BF7</f>
        <v>50</v>
      </c>
      <c r="CE17" s="759">
        <f>GEntry!CV7</f>
        <v>0</v>
      </c>
      <c r="CF17" s="759">
        <f>GEntry!DE7</f>
        <v>130</v>
      </c>
      <c r="CG17" s="759">
        <f>GEntry!AV7</f>
        <v>0</v>
      </c>
      <c r="CH17" s="759">
        <f>GEntry!AW7</f>
        <v>54</v>
      </c>
      <c r="CI17" s="759">
        <f>GEntry!AX7</f>
        <v>40</v>
      </c>
      <c r="CJ17" s="759">
        <f>GEntry!AZ7</f>
        <v>0</v>
      </c>
      <c r="CK17" s="759">
        <f>GEntry!BA7</f>
        <v>190</v>
      </c>
      <c r="CL17" s="759">
        <f>GEntry!BB7</f>
        <v>18</v>
      </c>
      <c r="CM17" s="759">
        <f>GEntry!BC7</f>
        <v>0</v>
      </c>
      <c r="CN17" s="759">
        <f>GEntry!BD7</f>
        <v>10</v>
      </c>
      <c r="CO17" s="759">
        <f>GEntry!BH7</f>
        <v>305</v>
      </c>
      <c r="CP17" s="759">
        <f>GEntry!BG7</f>
        <v>22</v>
      </c>
      <c r="CQ17" s="986">
        <f>GEntry!BE7</f>
        <v>8</v>
      </c>
      <c r="CR17" s="986">
        <f>GEntry!P7</f>
        <v>0</v>
      </c>
      <c r="CS17" s="986">
        <f>GEntry!U7</f>
        <v>30</v>
      </c>
      <c r="CT17" s="759">
        <f>GEntry!DH7</f>
        <v>0</v>
      </c>
      <c r="CU17" s="986">
        <f>GEntry!DI7</f>
        <v>0</v>
      </c>
      <c r="CV17" s="986">
        <f>GEntry!DJ7</f>
        <v>45</v>
      </c>
      <c r="CW17" s="759">
        <f>GEntry!DK7</f>
        <v>0</v>
      </c>
      <c r="CX17" s="986">
        <f>GEntry!DL7</f>
        <v>0</v>
      </c>
      <c r="CY17" s="986">
        <f>GEntry!G7</f>
        <v>0</v>
      </c>
      <c r="CZ17" s="986">
        <f>GEntry!DM7</f>
        <v>40</v>
      </c>
      <c r="DA17" s="759">
        <f>GEntry!DN7</f>
        <v>0</v>
      </c>
      <c r="DB17" s="1667">
        <f>GEntry!DO7</f>
        <v>50</v>
      </c>
      <c r="DC17" s="1652">
        <f>GEntry!DP7</f>
        <v>0</v>
      </c>
      <c r="DD17" s="1760">
        <f>GEntry!DQ7</f>
        <v>0</v>
      </c>
      <c r="DE17" s="1759">
        <f>GEntry!CH7</f>
        <v>0</v>
      </c>
      <c r="DF17" s="1864">
        <f>GEntry!O7</f>
        <v>0</v>
      </c>
      <c r="DG17" s="1857">
        <f>GEntry!CI7</f>
        <v>0</v>
      </c>
      <c r="DH17" s="2064">
        <f>GEntry!DR7</f>
        <v>0</v>
      </c>
      <c r="DI17" s="2065">
        <f>GEntry!CJ7</f>
        <v>54</v>
      </c>
      <c r="DJ17" s="2077">
        <f>GEntry!CK7</f>
        <v>17</v>
      </c>
      <c r="DK17" s="3078">
        <f>GEntry!BZ7</f>
        <v>0</v>
      </c>
      <c r="DL17" s="3370">
        <f>GEntry!CA7</f>
        <v>8</v>
      </c>
      <c r="DM17" s="3079">
        <f>GEntry!DS7</f>
        <v>0</v>
      </c>
      <c r="DN17" s="3517">
        <f>GEntry!BI7</f>
        <v>400</v>
      </c>
      <c r="DO17" s="3518">
        <f>GEntry!CR7</f>
        <v>0</v>
      </c>
      <c r="DP17" s="3720">
        <f>GEntry!AS7</f>
        <v>0</v>
      </c>
      <c r="DQ17" s="3777">
        <f>GEntry!CB7</f>
        <v>0</v>
      </c>
      <c r="DR17" s="3848">
        <f>GEntry!DT7</f>
        <v>87</v>
      </c>
      <c r="DS17" s="3850">
        <f>GEntry!AY7</f>
        <v>0</v>
      </c>
      <c r="DT17" s="4039">
        <f>GEntry!DU7</f>
        <v>17</v>
      </c>
      <c r="DU17" s="4041">
        <f>GEntry!DV7</f>
        <v>0</v>
      </c>
      <c r="DV17" s="4793">
        <f>GEntry!DW7</f>
        <v>0</v>
      </c>
      <c r="DW17" s="4793">
        <f>GEntry!DX7</f>
        <v>0</v>
      </c>
      <c r="DX17" s="990"/>
      <c r="DY17" s="767">
        <f>GEntry!EX7</f>
        <v>423</v>
      </c>
      <c r="DZ17" s="764">
        <f>GEntry!EV7</f>
        <v>0</v>
      </c>
      <c r="EA17" s="764">
        <f>GEntry!EY7</f>
        <v>0</v>
      </c>
      <c r="EB17" s="764">
        <f>GEntry!EB7</f>
        <v>0</v>
      </c>
      <c r="EC17" s="764">
        <f>GEntry!EC7</f>
        <v>0</v>
      </c>
      <c r="ED17" s="764">
        <f>GEntry!EG7</f>
        <v>0</v>
      </c>
      <c r="EE17" s="764">
        <f>GEntry!EA7</f>
        <v>0</v>
      </c>
      <c r="EF17" s="764">
        <f>GEntry!EE7</f>
        <v>0</v>
      </c>
      <c r="EG17" s="764">
        <f>GEntry!EF7</f>
        <v>0</v>
      </c>
      <c r="EH17" s="764">
        <f>GEntry!EU7</f>
        <v>0</v>
      </c>
      <c r="EI17" s="764">
        <f>GEntry!ET7</f>
        <v>0</v>
      </c>
      <c r="EJ17" s="764">
        <f>GEntry!EQ7</f>
        <v>91</v>
      </c>
      <c r="EK17" s="764">
        <f>GEntry!ER7</f>
        <v>15</v>
      </c>
      <c r="EL17" s="764">
        <f>GEntry!EN7</f>
        <v>0</v>
      </c>
      <c r="EM17" s="764">
        <f>GEntry!EO7</f>
        <v>0</v>
      </c>
      <c r="EN17" s="764">
        <f>GEntry!FF7</f>
        <v>0</v>
      </c>
      <c r="EO17" s="764">
        <f>GEntry!FE7</f>
        <v>0</v>
      </c>
      <c r="EP17" s="764">
        <f>GEntry!FG7</f>
        <v>0</v>
      </c>
      <c r="EQ17" s="764">
        <f>GEntry!FQ7</f>
        <v>0</v>
      </c>
      <c r="ER17" s="764">
        <f>GEntry!FZ7</f>
        <v>0</v>
      </c>
      <c r="ES17" s="764">
        <f>GEntry!FU7</f>
        <v>0</v>
      </c>
      <c r="ET17" s="764">
        <f>GEntry!FV7</f>
        <v>0</v>
      </c>
      <c r="EU17" s="764">
        <f>GEntry!FW7</f>
        <v>0</v>
      </c>
      <c r="EV17" s="764">
        <f>GEntry!FY7</f>
        <v>8</v>
      </c>
      <c r="EW17" s="764">
        <f>GEntry!FX7</f>
        <v>0</v>
      </c>
      <c r="EX17" s="764">
        <f>GEntry!FR7</f>
        <v>22</v>
      </c>
      <c r="EY17" s="764">
        <f>GEntry!FS7</f>
        <v>0</v>
      </c>
      <c r="EZ17" s="764">
        <f>GEntry!FT7</f>
        <v>8</v>
      </c>
      <c r="FA17" s="1155">
        <f>GEntry!FB7</f>
        <v>0</v>
      </c>
      <c r="FB17" s="1155">
        <f>GEntry!FC7</f>
        <v>0</v>
      </c>
      <c r="FC17" s="1155">
        <f>GEntry!FD7</f>
        <v>199</v>
      </c>
      <c r="FD17" s="764">
        <f>GEntry!GD7</f>
        <v>0</v>
      </c>
      <c r="FE17" s="765">
        <f>GEntry!GE7</f>
        <v>0</v>
      </c>
      <c r="FF17" s="765">
        <f>GEntry!FI7</f>
        <v>0</v>
      </c>
      <c r="FG17" s="765">
        <f>GEntry!FJ7</f>
        <v>0</v>
      </c>
      <c r="FH17" s="765">
        <f>GEntry!FK7</f>
        <v>0</v>
      </c>
      <c r="FI17" s="765">
        <f>GEntry!FL7</f>
        <v>0</v>
      </c>
      <c r="FJ17" s="765">
        <f>GEntry!EP7</f>
        <v>11</v>
      </c>
      <c r="FK17" s="765">
        <f>GEntry!ES7</f>
        <v>0</v>
      </c>
      <c r="FL17" s="763">
        <f>GEntry!FM7</f>
        <v>172</v>
      </c>
      <c r="FM17" s="765">
        <f>GEntry!FN7</f>
        <v>0</v>
      </c>
      <c r="FN17" s="764">
        <f>GEntry!FO7</f>
        <v>391</v>
      </c>
      <c r="FO17" s="1687">
        <f>GEntry!EH7</f>
        <v>0</v>
      </c>
      <c r="FP17" s="1689">
        <f>GEntry!GA7</f>
        <v>0</v>
      </c>
      <c r="FQ17" s="1694">
        <f>GEntry!GB7</f>
        <v>0</v>
      </c>
      <c r="FR17" s="1877">
        <f>GEntry!EW7</f>
        <v>0</v>
      </c>
      <c r="FS17" s="1981">
        <f>GEntry!GF7</f>
        <v>0</v>
      </c>
      <c r="FT17" s="1983">
        <f>GEntry!FP7</f>
        <v>0</v>
      </c>
      <c r="FU17" s="2154">
        <f>GEntry!GG7</f>
        <v>0</v>
      </c>
      <c r="FV17" s="3143">
        <f>GEntry!GC7</f>
        <v>0</v>
      </c>
      <c r="FW17" s="764">
        <f>GEntry!EZ7</f>
        <v>300</v>
      </c>
      <c r="FX17" s="3685">
        <f>GEntry!EL7</f>
        <v>150</v>
      </c>
      <c r="FY17" s="3758">
        <f>GEntry!EM7</f>
        <v>0</v>
      </c>
      <c r="FZ17" s="3760">
        <f>GEntry!EK7</f>
        <v>0</v>
      </c>
      <c r="GA17" s="4897">
        <f>GEntry!FH7</f>
        <v>0</v>
      </c>
      <c r="GB17" s="4984">
        <f>GEntry!EI7</f>
        <v>0</v>
      </c>
      <c r="GC17" s="3685">
        <f>GEntry!GH7</f>
        <v>0</v>
      </c>
      <c r="GD17" s="993"/>
      <c r="GE17" s="910">
        <f t="shared" ref="GE17:GE39" si="12">SUM(B17:DX17)</f>
        <v>3720</v>
      </c>
      <c r="GF17" s="909">
        <f t="shared" si="6"/>
        <v>1790</v>
      </c>
      <c r="GG17" s="906">
        <f t="shared" si="7"/>
        <v>5510</v>
      </c>
      <c r="GH17" s="650">
        <f t="shared" si="8"/>
        <v>2313</v>
      </c>
      <c r="GI17" s="650">
        <f t="shared" si="0"/>
        <v>423</v>
      </c>
      <c r="GJ17" s="650">
        <f t="shared" ref="GJ17:GJ41" si="13">G17+H17 +J17+M17+N17+BC17+BJ17+BM17 +BN17+BO17+BP17+CD17+CE17+CF17+CI17+CJ17+CM17+CN17+CO17+EK17+EX17+EY17+FJ17+FN17+FX17</f>
        <v>1670</v>
      </c>
      <c r="GK17" s="650">
        <f t="shared" si="9"/>
        <v>0</v>
      </c>
      <c r="GL17" s="650">
        <f t="shared" si="1"/>
        <v>461</v>
      </c>
      <c r="GM17" s="650">
        <f t="shared" si="2"/>
        <v>499</v>
      </c>
      <c r="GN17" s="650">
        <f t="shared" si="3"/>
        <v>83</v>
      </c>
      <c r="GO17" s="650">
        <f t="shared" si="10"/>
        <v>0</v>
      </c>
      <c r="GP17" s="650">
        <f t="shared" si="11"/>
        <v>0</v>
      </c>
      <c r="GQ17" s="650">
        <f t="shared" si="4"/>
        <v>61</v>
      </c>
      <c r="GR17" s="905">
        <f t="shared" si="5"/>
        <v>0</v>
      </c>
      <c r="GS17" s="904">
        <f>FWise!M9</f>
        <v>0</v>
      </c>
      <c r="GT17" s="3543">
        <f>GEntry!GL7</f>
        <v>97.27</v>
      </c>
      <c r="GU17" s="13"/>
      <c r="GV17" s="13"/>
      <c r="GW17" s="13"/>
      <c r="HF17" s="139"/>
      <c r="HG17" s="139"/>
      <c r="IX17" s="139"/>
      <c r="IY17" s="139"/>
    </row>
    <row r="18" spans="1:275" ht="22.5" customHeight="1" thickBot="1">
      <c r="A18" s="609">
        <v>0.20833333333333401</v>
      </c>
      <c r="B18" s="761">
        <f>GEntry!W8</f>
        <v>0</v>
      </c>
      <c r="C18" s="758">
        <f>GEntry!X9</f>
        <v>0</v>
      </c>
      <c r="D18" s="758">
        <f>GEntry!Y8</f>
        <v>241</v>
      </c>
      <c r="E18" s="758">
        <f>GEntry!Z8</f>
        <v>0</v>
      </c>
      <c r="F18" s="759">
        <f>GEntry!AB8</f>
        <v>0</v>
      </c>
      <c r="G18" s="759">
        <f>GEntry!BY8</f>
        <v>0</v>
      </c>
      <c r="H18" s="758">
        <f>GEntry!CS8</f>
        <v>0</v>
      </c>
      <c r="I18" s="758">
        <f>GEntry!AO8</f>
        <v>0</v>
      </c>
      <c r="J18" s="758">
        <f>GEntry!AQ8</f>
        <v>271</v>
      </c>
      <c r="K18" s="758"/>
      <c r="L18" s="758">
        <f>GEntry!AN8</f>
        <v>0</v>
      </c>
      <c r="M18" s="758">
        <f>GEntry!AP8</f>
        <v>180</v>
      </c>
      <c r="N18" s="758">
        <f>GEntry!CP8</f>
        <v>0</v>
      </c>
      <c r="O18" s="758">
        <f>GEntry!CQ8</f>
        <v>0</v>
      </c>
      <c r="P18" s="758">
        <f>GEntry!CL8</f>
        <v>0</v>
      </c>
      <c r="Q18" s="758">
        <f>GEntry!DC8</f>
        <v>0</v>
      </c>
      <c r="R18" s="758">
        <f>GEntry!T8</f>
        <v>0</v>
      </c>
      <c r="S18" s="758">
        <f>GEntry!R8</f>
        <v>0</v>
      </c>
      <c r="T18" s="758">
        <f>GEntry!S8</f>
        <v>0</v>
      </c>
      <c r="U18" s="758">
        <f>GEntry!CC8</f>
        <v>0</v>
      </c>
      <c r="V18" s="759">
        <f>GEntry!CX8</f>
        <v>0</v>
      </c>
      <c r="W18" s="758">
        <f>GEntry!CE8</f>
        <v>0</v>
      </c>
      <c r="X18" s="758">
        <f>GEntry!CO8</f>
        <v>0</v>
      </c>
      <c r="Y18" s="758">
        <f>GEntry!DB8</f>
        <v>0</v>
      </c>
      <c r="Z18" s="758">
        <f>GEntry!CM8</f>
        <v>0</v>
      </c>
      <c r="AA18" s="758">
        <f>GEntry!DA8</f>
        <v>0</v>
      </c>
      <c r="AB18" s="758">
        <f>GEntry!DG8</f>
        <v>35</v>
      </c>
      <c r="AC18" s="758">
        <f>GEntry!DD8</f>
        <v>17</v>
      </c>
      <c r="AD18" s="758">
        <f>GEntry!BJ8</f>
        <v>17</v>
      </c>
      <c r="AE18" s="758">
        <f>GEntry!BM8</f>
        <v>16</v>
      </c>
      <c r="AF18" s="758">
        <f>GEntry!BU8</f>
        <v>25</v>
      </c>
      <c r="AG18" s="758">
        <f>GEntry!BV8</f>
        <v>9</v>
      </c>
      <c r="AH18" s="758">
        <f>GEntry!BW8</f>
        <v>14</v>
      </c>
      <c r="AI18" s="758">
        <f>GEntry!BX8</f>
        <v>33</v>
      </c>
      <c r="AJ18" s="758">
        <f>GEntry!CD8</f>
        <v>0</v>
      </c>
      <c r="AK18" s="758">
        <f>GEntry!AM8</f>
        <v>0</v>
      </c>
      <c r="AL18" s="1157">
        <f>GEntry!B8</f>
        <v>38</v>
      </c>
      <c r="AM18" s="1157">
        <f>GEntry!C8</f>
        <v>40</v>
      </c>
      <c r="AN18" s="758">
        <f>GEntry!D8</f>
        <v>0</v>
      </c>
      <c r="AO18" s="758">
        <f>GEntry!E8</f>
        <v>0</v>
      </c>
      <c r="AP18" s="758">
        <f>GEntry!F8</f>
        <v>0</v>
      </c>
      <c r="AQ18" s="758">
        <f>GEntry!H8</f>
        <v>0</v>
      </c>
      <c r="AR18" s="758">
        <f>GEntry!I8</f>
        <v>0</v>
      </c>
      <c r="AS18" s="758">
        <f>GEntry!K8</f>
        <v>0</v>
      </c>
      <c r="AT18" s="758">
        <f>GEntry!L8</f>
        <v>0</v>
      </c>
      <c r="AU18" s="758"/>
      <c r="AV18" s="758">
        <f>GEntry!BK8</f>
        <v>22</v>
      </c>
      <c r="AW18" s="758">
        <f>GEntry!N8</f>
        <v>0</v>
      </c>
      <c r="AX18" s="758">
        <f>GEntry!M8</f>
        <v>0</v>
      </c>
      <c r="AY18" s="758">
        <f>GEntry!CU8</f>
        <v>0</v>
      </c>
      <c r="AZ18" s="758">
        <f>GEntry!CZ8</f>
        <v>6</v>
      </c>
      <c r="BA18" s="758">
        <f>GEntry!CY8</f>
        <v>0</v>
      </c>
      <c r="BB18" s="758">
        <f>GEntry!BL8</f>
        <v>21</v>
      </c>
      <c r="BC18" s="758">
        <f>GEntry!BP8</f>
        <v>32</v>
      </c>
      <c r="BD18" s="758">
        <f>GEntry!AD8</f>
        <v>0</v>
      </c>
      <c r="BE18" s="758">
        <f>GEntry!AE8</f>
        <v>0</v>
      </c>
      <c r="BF18" s="758">
        <f>GEntry!AF8</f>
        <v>80</v>
      </c>
      <c r="BG18" s="758">
        <f>GEntry!AJ8</f>
        <v>150</v>
      </c>
      <c r="BH18" s="758">
        <f>GEntry!AI8</f>
        <v>275</v>
      </c>
      <c r="BI18" s="758">
        <f>GEntry!AH8</f>
        <v>168</v>
      </c>
      <c r="BJ18" s="758">
        <f>GEntry!V8</f>
        <v>8</v>
      </c>
      <c r="BK18" s="758">
        <f>GEntry!AL8</f>
        <v>137</v>
      </c>
      <c r="BL18" s="758">
        <f>GEntry!AG8</f>
        <v>3</v>
      </c>
      <c r="BM18" s="758">
        <f>GEntry!AK8</f>
        <v>5</v>
      </c>
      <c r="BN18" s="758">
        <f>GEntry!CT8</f>
        <v>0</v>
      </c>
      <c r="BO18" s="759">
        <f>GEntry!CW8</f>
        <v>51</v>
      </c>
      <c r="BP18" s="759">
        <f>GEntry!CN8</f>
        <v>0</v>
      </c>
      <c r="BQ18" s="759">
        <f>GEntry!Q8</f>
        <v>0</v>
      </c>
      <c r="BR18" s="758">
        <f>GEntry!CG8</f>
        <v>8</v>
      </c>
      <c r="BS18" s="759">
        <f>GEntry!BQ8</f>
        <v>21</v>
      </c>
      <c r="BT18" s="759">
        <f>GEntry!BR8</f>
        <v>11</v>
      </c>
      <c r="BU18" s="759">
        <f>GEntry!BS8</f>
        <v>33</v>
      </c>
      <c r="BV18" s="759">
        <f>GEntry!BT8</f>
        <v>9</v>
      </c>
      <c r="BW18" s="749">
        <f>GEntry!BO8</f>
        <v>65</v>
      </c>
      <c r="BX18" s="759">
        <f>GEntry!AR8</f>
        <v>52</v>
      </c>
      <c r="BY18" s="759">
        <f>GEntry!CF8</f>
        <v>0</v>
      </c>
      <c r="BZ18" s="759">
        <f>GEntry!BN8</f>
        <v>22</v>
      </c>
      <c r="CA18" s="1159">
        <f>GEntry!DF8</f>
        <v>0</v>
      </c>
      <c r="CB18" s="759">
        <f>GEntry!AT8</f>
        <v>42</v>
      </c>
      <c r="CC18" s="759">
        <f>GEntry!AU8</f>
        <v>0</v>
      </c>
      <c r="CD18" s="759">
        <f>GEntry!BF8</f>
        <v>50</v>
      </c>
      <c r="CE18" s="759">
        <f>GEntry!CV8</f>
        <v>0</v>
      </c>
      <c r="CF18" s="759">
        <f>GEntry!DE8</f>
        <v>130</v>
      </c>
      <c r="CG18" s="759">
        <f>GEntry!AV8</f>
        <v>0</v>
      </c>
      <c r="CH18" s="759">
        <f>GEntry!AW8</f>
        <v>40</v>
      </c>
      <c r="CI18" s="759">
        <f>GEntry!AX8</f>
        <v>40</v>
      </c>
      <c r="CJ18" s="759">
        <f>GEntry!AZ8</f>
        <v>0</v>
      </c>
      <c r="CK18" s="759">
        <f>GEntry!BA8</f>
        <v>190</v>
      </c>
      <c r="CL18" s="759">
        <f>GEntry!BB8</f>
        <v>18</v>
      </c>
      <c r="CM18" s="759">
        <f>GEntry!BC8</f>
        <v>0</v>
      </c>
      <c r="CN18" s="759">
        <f>GEntry!BD8</f>
        <v>10</v>
      </c>
      <c r="CO18" s="759">
        <f>GEntry!BH8</f>
        <v>295</v>
      </c>
      <c r="CP18" s="759">
        <f>GEntry!BG8</f>
        <v>22</v>
      </c>
      <c r="CQ18" s="986">
        <f>GEntry!BE8</f>
        <v>8</v>
      </c>
      <c r="CR18" s="986">
        <f>GEntry!P8</f>
        <v>0</v>
      </c>
      <c r="CS18" s="986">
        <f>GEntry!U8</f>
        <v>30</v>
      </c>
      <c r="CT18" s="759">
        <f>GEntry!DH8</f>
        <v>0</v>
      </c>
      <c r="CU18" s="986">
        <f>GEntry!DI8</f>
        <v>0</v>
      </c>
      <c r="CV18" s="986">
        <f>GEntry!DJ8</f>
        <v>45</v>
      </c>
      <c r="CW18" s="759">
        <f>GEntry!DK8</f>
        <v>0</v>
      </c>
      <c r="CX18" s="986">
        <f>GEntry!DL8</f>
        <v>0</v>
      </c>
      <c r="CY18" s="986">
        <f>GEntry!G8</f>
        <v>0</v>
      </c>
      <c r="CZ18" s="986">
        <f>GEntry!DM8</f>
        <v>40</v>
      </c>
      <c r="DA18" s="759">
        <f>GEntry!DN8</f>
        <v>0</v>
      </c>
      <c r="DB18" s="1667">
        <f>GEntry!DO8</f>
        <v>50</v>
      </c>
      <c r="DC18" s="1652">
        <f>GEntry!DP8</f>
        <v>0</v>
      </c>
      <c r="DD18" s="1760">
        <f>GEntry!DQ8</f>
        <v>0</v>
      </c>
      <c r="DE18" s="1759">
        <f>GEntry!CH8</f>
        <v>0</v>
      </c>
      <c r="DF18" s="1864">
        <f>GEntry!O8</f>
        <v>0</v>
      </c>
      <c r="DG18" s="1857">
        <f>GEntry!CI8</f>
        <v>0</v>
      </c>
      <c r="DH18" s="2064">
        <f>GEntry!DR8</f>
        <v>0</v>
      </c>
      <c r="DI18" s="2065">
        <f>GEntry!CJ8</f>
        <v>54</v>
      </c>
      <c r="DJ18" s="2077">
        <f>GEntry!CK8</f>
        <v>17</v>
      </c>
      <c r="DK18" s="3078">
        <f>GEntry!BZ8</f>
        <v>0</v>
      </c>
      <c r="DL18" s="3370">
        <f>GEntry!CA8</f>
        <v>8</v>
      </c>
      <c r="DM18" s="3079">
        <f>GEntry!DS8</f>
        <v>0</v>
      </c>
      <c r="DN18" s="3517">
        <f>GEntry!BI8</f>
        <v>400</v>
      </c>
      <c r="DO18" s="3518">
        <f>GEntry!CR8</f>
        <v>0</v>
      </c>
      <c r="DP18" s="3720">
        <f>GEntry!AS8</f>
        <v>0</v>
      </c>
      <c r="DQ18" s="3777">
        <f>GEntry!CB8</f>
        <v>0</v>
      </c>
      <c r="DR18" s="3848">
        <f>GEntry!DT8</f>
        <v>87</v>
      </c>
      <c r="DS18" s="3850">
        <f>GEntry!AY8</f>
        <v>0</v>
      </c>
      <c r="DT18" s="4039">
        <f>GEntry!DU8</f>
        <v>17</v>
      </c>
      <c r="DU18" s="4041">
        <f>GEntry!DV8</f>
        <v>0</v>
      </c>
      <c r="DV18" s="4793">
        <f>GEntry!DW8</f>
        <v>0</v>
      </c>
      <c r="DW18" s="4793">
        <f>GEntry!DX8</f>
        <v>0</v>
      </c>
      <c r="DX18" s="990"/>
      <c r="DY18" s="767">
        <f>GEntry!EX8</f>
        <v>422</v>
      </c>
      <c r="DZ18" s="764">
        <f>GEntry!EV8</f>
        <v>0</v>
      </c>
      <c r="EA18" s="764">
        <f>GEntry!EY8</f>
        <v>0</v>
      </c>
      <c r="EB18" s="764">
        <f>GEntry!EB8</f>
        <v>0</v>
      </c>
      <c r="EC18" s="764">
        <f>GEntry!EC8</f>
        <v>0</v>
      </c>
      <c r="ED18" s="764">
        <f>GEntry!EG8</f>
        <v>0</v>
      </c>
      <c r="EE18" s="764">
        <f>GEntry!EA8</f>
        <v>0</v>
      </c>
      <c r="EF18" s="764">
        <f>GEntry!EE8</f>
        <v>0</v>
      </c>
      <c r="EG18" s="764">
        <f>GEntry!EF8</f>
        <v>0</v>
      </c>
      <c r="EH18" s="764">
        <f>GEntry!EU8</f>
        <v>0</v>
      </c>
      <c r="EI18" s="764">
        <f>GEntry!ET8</f>
        <v>0</v>
      </c>
      <c r="EJ18" s="764">
        <f>GEntry!EQ8</f>
        <v>91</v>
      </c>
      <c r="EK18" s="764">
        <f>GEntry!ER8</f>
        <v>15</v>
      </c>
      <c r="EL18" s="764">
        <f>GEntry!EN8</f>
        <v>0</v>
      </c>
      <c r="EM18" s="764">
        <f>GEntry!EO8</f>
        <v>0</v>
      </c>
      <c r="EN18" s="764">
        <f>GEntry!FF8</f>
        <v>0</v>
      </c>
      <c r="EO18" s="764">
        <f>GEntry!FE8</f>
        <v>0</v>
      </c>
      <c r="EP18" s="764">
        <f>GEntry!FG8</f>
        <v>0</v>
      </c>
      <c r="EQ18" s="764">
        <f>GEntry!FQ8</f>
        <v>0</v>
      </c>
      <c r="ER18" s="764">
        <f>GEntry!FZ8</f>
        <v>0</v>
      </c>
      <c r="ES18" s="764">
        <f>GEntry!FU8</f>
        <v>0</v>
      </c>
      <c r="ET18" s="764">
        <f>GEntry!FV8</f>
        <v>0</v>
      </c>
      <c r="EU18" s="764">
        <f>GEntry!FW8</f>
        <v>0</v>
      </c>
      <c r="EV18" s="764">
        <f>GEntry!FY8</f>
        <v>8</v>
      </c>
      <c r="EW18" s="764">
        <f>GEntry!FX8</f>
        <v>0</v>
      </c>
      <c r="EX18" s="764">
        <f>GEntry!FR8</f>
        <v>22</v>
      </c>
      <c r="EY18" s="764">
        <f>GEntry!FS8</f>
        <v>0</v>
      </c>
      <c r="EZ18" s="764">
        <f>GEntry!FT8</f>
        <v>8</v>
      </c>
      <c r="FA18" s="1155">
        <f>GEntry!FB8</f>
        <v>0</v>
      </c>
      <c r="FB18" s="1155">
        <f>GEntry!FC8</f>
        <v>0</v>
      </c>
      <c r="FC18" s="1155">
        <f>GEntry!FD8</f>
        <v>199</v>
      </c>
      <c r="FD18" s="764">
        <f>GEntry!GD8</f>
        <v>0</v>
      </c>
      <c r="FE18" s="765">
        <f>GEntry!GE8</f>
        <v>0</v>
      </c>
      <c r="FF18" s="765">
        <f>GEntry!FI8</f>
        <v>0</v>
      </c>
      <c r="FG18" s="765">
        <f>GEntry!FJ8</f>
        <v>0</v>
      </c>
      <c r="FH18" s="765">
        <f>GEntry!FK8</f>
        <v>0</v>
      </c>
      <c r="FI18" s="765">
        <f>GEntry!FL8</f>
        <v>0</v>
      </c>
      <c r="FJ18" s="765">
        <f>GEntry!EP8</f>
        <v>11</v>
      </c>
      <c r="FK18" s="765">
        <f>GEntry!ES8</f>
        <v>0</v>
      </c>
      <c r="FL18" s="763">
        <f>GEntry!FM8</f>
        <v>176</v>
      </c>
      <c r="FM18" s="765">
        <f>GEntry!FN8</f>
        <v>0</v>
      </c>
      <c r="FN18" s="764">
        <f>GEntry!FO8</f>
        <v>365</v>
      </c>
      <c r="FO18" s="1687">
        <f>GEntry!EH8</f>
        <v>0</v>
      </c>
      <c r="FP18" s="1689">
        <f>GEntry!GA8</f>
        <v>0</v>
      </c>
      <c r="FQ18" s="1694">
        <f>GEntry!GB8</f>
        <v>0</v>
      </c>
      <c r="FR18" s="1877">
        <f>GEntry!EW8</f>
        <v>0</v>
      </c>
      <c r="FS18" s="1981">
        <f>GEntry!GF8</f>
        <v>0</v>
      </c>
      <c r="FT18" s="1983">
        <f>GEntry!FP8</f>
        <v>0</v>
      </c>
      <c r="FU18" s="2154">
        <f>GEntry!GG8</f>
        <v>0</v>
      </c>
      <c r="FV18" s="3143">
        <f>GEntry!GC8</f>
        <v>0</v>
      </c>
      <c r="FW18" s="764">
        <f>GEntry!EZ8</f>
        <v>300</v>
      </c>
      <c r="FX18" s="3685">
        <f>GEntry!EL8</f>
        <v>150</v>
      </c>
      <c r="FY18" s="3758">
        <f>GEntry!EM8</f>
        <v>0</v>
      </c>
      <c r="FZ18" s="3760">
        <f>GEntry!EK8</f>
        <v>0</v>
      </c>
      <c r="GA18" s="4897">
        <f>GEntry!FH8</f>
        <v>0</v>
      </c>
      <c r="GB18" s="4984">
        <f>GEntry!EI8</f>
        <v>0</v>
      </c>
      <c r="GC18" s="3685">
        <f>GEntry!GH8</f>
        <v>0</v>
      </c>
      <c r="GD18" s="993"/>
      <c r="GE18" s="910">
        <f t="shared" si="12"/>
        <v>3708</v>
      </c>
      <c r="GF18" s="909">
        <f t="shared" si="6"/>
        <v>1767</v>
      </c>
      <c r="GG18" s="906">
        <f t="shared" si="7"/>
        <v>5475</v>
      </c>
      <c r="GH18" s="650">
        <f t="shared" si="8"/>
        <v>2315</v>
      </c>
      <c r="GI18" s="650">
        <f t="shared" si="0"/>
        <v>422</v>
      </c>
      <c r="GJ18" s="650">
        <f t="shared" si="13"/>
        <v>1635</v>
      </c>
      <c r="GK18" s="650">
        <f t="shared" si="9"/>
        <v>0</v>
      </c>
      <c r="GL18" s="650">
        <f t="shared" si="1"/>
        <v>461</v>
      </c>
      <c r="GM18" s="650">
        <f t="shared" si="2"/>
        <v>499</v>
      </c>
      <c r="GN18" s="650">
        <f t="shared" si="3"/>
        <v>78</v>
      </c>
      <c r="GO18" s="650">
        <f t="shared" si="10"/>
        <v>0</v>
      </c>
      <c r="GP18" s="650">
        <f t="shared" si="11"/>
        <v>0</v>
      </c>
      <c r="GQ18" s="650">
        <f t="shared" si="4"/>
        <v>65</v>
      </c>
      <c r="GR18" s="905">
        <f t="shared" si="5"/>
        <v>0</v>
      </c>
      <c r="GS18" s="904">
        <f>FWise!M10</f>
        <v>0</v>
      </c>
      <c r="GT18" s="3543">
        <f>GEntry!GL8</f>
        <v>97.26</v>
      </c>
      <c r="GU18" s="13"/>
      <c r="GV18" s="13"/>
      <c r="GW18" s="13"/>
      <c r="HF18" s="139"/>
      <c r="HG18" s="139"/>
      <c r="IX18" s="139"/>
      <c r="IY18" s="139"/>
    </row>
    <row r="19" spans="1:275" ht="21.75" customHeight="1" thickBot="1">
      <c r="A19" s="609">
        <v>0.25</v>
      </c>
      <c r="B19" s="761">
        <f>GEntry!W9</f>
        <v>0</v>
      </c>
      <c r="C19" s="758">
        <f>GEntry!X9</f>
        <v>0</v>
      </c>
      <c r="D19" s="758">
        <f>GEntry!Y9</f>
        <v>241</v>
      </c>
      <c r="E19" s="758">
        <f>GEntry!Z9</f>
        <v>0</v>
      </c>
      <c r="F19" s="759">
        <f>GEntry!AB9</f>
        <v>0</v>
      </c>
      <c r="G19" s="759">
        <f>GEntry!BY9</f>
        <v>0</v>
      </c>
      <c r="H19" s="758">
        <f>GEntry!CS9</f>
        <v>0</v>
      </c>
      <c r="I19" s="758">
        <f>GEntry!AO9</f>
        <v>0</v>
      </c>
      <c r="J19" s="758">
        <f>GEntry!AQ9</f>
        <v>271</v>
      </c>
      <c r="K19" s="758"/>
      <c r="L19" s="758">
        <f>GEntry!AN9</f>
        <v>0</v>
      </c>
      <c r="M19" s="758">
        <f>GEntry!AP9</f>
        <v>180</v>
      </c>
      <c r="N19" s="758">
        <f>GEntry!CP9</f>
        <v>0</v>
      </c>
      <c r="O19" s="758">
        <f>GEntry!CQ9</f>
        <v>0</v>
      </c>
      <c r="P19" s="758">
        <f>GEntry!CL9</f>
        <v>0</v>
      </c>
      <c r="Q19" s="758">
        <f>GEntry!DC9</f>
        <v>0</v>
      </c>
      <c r="R19" s="758">
        <f>GEntry!T9</f>
        <v>0</v>
      </c>
      <c r="S19" s="758">
        <f>GEntry!R9</f>
        <v>0</v>
      </c>
      <c r="T19" s="758">
        <f>GEntry!S9</f>
        <v>0</v>
      </c>
      <c r="U19" s="758">
        <f>GEntry!CC9</f>
        <v>0</v>
      </c>
      <c r="V19" s="759">
        <f>GEntry!CX9</f>
        <v>0</v>
      </c>
      <c r="W19" s="758">
        <f>GEntry!CE9</f>
        <v>0</v>
      </c>
      <c r="X19" s="758">
        <f>GEntry!CO9</f>
        <v>0</v>
      </c>
      <c r="Y19" s="758">
        <f>GEntry!DB9</f>
        <v>0</v>
      </c>
      <c r="Z19" s="758">
        <f>GEntry!CM9</f>
        <v>0</v>
      </c>
      <c r="AA19" s="758">
        <f>GEntry!DA9</f>
        <v>0</v>
      </c>
      <c r="AB19" s="758">
        <f>GEntry!DG9</f>
        <v>35</v>
      </c>
      <c r="AC19" s="758">
        <f>GEntry!DD9</f>
        <v>17</v>
      </c>
      <c r="AD19" s="758">
        <f>GEntry!BJ9</f>
        <v>35</v>
      </c>
      <c r="AE19" s="758">
        <f>GEntry!BM9</f>
        <v>16</v>
      </c>
      <c r="AF19" s="758">
        <f>GEntry!BU9</f>
        <v>25</v>
      </c>
      <c r="AG19" s="758">
        <f>GEntry!BV9</f>
        <v>9</v>
      </c>
      <c r="AH19" s="758">
        <f>GEntry!BW9</f>
        <v>14</v>
      </c>
      <c r="AI19" s="758">
        <f>GEntry!BX9</f>
        <v>33</v>
      </c>
      <c r="AJ19" s="758">
        <f>GEntry!CD9</f>
        <v>0</v>
      </c>
      <c r="AK19" s="758">
        <f>GEntry!AM9</f>
        <v>0</v>
      </c>
      <c r="AL19" s="1157">
        <f>GEntry!B9</f>
        <v>46</v>
      </c>
      <c r="AM19" s="1157">
        <f>GEntry!C9</f>
        <v>40</v>
      </c>
      <c r="AN19" s="758">
        <f>GEntry!D9</f>
        <v>0</v>
      </c>
      <c r="AO19" s="758">
        <f>GEntry!E9</f>
        <v>0</v>
      </c>
      <c r="AP19" s="758">
        <f>GEntry!F9</f>
        <v>0</v>
      </c>
      <c r="AQ19" s="758">
        <f>GEntry!H9</f>
        <v>0</v>
      </c>
      <c r="AR19" s="758">
        <f>GEntry!I9</f>
        <v>0</v>
      </c>
      <c r="AS19" s="758">
        <f>GEntry!K9</f>
        <v>0</v>
      </c>
      <c r="AT19" s="758">
        <f>GEntry!L9</f>
        <v>0</v>
      </c>
      <c r="AU19" s="758"/>
      <c r="AV19" s="758">
        <f>GEntry!BK9</f>
        <v>22</v>
      </c>
      <c r="AW19" s="758">
        <f>GEntry!N9</f>
        <v>0</v>
      </c>
      <c r="AX19" s="758">
        <f>GEntry!M9</f>
        <v>0</v>
      </c>
      <c r="AY19" s="758">
        <f>GEntry!CU9</f>
        <v>0</v>
      </c>
      <c r="AZ19" s="758">
        <f>GEntry!CZ9</f>
        <v>5</v>
      </c>
      <c r="BA19" s="758">
        <f>GEntry!CY9</f>
        <v>0</v>
      </c>
      <c r="BB19" s="758">
        <f>GEntry!BL9</f>
        <v>21</v>
      </c>
      <c r="BC19" s="758">
        <f>GEntry!BP9</f>
        <v>32</v>
      </c>
      <c r="BD19" s="758">
        <f>GEntry!AD9</f>
        <v>0</v>
      </c>
      <c r="BE19" s="758">
        <f>GEntry!AE9</f>
        <v>0</v>
      </c>
      <c r="BF19" s="758">
        <f>GEntry!AF9</f>
        <v>80</v>
      </c>
      <c r="BG19" s="758">
        <f>GEntry!AJ9</f>
        <v>150</v>
      </c>
      <c r="BH19" s="758">
        <f>GEntry!AI9</f>
        <v>325</v>
      </c>
      <c r="BI19" s="758">
        <f>GEntry!AH9</f>
        <v>153</v>
      </c>
      <c r="BJ19" s="758">
        <f>GEntry!V9</f>
        <v>8</v>
      </c>
      <c r="BK19" s="758">
        <f>GEntry!AL9</f>
        <v>136</v>
      </c>
      <c r="BL19" s="758">
        <f>GEntry!AG9</f>
        <v>3</v>
      </c>
      <c r="BM19" s="758">
        <f>GEntry!AK9</f>
        <v>5</v>
      </c>
      <c r="BN19" s="758">
        <f>GEntry!CT9</f>
        <v>0</v>
      </c>
      <c r="BO19" s="759">
        <f>GEntry!CW9</f>
        <v>51</v>
      </c>
      <c r="BP19" s="759">
        <f>GEntry!CN9</f>
        <v>0</v>
      </c>
      <c r="BQ19" s="759">
        <f>GEntry!Q9</f>
        <v>0</v>
      </c>
      <c r="BR19" s="758">
        <f>GEntry!CG9</f>
        <v>10</v>
      </c>
      <c r="BS19" s="759">
        <f>GEntry!BQ9</f>
        <v>21</v>
      </c>
      <c r="BT19" s="759">
        <f>GEntry!BR9</f>
        <v>11</v>
      </c>
      <c r="BU19" s="759">
        <f>GEntry!BS9</f>
        <v>33</v>
      </c>
      <c r="BV19" s="759">
        <f>GEntry!BT9</f>
        <v>9</v>
      </c>
      <c r="BW19" s="749">
        <f>GEntry!BO9</f>
        <v>66</v>
      </c>
      <c r="BX19" s="759">
        <f>GEntry!AR9</f>
        <v>52</v>
      </c>
      <c r="BY19" s="759">
        <f>GEntry!CF9</f>
        <v>0</v>
      </c>
      <c r="BZ19" s="759">
        <f>GEntry!BN9</f>
        <v>22</v>
      </c>
      <c r="CA19" s="1159">
        <f>GEntry!DF9</f>
        <v>0</v>
      </c>
      <c r="CB19" s="759">
        <f>GEntry!AT9</f>
        <v>42</v>
      </c>
      <c r="CC19" s="759">
        <f>GEntry!AU9</f>
        <v>0</v>
      </c>
      <c r="CD19" s="759">
        <f>GEntry!BF9</f>
        <v>50</v>
      </c>
      <c r="CE19" s="759">
        <f>GEntry!CV9</f>
        <v>0</v>
      </c>
      <c r="CF19" s="759">
        <f>GEntry!DE9</f>
        <v>130</v>
      </c>
      <c r="CG19" s="759">
        <f>GEntry!AV9</f>
        <v>0</v>
      </c>
      <c r="CH19" s="759">
        <f>GEntry!AW9</f>
        <v>40</v>
      </c>
      <c r="CI19" s="759">
        <f>GEntry!AX9</f>
        <v>40</v>
      </c>
      <c r="CJ19" s="759">
        <f>GEntry!AZ9</f>
        <v>0</v>
      </c>
      <c r="CK19" s="759">
        <f>GEntry!BA9</f>
        <v>190</v>
      </c>
      <c r="CL19" s="759">
        <f>GEntry!BB9</f>
        <v>18</v>
      </c>
      <c r="CM19" s="759">
        <f>GEntry!BC9</f>
        <v>0</v>
      </c>
      <c r="CN19" s="759">
        <f>GEntry!BD9</f>
        <v>10</v>
      </c>
      <c r="CO19" s="759">
        <f>GEntry!BH9</f>
        <v>300</v>
      </c>
      <c r="CP19" s="759">
        <f>GEntry!BG9</f>
        <v>22</v>
      </c>
      <c r="CQ19" s="986">
        <f>GEntry!BE9</f>
        <v>8</v>
      </c>
      <c r="CR19" s="986">
        <f>GEntry!P9</f>
        <v>0</v>
      </c>
      <c r="CS19" s="986">
        <f>GEntry!U9</f>
        <v>30</v>
      </c>
      <c r="CT19" s="759">
        <f>GEntry!DH9</f>
        <v>0</v>
      </c>
      <c r="CU19" s="986">
        <f>GEntry!DI9</f>
        <v>0</v>
      </c>
      <c r="CV19" s="986">
        <f>GEntry!DJ9</f>
        <v>45</v>
      </c>
      <c r="CW19" s="759">
        <f>GEntry!DK9</f>
        <v>0</v>
      </c>
      <c r="CX19" s="986">
        <f>GEntry!DL9</f>
        <v>0</v>
      </c>
      <c r="CY19" s="986">
        <f>GEntry!G9</f>
        <v>0</v>
      </c>
      <c r="CZ19" s="986">
        <f>GEntry!DM9</f>
        <v>90</v>
      </c>
      <c r="DA19" s="759">
        <f>GEntry!DN9</f>
        <v>0</v>
      </c>
      <c r="DB19" s="1667">
        <f>GEntry!DO9</f>
        <v>63</v>
      </c>
      <c r="DC19" s="1652">
        <f>GEntry!DP9</f>
        <v>0</v>
      </c>
      <c r="DD19" s="1760">
        <f>GEntry!DQ9</f>
        <v>0</v>
      </c>
      <c r="DE19" s="1759">
        <f>GEntry!CH9</f>
        <v>0</v>
      </c>
      <c r="DF19" s="1864">
        <f>GEntry!O9</f>
        <v>0</v>
      </c>
      <c r="DG19" s="1857">
        <f>GEntry!CI9</f>
        <v>0</v>
      </c>
      <c r="DH19" s="2064">
        <f>GEntry!DR9</f>
        <v>5</v>
      </c>
      <c r="DI19" s="2065">
        <f>GEntry!CJ9</f>
        <v>54</v>
      </c>
      <c r="DJ19" s="2077">
        <f>GEntry!CK9</f>
        <v>17</v>
      </c>
      <c r="DK19" s="3078">
        <f>GEntry!BZ9</f>
        <v>0</v>
      </c>
      <c r="DL19" s="3370">
        <f>GEntry!CA9</f>
        <v>25</v>
      </c>
      <c r="DM19" s="3079">
        <f>GEntry!DS9</f>
        <v>30</v>
      </c>
      <c r="DN19" s="3517">
        <f>GEntry!BI9</f>
        <v>400</v>
      </c>
      <c r="DO19" s="3518">
        <f>GEntry!CR9</f>
        <v>0</v>
      </c>
      <c r="DP19" s="3720">
        <f>GEntry!AS9</f>
        <v>0</v>
      </c>
      <c r="DQ19" s="3777">
        <f>GEntry!CB9</f>
        <v>1</v>
      </c>
      <c r="DR19" s="3848">
        <f>GEntry!DT9</f>
        <v>103</v>
      </c>
      <c r="DS19" s="3850">
        <f>GEntry!AY9</f>
        <v>0</v>
      </c>
      <c r="DT19" s="4039">
        <f>GEntry!DU9</f>
        <v>17</v>
      </c>
      <c r="DU19" s="4041">
        <f>GEntry!DV9</f>
        <v>0</v>
      </c>
      <c r="DV19" s="4793">
        <f>GEntry!DW9</f>
        <v>0</v>
      </c>
      <c r="DW19" s="4793">
        <f>GEntry!DX9</f>
        <v>0</v>
      </c>
      <c r="DX19" s="990"/>
      <c r="DY19" s="767">
        <f>GEntry!EX9</f>
        <v>423</v>
      </c>
      <c r="DZ19" s="764">
        <f>GEntry!EV9</f>
        <v>0</v>
      </c>
      <c r="EA19" s="764">
        <f>GEntry!EY9</f>
        <v>0</v>
      </c>
      <c r="EB19" s="764">
        <f>GEntry!EB9</f>
        <v>0</v>
      </c>
      <c r="EC19" s="764">
        <f>GEntry!EC9</f>
        <v>0</v>
      </c>
      <c r="ED19" s="764">
        <f>GEntry!EG9</f>
        <v>0</v>
      </c>
      <c r="EE19" s="764">
        <f>GEntry!EA9</f>
        <v>0</v>
      </c>
      <c r="EF19" s="764">
        <f>GEntry!EE9</f>
        <v>0</v>
      </c>
      <c r="EG19" s="764">
        <f>GEntry!EF9</f>
        <v>0</v>
      </c>
      <c r="EH19" s="764">
        <f>GEntry!EU9</f>
        <v>0</v>
      </c>
      <c r="EI19" s="764">
        <f>GEntry!ET9</f>
        <v>0</v>
      </c>
      <c r="EJ19" s="764">
        <f>GEntry!EQ9</f>
        <v>91</v>
      </c>
      <c r="EK19" s="764">
        <f>GEntry!ER9</f>
        <v>17</v>
      </c>
      <c r="EL19" s="764">
        <f>GEntry!EN9</f>
        <v>0</v>
      </c>
      <c r="EM19" s="764">
        <f>GEntry!EO9</f>
        <v>0</v>
      </c>
      <c r="EN19" s="764">
        <f>GEntry!FF9</f>
        <v>0</v>
      </c>
      <c r="EO19" s="764">
        <f>GEntry!FE9</f>
        <v>0</v>
      </c>
      <c r="EP19" s="764">
        <f>GEntry!FG9</f>
        <v>0</v>
      </c>
      <c r="EQ19" s="764">
        <f>GEntry!FQ9</f>
        <v>0</v>
      </c>
      <c r="ER19" s="764">
        <f>GEntry!FZ9</f>
        <v>0</v>
      </c>
      <c r="ES19" s="764">
        <f>GEntry!FU9</f>
        <v>0</v>
      </c>
      <c r="ET19" s="764">
        <f>GEntry!FV9</f>
        <v>0</v>
      </c>
      <c r="EU19" s="764">
        <f>GEntry!FW9</f>
        <v>0</v>
      </c>
      <c r="EV19" s="764">
        <f>GEntry!FY9</f>
        <v>8</v>
      </c>
      <c r="EW19" s="764">
        <f>GEntry!FX9</f>
        <v>0</v>
      </c>
      <c r="EX19" s="764">
        <f>GEntry!FR9</f>
        <v>22</v>
      </c>
      <c r="EY19" s="764">
        <f>GEntry!FS9</f>
        <v>0</v>
      </c>
      <c r="EZ19" s="764">
        <f>GEntry!FT9</f>
        <v>8</v>
      </c>
      <c r="FA19" s="1155">
        <f>GEntry!FB9</f>
        <v>0</v>
      </c>
      <c r="FB19" s="1155">
        <f>GEntry!FC9</f>
        <v>0</v>
      </c>
      <c r="FC19" s="1155">
        <f>GEntry!FD9</f>
        <v>199</v>
      </c>
      <c r="FD19" s="764">
        <f>GEntry!GD9</f>
        <v>0</v>
      </c>
      <c r="FE19" s="765">
        <f>GEntry!GE9</f>
        <v>0</v>
      </c>
      <c r="FF19" s="765">
        <f>GEntry!FI9</f>
        <v>0</v>
      </c>
      <c r="FG19" s="765">
        <f>GEntry!FJ9</f>
        <v>0</v>
      </c>
      <c r="FH19" s="765">
        <f>GEntry!FK9</f>
        <v>0</v>
      </c>
      <c r="FI19" s="765">
        <f>GEntry!FL9</f>
        <v>0</v>
      </c>
      <c r="FJ19" s="765">
        <f>GEntry!EP9</f>
        <v>11</v>
      </c>
      <c r="FK19" s="765">
        <f>GEntry!ES9</f>
        <v>0</v>
      </c>
      <c r="FL19" s="763">
        <f>GEntry!FM9</f>
        <v>174</v>
      </c>
      <c r="FM19" s="765">
        <f>GEntry!FN9</f>
        <v>0</v>
      </c>
      <c r="FN19" s="764">
        <f>GEntry!FO9</f>
        <v>408</v>
      </c>
      <c r="FO19" s="1687">
        <f>GEntry!EH9</f>
        <v>0</v>
      </c>
      <c r="FP19" s="1689">
        <f>GEntry!GA9</f>
        <v>0</v>
      </c>
      <c r="FQ19" s="1694">
        <f>GEntry!GB9</f>
        <v>0</v>
      </c>
      <c r="FR19" s="1877">
        <f>GEntry!EW9</f>
        <v>0</v>
      </c>
      <c r="FS19" s="1981">
        <f>GEntry!GF9</f>
        <v>34</v>
      </c>
      <c r="FT19" s="1983">
        <f>GEntry!FP9</f>
        <v>0</v>
      </c>
      <c r="FU19" s="2154">
        <f>GEntry!GG9</f>
        <v>0</v>
      </c>
      <c r="FV19" s="3143">
        <f>GEntry!GC9</f>
        <v>10</v>
      </c>
      <c r="FW19" s="764">
        <f>GEntry!EZ9</f>
        <v>300</v>
      </c>
      <c r="FX19" s="3685">
        <f>GEntry!EL9</f>
        <v>150</v>
      </c>
      <c r="FY19" s="3758">
        <f>GEntry!EM9</f>
        <v>0</v>
      </c>
      <c r="FZ19" s="3760">
        <f>GEntry!EK9</f>
        <v>0</v>
      </c>
      <c r="GA19" s="4897">
        <f>GEntry!FH9</f>
        <v>0</v>
      </c>
      <c r="GB19" s="4984">
        <f>GEntry!EI9</f>
        <v>0</v>
      </c>
      <c r="GC19" s="3685">
        <f>GEntry!GH9</f>
        <v>0</v>
      </c>
      <c r="GD19" s="993"/>
      <c r="GE19" s="910">
        <f t="shared" si="12"/>
        <v>3907</v>
      </c>
      <c r="GF19" s="909">
        <f t="shared" si="6"/>
        <v>1855</v>
      </c>
      <c r="GG19" s="906">
        <f t="shared" si="7"/>
        <v>5762</v>
      </c>
      <c r="GH19" s="650">
        <f t="shared" si="8"/>
        <v>2347</v>
      </c>
      <c r="GI19" s="650">
        <f t="shared" si="0"/>
        <v>423</v>
      </c>
      <c r="GJ19" s="650">
        <f t="shared" si="13"/>
        <v>1685</v>
      </c>
      <c r="GK19" s="650">
        <f t="shared" si="9"/>
        <v>0</v>
      </c>
      <c r="GL19" s="650">
        <f t="shared" si="1"/>
        <v>656</v>
      </c>
      <c r="GM19" s="650">
        <f t="shared" si="2"/>
        <v>499</v>
      </c>
      <c r="GN19" s="650">
        <f t="shared" si="3"/>
        <v>86</v>
      </c>
      <c r="GO19" s="650">
        <f t="shared" si="10"/>
        <v>0</v>
      </c>
      <c r="GP19" s="650">
        <f t="shared" si="11"/>
        <v>0</v>
      </c>
      <c r="GQ19" s="650">
        <f t="shared" si="4"/>
        <v>66</v>
      </c>
      <c r="GR19" s="905">
        <f t="shared" si="5"/>
        <v>0</v>
      </c>
      <c r="GS19" s="904">
        <f>FWise!M11</f>
        <v>0</v>
      </c>
      <c r="GT19" s="3543">
        <f>GEntry!GL9</f>
        <v>97.25</v>
      </c>
      <c r="GU19" s="13"/>
      <c r="GV19" s="13"/>
      <c r="GW19" s="13"/>
      <c r="HF19" s="139"/>
      <c r="HG19" s="139"/>
      <c r="HZ19" s="139"/>
      <c r="IA19" s="139"/>
      <c r="IX19" s="139"/>
      <c r="IY19" s="139"/>
    </row>
    <row r="20" spans="1:275" ht="20.25" customHeight="1" thickBot="1">
      <c r="A20" s="609">
        <v>0.29166666666666669</v>
      </c>
      <c r="B20" s="761">
        <f>GEntry!W10</f>
        <v>0</v>
      </c>
      <c r="C20" s="758">
        <f>GEntry!X10</f>
        <v>0</v>
      </c>
      <c r="D20" s="758">
        <f>GEntry!Y10</f>
        <v>241</v>
      </c>
      <c r="E20" s="758">
        <f>GEntry!Z10</f>
        <v>0</v>
      </c>
      <c r="F20" s="759">
        <f>GEntry!AB10</f>
        <v>0</v>
      </c>
      <c r="G20" s="759">
        <f>GEntry!BY10</f>
        <v>0</v>
      </c>
      <c r="H20" s="758">
        <f>GEntry!CS10</f>
        <v>0</v>
      </c>
      <c r="I20" s="758">
        <f>GEntry!AO10</f>
        <v>0</v>
      </c>
      <c r="J20" s="758">
        <f>GEntry!AQ10</f>
        <v>271</v>
      </c>
      <c r="K20" s="758"/>
      <c r="L20" s="758">
        <f>GEntry!AN10</f>
        <v>0</v>
      </c>
      <c r="M20" s="758">
        <f>GEntry!AP10</f>
        <v>180</v>
      </c>
      <c r="N20" s="758">
        <f>GEntry!CP10</f>
        <v>0</v>
      </c>
      <c r="O20" s="758">
        <f>GEntry!CQ10</f>
        <v>0</v>
      </c>
      <c r="P20" s="758">
        <f>GEntry!CL10</f>
        <v>0</v>
      </c>
      <c r="Q20" s="758">
        <f>GEntry!DC10</f>
        <v>0</v>
      </c>
      <c r="R20" s="758">
        <f>GEntry!T10</f>
        <v>0</v>
      </c>
      <c r="S20" s="758">
        <f>GEntry!R10</f>
        <v>0</v>
      </c>
      <c r="T20" s="758">
        <f>GEntry!S10</f>
        <v>0</v>
      </c>
      <c r="U20" s="758">
        <f>GEntry!CC10</f>
        <v>0</v>
      </c>
      <c r="V20" s="759">
        <f>GEntry!CX10</f>
        <v>0</v>
      </c>
      <c r="W20" s="758">
        <f>GEntry!CE10</f>
        <v>0</v>
      </c>
      <c r="X20" s="758">
        <f>GEntry!CO10</f>
        <v>0</v>
      </c>
      <c r="Y20" s="758">
        <f>GEntry!DB10</f>
        <v>0</v>
      </c>
      <c r="Z20" s="758">
        <f>GEntry!CM10</f>
        <v>0</v>
      </c>
      <c r="AA20" s="758">
        <f>GEntry!DA10</f>
        <v>0</v>
      </c>
      <c r="AB20" s="758">
        <f>GEntry!DG10</f>
        <v>35</v>
      </c>
      <c r="AC20" s="758">
        <f>GEntry!DD10</f>
        <v>55</v>
      </c>
      <c r="AD20" s="758">
        <f>GEntry!BJ10</f>
        <v>35</v>
      </c>
      <c r="AE20" s="758">
        <f>GEntry!BM10</f>
        <v>16</v>
      </c>
      <c r="AF20" s="758">
        <f>GEntry!BU10</f>
        <v>25</v>
      </c>
      <c r="AG20" s="758">
        <f>GEntry!BV10</f>
        <v>9</v>
      </c>
      <c r="AH20" s="758">
        <f>GEntry!BW10</f>
        <v>14</v>
      </c>
      <c r="AI20" s="758">
        <f>GEntry!BX10</f>
        <v>33</v>
      </c>
      <c r="AJ20" s="758">
        <f>GEntry!CD10</f>
        <v>0</v>
      </c>
      <c r="AK20" s="758">
        <f>GEntry!AM10</f>
        <v>0</v>
      </c>
      <c r="AL20" s="1157">
        <f>GEntry!B10</f>
        <v>46</v>
      </c>
      <c r="AM20" s="1157">
        <f>GEntry!C10</f>
        <v>40</v>
      </c>
      <c r="AN20" s="758">
        <f>GEntry!D10</f>
        <v>0</v>
      </c>
      <c r="AO20" s="758">
        <f>GEntry!E10</f>
        <v>0</v>
      </c>
      <c r="AP20" s="758">
        <f>GEntry!F10</f>
        <v>0</v>
      </c>
      <c r="AQ20" s="758">
        <f>GEntry!H10</f>
        <v>0</v>
      </c>
      <c r="AR20" s="758">
        <f>GEntry!I10</f>
        <v>0</v>
      </c>
      <c r="AS20" s="758">
        <f>GEntry!K10</f>
        <v>0</v>
      </c>
      <c r="AT20" s="758">
        <f>GEntry!L10</f>
        <v>0</v>
      </c>
      <c r="AU20" s="758"/>
      <c r="AV20" s="758">
        <f>GEntry!BK10</f>
        <v>22</v>
      </c>
      <c r="AW20" s="758">
        <f>GEntry!N10</f>
        <v>0</v>
      </c>
      <c r="AX20" s="758">
        <f>GEntry!M10</f>
        <v>0</v>
      </c>
      <c r="AY20" s="758">
        <f>GEntry!CU10</f>
        <v>0</v>
      </c>
      <c r="AZ20" s="758">
        <f>GEntry!CZ10</f>
        <v>6</v>
      </c>
      <c r="BA20" s="758">
        <f>GEntry!CY10</f>
        <v>0</v>
      </c>
      <c r="BB20" s="758">
        <f>GEntry!BL10</f>
        <v>21</v>
      </c>
      <c r="BC20" s="758">
        <f>GEntry!BP10</f>
        <v>22</v>
      </c>
      <c r="BD20" s="758">
        <f>GEntry!AD10</f>
        <v>0</v>
      </c>
      <c r="BE20" s="758">
        <f>GEntry!AE10</f>
        <v>0</v>
      </c>
      <c r="BF20" s="758">
        <f>GEntry!AF10</f>
        <v>80</v>
      </c>
      <c r="BG20" s="758">
        <f>GEntry!AJ10</f>
        <v>150</v>
      </c>
      <c r="BH20" s="758">
        <f>GEntry!AI10</f>
        <v>275</v>
      </c>
      <c r="BI20" s="758">
        <f>GEntry!AH10</f>
        <v>163</v>
      </c>
      <c r="BJ20" s="758">
        <f>GEntry!V10</f>
        <v>8</v>
      </c>
      <c r="BK20" s="758">
        <f>GEntry!AL10</f>
        <v>136</v>
      </c>
      <c r="BL20" s="758">
        <f>GEntry!AG10</f>
        <v>3</v>
      </c>
      <c r="BM20" s="758">
        <f>GEntry!AK10</f>
        <v>5</v>
      </c>
      <c r="BN20" s="758">
        <f>GEntry!CT10</f>
        <v>0</v>
      </c>
      <c r="BO20" s="759">
        <f>GEntry!CW10</f>
        <v>51</v>
      </c>
      <c r="BP20" s="759">
        <f>GEntry!CN10</f>
        <v>0</v>
      </c>
      <c r="BQ20" s="759">
        <f>GEntry!Q10</f>
        <v>0</v>
      </c>
      <c r="BR20" s="758">
        <f>GEntry!CG10</f>
        <v>25</v>
      </c>
      <c r="BS20" s="759">
        <f>GEntry!BQ10</f>
        <v>19</v>
      </c>
      <c r="BT20" s="759">
        <f>GEntry!BR10</f>
        <v>11</v>
      </c>
      <c r="BU20" s="759">
        <f>GEntry!BS10</f>
        <v>33</v>
      </c>
      <c r="BV20" s="759">
        <f>GEntry!BT10</f>
        <v>9</v>
      </c>
      <c r="BW20" s="749">
        <f>GEntry!BO10</f>
        <v>66</v>
      </c>
      <c r="BX20" s="759">
        <f>GEntry!AR10</f>
        <v>52</v>
      </c>
      <c r="BY20" s="759">
        <f>GEntry!CF10</f>
        <v>0</v>
      </c>
      <c r="BZ20" s="759">
        <f>GEntry!BN10</f>
        <v>22</v>
      </c>
      <c r="CA20" s="1159">
        <f>GEntry!DF10</f>
        <v>0</v>
      </c>
      <c r="CB20" s="759">
        <f>GEntry!AT10</f>
        <v>42</v>
      </c>
      <c r="CC20" s="759">
        <f>GEntry!AU10</f>
        <v>0</v>
      </c>
      <c r="CD20" s="759">
        <f>GEntry!BF10</f>
        <v>50</v>
      </c>
      <c r="CE20" s="759">
        <f>GEntry!CV10</f>
        <v>0</v>
      </c>
      <c r="CF20" s="759">
        <f>GEntry!DE10</f>
        <v>163</v>
      </c>
      <c r="CG20" s="759">
        <f>GEntry!AV10</f>
        <v>0</v>
      </c>
      <c r="CH20" s="759">
        <f>GEntry!AW10</f>
        <v>40</v>
      </c>
      <c r="CI20" s="759">
        <f>GEntry!AX10</f>
        <v>40</v>
      </c>
      <c r="CJ20" s="759">
        <f>GEntry!AZ10</f>
        <v>0</v>
      </c>
      <c r="CK20" s="759">
        <f>GEntry!BA10</f>
        <v>190</v>
      </c>
      <c r="CL20" s="759">
        <f>GEntry!BB10</f>
        <v>18</v>
      </c>
      <c r="CM20" s="759">
        <f>GEntry!BC10</f>
        <v>0</v>
      </c>
      <c r="CN20" s="759">
        <f>GEntry!BD10</f>
        <v>10</v>
      </c>
      <c r="CO20" s="759">
        <f>GEntry!BH10</f>
        <v>300</v>
      </c>
      <c r="CP20" s="759">
        <f>GEntry!BG10</f>
        <v>22</v>
      </c>
      <c r="CQ20" s="986">
        <f>GEntry!BE10</f>
        <v>8</v>
      </c>
      <c r="CR20" s="986">
        <f>GEntry!P10</f>
        <v>0</v>
      </c>
      <c r="CS20" s="986">
        <f>GEntry!U10</f>
        <v>38</v>
      </c>
      <c r="CT20" s="759">
        <f>GEntry!DH10</f>
        <v>0</v>
      </c>
      <c r="CU20" s="986">
        <f>GEntry!DI10</f>
        <v>0</v>
      </c>
      <c r="CV20" s="986">
        <f>GEntry!DJ10</f>
        <v>55</v>
      </c>
      <c r="CW20" s="759">
        <f>GEntry!DK10</f>
        <v>0</v>
      </c>
      <c r="CX20" s="986">
        <f>GEntry!DL10</f>
        <v>0</v>
      </c>
      <c r="CY20" s="986">
        <f>GEntry!G10</f>
        <v>1</v>
      </c>
      <c r="CZ20" s="986">
        <f>GEntry!DM10</f>
        <v>90</v>
      </c>
      <c r="DA20" s="759">
        <f>GEntry!DN10</f>
        <v>0</v>
      </c>
      <c r="DB20" s="1667">
        <f>GEntry!DO10</f>
        <v>142</v>
      </c>
      <c r="DC20" s="1652">
        <f>GEntry!DP10</f>
        <v>0</v>
      </c>
      <c r="DD20" s="1760">
        <f>GEntry!DQ10</f>
        <v>2</v>
      </c>
      <c r="DE20" s="1759">
        <f>GEntry!CH10</f>
        <v>15</v>
      </c>
      <c r="DF20" s="1864">
        <f>GEntry!O10</f>
        <v>17</v>
      </c>
      <c r="DG20" s="1857">
        <f>GEntry!CI10</f>
        <v>0</v>
      </c>
      <c r="DH20" s="2064">
        <f>GEntry!DR10</f>
        <v>25</v>
      </c>
      <c r="DI20" s="2065">
        <f>GEntry!CJ10</f>
        <v>54</v>
      </c>
      <c r="DJ20" s="2077">
        <f>GEntry!CK10</f>
        <v>49</v>
      </c>
      <c r="DK20" s="3078">
        <f>GEntry!BZ10</f>
        <v>0</v>
      </c>
      <c r="DL20" s="3370">
        <f>GEntry!CA10</f>
        <v>99</v>
      </c>
      <c r="DM20" s="3079">
        <f>GEntry!DS10</f>
        <v>30</v>
      </c>
      <c r="DN20" s="3517">
        <f>GEntry!BI10</f>
        <v>400</v>
      </c>
      <c r="DO20" s="3518">
        <f>GEntry!CR10</f>
        <v>33</v>
      </c>
      <c r="DP20" s="3720">
        <f>GEntry!AS10</f>
        <v>1</v>
      </c>
      <c r="DQ20" s="3777">
        <f>GEntry!CB10</f>
        <v>17</v>
      </c>
      <c r="DR20" s="3848">
        <f>GEntry!DT10</f>
        <v>116</v>
      </c>
      <c r="DS20" s="3850">
        <f>GEntry!AY10</f>
        <v>0</v>
      </c>
      <c r="DT20" s="4039">
        <f>GEntry!DU10</f>
        <v>17</v>
      </c>
      <c r="DU20" s="4041">
        <f>GEntry!DV10</f>
        <v>1</v>
      </c>
      <c r="DV20" s="4793">
        <f>GEntry!DW10</f>
        <v>0</v>
      </c>
      <c r="DW20" s="4793">
        <f>GEntry!DX10</f>
        <v>0</v>
      </c>
      <c r="DX20" s="990"/>
      <c r="DY20" s="767">
        <f>GEntry!EX10</f>
        <v>468</v>
      </c>
      <c r="DZ20" s="764">
        <f>GEntry!EV10</f>
        <v>0</v>
      </c>
      <c r="EA20" s="764">
        <f>GEntry!EY10</f>
        <v>0</v>
      </c>
      <c r="EB20" s="764">
        <f>GEntry!EB10</f>
        <v>0</v>
      </c>
      <c r="EC20" s="764">
        <f>GEntry!EC10</f>
        <v>0</v>
      </c>
      <c r="ED20" s="764">
        <f>GEntry!EG10</f>
        <v>0</v>
      </c>
      <c r="EE20" s="764">
        <f>GEntry!EA10</f>
        <v>0</v>
      </c>
      <c r="EF20" s="764">
        <f>GEntry!EE10</f>
        <v>0</v>
      </c>
      <c r="EG20" s="764">
        <f>GEntry!EF10</f>
        <v>0</v>
      </c>
      <c r="EH20" s="764">
        <f>GEntry!EU10</f>
        <v>0</v>
      </c>
      <c r="EI20" s="764">
        <f>GEntry!ET10</f>
        <v>0</v>
      </c>
      <c r="EJ20" s="764">
        <f>GEntry!EQ10</f>
        <v>91</v>
      </c>
      <c r="EK20" s="764">
        <f>GEntry!ER10</f>
        <v>15</v>
      </c>
      <c r="EL20" s="764">
        <f>GEntry!EN10</f>
        <v>0</v>
      </c>
      <c r="EM20" s="764">
        <f>GEntry!EO10</f>
        <v>0</v>
      </c>
      <c r="EN20" s="764">
        <f>GEntry!FF10</f>
        <v>0</v>
      </c>
      <c r="EO20" s="764">
        <f>GEntry!FE10</f>
        <v>0</v>
      </c>
      <c r="EP20" s="764">
        <f>GEntry!FG10</f>
        <v>0</v>
      </c>
      <c r="EQ20" s="764">
        <f>GEntry!FQ10</f>
        <v>0</v>
      </c>
      <c r="ER20" s="764">
        <f>GEntry!FZ10</f>
        <v>0</v>
      </c>
      <c r="ES20" s="764">
        <f>GEntry!FU10</f>
        <v>0</v>
      </c>
      <c r="ET20" s="764">
        <f>GEntry!FV10</f>
        <v>0</v>
      </c>
      <c r="EU20" s="764">
        <f>GEntry!FW10</f>
        <v>0</v>
      </c>
      <c r="EV20" s="764">
        <f>GEntry!FY10</f>
        <v>16</v>
      </c>
      <c r="EW20" s="764">
        <f>GEntry!FX10</f>
        <v>0</v>
      </c>
      <c r="EX20" s="764">
        <f>GEntry!FR10</f>
        <v>22</v>
      </c>
      <c r="EY20" s="764">
        <f>GEntry!FS10</f>
        <v>0</v>
      </c>
      <c r="EZ20" s="764">
        <f>GEntry!FT10</f>
        <v>8</v>
      </c>
      <c r="FA20" s="1155">
        <f>GEntry!FB10</f>
        <v>0</v>
      </c>
      <c r="FB20" s="1155">
        <f>GEntry!FC10</f>
        <v>0</v>
      </c>
      <c r="FC20" s="1155">
        <f>GEntry!FD10</f>
        <v>199</v>
      </c>
      <c r="FD20" s="764">
        <f>GEntry!GD10</f>
        <v>0</v>
      </c>
      <c r="FE20" s="765">
        <f>GEntry!GE10</f>
        <v>0</v>
      </c>
      <c r="FF20" s="765">
        <f>GEntry!FI10</f>
        <v>0</v>
      </c>
      <c r="FG20" s="765">
        <f>GEntry!FJ10</f>
        <v>0</v>
      </c>
      <c r="FH20" s="765">
        <f>GEntry!FK10</f>
        <v>0</v>
      </c>
      <c r="FI20" s="765">
        <f>GEntry!FL10</f>
        <v>0</v>
      </c>
      <c r="FJ20" s="765">
        <f>GEntry!EP10</f>
        <v>11</v>
      </c>
      <c r="FK20" s="765">
        <f>GEntry!ES10</f>
        <v>0</v>
      </c>
      <c r="FL20" s="763">
        <f>GEntry!FM10</f>
        <v>175</v>
      </c>
      <c r="FM20" s="765">
        <f>GEntry!FN10</f>
        <v>0</v>
      </c>
      <c r="FN20" s="764">
        <f>GEntry!FO10</f>
        <v>396</v>
      </c>
      <c r="FO20" s="1687">
        <f>GEntry!EH10</f>
        <v>0</v>
      </c>
      <c r="FP20" s="1689">
        <f>GEntry!GA10</f>
        <v>0</v>
      </c>
      <c r="FQ20" s="1694">
        <f>GEntry!GB10</f>
        <v>26</v>
      </c>
      <c r="FR20" s="1877">
        <f>GEntry!EW10</f>
        <v>0</v>
      </c>
      <c r="FS20" s="1981">
        <f>GEntry!GF10</f>
        <v>75</v>
      </c>
      <c r="FT20" s="1983">
        <f>GEntry!FP10</f>
        <v>0</v>
      </c>
      <c r="FU20" s="2154">
        <f>GEntry!GG10</f>
        <v>0</v>
      </c>
      <c r="FV20" s="3143">
        <f>GEntry!GC10</f>
        <v>50</v>
      </c>
      <c r="FW20" s="764">
        <f>GEntry!EZ10</f>
        <v>300</v>
      </c>
      <c r="FX20" s="3685">
        <f>GEntry!EL10</f>
        <v>150</v>
      </c>
      <c r="FY20" s="3758">
        <f>GEntry!EM10</f>
        <v>0</v>
      </c>
      <c r="FZ20" s="3760">
        <f>GEntry!EK10</f>
        <v>0</v>
      </c>
      <c r="GA20" s="4897">
        <f>GEntry!FH10</f>
        <v>0</v>
      </c>
      <c r="GB20" s="4984">
        <f>GEntry!EI10</f>
        <v>0</v>
      </c>
      <c r="GC20" s="3685">
        <f>GEntry!GH10</f>
        <v>0</v>
      </c>
      <c r="GD20" s="993"/>
      <c r="GE20" s="910">
        <f t="shared" si="12"/>
        <v>4264</v>
      </c>
      <c r="GF20" s="909">
        <f t="shared" si="6"/>
        <v>2002</v>
      </c>
      <c r="GG20" s="906">
        <f t="shared" si="7"/>
        <v>6266</v>
      </c>
      <c r="GH20" s="650">
        <f t="shared" si="8"/>
        <v>2306</v>
      </c>
      <c r="GI20" s="650">
        <f t="shared" si="0"/>
        <v>468</v>
      </c>
      <c r="GJ20" s="650">
        <f t="shared" si="13"/>
        <v>1694</v>
      </c>
      <c r="GK20" s="650">
        <f t="shared" si="9"/>
        <v>0</v>
      </c>
      <c r="GL20" s="650">
        <f t="shared" si="1"/>
        <v>1144</v>
      </c>
      <c r="GM20" s="650">
        <f t="shared" si="2"/>
        <v>499</v>
      </c>
      <c r="GN20" s="650">
        <f t="shared" si="3"/>
        <v>86</v>
      </c>
      <c r="GO20" s="650">
        <f t="shared" si="10"/>
        <v>0</v>
      </c>
      <c r="GP20" s="650">
        <f t="shared" si="11"/>
        <v>0</v>
      </c>
      <c r="GQ20" s="650">
        <f t="shared" si="4"/>
        <v>66</v>
      </c>
      <c r="GR20" s="905">
        <f t="shared" si="5"/>
        <v>3</v>
      </c>
      <c r="GS20" s="904">
        <f>FWise!M12</f>
        <v>0</v>
      </c>
      <c r="GT20" s="3543">
        <f>GEntry!GL10</f>
        <v>97.24</v>
      </c>
      <c r="GU20" s="13"/>
      <c r="GV20" s="13"/>
      <c r="GW20" s="13"/>
      <c r="HF20" s="136"/>
      <c r="HG20" s="136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6"/>
      <c r="IA20" s="136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ht="20.25" customHeight="1" thickBot="1">
      <c r="A21" s="609">
        <v>0.33333333333333331</v>
      </c>
      <c r="B21" s="761">
        <f>GEntry!W11</f>
        <v>0</v>
      </c>
      <c r="C21" s="758">
        <f>GEntry!X11</f>
        <v>0</v>
      </c>
      <c r="D21" s="758">
        <f>GEntry!Y11</f>
        <v>242</v>
      </c>
      <c r="E21" s="758">
        <f>GEntry!Z11</f>
        <v>0</v>
      </c>
      <c r="F21" s="759">
        <f>GEntry!AB11</f>
        <v>0</v>
      </c>
      <c r="G21" s="759">
        <f>GEntry!BY11</f>
        <v>0</v>
      </c>
      <c r="H21" s="758">
        <f>GEntry!CS11</f>
        <v>0</v>
      </c>
      <c r="I21" s="758">
        <f>GEntry!AO11</f>
        <v>0</v>
      </c>
      <c r="J21" s="758">
        <f>GEntry!AQ11</f>
        <v>272</v>
      </c>
      <c r="K21" s="758"/>
      <c r="L21" s="758">
        <f>GEntry!AN11</f>
        <v>0</v>
      </c>
      <c r="M21" s="758">
        <f>GEntry!AP11</f>
        <v>180</v>
      </c>
      <c r="N21" s="758">
        <f>GEntry!CP11</f>
        <v>0</v>
      </c>
      <c r="O21" s="758">
        <f>GEntry!CQ11</f>
        <v>0</v>
      </c>
      <c r="P21" s="758">
        <f>GEntry!CL11</f>
        <v>0</v>
      </c>
      <c r="Q21" s="758">
        <f>GEntry!DC11</f>
        <v>0</v>
      </c>
      <c r="R21" s="758">
        <f>GEntry!T11</f>
        <v>0</v>
      </c>
      <c r="S21" s="758">
        <f>GEntry!R11</f>
        <v>0</v>
      </c>
      <c r="T21" s="758">
        <f>GEntry!S11</f>
        <v>0</v>
      </c>
      <c r="U21" s="758">
        <f>GEntry!CC11</f>
        <v>0</v>
      </c>
      <c r="V21" s="759">
        <f>GEntry!CX11</f>
        <v>10</v>
      </c>
      <c r="W21" s="758">
        <f>GEntry!CE11</f>
        <v>0</v>
      </c>
      <c r="X21" s="758">
        <f>GEntry!CO11</f>
        <v>0</v>
      </c>
      <c r="Y21" s="758">
        <f>GEntry!DB11</f>
        <v>0</v>
      </c>
      <c r="Z21" s="758">
        <f>GEntry!CM11</f>
        <v>0</v>
      </c>
      <c r="AA21" s="758">
        <f>GEntry!DA11</f>
        <v>0</v>
      </c>
      <c r="AB21" s="758">
        <f>GEntry!DG11</f>
        <v>0</v>
      </c>
      <c r="AC21" s="758">
        <f>GEntry!DD11</f>
        <v>55</v>
      </c>
      <c r="AD21" s="758">
        <f>GEntry!BJ11</f>
        <v>35</v>
      </c>
      <c r="AE21" s="758">
        <f>GEntry!BM11</f>
        <v>0</v>
      </c>
      <c r="AF21" s="758">
        <f>GEntry!BU11</f>
        <v>25</v>
      </c>
      <c r="AG21" s="758">
        <f>GEntry!BV11</f>
        <v>0</v>
      </c>
      <c r="AH21" s="758">
        <f>GEntry!BW11</f>
        <v>14</v>
      </c>
      <c r="AI21" s="758">
        <f>GEntry!BX11</f>
        <v>33</v>
      </c>
      <c r="AJ21" s="758">
        <f>GEntry!CD11</f>
        <v>0</v>
      </c>
      <c r="AK21" s="758">
        <f>GEntry!AM11</f>
        <v>0</v>
      </c>
      <c r="AL21" s="1157">
        <f>GEntry!B11</f>
        <v>40</v>
      </c>
      <c r="AM21" s="1157">
        <f>GEntry!C11</f>
        <v>40</v>
      </c>
      <c r="AN21" s="758">
        <f>GEntry!D11</f>
        <v>0</v>
      </c>
      <c r="AO21" s="758">
        <f>GEntry!E11</f>
        <v>0</v>
      </c>
      <c r="AP21" s="758">
        <f>GEntry!F11</f>
        <v>0</v>
      </c>
      <c r="AQ21" s="758">
        <f>GEntry!H11</f>
        <v>0</v>
      </c>
      <c r="AR21" s="758">
        <f>GEntry!I11</f>
        <v>0</v>
      </c>
      <c r="AS21" s="758">
        <f>GEntry!K11</f>
        <v>0</v>
      </c>
      <c r="AT21" s="758">
        <f>GEntry!L11</f>
        <v>0</v>
      </c>
      <c r="AU21" s="758"/>
      <c r="AV21" s="758">
        <f>GEntry!BK11</f>
        <v>22</v>
      </c>
      <c r="AW21" s="758">
        <f>GEntry!N11</f>
        <v>0</v>
      </c>
      <c r="AX21" s="758">
        <f>GEntry!M11</f>
        <v>0</v>
      </c>
      <c r="AY21" s="758">
        <f>GEntry!CU11</f>
        <v>0</v>
      </c>
      <c r="AZ21" s="758">
        <f>GEntry!CZ11</f>
        <v>6</v>
      </c>
      <c r="BA21" s="758">
        <f>GEntry!CY11</f>
        <v>0</v>
      </c>
      <c r="BB21" s="758">
        <f>GEntry!BL11</f>
        <v>21</v>
      </c>
      <c r="BC21" s="758">
        <f>GEntry!BP11</f>
        <v>2</v>
      </c>
      <c r="BD21" s="758">
        <f>GEntry!AD11</f>
        <v>0</v>
      </c>
      <c r="BE21" s="758">
        <f>GEntry!AE11</f>
        <v>0</v>
      </c>
      <c r="BF21" s="758">
        <f>GEntry!AF11</f>
        <v>80</v>
      </c>
      <c r="BG21" s="758">
        <f>GEntry!AJ11</f>
        <v>150</v>
      </c>
      <c r="BH21" s="758">
        <f>GEntry!AI11</f>
        <v>275</v>
      </c>
      <c r="BI21" s="758">
        <f>GEntry!AH11</f>
        <v>162</v>
      </c>
      <c r="BJ21" s="758">
        <f>GEntry!V11</f>
        <v>8</v>
      </c>
      <c r="BK21" s="758">
        <f>GEntry!AL11</f>
        <v>137</v>
      </c>
      <c r="BL21" s="758">
        <f>GEntry!AG11</f>
        <v>3</v>
      </c>
      <c r="BM21" s="758">
        <f>GEntry!AK11</f>
        <v>5</v>
      </c>
      <c r="BN21" s="758">
        <f>GEntry!CT11</f>
        <v>0</v>
      </c>
      <c r="BO21" s="759">
        <f>GEntry!CW11</f>
        <v>51</v>
      </c>
      <c r="BP21" s="759">
        <f>GEntry!CN11</f>
        <v>0</v>
      </c>
      <c r="BQ21" s="759">
        <f>GEntry!Q11</f>
        <v>0</v>
      </c>
      <c r="BR21" s="758">
        <f>GEntry!CG11</f>
        <v>25</v>
      </c>
      <c r="BS21" s="759">
        <f>GEntry!BQ11</f>
        <v>19</v>
      </c>
      <c r="BT21" s="759">
        <f>GEntry!BR11</f>
        <v>11</v>
      </c>
      <c r="BU21" s="759">
        <f>GEntry!BS11</f>
        <v>33</v>
      </c>
      <c r="BV21" s="759">
        <f>GEntry!BT11</f>
        <v>9</v>
      </c>
      <c r="BW21" s="749">
        <f>GEntry!BO11</f>
        <v>67</v>
      </c>
      <c r="BX21" s="759">
        <f>GEntry!AR11</f>
        <v>52</v>
      </c>
      <c r="BY21" s="759">
        <f>GEntry!CF11</f>
        <v>0</v>
      </c>
      <c r="BZ21" s="759">
        <f>GEntry!BN11</f>
        <v>22</v>
      </c>
      <c r="CA21" s="1159">
        <f>GEntry!DF11</f>
        <v>0</v>
      </c>
      <c r="CB21" s="759">
        <f>GEntry!AT11</f>
        <v>42</v>
      </c>
      <c r="CC21" s="759">
        <f>GEntry!AU11</f>
        <v>0</v>
      </c>
      <c r="CD21" s="759">
        <f>GEntry!BF11</f>
        <v>51</v>
      </c>
      <c r="CE21" s="759">
        <f>GEntry!CV11</f>
        <v>0</v>
      </c>
      <c r="CF21" s="759">
        <f>GEntry!DE11</f>
        <v>130</v>
      </c>
      <c r="CG21" s="759">
        <f>GEntry!AV11</f>
        <v>0</v>
      </c>
      <c r="CH21" s="759">
        <f>GEntry!AW11</f>
        <v>40</v>
      </c>
      <c r="CI21" s="759">
        <f>GEntry!AX11</f>
        <v>78</v>
      </c>
      <c r="CJ21" s="759">
        <f>GEntry!AZ11</f>
        <v>0</v>
      </c>
      <c r="CK21" s="759">
        <f>GEntry!BA11</f>
        <v>190</v>
      </c>
      <c r="CL21" s="759">
        <f>GEntry!BB11</f>
        <v>18</v>
      </c>
      <c r="CM21" s="759">
        <f>GEntry!BC11</f>
        <v>0</v>
      </c>
      <c r="CN21" s="759">
        <f>GEntry!BD11</f>
        <v>10</v>
      </c>
      <c r="CO21" s="759">
        <f>GEntry!BH11</f>
        <v>265</v>
      </c>
      <c r="CP21" s="759">
        <f>GEntry!BG11</f>
        <v>22</v>
      </c>
      <c r="CQ21" s="986">
        <f>GEntry!BE11</f>
        <v>8</v>
      </c>
      <c r="CR21" s="986">
        <f>GEntry!P11</f>
        <v>0</v>
      </c>
      <c r="CS21" s="986">
        <f>GEntry!U11</f>
        <v>195</v>
      </c>
      <c r="CT21" s="759">
        <f>GEntry!DH11</f>
        <v>0</v>
      </c>
      <c r="CU21" s="986">
        <f>GEntry!DI11</f>
        <v>0</v>
      </c>
      <c r="CV21" s="986">
        <f>GEntry!DJ11</f>
        <v>89</v>
      </c>
      <c r="CW21" s="759">
        <f>GEntry!DK11</f>
        <v>0</v>
      </c>
      <c r="CX21" s="986">
        <f>GEntry!DL11</f>
        <v>0</v>
      </c>
      <c r="CY21" s="986">
        <f>GEntry!G11</f>
        <v>9</v>
      </c>
      <c r="CZ21" s="986">
        <f>GEntry!DM11</f>
        <v>90</v>
      </c>
      <c r="DA21" s="759">
        <f>GEntry!DN11</f>
        <v>0</v>
      </c>
      <c r="DB21" s="1667">
        <f>GEntry!DO11</f>
        <v>142</v>
      </c>
      <c r="DC21" s="1652">
        <f>GEntry!DP11</f>
        <v>0</v>
      </c>
      <c r="DD21" s="1760">
        <f>GEntry!DQ11</f>
        <v>8</v>
      </c>
      <c r="DE21" s="1759">
        <f>GEntry!CH11</f>
        <v>52</v>
      </c>
      <c r="DF21" s="1864">
        <f>GEntry!O11</f>
        <v>17</v>
      </c>
      <c r="DG21" s="1857">
        <f>GEntry!CI11</f>
        <v>1</v>
      </c>
      <c r="DH21" s="2064">
        <f>GEntry!DR11</f>
        <v>30</v>
      </c>
      <c r="DI21" s="2065">
        <f>GEntry!CJ11</f>
        <v>54</v>
      </c>
      <c r="DJ21" s="2077">
        <f>GEntry!CK11</f>
        <v>68</v>
      </c>
      <c r="DK21" s="3078">
        <f>GEntry!BZ11</f>
        <v>0</v>
      </c>
      <c r="DL21" s="3370">
        <f>GEntry!CA11</f>
        <v>120</v>
      </c>
      <c r="DM21" s="3079">
        <f>GEntry!DS11</f>
        <v>30</v>
      </c>
      <c r="DN21" s="3517">
        <f>GEntry!BI11</f>
        <v>400</v>
      </c>
      <c r="DO21" s="3518">
        <f>GEntry!CR11</f>
        <v>70</v>
      </c>
      <c r="DP21" s="3720">
        <f>GEntry!AS11</f>
        <v>9</v>
      </c>
      <c r="DQ21" s="3777">
        <f>GEntry!CB11</f>
        <v>89</v>
      </c>
      <c r="DR21" s="3848">
        <f>GEntry!DT11</f>
        <v>116</v>
      </c>
      <c r="DS21" s="3850">
        <f>GEntry!AY11</f>
        <v>0</v>
      </c>
      <c r="DT21" s="4039">
        <f>GEntry!DU11</f>
        <v>0</v>
      </c>
      <c r="DU21" s="4041">
        <f>GEntry!DV11</f>
        <v>7</v>
      </c>
      <c r="DV21" s="4793">
        <f>GEntry!DW11</f>
        <v>0</v>
      </c>
      <c r="DW21" s="4793">
        <f>GEntry!DX11</f>
        <v>0</v>
      </c>
      <c r="DX21" s="990"/>
      <c r="DY21" s="767">
        <f>GEntry!EX11</f>
        <v>657</v>
      </c>
      <c r="DZ21" s="764">
        <f>GEntry!EV11</f>
        <v>0</v>
      </c>
      <c r="EA21" s="764">
        <f>GEntry!EY11</f>
        <v>0</v>
      </c>
      <c r="EB21" s="764">
        <f>GEntry!EB11</f>
        <v>0</v>
      </c>
      <c r="EC21" s="764">
        <f>GEntry!EC11</f>
        <v>0</v>
      </c>
      <c r="ED21" s="764">
        <f>GEntry!EG11</f>
        <v>0</v>
      </c>
      <c r="EE21" s="764">
        <f>GEntry!EA11</f>
        <v>0</v>
      </c>
      <c r="EF21" s="764">
        <f>GEntry!EE11</f>
        <v>0</v>
      </c>
      <c r="EG21" s="764">
        <f>GEntry!EF11</f>
        <v>0</v>
      </c>
      <c r="EH21" s="764">
        <f>GEntry!EU11</f>
        <v>0</v>
      </c>
      <c r="EI21" s="764">
        <f>GEntry!ET11</f>
        <v>0</v>
      </c>
      <c r="EJ21" s="764">
        <f>GEntry!EQ11</f>
        <v>91</v>
      </c>
      <c r="EK21" s="764">
        <f>GEntry!ER11</f>
        <v>15</v>
      </c>
      <c r="EL21" s="764">
        <f>GEntry!EN11</f>
        <v>0</v>
      </c>
      <c r="EM21" s="764">
        <f>GEntry!EO11</f>
        <v>0</v>
      </c>
      <c r="EN21" s="764">
        <f>GEntry!FF11</f>
        <v>0</v>
      </c>
      <c r="EO21" s="764">
        <f>GEntry!FE11</f>
        <v>0</v>
      </c>
      <c r="EP21" s="764">
        <f>GEntry!FG11</f>
        <v>0</v>
      </c>
      <c r="EQ21" s="764">
        <f>GEntry!FQ11</f>
        <v>0</v>
      </c>
      <c r="ER21" s="764">
        <f>GEntry!FZ11</f>
        <v>0</v>
      </c>
      <c r="ES21" s="764">
        <f>GEntry!FU11</f>
        <v>0</v>
      </c>
      <c r="ET21" s="764">
        <f>GEntry!FV11</f>
        <v>0</v>
      </c>
      <c r="EU21" s="764">
        <f>GEntry!FW11</f>
        <v>0</v>
      </c>
      <c r="EV21" s="764">
        <f>GEntry!FY11</f>
        <v>25</v>
      </c>
      <c r="EW21" s="764">
        <f>GEntry!FX11</f>
        <v>0</v>
      </c>
      <c r="EX21" s="764">
        <f>GEntry!FR11</f>
        <v>22</v>
      </c>
      <c r="EY21" s="764">
        <f>GEntry!FS11</f>
        <v>0</v>
      </c>
      <c r="EZ21" s="764">
        <f>GEntry!FT11</f>
        <v>8</v>
      </c>
      <c r="FA21" s="1155">
        <f>GEntry!FB11</f>
        <v>0</v>
      </c>
      <c r="FB21" s="1155">
        <f>GEntry!FC11</f>
        <v>0</v>
      </c>
      <c r="FC21" s="1155">
        <f>GEntry!FD11</f>
        <v>199</v>
      </c>
      <c r="FD21" s="764">
        <f>GEntry!GD11</f>
        <v>0</v>
      </c>
      <c r="FE21" s="765">
        <f>GEntry!GE11</f>
        <v>0</v>
      </c>
      <c r="FF21" s="765">
        <f>GEntry!FI11</f>
        <v>0</v>
      </c>
      <c r="FG21" s="765">
        <f>GEntry!FJ11</f>
        <v>0</v>
      </c>
      <c r="FH21" s="765">
        <f>GEntry!FK11</f>
        <v>0</v>
      </c>
      <c r="FI21" s="765">
        <f>GEntry!FL11</f>
        <v>0</v>
      </c>
      <c r="FJ21" s="765">
        <f>GEntry!EP11</f>
        <v>11</v>
      </c>
      <c r="FK21" s="765">
        <f>GEntry!ES11</f>
        <v>0</v>
      </c>
      <c r="FL21" s="763">
        <f>GEntry!FM11</f>
        <v>164</v>
      </c>
      <c r="FM21" s="765">
        <f>GEntry!FN11</f>
        <v>0</v>
      </c>
      <c r="FN21" s="764">
        <f>GEntry!FO11</f>
        <v>344</v>
      </c>
      <c r="FO21" s="1687">
        <f>GEntry!EH11</f>
        <v>0</v>
      </c>
      <c r="FP21" s="1689">
        <f>GEntry!GA11</f>
        <v>0</v>
      </c>
      <c r="FQ21" s="1694">
        <f>GEntry!GB11</f>
        <v>52</v>
      </c>
      <c r="FR21" s="1877">
        <f>GEntry!EW11</f>
        <v>0</v>
      </c>
      <c r="FS21" s="1981">
        <f>GEntry!GF11</f>
        <v>111</v>
      </c>
      <c r="FT21" s="1983">
        <f>GEntry!FP11</f>
        <v>0</v>
      </c>
      <c r="FU21" s="2154">
        <f>GEntry!GG11</f>
        <v>1</v>
      </c>
      <c r="FV21" s="3143">
        <f>GEntry!GC11</f>
        <v>90</v>
      </c>
      <c r="FW21" s="764">
        <f>GEntry!EZ11</f>
        <v>300</v>
      </c>
      <c r="FX21" s="3685">
        <f>GEntry!EL11</f>
        <v>150</v>
      </c>
      <c r="FY21" s="3758">
        <f>GEntry!EM11</f>
        <v>0</v>
      </c>
      <c r="FZ21" s="3760">
        <f>GEntry!EK11</f>
        <v>0</v>
      </c>
      <c r="GA21" s="4897">
        <f>GEntry!FH11</f>
        <v>0</v>
      </c>
      <c r="GB21" s="4984">
        <f>GEntry!EI11</f>
        <v>16</v>
      </c>
      <c r="GC21" s="3685">
        <f>GEntry!GH11</f>
        <v>0</v>
      </c>
      <c r="GD21" s="993"/>
      <c r="GE21" s="910">
        <f t="shared" si="12"/>
        <v>4556</v>
      </c>
      <c r="GF21" s="909">
        <f t="shared" si="6"/>
        <v>2256</v>
      </c>
      <c r="GG21" s="906">
        <f t="shared" si="7"/>
        <v>6812</v>
      </c>
      <c r="GH21" s="650">
        <f t="shared" si="8"/>
        <v>2271</v>
      </c>
      <c r="GI21" s="650">
        <f t="shared" si="0"/>
        <v>657</v>
      </c>
      <c r="GJ21" s="650">
        <f t="shared" si="13"/>
        <v>1594</v>
      </c>
      <c r="GK21" s="650">
        <f t="shared" si="9"/>
        <v>0</v>
      </c>
      <c r="GL21" s="650">
        <f t="shared" si="1"/>
        <v>1601</v>
      </c>
      <c r="GM21" s="650">
        <f t="shared" si="2"/>
        <v>499</v>
      </c>
      <c r="GN21" s="650">
        <f t="shared" si="3"/>
        <v>80</v>
      </c>
      <c r="GO21" s="650">
        <f t="shared" si="10"/>
        <v>0</v>
      </c>
      <c r="GP21" s="650">
        <f t="shared" si="11"/>
        <v>0</v>
      </c>
      <c r="GQ21" s="650">
        <f t="shared" si="4"/>
        <v>67</v>
      </c>
      <c r="GR21" s="905">
        <f t="shared" si="5"/>
        <v>43</v>
      </c>
      <c r="GS21" s="904">
        <f>FWise!M13</f>
        <v>0</v>
      </c>
      <c r="GT21" s="3543">
        <f>GEntry!GL11</f>
        <v>97.23</v>
      </c>
      <c r="GU21" s="13"/>
      <c r="GV21" s="13"/>
      <c r="GW21" s="13"/>
      <c r="HF21" s="139"/>
      <c r="HG21" s="139"/>
      <c r="HZ21" s="139"/>
      <c r="IA21" s="139"/>
    </row>
    <row r="22" spans="1:275" ht="19.5" customHeight="1" thickBot="1">
      <c r="A22" s="609">
        <v>0.375</v>
      </c>
      <c r="B22" s="761">
        <f>GEntry!W12</f>
        <v>0</v>
      </c>
      <c r="C22" s="758">
        <f>GEntry!X12</f>
        <v>0</v>
      </c>
      <c r="D22" s="758">
        <f>GEntry!Y12</f>
        <v>260</v>
      </c>
      <c r="E22" s="758">
        <f>GEntry!Z12</f>
        <v>0</v>
      </c>
      <c r="F22" s="759">
        <f>GEntry!AB12</f>
        <v>0</v>
      </c>
      <c r="G22" s="759">
        <f>GEntry!BY12</f>
        <v>0</v>
      </c>
      <c r="H22" s="758">
        <f>GEntry!CS12</f>
        <v>0</v>
      </c>
      <c r="I22" s="758">
        <f>GEntry!AO12</f>
        <v>0</v>
      </c>
      <c r="J22" s="758">
        <f>GEntry!AQ12</f>
        <v>273</v>
      </c>
      <c r="K22" s="758"/>
      <c r="L22" s="758">
        <f>GEntry!AN12</f>
        <v>0</v>
      </c>
      <c r="M22" s="758">
        <f>GEntry!AP12</f>
        <v>180</v>
      </c>
      <c r="N22" s="758">
        <f>GEntry!CP12</f>
        <v>0</v>
      </c>
      <c r="O22" s="758">
        <f>GEntry!CQ12</f>
        <v>0</v>
      </c>
      <c r="P22" s="758">
        <f>GEntry!CL12</f>
        <v>0</v>
      </c>
      <c r="Q22" s="758">
        <f>GEntry!DC12</f>
        <v>29</v>
      </c>
      <c r="R22" s="758">
        <f>GEntry!T12</f>
        <v>0</v>
      </c>
      <c r="S22" s="758">
        <f>GEntry!R12</f>
        <v>0</v>
      </c>
      <c r="T22" s="758">
        <f>GEntry!S12</f>
        <v>0</v>
      </c>
      <c r="U22" s="758">
        <f>GEntry!CC12</f>
        <v>0</v>
      </c>
      <c r="V22" s="759">
        <f>GEntry!CX12</f>
        <v>40</v>
      </c>
      <c r="W22" s="758">
        <f>GEntry!CE12</f>
        <v>0</v>
      </c>
      <c r="X22" s="758">
        <f>GEntry!CO12</f>
        <v>0</v>
      </c>
      <c r="Y22" s="758">
        <f>GEntry!DB12</f>
        <v>0</v>
      </c>
      <c r="Z22" s="758">
        <f>GEntry!CM12</f>
        <v>0</v>
      </c>
      <c r="AA22" s="758">
        <f>GEntry!DA12</f>
        <v>0</v>
      </c>
      <c r="AB22" s="758">
        <f>GEntry!DG12</f>
        <v>0</v>
      </c>
      <c r="AC22" s="758">
        <f>GEntry!DD12</f>
        <v>55</v>
      </c>
      <c r="AD22" s="758">
        <f>GEntry!BJ12</f>
        <v>35</v>
      </c>
      <c r="AE22" s="758">
        <f>GEntry!BM12</f>
        <v>0</v>
      </c>
      <c r="AF22" s="758">
        <f>GEntry!BU12</f>
        <v>0</v>
      </c>
      <c r="AG22" s="758">
        <f>GEntry!BV12</f>
        <v>0</v>
      </c>
      <c r="AH22" s="758">
        <f>GEntry!BW12</f>
        <v>16</v>
      </c>
      <c r="AI22" s="758">
        <f>GEntry!BX12</f>
        <v>16</v>
      </c>
      <c r="AJ22" s="758">
        <f>GEntry!CD12</f>
        <v>0</v>
      </c>
      <c r="AK22" s="758">
        <f>GEntry!AM12</f>
        <v>0</v>
      </c>
      <c r="AL22" s="1157">
        <f>GEntry!B12</f>
        <v>34</v>
      </c>
      <c r="AM22" s="1157">
        <f>GEntry!C12</f>
        <v>40</v>
      </c>
      <c r="AN22" s="758">
        <f>GEntry!D12</f>
        <v>0</v>
      </c>
      <c r="AO22" s="758">
        <f>GEntry!E12</f>
        <v>0</v>
      </c>
      <c r="AP22" s="758">
        <f>GEntry!F12</f>
        <v>0</v>
      </c>
      <c r="AQ22" s="758">
        <f>GEntry!H12</f>
        <v>0</v>
      </c>
      <c r="AR22" s="758">
        <f>GEntry!I12</f>
        <v>0</v>
      </c>
      <c r="AS22" s="758">
        <f>GEntry!K12</f>
        <v>0</v>
      </c>
      <c r="AT22" s="758">
        <f>GEntry!L12</f>
        <v>0</v>
      </c>
      <c r="AU22" s="758"/>
      <c r="AV22" s="758">
        <f>GEntry!BK12</f>
        <v>22</v>
      </c>
      <c r="AW22" s="758">
        <f>GEntry!N12</f>
        <v>0</v>
      </c>
      <c r="AX22" s="758">
        <f>GEntry!M12</f>
        <v>0</v>
      </c>
      <c r="AY22" s="758">
        <f>GEntry!CU12</f>
        <v>0</v>
      </c>
      <c r="AZ22" s="758">
        <f>GEntry!CZ12</f>
        <v>6</v>
      </c>
      <c r="BA22" s="758">
        <f>GEntry!CY12</f>
        <v>0</v>
      </c>
      <c r="BB22" s="758">
        <f>GEntry!BL12</f>
        <v>21</v>
      </c>
      <c r="BC22" s="758">
        <f>GEntry!BP12</f>
        <v>3</v>
      </c>
      <c r="BD22" s="758">
        <f>GEntry!AD12</f>
        <v>0</v>
      </c>
      <c r="BE22" s="758">
        <f>GEntry!AE12</f>
        <v>0</v>
      </c>
      <c r="BF22" s="758">
        <f>GEntry!AF12</f>
        <v>80</v>
      </c>
      <c r="BG22" s="758">
        <f>GEntry!AJ12</f>
        <v>150</v>
      </c>
      <c r="BH22" s="758">
        <f>GEntry!AI12</f>
        <v>275</v>
      </c>
      <c r="BI22" s="758">
        <f>GEntry!AH12</f>
        <v>162</v>
      </c>
      <c r="BJ22" s="758">
        <f>GEntry!V12</f>
        <v>8</v>
      </c>
      <c r="BK22" s="758">
        <f>GEntry!AL12</f>
        <v>136</v>
      </c>
      <c r="BL22" s="758">
        <f>GEntry!AG12</f>
        <v>5</v>
      </c>
      <c r="BM22" s="758">
        <f>GEntry!AK12</f>
        <v>5</v>
      </c>
      <c r="BN22" s="758">
        <f>GEntry!CT12</f>
        <v>0</v>
      </c>
      <c r="BO22" s="759">
        <f>GEntry!CW12</f>
        <v>43</v>
      </c>
      <c r="BP22" s="759">
        <f>GEntry!CN12</f>
        <v>0</v>
      </c>
      <c r="BQ22" s="759">
        <f>GEntry!Q12</f>
        <v>0</v>
      </c>
      <c r="BR22" s="758">
        <f>GEntry!CG12</f>
        <v>25</v>
      </c>
      <c r="BS22" s="759">
        <f>GEntry!BQ12</f>
        <v>19</v>
      </c>
      <c r="BT22" s="759">
        <f>GEntry!BR12</f>
        <v>8</v>
      </c>
      <c r="BU22" s="759">
        <f>GEntry!BS12</f>
        <v>25</v>
      </c>
      <c r="BV22" s="759">
        <f>GEntry!BT12</f>
        <v>9</v>
      </c>
      <c r="BW22" s="749">
        <f>GEntry!BO12</f>
        <v>61</v>
      </c>
      <c r="BX22" s="759">
        <f>GEntry!AR12</f>
        <v>52</v>
      </c>
      <c r="BY22" s="759">
        <f>GEntry!CF12</f>
        <v>0</v>
      </c>
      <c r="BZ22" s="759">
        <f>GEntry!BN12</f>
        <v>22</v>
      </c>
      <c r="CA22" s="1159">
        <f>GEntry!DF12</f>
        <v>1</v>
      </c>
      <c r="CB22" s="759">
        <f>GEntry!AT12</f>
        <v>42</v>
      </c>
      <c r="CC22" s="759">
        <f>GEntry!AU12</f>
        <v>0</v>
      </c>
      <c r="CD22" s="759">
        <f>GEntry!BF12</f>
        <v>51</v>
      </c>
      <c r="CE22" s="759">
        <f>GEntry!CV12</f>
        <v>0</v>
      </c>
      <c r="CF22" s="759">
        <f>GEntry!DE12</f>
        <v>110</v>
      </c>
      <c r="CG22" s="759">
        <f>GEntry!AV12</f>
        <v>0</v>
      </c>
      <c r="CH22" s="759">
        <f>GEntry!AW12</f>
        <v>40</v>
      </c>
      <c r="CI22" s="759">
        <f>GEntry!AX12</f>
        <v>78</v>
      </c>
      <c r="CJ22" s="759">
        <f>GEntry!AZ12</f>
        <v>0</v>
      </c>
      <c r="CK22" s="759">
        <f>GEntry!BA12</f>
        <v>190</v>
      </c>
      <c r="CL22" s="759">
        <f>GEntry!BB12</f>
        <v>18</v>
      </c>
      <c r="CM22" s="759">
        <f>GEntry!BC12</f>
        <v>0</v>
      </c>
      <c r="CN22" s="759">
        <f>GEntry!BD12</f>
        <v>10</v>
      </c>
      <c r="CO22" s="759">
        <f>GEntry!BH12</f>
        <v>275</v>
      </c>
      <c r="CP22" s="759">
        <f>GEntry!BG12</f>
        <v>16</v>
      </c>
      <c r="CQ22" s="986">
        <f>GEntry!BE12</f>
        <v>8</v>
      </c>
      <c r="CR22" s="986">
        <f>GEntry!P12</f>
        <v>0</v>
      </c>
      <c r="CS22" s="986">
        <f>GEntry!U12</f>
        <v>260</v>
      </c>
      <c r="CT22" s="759">
        <f>GEntry!DH12</f>
        <v>0</v>
      </c>
      <c r="CU22" s="986">
        <f>GEntry!DI12</f>
        <v>0</v>
      </c>
      <c r="CV22" s="986">
        <f>GEntry!DJ12</f>
        <v>120</v>
      </c>
      <c r="CW22" s="759">
        <f>GEntry!DK12</f>
        <v>0</v>
      </c>
      <c r="CX22" s="986">
        <f>GEntry!DL12</f>
        <v>0</v>
      </c>
      <c r="CY22" s="986">
        <f>GEntry!G12</f>
        <v>13</v>
      </c>
      <c r="CZ22" s="986">
        <f>GEntry!DM12</f>
        <v>90</v>
      </c>
      <c r="DA22" s="759">
        <f>GEntry!DN12</f>
        <v>0</v>
      </c>
      <c r="DB22" s="1667">
        <f>GEntry!DO12</f>
        <v>138</v>
      </c>
      <c r="DC22" s="1652">
        <f>GEntry!DP12</f>
        <v>0</v>
      </c>
      <c r="DD22" s="1760">
        <f>GEntry!DQ12</f>
        <v>8</v>
      </c>
      <c r="DE22" s="1759">
        <f>GEntry!CH12</f>
        <v>52</v>
      </c>
      <c r="DF22" s="1864">
        <f>GEntry!O12</f>
        <v>17</v>
      </c>
      <c r="DG22" s="1857">
        <f>GEntry!CI12</f>
        <v>3</v>
      </c>
      <c r="DH22" s="2064">
        <f>GEntry!DR12</f>
        <v>15</v>
      </c>
      <c r="DI22" s="2065">
        <f>GEntry!CJ12</f>
        <v>54</v>
      </c>
      <c r="DJ22" s="2077">
        <f>GEntry!CK12</f>
        <v>68</v>
      </c>
      <c r="DK22" s="3078">
        <f>GEntry!BZ12</f>
        <v>0</v>
      </c>
      <c r="DL22" s="3370">
        <f>GEntry!CA12</f>
        <v>55</v>
      </c>
      <c r="DM22" s="3079">
        <f>GEntry!DS12</f>
        <v>30</v>
      </c>
      <c r="DN22" s="3517">
        <f>GEntry!BI12</f>
        <v>340</v>
      </c>
      <c r="DO22" s="3518">
        <f>GEntry!CR12</f>
        <v>104</v>
      </c>
      <c r="DP22" s="3720">
        <f>GEntry!AS12</f>
        <v>23</v>
      </c>
      <c r="DQ22" s="3777">
        <f>GEntry!CB12</f>
        <v>162</v>
      </c>
      <c r="DR22" s="3848">
        <f>GEntry!DT12</f>
        <v>116</v>
      </c>
      <c r="DS22" s="3850">
        <f>GEntry!AY12</f>
        <v>0</v>
      </c>
      <c r="DT22" s="4039">
        <f>GEntry!DU12</f>
        <v>0</v>
      </c>
      <c r="DU22" s="4041">
        <f>GEntry!DV12</f>
        <v>17</v>
      </c>
      <c r="DV22" s="4793">
        <f>GEntry!DW12</f>
        <v>0</v>
      </c>
      <c r="DW22" s="4793">
        <f>GEntry!DX12</f>
        <v>0</v>
      </c>
      <c r="DX22" s="990"/>
      <c r="DY22" s="767">
        <f>GEntry!EX12</f>
        <v>657</v>
      </c>
      <c r="DZ22" s="764">
        <f>GEntry!EV12</f>
        <v>0</v>
      </c>
      <c r="EA22" s="764">
        <f>GEntry!EY12</f>
        <v>0</v>
      </c>
      <c r="EB22" s="764">
        <f>GEntry!EB12</f>
        <v>0</v>
      </c>
      <c r="EC22" s="764">
        <f>GEntry!EC12</f>
        <v>0</v>
      </c>
      <c r="ED22" s="764">
        <f>GEntry!EG12</f>
        <v>0</v>
      </c>
      <c r="EE22" s="764">
        <f>GEntry!EA12</f>
        <v>0</v>
      </c>
      <c r="EF22" s="764">
        <f>GEntry!EE12</f>
        <v>0</v>
      </c>
      <c r="EG22" s="764">
        <f>GEntry!EF12</f>
        <v>0</v>
      </c>
      <c r="EH22" s="764">
        <f>GEntry!EU12</f>
        <v>0</v>
      </c>
      <c r="EI22" s="764">
        <f>GEntry!ET12</f>
        <v>0</v>
      </c>
      <c r="EJ22" s="764">
        <f>GEntry!EQ12</f>
        <v>91</v>
      </c>
      <c r="EK22" s="764">
        <f>GEntry!ER12</f>
        <v>10</v>
      </c>
      <c r="EL22" s="764">
        <f>GEntry!EN12</f>
        <v>0</v>
      </c>
      <c r="EM22" s="764">
        <f>GEntry!EO12</f>
        <v>0</v>
      </c>
      <c r="EN22" s="764">
        <f>GEntry!FF12</f>
        <v>0</v>
      </c>
      <c r="EO22" s="764">
        <f>GEntry!FE12</f>
        <v>0</v>
      </c>
      <c r="EP22" s="764">
        <f>GEntry!FG12</f>
        <v>0</v>
      </c>
      <c r="EQ22" s="764">
        <f>GEntry!FQ12</f>
        <v>0</v>
      </c>
      <c r="ER22" s="764">
        <f>GEntry!FZ12</f>
        <v>0</v>
      </c>
      <c r="ES22" s="764">
        <f>GEntry!FU12</f>
        <v>0</v>
      </c>
      <c r="ET22" s="764">
        <f>GEntry!FV12</f>
        <v>0</v>
      </c>
      <c r="EU22" s="764">
        <f>GEntry!FW12</f>
        <v>0</v>
      </c>
      <c r="EV22" s="764">
        <f>GEntry!FY12</f>
        <v>16</v>
      </c>
      <c r="EW22" s="764">
        <f>GEntry!FX12</f>
        <v>0</v>
      </c>
      <c r="EX22" s="764">
        <f>GEntry!FR12</f>
        <v>22</v>
      </c>
      <c r="EY22" s="764">
        <f>GEntry!FS12</f>
        <v>0</v>
      </c>
      <c r="EZ22" s="764">
        <f>GEntry!FT12</f>
        <v>8</v>
      </c>
      <c r="FA22" s="1155">
        <f>GEntry!FB12</f>
        <v>0</v>
      </c>
      <c r="FB22" s="1155">
        <f>GEntry!FC12</f>
        <v>0</v>
      </c>
      <c r="FC22" s="1155">
        <f>GEntry!FD12</f>
        <v>199</v>
      </c>
      <c r="FD22" s="764">
        <f>GEntry!GD12</f>
        <v>0</v>
      </c>
      <c r="FE22" s="765">
        <f>GEntry!GE12</f>
        <v>0</v>
      </c>
      <c r="FF22" s="765">
        <f>GEntry!FI12</f>
        <v>0</v>
      </c>
      <c r="FG22" s="765">
        <f>GEntry!FJ12</f>
        <v>0</v>
      </c>
      <c r="FH22" s="765">
        <f>GEntry!FK12</f>
        <v>0</v>
      </c>
      <c r="FI22" s="765">
        <f>GEntry!FL12</f>
        <v>0</v>
      </c>
      <c r="FJ22" s="765">
        <f>GEntry!EP12</f>
        <v>0</v>
      </c>
      <c r="FK22" s="765">
        <f>GEntry!ES12</f>
        <v>0</v>
      </c>
      <c r="FL22" s="763">
        <f>GEntry!FM12</f>
        <v>156</v>
      </c>
      <c r="FM22" s="765">
        <f>GEntry!FN12</f>
        <v>0</v>
      </c>
      <c r="FN22" s="764">
        <f>GEntry!FO12</f>
        <v>292</v>
      </c>
      <c r="FO22" s="1687">
        <f>GEntry!EH12</f>
        <v>35</v>
      </c>
      <c r="FP22" s="1689">
        <f>GEntry!GA12</f>
        <v>0</v>
      </c>
      <c r="FQ22" s="1694">
        <f>GEntry!GB12</f>
        <v>70</v>
      </c>
      <c r="FR22" s="1877">
        <f>GEntry!EW12</f>
        <v>0</v>
      </c>
      <c r="FS22" s="1981">
        <f>GEntry!GF12</f>
        <v>112</v>
      </c>
      <c r="FT22" s="1983">
        <f>GEntry!FP12</f>
        <v>0</v>
      </c>
      <c r="FU22" s="2154">
        <f>GEntry!GG12</f>
        <v>2</v>
      </c>
      <c r="FV22" s="3143">
        <f>GEntry!GC12</f>
        <v>113</v>
      </c>
      <c r="FW22" s="764">
        <f>GEntry!EZ12</f>
        <v>250</v>
      </c>
      <c r="FX22" s="3685">
        <f>GEntry!EL12</f>
        <v>130</v>
      </c>
      <c r="FY22" s="3758">
        <f>GEntry!EM12</f>
        <v>0</v>
      </c>
      <c r="FZ22" s="3760">
        <f>GEntry!EK12</f>
        <v>0</v>
      </c>
      <c r="GA22" s="4897">
        <f>GEntry!FH12</f>
        <v>2</v>
      </c>
      <c r="GB22" s="4984">
        <f>GEntry!EI12</f>
        <v>39</v>
      </c>
      <c r="GC22" s="3685">
        <f>GEntry!GH12</f>
        <v>0</v>
      </c>
      <c r="GD22" s="993"/>
      <c r="GE22" s="910">
        <f t="shared" si="12"/>
        <v>4639</v>
      </c>
      <c r="GF22" s="909">
        <f t="shared" si="6"/>
        <v>2204</v>
      </c>
      <c r="GG22" s="906">
        <f t="shared" si="7"/>
        <v>6843</v>
      </c>
      <c r="GH22" s="650">
        <f t="shared" si="8"/>
        <v>2165</v>
      </c>
      <c r="GI22" s="650">
        <f t="shared" si="0"/>
        <v>657</v>
      </c>
      <c r="GJ22" s="650">
        <f t="shared" si="13"/>
        <v>1490</v>
      </c>
      <c r="GK22" s="650">
        <f t="shared" si="9"/>
        <v>0</v>
      </c>
      <c r="GL22" s="650">
        <f t="shared" si="1"/>
        <v>1847</v>
      </c>
      <c r="GM22" s="650">
        <f t="shared" si="2"/>
        <v>449</v>
      </c>
      <c r="GN22" s="650">
        <f t="shared" si="3"/>
        <v>74</v>
      </c>
      <c r="GO22" s="650">
        <f t="shared" si="10"/>
        <v>0</v>
      </c>
      <c r="GP22" s="650">
        <f t="shared" si="11"/>
        <v>0</v>
      </c>
      <c r="GQ22" s="650">
        <f t="shared" si="4"/>
        <v>61</v>
      </c>
      <c r="GR22" s="905">
        <f t="shared" si="5"/>
        <v>100</v>
      </c>
      <c r="GS22" s="904">
        <f>FWise!M14</f>
        <v>0</v>
      </c>
      <c r="GT22" s="3543">
        <f>GEntry!GL12</f>
        <v>97.22</v>
      </c>
      <c r="GU22" s="883"/>
      <c r="GV22" s="13"/>
      <c r="GW22" s="13"/>
      <c r="HZ22" s="139"/>
      <c r="IA22" s="139"/>
    </row>
    <row r="23" spans="1:275" ht="22.5" customHeight="1" thickBot="1">
      <c r="A23" s="609">
        <v>0.41666666666666669</v>
      </c>
      <c r="B23" s="761">
        <f>GEntry!W13</f>
        <v>0</v>
      </c>
      <c r="C23" s="758">
        <f>GEntry!X13</f>
        <v>0</v>
      </c>
      <c r="D23" s="758">
        <f>GEntry!Y13</f>
        <v>220</v>
      </c>
      <c r="E23" s="758">
        <f>GEntry!Z13</f>
        <v>0</v>
      </c>
      <c r="F23" s="759">
        <f>GEntry!AB13</f>
        <v>0</v>
      </c>
      <c r="G23" s="759">
        <f>GEntry!BY13</f>
        <v>0</v>
      </c>
      <c r="H23" s="758">
        <f>GEntry!CS13</f>
        <v>0</v>
      </c>
      <c r="I23" s="758">
        <f>GEntry!AO13</f>
        <v>0</v>
      </c>
      <c r="J23" s="758">
        <f>GEntry!AQ13</f>
        <v>253</v>
      </c>
      <c r="K23" s="758"/>
      <c r="L23" s="758">
        <f>GEntry!AN13</f>
        <v>0</v>
      </c>
      <c r="M23" s="758">
        <f>GEntry!AP13</f>
        <v>180</v>
      </c>
      <c r="N23" s="758">
        <f>GEntry!CP13</f>
        <v>0</v>
      </c>
      <c r="O23" s="758">
        <f>GEntry!CQ13</f>
        <v>0</v>
      </c>
      <c r="P23" s="758">
        <f>GEntry!CL13</f>
        <v>0</v>
      </c>
      <c r="Q23" s="758">
        <f>GEntry!DC13</f>
        <v>30</v>
      </c>
      <c r="R23" s="758">
        <f>GEntry!T13</f>
        <v>0</v>
      </c>
      <c r="S23" s="758">
        <f>GEntry!R13</f>
        <v>0</v>
      </c>
      <c r="T23" s="758">
        <f>GEntry!S13</f>
        <v>0</v>
      </c>
      <c r="U23" s="758">
        <f>GEntry!CC13</f>
        <v>0</v>
      </c>
      <c r="V23" s="759">
        <f>GEntry!CX13</f>
        <v>40</v>
      </c>
      <c r="W23" s="758">
        <f>GEntry!CE13</f>
        <v>0</v>
      </c>
      <c r="X23" s="758">
        <f>GEntry!CO13</f>
        <v>0</v>
      </c>
      <c r="Y23" s="758">
        <f>GEntry!DB13</f>
        <v>0</v>
      </c>
      <c r="Z23" s="758">
        <f>GEntry!CM13</f>
        <v>0</v>
      </c>
      <c r="AA23" s="758">
        <f>GEntry!DA13</f>
        <v>0</v>
      </c>
      <c r="AB23" s="758">
        <f>GEntry!DG13</f>
        <v>0</v>
      </c>
      <c r="AC23" s="758">
        <f>GEntry!DD13</f>
        <v>55</v>
      </c>
      <c r="AD23" s="758">
        <f>GEntry!BJ13</f>
        <v>35</v>
      </c>
      <c r="AE23" s="758">
        <f>GEntry!BM13</f>
        <v>0</v>
      </c>
      <c r="AF23" s="758">
        <f>GEntry!BU13</f>
        <v>0</v>
      </c>
      <c r="AG23" s="758">
        <f>GEntry!BV13</f>
        <v>0</v>
      </c>
      <c r="AH23" s="758">
        <f>GEntry!BW13</f>
        <v>16</v>
      </c>
      <c r="AI23" s="758">
        <f>GEntry!BX13</f>
        <v>16</v>
      </c>
      <c r="AJ23" s="758">
        <f>GEntry!CD13</f>
        <v>12</v>
      </c>
      <c r="AK23" s="758">
        <f>GEntry!AM13</f>
        <v>0</v>
      </c>
      <c r="AL23" s="1157">
        <f>GEntry!B13</f>
        <v>0</v>
      </c>
      <c r="AM23" s="1157">
        <f>GEntry!C13</f>
        <v>40</v>
      </c>
      <c r="AN23" s="758">
        <f>GEntry!D13</f>
        <v>0</v>
      </c>
      <c r="AO23" s="758">
        <f>GEntry!E13</f>
        <v>0</v>
      </c>
      <c r="AP23" s="758">
        <f>GEntry!F13</f>
        <v>0</v>
      </c>
      <c r="AQ23" s="758">
        <f>GEntry!H13</f>
        <v>0</v>
      </c>
      <c r="AR23" s="758">
        <f>GEntry!I13</f>
        <v>0</v>
      </c>
      <c r="AS23" s="758">
        <f>GEntry!K13</f>
        <v>0</v>
      </c>
      <c r="AT23" s="758">
        <f>GEntry!L13</f>
        <v>0</v>
      </c>
      <c r="AU23" s="758"/>
      <c r="AV23" s="758">
        <f>GEntry!BK13</f>
        <v>22</v>
      </c>
      <c r="AW23" s="758">
        <f>GEntry!N13</f>
        <v>0</v>
      </c>
      <c r="AX23" s="758">
        <f>GEntry!M13</f>
        <v>0</v>
      </c>
      <c r="AY23" s="758">
        <f>GEntry!CU13</f>
        <v>0</v>
      </c>
      <c r="AZ23" s="758">
        <f>GEntry!CZ13</f>
        <v>6</v>
      </c>
      <c r="BA23" s="758">
        <f>GEntry!CY13</f>
        <v>0</v>
      </c>
      <c r="BB23" s="758">
        <f>GEntry!BL13</f>
        <v>21</v>
      </c>
      <c r="BC23" s="758">
        <f>GEntry!BP13</f>
        <v>3</v>
      </c>
      <c r="BD23" s="758">
        <f>GEntry!AD13</f>
        <v>0</v>
      </c>
      <c r="BE23" s="758">
        <f>GEntry!AE13</f>
        <v>0</v>
      </c>
      <c r="BF23" s="758">
        <f>GEntry!AF13</f>
        <v>80</v>
      </c>
      <c r="BG23" s="758">
        <f>GEntry!AJ13</f>
        <v>150</v>
      </c>
      <c r="BH23" s="758">
        <f>GEntry!AI13</f>
        <v>275</v>
      </c>
      <c r="BI23" s="758">
        <f>GEntry!AH13</f>
        <v>160</v>
      </c>
      <c r="BJ23" s="758">
        <f>GEntry!V13</f>
        <v>8</v>
      </c>
      <c r="BK23" s="758">
        <f>GEntry!AL13</f>
        <v>138</v>
      </c>
      <c r="BL23" s="758">
        <f>GEntry!AG13</f>
        <v>5</v>
      </c>
      <c r="BM23" s="758">
        <f>GEntry!AK13</f>
        <v>5</v>
      </c>
      <c r="BN23" s="758">
        <f>GEntry!CT13</f>
        <v>0</v>
      </c>
      <c r="BO23" s="759">
        <f>GEntry!CW13</f>
        <v>43</v>
      </c>
      <c r="BP23" s="759">
        <f>GEntry!CN13</f>
        <v>0</v>
      </c>
      <c r="BQ23" s="759">
        <f>GEntry!Q13</f>
        <v>0</v>
      </c>
      <c r="BR23" s="758">
        <f>GEntry!CG13</f>
        <v>25</v>
      </c>
      <c r="BS23" s="759">
        <f>GEntry!BQ13</f>
        <v>19</v>
      </c>
      <c r="BT23" s="759">
        <f>GEntry!BR13</f>
        <v>8</v>
      </c>
      <c r="BU23" s="759">
        <f>GEntry!BS13</f>
        <v>21</v>
      </c>
      <c r="BV23" s="759">
        <f>GEntry!BT13</f>
        <v>9</v>
      </c>
      <c r="BW23" s="749">
        <f>GEntry!BO13</f>
        <v>63</v>
      </c>
      <c r="BX23" s="759">
        <f>GEntry!AR13</f>
        <v>50</v>
      </c>
      <c r="BY23" s="759">
        <f>GEntry!CF13</f>
        <v>0</v>
      </c>
      <c r="BZ23" s="759">
        <f>GEntry!BN13</f>
        <v>22</v>
      </c>
      <c r="CA23" s="1159">
        <f>GEntry!DF13</f>
        <v>2</v>
      </c>
      <c r="CB23" s="759">
        <f>GEntry!AT13</f>
        <v>43</v>
      </c>
      <c r="CC23" s="759">
        <f>GEntry!AU13</f>
        <v>0</v>
      </c>
      <c r="CD23" s="759">
        <f>GEntry!BF13</f>
        <v>51</v>
      </c>
      <c r="CE23" s="759">
        <f>GEntry!CV13</f>
        <v>0</v>
      </c>
      <c r="CF23" s="759">
        <f>GEntry!DE13</f>
        <v>110</v>
      </c>
      <c r="CG23" s="759">
        <f>GEntry!AV13</f>
        <v>0</v>
      </c>
      <c r="CH23" s="759">
        <f>GEntry!AW13</f>
        <v>55</v>
      </c>
      <c r="CI23" s="759">
        <f>GEntry!AX13</f>
        <v>78</v>
      </c>
      <c r="CJ23" s="759">
        <f>GEntry!AZ13</f>
        <v>0</v>
      </c>
      <c r="CK23" s="759">
        <f>GEntry!BA13</f>
        <v>190</v>
      </c>
      <c r="CL23" s="759">
        <f>GEntry!BB13</f>
        <v>18</v>
      </c>
      <c r="CM23" s="759">
        <f>GEntry!BC13</f>
        <v>0</v>
      </c>
      <c r="CN23" s="759">
        <f>GEntry!BD13</f>
        <v>10</v>
      </c>
      <c r="CO23" s="759">
        <f>GEntry!BH13</f>
        <v>280</v>
      </c>
      <c r="CP23" s="759">
        <f>GEntry!BG13</f>
        <v>16</v>
      </c>
      <c r="CQ23" s="986">
        <f>GEntry!BE13</f>
        <v>8</v>
      </c>
      <c r="CR23" s="986">
        <f>GEntry!P13</f>
        <v>0</v>
      </c>
      <c r="CS23" s="986">
        <f>GEntry!U13</f>
        <v>271</v>
      </c>
      <c r="CT23" s="759">
        <f>GEntry!DH13</f>
        <v>0</v>
      </c>
      <c r="CU23" s="986">
        <f>GEntry!DI13</f>
        <v>0</v>
      </c>
      <c r="CV23" s="986">
        <f>GEntry!DJ13</f>
        <v>120</v>
      </c>
      <c r="CW23" s="759">
        <f>GEntry!DK13</f>
        <v>0</v>
      </c>
      <c r="CX23" s="986">
        <f>GEntry!DL13</f>
        <v>0</v>
      </c>
      <c r="CY23" s="986">
        <f>GEntry!G13</f>
        <v>17</v>
      </c>
      <c r="CZ23" s="986">
        <f>GEntry!DM13</f>
        <v>90</v>
      </c>
      <c r="DA23" s="759">
        <f>GEntry!DN13</f>
        <v>0</v>
      </c>
      <c r="DB23" s="1667">
        <f>GEntry!DO13</f>
        <v>137</v>
      </c>
      <c r="DC23" s="1652">
        <f>GEntry!DP13</f>
        <v>0</v>
      </c>
      <c r="DD23" s="1760">
        <f>GEntry!DQ13</f>
        <v>8</v>
      </c>
      <c r="DE23" s="1759">
        <f>GEntry!CH13</f>
        <v>52</v>
      </c>
      <c r="DF23" s="1864">
        <f>GEntry!O13</f>
        <v>17</v>
      </c>
      <c r="DG23" s="1857">
        <f>GEntry!CI13</f>
        <v>4</v>
      </c>
      <c r="DH23" s="2064">
        <f>GEntry!DR13</f>
        <v>15</v>
      </c>
      <c r="DI23" s="2065">
        <f>GEntry!CJ13</f>
        <v>54</v>
      </c>
      <c r="DJ23" s="2077">
        <f>GEntry!CK13</f>
        <v>51</v>
      </c>
      <c r="DK23" s="3078">
        <f>GEntry!BZ13</f>
        <v>0</v>
      </c>
      <c r="DL23" s="3370">
        <f>GEntry!CA13</f>
        <v>55</v>
      </c>
      <c r="DM23" s="3079">
        <f>GEntry!DS13</f>
        <v>30</v>
      </c>
      <c r="DN23" s="3517">
        <f>GEntry!BI13</f>
        <v>322</v>
      </c>
      <c r="DO23" s="3518">
        <f>GEntry!CR13</f>
        <v>79</v>
      </c>
      <c r="DP23" s="3720">
        <f>GEntry!AS13</f>
        <v>35</v>
      </c>
      <c r="DQ23" s="3777">
        <f>GEntry!CB13</f>
        <v>162</v>
      </c>
      <c r="DR23" s="3848">
        <f>GEntry!DT13</f>
        <v>116</v>
      </c>
      <c r="DS23" s="3850">
        <f>GEntry!AY13</f>
        <v>0</v>
      </c>
      <c r="DT23" s="4039">
        <f>GEntry!DU13</f>
        <v>14</v>
      </c>
      <c r="DU23" s="4041">
        <f>GEntry!DV13</f>
        <v>24</v>
      </c>
      <c r="DV23" s="4793">
        <f>GEntry!DW13</f>
        <v>0</v>
      </c>
      <c r="DW23" s="4793">
        <f>GEntry!DX13</f>
        <v>0</v>
      </c>
      <c r="DX23" s="990"/>
      <c r="DY23" s="767">
        <f>GEntry!EX13</f>
        <v>656</v>
      </c>
      <c r="DZ23" s="764">
        <f>GEntry!EV13</f>
        <v>0</v>
      </c>
      <c r="EA23" s="764">
        <f>GEntry!EY13</f>
        <v>0</v>
      </c>
      <c r="EB23" s="764">
        <f>GEntry!EB13</f>
        <v>0</v>
      </c>
      <c r="EC23" s="764">
        <f>GEntry!EC13</f>
        <v>0</v>
      </c>
      <c r="ED23" s="764">
        <f>GEntry!EG13</f>
        <v>0</v>
      </c>
      <c r="EE23" s="764">
        <f>GEntry!EA13</f>
        <v>0</v>
      </c>
      <c r="EF23" s="764">
        <f>GEntry!EE13</f>
        <v>0</v>
      </c>
      <c r="EG23" s="764">
        <f>GEntry!EF13</f>
        <v>0</v>
      </c>
      <c r="EH23" s="764">
        <f>GEntry!EU13</f>
        <v>0</v>
      </c>
      <c r="EI23" s="764">
        <f>GEntry!ET13</f>
        <v>0</v>
      </c>
      <c r="EJ23" s="764">
        <f>GEntry!EQ13</f>
        <v>91</v>
      </c>
      <c r="EK23" s="764">
        <f>GEntry!ER13</f>
        <v>10</v>
      </c>
      <c r="EL23" s="764">
        <f>GEntry!EN13</f>
        <v>0</v>
      </c>
      <c r="EM23" s="764">
        <f>GEntry!EO13</f>
        <v>0</v>
      </c>
      <c r="EN23" s="764">
        <f>GEntry!FF13</f>
        <v>0</v>
      </c>
      <c r="EO23" s="764">
        <f>GEntry!FE13</f>
        <v>0</v>
      </c>
      <c r="EP23" s="764">
        <f>GEntry!FG13</f>
        <v>0</v>
      </c>
      <c r="EQ23" s="764">
        <f>GEntry!FQ13</f>
        <v>0</v>
      </c>
      <c r="ER23" s="764">
        <f>GEntry!FZ13</f>
        <v>0</v>
      </c>
      <c r="ES23" s="764">
        <f>GEntry!FU13</f>
        <v>0</v>
      </c>
      <c r="ET23" s="764">
        <f>GEntry!FV13</f>
        <v>0</v>
      </c>
      <c r="EU23" s="764">
        <f>GEntry!FW13</f>
        <v>0</v>
      </c>
      <c r="EV23" s="764">
        <f>GEntry!FY13</f>
        <v>16</v>
      </c>
      <c r="EW23" s="764">
        <f>GEntry!FX13</f>
        <v>0</v>
      </c>
      <c r="EX23" s="764">
        <f>GEntry!FR13</f>
        <v>18</v>
      </c>
      <c r="EY23" s="764">
        <f>GEntry!FS13</f>
        <v>0</v>
      </c>
      <c r="EZ23" s="764">
        <f>GEntry!FT13</f>
        <v>8</v>
      </c>
      <c r="FA23" s="1155">
        <f>GEntry!FB13</f>
        <v>0</v>
      </c>
      <c r="FB23" s="1155">
        <f>GEntry!FC13</f>
        <v>0</v>
      </c>
      <c r="FC23" s="1155">
        <f>GEntry!FD13</f>
        <v>200</v>
      </c>
      <c r="FD23" s="764">
        <f>GEntry!GD13</f>
        <v>0</v>
      </c>
      <c r="FE23" s="765">
        <f>GEntry!GE13</f>
        <v>0</v>
      </c>
      <c r="FF23" s="765">
        <f>GEntry!FI13</f>
        <v>0</v>
      </c>
      <c r="FG23" s="765">
        <f>GEntry!FJ13</f>
        <v>0</v>
      </c>
      <c r="FH23" s="765">
        <f>GEntry!FK13</f>
        <v>0</v>
      </c>
      <c r="FI23" s="765">
        <f>GEntry!FL13</f>
        <v>0</v>
      </c>
      <c r="FJ23" s="765">
        <f>GEntry!EP13</f>
        <v>0</v>
      </c>
      <c r="FK23" s="765">
        <f>GEntry!ES13</f>
        <v>0</v>
      </c>
      <c r="FL23" s="763">
        <f>GEntry!FM13</f>
        <v>158</v>
      </c>
      <c r="FM23" s="765">
        <f>GEntry!FN13</f>
        <v>0</v>
      </c>
      <c r="FN23" s="764">
        <f>GEntry!FO13</f>
        <v>337</v>
      </c>
      <c r="FO23" s="1687">
        <f>GEntry!EH13</f>
        <v>17</v>
      </c>
      <c r="FP23" s="1689">
        <f>GEntry!GA13</f>
        <v>0</v>
      </c>
      <c r="FQ23" s="1694">
        <f>GEntry!GB13</f>
        <v>35</v>
      </c>
      <c r="FR23" s="1877">
        <f>GEntry!EW13</f>
        <v>0</v>
      </c>
      <c r="FS23" s="1981">
        <f>GEntry!GF13</f>
        <v>76</v>
      </c>
      <c r="FT23" s="1983">
        <f>GEntry!FP13</f>
        <v>0</v>
      </c>
      <c r="FU23" s="2154">
        <f>GEntry!GG13</f>
        <v>3</v>
      </c>
      <c r="FV23" s="3143">
        <f>GEntry!GC13</f>
        <v>35</v>
      </c>
      <c r="FW23" s="764">
        <f>GEntry!EZ13</f>
        <v>250</v>
      </c>
      <c r="FX23" s="3685">
        <f>GEntry!EL13</f>
        <v>130</v>
      </c>
      <c r="FY23" s="3758">
        <f>GEntry!EM13</f>
        <v>0</v>
      </c>
      <c r="FZ23" s="3760">
        <f>GEntry!EK13</f>
        <v>0</v>
      </c>
      <c r="GA23" s="4897">
        <f>GEntry!FH13</f>
        <v>2</v>
      </c>
      <c r="GB23" s="4984">
        <f>GEntry!EI13</f>
        <v>57</v>
      </c>
      <c r="GC23" s="3685">
        <f>GEntry!GH13</f>
        <v>4</v>
      </c>
      <c r="GD23" s="993"/>
      <c r="GE23" s="910">
        <f t="shared" si="12"/>
        <v>4564</v>
      </c>
      <c r="GF23" s="909">
        <f t="shared" si="6"/>
        <v>2103</v>
      </c>
      <c r="GG23" s="906">
        <f t="shared" si="7"/>
        <v>6667</v>
      </c>
      <c r="GH23" s="650">
        <f t="shared" si="8"/>
        <v>2119</v>
      </c>
      <c r="GI23" s="650">
        <f t="shared" si="0"/>
        <v>656</v>
      </c>
      <c r="GJ23" s="650">
        <f t="shared" si="13"/>
        <v>1516</v>
      </c>
      <c r="GK23" s="650">
        <f t="shared" si="9"/>
        <v>0</v>
      </c>
      <c r="GL23" s="650">
        <f t="shared" si="1"/>
        <v>1679</v>
      </c>
      <c r="GM23" s="650">
        <f t="shared" si="2"/>
        <v>450</v>
      </c>
      <c r="GN23" s="650">
        <f t="shared" si="3"/>
        <v>40</v>
      </c>
      <c r="GO23" s="650">
        <f t="shared" si="10"/>
        <v>0</v>
      </c>
      <c r="GP23" s="650">
        <f t="shared" si="11"/>
        <v>0</v>
      </c>
      <c r="GQ23" s="650">
        <f t="shared" si="4"/>
        <v>63</v>
      </c>
      <c r="GR23" s="905">
        <f t="shared" si="5"/>
        <v>144</v>
      </c>
      <c r="GS23" s="904">
        <f>FWise!M15</f>
        <v>0</v>
      </c>
      <c r="GT23" s="3543">
        <f>GEntry!GL13</f>
        <v>97.22</v>
      </c>
      <c r="GU23" s="184"/>
      <c r="GV23" s="13"/>
      <c r="GW23" s="13"/>
      <c r="GY23" s="180"/>
      <c r="GZ23" s="181"/>
      <c r="HA23" s="181"/>
      <c r="HB23" s="181"/>
      <c r="HC23" s="181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ht="22.5" customHeight="1" thickBot="1">
      <c r="A24" s="609">
        <v>0.45833333333333331</v>
      </c>
      <c r="B24" s="761">
        <f>GEntry!W14</f>
        <v>0</v>
      </c>
      <c r="C24" s="758">
        <f>GEntry!X14</f>
        <v>0</v>
      </c>
      <c r="D24" s="758">
        <f>GEntry!Y14</f>
        <v>200</v>
      </c>
      <c r="E24" s="758">
        <f>GEntry!Z14</f>
        <v>0</v>
      </c>
      <c r="F24" s="759">
        <f>GEntry!AB14</f>
        <v>0</v>
      </c>
      <c r="G24" s="759">
        <f>GEntry!BY14</f>
        <v>0</v>
      </c>
      <c r="H24" s="758">
        <f>GEntry!CS14</f>
        <v>0</v>
      </c>
      <c r="I24" s="758">
        <f>GEntry!AO14</f>
        <v>0</v>
      </c>
      <c r="J24" s="758">
        <f>GEntry!AQ14</f>
        <v>252</v>
      </c>
      <c r="K24" s="758"/>
      <c r="L24" s="758">
        <f>GEntry!AN14</f>
        <v>0</v>
      </c>
      <c r="M24" s="758">
        <f>GEntry!AP14</f>
        <v>180</v>
      </c>
      <c r="N24" s="758">
        <f>GEntry!CP14</f>
        <v>0</v>
      </c>
      <c r="O24" s="758">
        <f>GEntry!CQ14</f>
        <v>0</v>
      </c>
      <c r="P24" s="758">
        <f>GEntry!CL14</f>
        <v>0</v>
      </c>
      <c r="Q24" s="758">
        <f>GEntry!DC14</f>
        <v>31</v>
      </c>
      <c r="R24" s="758">
        <f>GEntry!T14</f>
        <v>0</v>
      </c>
      <c r="S24" s="758">
        <f>GEntry!R14</f>
        <v>0</v>
      </c>
      <c r="T24" s="758">
        <f>GEntry!S14</f>
        <v>0</v>
      </c>
      <c r="U24" s="758">
        <f>GEntry!CC14</f>
        <v>0</v>
      </c>
      <c r="V24" s="759">
        <f>GEntry!CX14</f>
        <v>58</v>
      </c>
      <c r="W24" s="758">
        <f>GEntry!CE14</f>
        <v>0</v>
      </c>
      <c r="X24" s="758">
        <f>GEntry!CO14</f>
        <v>0</v>
      </c>
      <c r="Y24" s="758">
        <f>GEntry!DB14</f>
        <v>0</v>
      </c>
      <c r="Z24" s="758">
        <f>GEntry!CM14</f>
        <v>0</v>
      </c>
      <c r="AA24" s="758">
        <f>GEntry!DA14</f>
        <v>0</v>
      </c>
      <c r="AB24" s="758">
        <f>GEntry!DG14</f>
        <v>0</v>
      </c>
      <c r="AC24" s="758">
        <f>GEntry!DD14</f>
        <v>55</v>
      </c>
      <c r="AD24" s="758">
        <f>GEntry!BJ14</f>
        <v>35</v>
      </c>
      <c r="AE24" s="758">
        <f>GEntry!BM14</f>
        <v>0</v>
      </c>
      <c r="AF24" s="758">
        <f>GEntry!BU14</f>
        <v>0</v>
      </c>
      <c r="AG24" s="758">
        <f>GEntry!BV14</f>
        <v>0</v>
      </c>
      <c r="AH24" s="758">
        <f>GEntry!BW14</f>
        <v>16</v>
      </c>
      <c r="AI24" s="758">
        <f>GEntry!BX14</f>
        <v>17</v>
      </c>
      <c r="AJ24" s="758">
        <f>GEntry!CD14</f>
        <v>25</v>
      </c>
      <c r="AK24" s="758">
        <f>GEntry!AM14</f>
        <v>0</v>
      </c>
      <c r="AL24" s="1157">
        <f>GEntry!B14</f>
        <v>40</v>
      </c>
      <c r="AM24" s="1157">
        <f>GEntry!C14</f>
        <v>40</v>
      </c>
      <c r="AN24" s="758">
        <f>GEntry!D14</f>
        <v>0</v>
      </c>
      <c r="AO24" s="758">
        <f>GEntry!E14</f>
        <v>0</v>
      </c>
      <c r="AP24" s="758">
        <f>GEntry!F14</f>
        <v>0</v>
      </c>
      <c r="AQ24" s="758">
        <f>GEntry!H14</f>
        <v>0</v>
      </c>
      <c r="AR24" s="758">
        <f>GEntry!I14</f>
        <v>0</v>
      </c>
      <c r="AS24" s="758">
        <f>GEntry!K14</f>
        <v>0</v>
      </c>
      <c r="AT24" s="758">
        <f>GEntry!L14</f>
        <v>0</v>
      </c>
      <c r="AU24" s="758"/>
      <c r="AV24" s="758">
        <f>GEntry!BK14</f>
        <v>22</v>
      </c>
      <c r="AW24" s="758">
        <f>GEntry!N14</f>
        <v>0</v>
      </c>
      <c r="AX24" s="758">
        <f>GEntry!M14</f>
        <v>0</v>
      </c>
      <c r="AY24" s="758">
        <f>GEntry!CU14</f>
        <v>0</v>
      </c>
      <c r="AZ24" s="758">
        <f>GEntry!CZ14</f>
        <v>6</v>
      </c>
      <c r="BA24" s="758">
        <f>GEntry!CY14</f>
        <v>0</v>
      </c>
      <c r="BB24" s="758">
        <f>GEntry!BL14</f>
        <v>21</v>
      </c>
      <c r="BC24" s="758">
        <f>GEntry!BP14</f>
        <v>2</v>
      </c>
      <c r="BD24" s="758">
        <f>GEntry!AD14</f>
        <v>0</v>
      </c>
      <c r="BE24" s="758">
        <f>GEntry!AE14</f>
        <v>0</v>
      </c>
      <c r="BF24" s="758">
        <f>GEntry!AF14</f>
        <v>80</v>
      </c>
      <c r="BG24" s="758">
        <f>GEntry!AJ14</f>
        <v>150</v>
      </c>
      <c r="BH24" s="758">
        <f>GEntry!AI14</f>
        <v>285</v>
      </c>
      <c r="BI24" s="758">
        <f>GEntry!AH14</f>
        <v>152</v>
      </c>
      <c r="BJ24" s="758">
        <f>GEntry!V14</f>
        <v>8</v>
      </c>
      <c r="BK24" s="758">
        <f>GEntry!AL14</f>
        <v>138</v>
      </c>
      <c r="BL24" s="758">
        <f>GEntry!AG14</f>
        <v>5</v>
      </c>
      <c r="BM24" s="758">
        <f>GEntry!AK14</f>
        <v>5</v>
      </c>
      <c r="BN24" s="758">
        <f>GEntry!CT14</f>
        <v>0</v>
      </c>
      <c r="BO24" s="759">
        <f>GEntry!CW14</f>
        <v>43</v>
      </c>
      <c r="BP24" s="759">
        <f>GEntry!CN14</f>
        <v>0</v>
      </c>
      <c r="BQ24" s="759">
        <f>GEntry!Q14</f>
        <v>0</v>
      </c>
      <c r="BR24" s="758">
        <f>GEntry!CG14</f>
        <v>20</v>
      </c>
      <c r="BS24" s="759">
        <f>GEntry!BQ14</f>
        <v>19</v>
      </c>
      <c r="BT24" s="759">
        <f>GEntry!BR14</f>
        <v>8</v>
      </c>
      <c r="BU24" s="759">
        <f>GEntry!BS14</f>
        <v>16</v>
      </c>
      <c r="BV24" s="759">
        <f>GEntry!BT14</f>
        <v>6</v>
      </c>
      <c r="BW24" s="749">
        <f>GEntry!BO14</f>
        <v>64</v>
      </c>
      <c r="BX24" s="759">
        <f>GEntry!AR14</f>
        <v>49</v>
      </c>
      <c r="BY24" s="759">
        <f>GEntry!CF14</f>
        <v>0</v>
      </c>
      <c r="BZ24" s="759">
        <f>GEntry!BN14</f>
        <v>22</v>
      </c>
      <c r="CA24" s="1159">
        <f>GEntry!DF14</f>
        <v>2</v>
      </c>
      <c r="CB24" s="759">
        <f>GEntry!AT14</f>
        <v>43</v>
      </c>
      <c r="CC24" s="759">
        <f>GEntry!AU14</f>
        <v>0</v>
      </c>
      <c r="CD24" s="759">
        <f>GEntry!BF14</f>
        <v>45</v>
      </c>
      <c r="CE24" s="759">
        <f>GEntry!CV14</f>
        <v>0</v>
      </c>
      <c r="CF24" s="759">
        <f>GEntry!DE14</f>
        <v>163</v>
      </c>
      <c r="CG24" s="759">
        <f>GEntry!AV14</f>
        <v>0</v>
      </c>
      <c r="CH24" s="759">
        <f>GEntry!AW14</f>
        <v>67</v>
      </c>
      <c r="CI24" s="759">
        <f>GEntry!AX14</f>
        <v>78</v>
      </c>
      <c r="CJ24" s="759">
        <f>GEntry!AZ14</f>
        <v>0</v>
      </c>
      <c r="CK24" s="759">
        <f>GEntry!BA14</f>
        <v>190</v>
      </c>
      <c r="CL24" s="759">
        <f>GEntry!BB14</f>
        <v>18</v>
      </c>
      <c r="CM24" s="759">
        <f>GEntry!BC14</f>
        <v>0</v>
      </c>
      <c r="CN24" s="759">
        <f>GEntry!BD14</f>
        <v>10</v>
      </c>
      <c r="CO24" s="759">
        <f>GEntry!BH14</f>
        <v>305</v>
      </c>
      <c r="CP24" s="759">
        <f>GEntry!BG14</f>
        <v>16</v>
      </c>
      <c r="CQ24" s="986">
        <f>GEntry!BE14</f>
        <v>8</v>
      </c>
      <c r="CR24" s="986">
        <f>GEntry!P14</f>
        <v>0</v>
      </c>
      <c r="CS24" s="986">
        <f>GEntry!U14</f>
        <v>276</v>
      </c>
      <c r="CT24" s="759">
        <f>GEntry!DH14</f>
        <v>0</v>
      </c>
      <c r="CU24" s="986">
        <f>GEntry!DI14</f>
        <v>0</v>
      </c>
      <c r="CV24" s="986">
        <f>GEntry!DJ14</f>
        <v>127</v>
      </c>
      <c r="CW24" s="759">
        <f>GEntry!DK14</f>
        <v>0</v>
      </c>
      <c r="CX24" s="986">
        <f>GEntry!DL14</f>
        <v>0</v>
      </c>
      <c r="CY24" s="986">
        <f>GEntry!G14</f>
        <v>19</v>
      </c>
      <c r="CZ24" s="986">
        <f>GEntry!DM14</f>
        <v>76</v>
      </c>
      <c r="DA24" s="759">
        <f>GEntry!DN14</f>
        <v>0</v>
      </c>
      <c r="DB24" s="1667">
        <f>GEntry!DO14</f>
        <v>147</v>
      </c>
      <c r="DC24" s="1652">
        <f>GEntry!DP14</f>
        <v>0</v>
      </c>
      <c r="DD24" s="1760">
        <f>GEntry!DQ14</f>
        <v>8</v>
      </c>
      <c r="DE24" s="1759">
        <f>GEntry!CH14</f>
        <v>60</v>
      </c>
      <c r="DF24" s="1864">
        <f>GEntry!O14</f>
        <v>21</v>
      </c>
      <c r="DG24" s="1857">
        <f>GEntry!CI14</f>
        <v>4</v>
      </c>
      <c r="DH24" s="2064">
        <f>GEntry!DR14</f>
        <v>15</v>
      </c>
      <c r="DI24" s="2065">
        <f>GEntry!CJ14</f>
        <v>54</v>
      </c>
      <c r="DJ24" s="2077">
        <f>GEntry!CK14</f>
        <v>68</v>
      </c>
      <c r="DK24" s="3078">
        <f>GEntry!BZ14</f>
        <v>0</v>
      </c>
      <c r="DL24" s="3370">
        <f>GEntry!CA14</f>
        <v>66</v>
      </c>
      <c r="DM24" s="3079">
        <f>GEntry!DS14</f>
        <v>90</v>
      </c>
      <c r="DN24" s="3517">
        <f>GEntry!BI14</f>
        <v>371</v>
      </c>
      <c r="DO24" s="3518">
        <f>GEntry!CR14</f>
        <v>74</v>
      </c>
      <c r="DP24" s="3720">
        <f>GEntry!AS14</f>
        <v>43</v>
      </c>
      <c r="DQ24" s="3777">
        <f>GEntry!CB14</f>
        <v>162</v>
      </c>
      <c r="DR24" s="3848">
        <f>GEntry!DT14</f>
        <v>116</v>
      </c>
      <c r="DS24" s="3850">
        <f>GEntry!AY14</f>
        <v>0</v>
      </c>
      <c r="DT24" s="4039">
        <f>GEntry!DU14</f>
        <v>17</v>
      </c>
      <c r="DU24" s="4041">
        <f>GEntry!DV14</f>
        <v>28</v>
      </c>
      <c r="DV24" s="4793">
        <f>GEntry!DW14</f>
        <v>0</v>
      </c>
      <c r="DW24" s="4793">
        <f>GEntry!DX14</f>
        <v>0</v>
      </c>
      <c r="DX24" s="990"/>
      <c r="DY24" s="767">
        <f>GEntry!EX14</f>
        <v>655</v>
      </c>
      <c r="DZ24" s="764">
        <f>GEntry!EV14</f>
        <v>0</v>
      </c>
      <c r="EA24" s="764">
        <f>GEntry!EY14</f>
        <v>0</v>
      </c>
      <c r="EB24" s="764">
        <f>GEntry!EB14</f>
        <v>0</v>
      </c>
      <c r="EC24" s="764">
        <f>GEntry!EC14</f>
        <v>0</v>
      </c>
      <c r="ED24" s="764">
        <f>GEntry!EG14</f>
        <v>0</v>
      </c>
      <c r="EE24" s="764">
        <f>GEntry!EA14</f>
        <v>0</v>
      </c>
      <c r="EF24" s="764">
        <f>GEntry!EE14</f>
        <v>0</v>
      </c>
      <c r="EG24" s="764">
        <f>GEntry!EF14</f>
        <v>0</v>
      </c>
      <c r="EH24" s="764">
        <f>GEntry!EU14</f>
        <v>0</v>
      </c>
      <c r="EI24" s="764">
        <f>GEntry!ET14</f>
        <v>0</v>
      </c>
      <c r="EJ24" s="764">
        <f>GEntry!EQ14</f>
        <v>91</v>
      </c>
      <c r="EK24" s="764">
        <f>GEntry!ER14</f>
        <v>10</v>
      </c>
      <c r="EL24" s="764">
        <f>GEntry!EN14</f>
        <v>0</v>
      </c>
      <c r="EM24" s="764">
        <f>GEntry!EO14</f>
        <v>0</v>
      </c>
      <c r="EN24" s="764">
        <f>GEntry!FF14</f>
        <v>0</v>
      </c>
      <c r="EO24" s="764">
        <f>GEntry!FE14</f>
        <v>0</v>
      </c>
      <c r="EP24" s="764">
        <f>GEntry!FG14</f>
        <v>0</v>
      </c>
      <c r="EQ24" s="764">
        <f>GEntry!FQ14</f>
        <v>0</v>
      </c>
      <c r="ER24" s="764">
        <f>GEntry!FZ14</f>
        <v>0</v>
      </c>
      <c r="ES24" s="764">
        <f>GEntry!FU14</f>
        <v>0</v>
      </c>
      <c r="ET24" s="764">
        <f>GEntry!FV14</f>
        <v>0</v>
      </c>
      <c r="EU24" s="764">
        <f>GEntry!FW14</f>
        <v>0</v>
      </c>
      <c r="EV24" s="764">
        <f>GEntry!FY14</f>
        <v>16</v>
      </c>
      <c r="EW24" s="764">
        <f>GEntry!FX14</f>
        <v>0</v>
      </c>
      <c r="EX24" s="764">
        <f>GEntry!FR14</f>
        <v>18</v>
      </c>
      <c r="EY24" s="764">
        <f>GEntry!FS14</f>
        <v>0</v>
      </c>
      <c r="EZ24" s="764">
        <f>GEntry!FT14</f>
        <v>8</v>
      </c>
      <c r="FA24" s="1155">
        <f>GEntry!FB14</f>
        <v>0</v>
      </c>
      <c r="FB24" s="1155">
        <f>GEntry!FC14</f>
        <v>0</v>
      </c>
      <c r="FC24" s="1155">
        <f>GEntry!FD14</f>
        <v>200</v>
      </c>
      <c r="FD24" s="764">
        <f>GEntry!GD14</f>
        <v>0</v>
      </c>
      <c r="FE24" s="765">
        <f>GEntry!GE14</f>
        <v>0</v>
      </c>
      <c r="FF24" s="765">
        <f>GEntry!FI14</f>
        <v>0</v>
      </c>
      <c r="FG24" s="765">
        <f>GEntry!FJ14</f>
        <v>0</v>
      </c>
      <c r="FH24" s="765">
        <f>GEntry!FK14</f>
        <v>0</v>
      </c>
      <c r="FI24" s="765">
        <f>GEntry!FL14</f>
        <v>0</v>
      </c>
      <c r="FJ24" s="765">
        <f>GEntry!EP14</f>
        <v>0</v>
      </c>
      <c r="FK24" s="765">
        <f>GEntry!ES14</f>
        <v>0</v>
      </c>
      <c r="FL24" s="763">
        <f>GEntry!FM14</f>
        <v>169</v>
      </c>
      <c r="FM24" s="765">
        <f>GEntry!FN14</f>
        <v>0</v>
      </c>
      <c r="FN24" s="764">
        <f>GEntry!FO14</f>
        <v>341</v>
      </c>
      <c r="FO24" s="1687">
        <f>GEntry!EH14</f>
        <v>17</v>
      </c>
      <c r="FP24" s="1689">
        <f>GEntry!GA14</f>
        <v>0</v>
      </c>
      <c r="FQ24" s="1694">
        <f>GEntry!GB14</f>
        <v>35</v>
      </c>
      <c r="FR24" s="1877">
        <f>GEntry!EW14</f>
        <v>0</v>
      </c>
      <c r="FS24" s="1981">
        <f>GEntry!GF14</f>
        <v>72</v>
      </c>
      <c r="FT24" s="1983">
        <f>GEntry!FP14</f>
        <v>0</v>
      </c>
      <c r="FU24" s="2154">
        <f>GEntry!GG14</f>
        <v>3</v>
      </c>
      <c r="FV24" s="3143">
        <f>GEntry!GC14</f>
        <v>35</v>
      </c>
      <c r="FW24" s="764">
        <f>GEntry!EZ14</f>
        <v>250</v>
      </c>
      <c r="FX24" s="3685">
        <f>GEntry!EL14</f>
        <v>130</v>
      </c>
      <c r="FY24" s="3758">
        <f>GEntry!EM14</f>
        <v>0</v>
      </c>
      <c r="FZ24" s="3760">
        <f>GEntry!EK14</f>
        <v>0</v>
      </c>
      <c r="GA24" s="4897">
        <f>GEntry!FH14</f>
        <v>5</v>
      </c>
      <c r="GB24" s="4984">
        <f>GEntry!EI14</f>
        <v>68</v>
      </c>
      <c r="GC24" s="3685">
        <f>GEntry!GH14</f>
        <v>7</v>
      </c>
      <c r="GD24" s="993"/>
      <c r="GE24" s="910">
        <f t="shared" si="12"/>
        <v>4857</v>
      </c>
      <c r="GF24" s="909">
        <f t="shared" si="6"/>
        <v>2130</v>
      </c>
      <c r="GG24" s="906">
        <f t="shared" si="7"/>
        <v>6987</v>
      </c>
      <c r="GH24" s="650">
        <f t="shared" si="8"/>
        <v>2165</v>
      </c>
      <c r="GI24" s="650">
        <f t="shared" si="0"/>
        <v>655</v>
      </c>
      <c r="GJ24" s="650">
        <f t="shared" si="13"/>
        <v>1590</v>
      </c>
      <c r="GK24" s="650">
        <f t="shared" si="9"/>
        <v>0</v>
      </c>
      <c r="GL24" s="650">
        <f t="shared" si="1"/>
        <v>1811</v>
      </c>
      <c r="GM24" s="650">
        <f t="shared" si="2"/>
        <v>450</v>
      </c>
      <c r="GN24" s="650">
        <f t="shared" si="3"/>
        <v>80</v>
      </c>
      <c r="GO24" s="650">
        <f t="shared" si="10"/>
        <v>0</v>
      </c>
      <c r="GP24" s="650">
        <f t="shared" si="11"/>
        <v>0</v>
      </c>
      <c r="GQ24" s="650">
        <f t="shared" si="4"/>
        <v>64</v>
      </c>
      <c r="GR24" s="905">
        <f t="shared" si="5"/>
        <v>172</v>
      </c>
      <c r="GS24" s="904">
        <f>FWise!M16</f>
        <v>0</v>
      </c>
      <c r="GT24" s="3543">
        <f>GEntry!GL14</f>
        <v>97.21</v>
      </c>
      <c r="GU24" s="13"/>
      <c r="GV24" s="13"/>
      <c r="GW24" s="13"/>
      <c r="GY24" s="182"/>
      <c r="GZ24" s="181"/>
      <c r="HA24" s="183"/>
      <c r="HB24" s="183"/>
      <c r="HC24" s="18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6"/>
      <c r="JM24" s="13"/>
      <c r="JN24" s="13"/>
      <c r="JO24" s="13"/>
    </row>
    <row r="25" spans="1:275" ht="23.25" customHeight="1" thickBot="1">
      <c r="A25" s="609">
        <v>0.5</v>
      </c>
      <c r="B25" s="761">
        <f>GEntry!W15</f>
        <v>0</v>
      </c>
      <c r="C25" s="758">
        <f>GEntry!X15</f>
        <v>0</v>
      </c>
      <c r="D25" s="758">
        <f>GEntry!Y15</f>
        <v>0</v>
      </c>
      <c r="E25" s="758">
        <f>GEntry!Z15</f>
        <v>0</v>
      </c>
      <c r="F25" s="759">
        <f>GEntry!AB15</f>
        <v>0</v>
      </c>
      <c r="G25" s="759">
        <f>GEntry!BY15</f>
        <v>0</v>
      </c>
      <c r="H25" s="758">
        <f>GEntry!CS15</f>
        <v>0</v>
      </c>
      <c r="I25" s="758">
        <f>GEntry!AO15</f>
        <v>0</v>
      </c>
      <c r="J25" s="758">
        <f>GEntry!AQ15</f>
        <v>0</v>
      </c>
      <c r="K25" s="758"/>
      <c r="L25" s="758">
        <f>GEntry!AN15</f>
        <v>0</v>
      </c>
      <c r="M25" s="758">
        <f>GEntry!AP15</f>
        <v>0</v>
      </c>
      <c r="N25" s="758">
        <f>GEntry!CP15</f>
        <v>0</v>
      </c>
      <c r="O25" s="758">
        <f>GEntry!CQ15</f>
        <v>0</v>
      </c>
      <c r="P25" s="758">
        <f>GEntry!CL15</f>
        <v>0</v>
      </c>
      <c r="Q25" s="758">
        <f>GEntry!DC15</f>
        <v>0</v>
      </c>
      <c r="R25" s="758">
        <f>GEntry!T15</f>
        <v>0</v>
      </c>
      <c r="S25" s="758">
        <f>GEntry!R15</f>
        <v>0</v>
      </c>
      <c r="T25" s="758">
        <f>GEntry!S15</f>
        <v>0</v>
      </c>
      <c r="U25" s="758">
        <f>GEntry!CC15</f>
        <v>0</v>
      </c>
      <c r="V25" s="759">
        <f>GEntry!CX15</f>
        <v>0</v>
      </c>
      <c r="W25" s="758">
        <f>GEntry!CE15</f>
        <v>0</v>
      </c>
      <c r="X25" s="758">
        <f>GEntry!CO15</f>
        <v>0</v>
      </c>
      <c r="Y25" s="758">
        <f>GEntry!DB15</f>
        <v>0</v>
      </c>
      <c r="Z25" s="758">
        <f>GEntry!CM15</f>
        <v>0</v>
      </c>
      <c r="AA25" s="758">
        <f>GEntry!DA15</f>
        <v>0</v>
      </c>
      <c r="AB25" s="758">
        <f>GEntry!DG15</f>
        <v>0</v>
      </c>
      <c r="AC25" s="758">
        <f>GEntry!DD15</f>
        <v>0</v>
      </c>
      <c r="AD25" s="758">
        <f>GEntry!BJ15</f>
        <v>0</v>
      </c>
      <c r="AE25" s="758">
        <f>GEntry!BM15</f>
        <v>0</v>
      </c>
      <c r="AF25" s="758">
        <f>GEntry!BU15</f>
        <v>0</v>
      </c>
      <c r="AG25" s="758">
        <f>GEntry!BV15</f>
        <v>0</v>
      </c>
      <c r="AH25" s="758">
        <f>GEntry!BW15</f>
        <v>0</v>
      </c>
      <c r="AI25" s="758">
        <f>GEntry!BX15</f>
        <v>0</v>
      </c>
      <c r="AJ25" s="758">
        <f>GEntry!CD15</f>
        <v>0</v>
      </c>
      <c r="AK25" s="758">
        <f>GEntry!AM15</f>
        <v>0</v>
      </c>
      <c r="AL25" s="1157">
        <f>GEntry!B15</f>
        <v>0</v>
      </c>
      <c r="AM25" s="1157">
        <f>GEntry!C15</f>
        <v>0</v>
      </c>
      <c r="AN25" s="758">
        <f>GEntry!D15</f>
        <v>0</v>
      </c>
      <c r="AO25" s="758">
        <f>GEntry!E15</f>
        <v>0</v>
      </c>
      <c r="AP25" s="758">
        <f>GEntry!F15</f>
        <v>0</v>
      </c>
      <c r="AQ25" s="758">
        <f>GEntry!H15</f>
        <v>0</v>
      </c>
      <c r="AR25" s="758">
        <f>GEntry!I15</f>
        <v>0</v>
      </c>
      <c r="AS25" s="758">
        <f>GEntry!K15</f>
        <v>0</v>
      </c>
      <c r="AT25" s="758">
        <f>GEntry!L15</f>
        <v>0</v>
      </c>
      <c r="AU25" s="758"/>
      <c r="AV25" s="758">
        <f>GEntry!BK15</f>
        <v>0</v>
      </c>
      <c r="AW25" s="758">
        <f>GEntry!N15</f>
        <v>0</v>
      </c>
      <c r="AX25" s="758">
        <f>GEntry!M15</f>
        <v>0</v>
      </c>
      <c r="AY25" s="758">
        <f>GEntry!CU15</f>
        <v>0</v>
      </c>
      <c r="AZ25" s="758">
        <f>GEntry!CZ15</f>
        <v>0</v>
      </c>
      <c r="BA25" s="758">
        <f>GEntry!CY15</f>
        <v>0</v>
      </c>
      <c r="BB25" s="758">
        <f>GEntry!BL15</f>
        <v>0</v>
      </c>
      <c r="BC25" s="758">
        <f>GEntry!BP15</f>
        <v>0</v>
      </c>
      <c r="BD25" s="758">
        <f>GEntry!AD15</f>
        <v>0</v>
      </c>
      <c r="BE25" s="758">
        <f>GEntry!AE15</f>
        <v>0</v>
      </c>
      <c r="BF25" s="758">
        <f>GEntry!AF15</f>
        <v>0</v>
      </c>
      <c r="BG25" s="758">
        <f>GEntry!AJ15</f>
        <v>0</v>
      </c>
      <c r="BH25" s="758">
        <f>GEntry!AI15</f>
        <v>0</v>
      </c>
      <c r="BI25" s="758">
        <f>GEntry!AH15</f>
        <v>0</v>
      </c>
      <c r="BJ25" s="758">
        <f>GEntry!V15</f>
        <v>0</v>
      </c>
      <c r="BK25" s="758">
        <f>GEntry!AL15</f>
        <v>0</v>
      </c>
      <c r="BL25" s="758">
        <f>GEntry!AG15</f>
        <v>0</v>
      </c>
      <c r="BM25" s="758">
        <f>GEntry!AK15</f>
        <v>0</v>
      </c>
      <c r="BN25" s="758">
        <f>GEntry!CT15</f>
        <v>0</v>
      </c>
      <c r="BO25" s="759">
        <f>GEntry!CW15</f>
        <v>0</v>
      </c>
      <c r="BP25" s="759">
        <f>GEntry!CN15</f>
        <v>0</v>
      </c>
      <c r="BQ25" s="759">
        <f>GEntry!Q15</f>
        <v>0</v>
      </c>
      <c r="BR25" s="758">
        <f>GEntry!CG15</f>
        <v>0</v>
      </c>
      <c r="BS25" s="759">
        <f>GEntry!BQ15</f>
        <v>0</v>
      </c>
      <c r="BT25" s="759">
        <f>GEntry!BR15</f>
        <v>0</v>
      </c>
      <c r="BU25" s="759">
        <f>GEntry!BS15</f>
        <v>0</v>
      </c>
      <c r="BV25" s="759">
        <f>GEntry!BT15</f>
        <v>0</v>
      </c>
      <c r="BW25" s="749">
        <f>GEntry!BO15</f>
        <v>0</v>
      </c>
      <c r="BX25" s="759">
        <f>GEntry!AR15</f>
        <v>0</v>
      </c>
      <c r="BY25" s="759">
        <f>GEntry!CF15</f>
        <v>0</v>
      </c>
      <c r="BZ25" s="759">
        <f>GEntry!BN15</f>
        <v>0</v>
      </c>
      <c r="CA25" s="1159">
        <f>GEntry!DF15</f>
        <v>0</v>
      </c>
      <c r="CB25" s="759">
        <f>GEntry!AT15</f>
        <v>0</v>
      </c>
      <c r="CC25" s="759">
        <f>GEntry!AU15</f>
        <v>0</v>
      </c>
      <c r="CD25" s="759">
        <f>GEntry!BF15</f>
        <v>0</v>
      </c>
      <c r="CE25" s="759">
        <f>GEntry!CV15</f>
        <v>0</v>
      </c>
      <c r="CF25" s="759">
        <f>GEntry!DE15</f>
        <v>0</v>
      </c>
      <c r="CG25" s="759">
        <f>GEntry!AV15</f>
        <v>0</v>
      </c>
      <c r="CH25" s="759">
        <f>GEntry!AW15</f>
        <v>0</v>
      </c>
      <c r="CI25" s="759">
        <f>GEntry!AX15</f>
        <v>0</v>
      </c>
      <c r="CJ25" s="759">
        <f>GEntry!AZ15</f>
        <v>0</v>
      </c>
      <c r="CK25" s="759">
        <f>GEntry!BA15</f>
        <v>0</v>
      </c>
      <c r="CL25" s="759">
        <f>GEntry!BB15</f>
        <v>0</v>
      </c>
      <c r="CM25" s="759">
        <f>GEntry!BC15</f>
        <v>0</v>
      </c>
      <c r="CN25" s="759">
        <f>GEntry!BD15</f>
        <v>0</v>
      </c>
      <c r="CO25" s="759">
        <f>GEntry!BH15</f>
        <v>0</v>
      </c>
      <c r="CP25" s="759">
        <f>GEntry!BG15</f>
        <v>0</v>
      </c>
      <c r="CQ25" s="986">
        <f>GEntry!BE15</f>
        <v>0</v>
      </c>
      <c r="CR25" s="986">
        <f>GEntry!P15</f>
        <v>0</v>
      </c>
      <c r="CS25" s="986">
        <f>GEntry!U15</f>
        <v>0</v>
      </c>
      <c r="CT25" s="759">
        <f>GEntry!DH15</f>
        <v>0</v>
      </c>
      <c r="CU25" s="986">
        <f>GEntry!DI15</f>
        <v>0</v>
      </c>
      <c r="CV25" s="986">
        <f>GEntry!DJ15</f>
        <v>0</v>
      </c>
      <c r="CW25" s="759">
        <f>GEntry!DK15</f>
        <v>0</v>
      </c>
      <c r="CX25" s="986">
        <f>GEntry!DL15</f>
        <v>0</v>
      </c>
      <c r="CY25" s="986">
        <f>GEntry!G15</f>
        <v>0</v>
      </c>
      <c r="CZ25" s="986">
        <f>GEntry!DM15</f>
        <v>0</v>
      </c>
      <c r="DA25" s="759">
        <f>GEntry!DN15</f>
        <v>0</v>
      </c>
      <c r="DB25" s="1667">
        <f>GEntry!DO15</f>
        <v>0</v>
      </c>
      <c r="DC25" s="1652">
        <f>GEntry!DP15</f>
        <v>0</v>
      </c>
      <c r="DD25" s="1760">
        <f>GEntry!DQ15</f>
        <v>0</v>
      </c>
      <c r="DE25" s="1759">
        <f>GEntry!CH15</f>
        <v>0</v>
      </c>
      <c r="DF25" s="1864">
        <f>GEntry!O15</f>
        <v>0</v>
      </c>
      <c r="DG25" s="1857">
        <f>GEntry!CI15</f>
        <v>0</v>
      </c>
      <c r="DH25" s="2064">
        <f>GEntry!DR15</f>
        <v>0</v>
      </c>
      <c r="DI25" s="2065">
        <f>GEntry!CJ15</f>
        <v>0</v>
      </c>
      <c r="DJ25" s="2077">
        <f>GEntry!CK15</f>
        <v>0</v>
      </c>
      <c r="DK25" s="3078">
        <f>GEntry!BZ15</f>
        <v>0</v>
      </c>
      <c r="DL25" s="3370">
        <f>GEntry!CA15</f>
        <v>0</v>
      </c>
      <c r="DM25" s="3079">
        <f>GEntry!DS15</f>
        <v>0</v>
      </c>
      <c r="DN25" s="3517">
        <f>GEntry!BI15</f>
        <v>0</v>
      </c>
      <c r="DO25" s="3518">
        <f>GEntry!CR15</f>
        <v>0</v>
      </c>
      <c r="DP25" s="3720">
        <f>GEntry!AS15</f>
        <v>0</v>
      </c>
      <c r="DQ25" s="3777">
        <f>GEntry!CB15</f>
        <v>0</v>
      </c>
      <c r="DR25" s="3848">
        <f>GEntry!DT15</f>
        <v>0</v>
      </c>
      <c r="DS25" s="3850">
        <f>GEntry!AY15</f>
        <v>0</v>
      </c>
      <c r="DT25" s="4039">
        <f>GEntry!DU15</f>
        <v>0</v>
      </c>
      <c r="DU25" s="4041">
        <f>GEntry!DV15</f>
        <v>0</v>
      </c>
      <c r="DV25" s="4793">
        <f>GEntry!DW15</f>
        <v>0</v>
      </c>
      <c r="DW25" s="4793">
        <f>GEntry!DX15</f>
        <v>0</v>
      </c>
      <c r="DX25" s="990"/>
      <c r="DY25" s="767">
        <f>GEntry!EX15</f>
        <v>0</v>
      </c>
      <c r="DZ25" s="764">
        <f>GEntry!EV15</f>
        <v>0</v>
      </c>
      <c r="EA25" s="764">
        <f>GEntry!EY15</f>
        <v>0</v>
      </c>
      <c r="EB25" s="764">
        <f>GEntry!EB15</f>
        <v>0</v>
      </c>
      <c r="EC25" s="764">
        <f>GEntry!EC15</f>
        <v>0</v>
      </c>
      <c r="ED25" s="764">
        <f>GEntry!EG15</f>
        <v>0</v>
      </c>
      <c r="EE25" s="764">
        <f>GEntry!EA15</f>
        <v>0</v>
      </c>
      <c r="EF25" s="764">
        <f>GEntry!EE15</f>
        <v>0</v>
      </c>
      <c r="EG25" s="764">
        <f>GEntry!EF15</f>
        <v>0</v>
      </c>
      <c r="EH25" s="764">
        <f>GEntry!EU15</f>
        <v>0</v>
      </c>
      <c r="EI25" s="764">
        <f>GEntry!ET15</f>
        <v>0</v>
      </c>
      <c r="EJ25" s="764">
        <f>GEntry!EQ15</f>
        <v>0</v>
      </c>
      <c r="EK25" s="764">
        <f>GEntry!ER15</f>
        <v>0</v>
      </c>
      <c r="EL25" s="764">
        <f>GEntry!EN15</f>
        <v>0</v>
      </c>
      <c r="EM25" s="764">
        <f>GEntry!EO15</f>
        <v>0</v>
      </c>
      <c r="EN25" s="764">
        <f>GEntry!FF15</f>
        <v>0</v>
      </c>
      <c r="EO25" s="764">
        <f>GEntry!FE15</f>
        <v>0</v>
      </c>
      <c r="EP25" s="764">
        <f>GEntry!FG15</f>
        <v>0</v>
      </c>
      <c r="EQ25" s="764">
        <f>GEntry!FQ15</f>
        <v>0</v>
      </c>
      <c r="ER25" s="764">
        <f>GEntry!FZ15</f>
        <v>0</v>
      </c>
      <c r="ES25" s="764">
        <f>GEntry!FU15</f>
        <v>0</v>
      </c>
      <c r="ET25" s="764">
        <f>GEntry!FV15</f>
        <v>0</v>
      </c>
      <c r="EU25" s="764">
        <f>GEntry!FW15</f>
        <v>0</v>
      </c>
      <c r="EV25" s="764">
        <f>GEntry!FY15</f>
        <v>0</v>
      </c>
      <c r="EW25" s="764">
        <f>GEntry!FX15</f>
        <v>0</v>
      </c>
      <c r="EX25" s="764">
        <f>GEntry!FR15</f>
        <v>0</v>
      </c>
      <c r="EY25" s="764">
        <f>GEntry!FS15</f>
        <v>0</v>
      </c>
      <c r="EZ25" s="764">
        <f>GEntry!FT15</f>
        <v>0</v>
      </c>
      <c r="FA25" s="1155">
        <f>GEntry!FB15</f>
        <v>0</v>
      </c>
      <c r="FB25" s="1155">
        <f>GEntry!FC15</f>
        <v>0</v>
      </c>
      <c r="FC25" s="1155">
        <f>GEntry!FD15</f>
        <v>0</v>
      </c>
      <c r="FD25" s="764">
        <f>GEntry!GD15</f>
        <v>0</v>
      </c>
      <c r="FE25" s="765">
        <f>GEntry!GE15</f>
        <v>0</v>
      </c>
      <c r="FF25" s="765">
        <f>GEntry!FI15</f>
        <v>0</v>
      </c>
      <c r="FG25" s="765">
        <f>GEntry!FJ15</f>
        <v>0</v>
      </c>
      <c r="FH25" s="765">
        <f>GEntry!FK15</f>
        <v>0</v>
      </c>
      <c r="FI25" s="765">
        <f>GEntry!FL15</f>
        <v>0</v>
      </c>
      <c r="FJ25" s="765">
        <f>GEntry!EP15</f>
        <v>0</v>
      </c>
      <c r="FK25" s="765">
        <f>GEntry!ES15</f>
        <v>0</v>
      </c>
      <c r="FL25" s="763">
        <f>GEntry!FM15</f>
        <v>0</v>
      </c>
      <c r="FM25" s="765">
        <f>GEntry!FN15</f>
        <v>0</v>
      </c>
      <c r="FN25" s="764">
        <f>GEntry!FO15</f>
        <v>0</v>
      </c>
      <c r="FO25" s="1687">
        <f>GEntry!EH15</f>
        <v>0</v>
      </c>
      <c r="FP25" s="1689">
        <f>GEntry!GA15</f>
        <v>0</v>
      </c>
      <c r="FQ25" s="1694">
        <f>GEntry!GB15</f>
        <v>0</v>
      </c>
      <c r="FR25" s="1877">
        <f>GEntry!EW15</f>
        <v>0</v>
      </c>
      <c r="FS25" s="1981">
        <f>GEntry!GF15</f>
        <v>0</v>
      </c>
      <c r="FT25" s="1983">
        <f>GEntry!FP15</f>
        <v>0</v>
      </c>
      <c r="FU25" s="2154">
        <f>GEntry!GG15</f>
        <v>0</v>
      </c>
      <c r="FV25" s="3143">
        <f>GEntry!GC15</f>
        <v>0</v>
      </c>
      <c r="FW25" s="764">
        <f>GEntry!EZ15</f>
        <v>0</v>
      </c>
      <c r="FX25" s="3685">
        <f>GEntry!EL15</f>
        <v>0</v>
      </c>
      <c r="FY25" s="3758">
        <f>GEntry!EM15</f>
        <v>0</v>
      </c>
      <c r="FZ25" s="3760">
        <f>GEntry!EK15</f>
        <v>0</v>
      </c>
      <c r="GA25" s="4897">
        <f>GEntry!FH15</f>
        <v>0</v>
      </c>
      <c r="GB25" s="4984">
        <f>GEntry!EI15</f>
        <v>0</v>
      </c>
      <c r="GC25" s="3685">
        <f>GEntry!GH15</f>
        <v>0</v>
      </c>
      <c r="GD25" s="993"/>
      <c r="GE25" s="910">
        <f t="shared" si="12"/>
        <v>0</v>
      </c>
      <c r="GF25" s="909">
        <f t="shared" si="6"/>
        <v>0</v>
      </c>
      <c r="GG25" s="906">
        <f t="shared" si="7"/>
        <v>0</v>
      </c>
      <c r="GH25" s="650">
        <f t="shared" si="8"/>
        <v>0</v>
      </c>
      <c r="GI25" s="650">
        <f t="shared" si="0"/>
        <v>0</v>
      </c>
      <c r="GJ25" s="650">
        <f t="shared" si="13"/>
        <v>0</v>
      </c>
      <c r="GK25" s="650">
        <f t="shared" si="9"/>
        <v>0</v>
      </c>
      <c r="GL25" s="650">
        <f t="shared" si="1"/>
        <v>0</v>
      </c>
      <c r="GM25" s="650">
        <f t="shared" si="2"/>
        <v>0</v>
      </c>
      <c r="GN25" s="650">
        <f t="shared" si="3"/>
        <v>0</v>
      </c>
      <c r="GO25" s="650">
        <f t="shared" si="10"/>
        <v>0</v>
      </c>
      <c r="GP25" s="650">
        <f t="shared" si="11"/>
        <v>0</v>
      </c>
      <c r="GQ25" s="650">
        <f t="shared" si="4"/>
        <v>0</v>
      </c>
      <c r="GR25" s="905">
        <f t="shared" si="5"/>
        <v>0</v>
      </c>
      <c r="GS25" s="904">
        <f>FWise!M17</f>
        <v>0</v>
      </c>
      <c r="GT25" s="3543">
        <f>GEntry!GL15</f>
        <v>97.43</v>
      </c>
      <c r="GU25" s="13"/>
      <c r="GV25" s="13"/>
      <c r="GW25" s="13"/>
      <c r="GY25" s="182"/>
      <c r="GZ25" s="181"/>
      <c r="HA25" s="183"/>
      <c r="HB25" s="183"/>
      <c r="HC25" s="18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6"/>
      <c r="JM25" s="13"/>
      <c r="JN25" s="13"/>
      <c r="JO25" s="13"/>
    </row>
    <row r="26" spans="1:275" ht="21.75" customHeight="1" thickBot="1">
      <c r="A26" s="609">
        <v>0.54166666666666896</v>
      </c>
      <c r="B26" s="761">
        <f>GEntry!W16</f>
        <v>0</v>
      </c>
      <c r="C26" s="758">
        <f>GEntry!X16</f>
        <v>0</v>
      </c>
      <c r="D26" s="758">
        <f>GEntry!Y16</f>
        <v>0</v>
      </c>
      <c r="E26" s="758">
        <f>GEntry!Z16</f>
        <v>0</v>
      </c>
      <c r="F26" s="759">
        <f>GEntry!AB16</f>
        <v>0</v>
      </c>
      <c r="G26" s="759">
        <f>GEntry!BY16</f>
        <v>0</v>
      </c>
      <c r="H26" s="758">
        <f>GEntry!CS16</f>
        <v>0</v>
      </c>
      <c r="I26" s="758">
        <f>GEntry!AO16</f>
        <v>0</v>
      </c>
      <c r="J26" s="758">
        <f>GEntry!AQ16</f>
        <v>0</v>
      </c>
      <c r="K26" s="758"/>
      <c r="L26" s="758">
        <f>GEntry!AN16</f>
        <v>0</v>
      </c>
      <c r="M26" s="758">
        <f>GEntry!AP16</f>
        <v>0</v>
      </c>
      <c r="N26" s="758">
        <f>GEntry!CP16</f>
        <v>0</v>
      </c>
      <c r="O26" s="758">
        <f>GEntry!CQ16</f>
        <v>0</v>
      </c>
      <c r="P26" s="758">
        <f>GEntry!CL16</f>
        <v>0</v>
      </c>
      <c r="Q26" s="758">
        <f>GEntry!DC16</f>
        <v>0</v>
      </c>
      <c r="R26" s="758">
        <f>GEntry!T16</f>
        <v>0</v>
      </c>
      <c r="S26" s="758">
        <f>GEntry!R16</f>
        <v>0</v>
      </c>
      <c r="T26" s="758">
        <f>GEntry!S16</f>
        <v>0</v>
      </c>
      <c r="U26" s="758">
        <f>GEntry!CC16</f>
        <v>0</v>
      </c>
      <c r="V26" s="759">
        <f>GEntry!CX16</f>
        <v>0</v>
      </c>
      <c r="W26" s="758">
        <f>GEntry!CE16</f>
        <v>0</v>
      </c>
      <c r="X26" s="758">
        <f>GEntry!CO16</f>
        <v>0</v>
      </c>
      <c r="Y26" s="758">
        <f>GEntry!DB16</f>
        <v>0</v>
      </c>
      <c r="Z26" s="758">
        <f>GEntry!CM16</f>
        <v>0</v>
      </c>
      <c r="AA26" s="758">
        <f>GEntry!DA16</f>
        <v>0</v>
      </c>
      <c r="AB26" s="758">
        <f>GEntry!DG16</f>
        <v>0</v>
      </c>
      <c r="AC26" s="758">
        <f>GEntry!DD16</f>
        <v>0</v>
      </c>
      <c r="AD26" s="758">
        <f>GEntry!BJ16</f>
        <v>0</v>
      </c>
      <c r="AE26" s="758">
        <f>GEntry!BM16</f>
        <v>0</v>
      </c>
      <c r="AF26" s="758">
        <f>GEntry!BU16</f>
        <v>0</v>
      </c>
      <c r="AG26" s="758">
        <f>GEntry!BV16</f>
        <v>0</v>
      </c>
      <c r="AH26" s="758">
        <f>GEntry!BW16</f>
        <v>0</v>
      </c>
      <c r="AI26" s="758">
        <f>GEntry!BX16</f>
        <v>0</v>
      </c>
      <c r="AJ26" s="758">
        <f>GEntry!CD16</f>
        <v>0</v>
      </c>
      <c r="AK26" s="758">
        <f>GEntry!AM16</f>
        <v>0</v>
      </c>
      <c r="AL26" s="1157">
        <f>GEntry!B16</f>
        <v>0</v>
      </c>
      <c r="AM26" s="1157">
        <f>GEntry!C16</f>
        <v>0</v>
      </c>
      <c r="AN26" s="758">
        <f>GEntry!D16</f>
        <v>0</v>
      </c>
      <c r="AO26" s="758">
        <f>GEntry!E16</f>
        <v>0</v>
      </c>
      <c r="AP26" s="758">
        <f>GEntry!F16</f>
        <v>0</v>
      </c>
      <c r="AQ26" s="758">
        <f>GEntry!H16</f>
        <v>0</v>
      </c>
      <c r="AR26" s="758">
        <f>GEntry!I16</f>
        <v>0</v>
      </c>
      <c r="AS26" s="758">
        <f>GEntry!K16</f>
        <v>0</v>
      </c>
      <c r="AT26" s="758">
        <f>GEntry!L16</f>
        <v>0</v>
      </c>
      <c r="AU26" s="758"/>
      <c r="AV26" s="758">
        <f>GEntry!BK16</f>
        <v>0</v>
      </c>
      <c r="AW26" s="758">
        <f>GEntry!N16</f>
        <v>0</v>
      </c>
      <c r="AX26" s="758">
        <f>GEntry!M16</f>
        <v>0</v>
      </c>
      <c r="AY26" s="758">
        <f>GEntry!CU16</f>
        <v>0</v>
      </c>
      <c r="AZ26" s="758">
        <f>GEntry!CZ16</f>
        <v>0</v>
      </c>
      <c r="BA26" s="758">
        <f>GEntry!CY16</f>
        <v>0</v>
      </c>
      <c r="BB26" s="758">
        <f>GEntry!BL16</f>
        <v>0</v>
      </c>
      <c r="BC26" s="758">
        <f>GEntry!BP16</f>
        <v>0</v>
      </c>
      <c r="BD26" s="758">
        <f>GEntry!AD16</f>
        <v>0</v>
      </c>
      <c r="BE26" s="758">
        <f>GEntry!AE16</f>
        <v>0</v>
      </c>
      <c r="BF26" s="758">
        <f>GEntry!AF16</f>
        <v>0</v>
      </c>
      <c r="BG26" s="758">
        <f>GEntry!AJ16</f>
        <v>0</v>
      </c>
      <c r="BH26" s="758">
        <f>GEntry!AI16</f>
        <v>0</v>
      </c>
      <c r="BI26" s="758">
        <f>GEntry!AH16</f>
        <v>0</v>
      </c>
      <c r="BJ26" s="758">
        <f>GEntry!V16</f>
        <v>0</v>
      </c>
      <c r="BK26" s="758">
        <f>GEntry!AL16</f>
        <v>0</v>
      </c>
      <c r="BL26" s="758">
        <f>GEntry!AG16</f>
        <v>0</v>
      </c>
      <c r="BM26" s="758">
        <f>GEntry!AK16</f>
        <v>0</v>
      </c>
      <c r="BN26" s="758">
        <f>GEntry!CT16</f>
        <v>0</v>
      </c>
      <c r="BO26" s="759">
        <f>GEntry!CW16</f>
        <v>0</v>
      </c>
      <c r="BP26" s="759">
        <f>GEntry!CN16</f>
        <v>0</v>
      </c>
      <c r="BQ26" s="759">
        <f>GEntry!Q16</f>
        <v>0</v>
      </c>
      <c r="BR26" s="758">
        <f>GEntry!CG16</f>
        <v>0</v>
      </c>
      <c r="BS26" s="759">
        <f>GEntry!BQ16</f>
        <v>0</v>
      </c>
      <c r="BT26" s="759">
        <f>GEntry!BR16</f>
        <v>0</v>
      </c>
      <c r="BU26" s="759">
        <f>GEntry!BS16</f>
        <v>0</v>
      </c>
      <c r="BV26" s="759">
        <f>GEntry!BT16</f>
        <v>0</v>
      </c>
      <c r="BW26" s="749">
        <f>GEntry!BO16</f>
        <v>0</v>
      </c>
      <c r="BX26" s="759">
        <f>GEntry!AR16</f>
        <v>0</v>
      </c>
      <c r="BY26" s="759">
        <f>GEntry!CF16</f>
        <v>0</v>
      </c>
      <c r="BZ26" s="759">
        <f>GEntry!BN16</f>
        <v>0</v>
      </c>
      <c r="CA26" s="1159">
        <f>GEntry!DF16</f>
        <v>0</v>
      </c>
      <c r="CB26" s="759">
        <f>GEntry!AT16</f>
        <v>0</v>
      </c>
      <c r="CC26" s="759">
        <f>GEntry!AU16</f>
        <v>0</v>
      </c>
      <c r="CD26" s="759">
        <f>GEntry!BF16</f>
        <v>0</v>
      </c>
      <c r="CE26" s="759">
        <f>GEntry!CV16</f>
        <v>0</v>
      </c>
      <c r="CF26" s="759">
        <f>GEntry!DE16</f>
        <v>0</v>
      </c>
      <c r="CG26" s="759">
        <f>GEntry!AV16</f>
        <v>0</v>
      </c>
      <c r="CH26" s="759">
        <f>GEntry!AW16</f>
        <v>0</v>
      </c>
      <c r="CI26" s="759">
        <f>GEntry!AX16</f>
        <v>0</v>
      </c>
      <c r="CJ26" s="759">
        <f>GEntry!AZ16</f>
        <v>0</v>
      </c>
      <c r="CK26" s="759">
        <f>GEntry!BA16</f>
        <v>0</v>
      </c>
      <c r="CL26" s="759">
        <f>GEntry!BB16</f>
        <v>0</v>
      </c>
      <c r="CM26" s="759">
        <f>GEntry!BC16</f>
        <v>0</v>
      </c>
      <c r="CN26" s="759">
        <f>GEntry!BD16</f>
        <v>0</v>
      </c>
      <c r="CO26" s="759">
        <f>GEntry!BH16</f>
        <v>0</v>
      </c>
      <c r="CP26" s="759">
        <f>GEntry!BG16</f>
        <v>0</v>
      </c>
      <c r="CQ26" s="986">
        <f>GEntry!BE16</f>
        <v>0</v>
      </c>
      <c r="CR26" s="986">
        <f>GEntry!P16</f>
        <v>0</v>
      </c>
      <c r="CS26" s="986">
        <f>GEntry!U16</f>
        <v>0</v>
      </c>
      <c r="CT26" s="759">
        <f>GEntry!DH16</f>
        <v>0</v>
      </c>
      <c r="CU26" s="986">
        <f>GEntry!DI16</f>
        <v>0</v>
      </c>
      <c r="CV26" s="986">
        <f>GEntry!DJ16</f>
        <v>0</v>
      </c>
      <c r="CW26" s="759">
        <f>GEntry!DK16</f>
        <v>0</v>
      </c>
      <c r="CX26" s="986">
        <f>GEntry!DL16</f>
        <v>0</v>
      </c>
      <c r="CY26" s="986">
        <f>GEntry!G16</f>
        <v>0</v>
      </c>
      <c r="CZ26" s="986">
        <f>GEntry!DM16</f>
        <v>0</v>
      </c>
      <c r="DA26" s="759">
        <f>GEntry!DN16</f>
        <v>0</v>
      </c>
      <c r="DB26" s="1667">
        <f>GEntry!DO16</f>
        <v>0</v>
      </c>
      <c r="DC26" s="1652">
        <f>GEntry!DP16</f>
        <v>0</v>
      </c>
      <c r="DD26" s="1760">
        <f>GEntry!DQ16</f>
        <v>0</v>
      </c>
      <c r="DE26" s="1759">
        <f>GEntry!CH16</f>
        <v>0</v>
      </c>
      <c r="DF26" s="1864">
        <f>GEntry!O16</f>
        <v>0</v>
      </c>
      <c r="DG26" s="1857">
        <f>GEntry!CI16</f>
        <v>0</v>
      </c>
      <c r="DH26" s="2064">
        <f>GEntry!DR16</f>
        <v>0</v>
      </c>
      <c r="DI26" s="2065">
        <f>GEntry!CJ16</f>
        <v>0</v>
      </c>
      <c r="DJ26" s="2077">
        <f>GEntry!CK16</f>
        <v>0</v>
      </c>
      <c r="DK26" s="3078">
        <f>GEntry!BZ16</f>
        <v>0</v>
      </c>
      <c r="DL26" s="3370">
        <f>GEntry!CA16</f>
        <v>0</v>
      </c>
      <c r="DM26" s="3079">
        <f>GEntry!DS16</f>
        <v>0</v>
      </c>
      <c r="DN26" s="3517">
        <f>GEntry!BI16</f>
        <v>0</v>
      </c>
      <c r="DO26" s="3518">
        <f>GEntry!CR16</f>
        <v>0</v>
      </c>
      <c r="DP26" s="3720">
        <f>GEntry!AS16</f>
        <v>0</v>
      </c>
      <c r="DQ26" s="3777">
        <f>GEntry!CB16</f>
        <v>0</v>
      </c>
      <c r="DR26" s="3848">
        <f>GEntry!DT16</f>
        <v>0</v>
      </c>
      <c r="DS26" s="3850">
        <f>GEntry!AY16</f>
        <v>0</v>
      </c>
      <c r="DT26" s="4039">
        <f>GEntry!DU16</f>
        <v>0</v>
      </c>
      <c r="DU26" s="4041">
        <f>GEntry!DV16</f>
        <v>0</v>
      </c>
      <c r="DV26" s="4793">
        <f>GEntry!DW16</f>
        <v>0</v>
      </c>
      <c r="DW26" s="4793">
        <f>GEntry!DX16</f>
        <v>0</v>
      </c>
      <c r="DX26" s="990"/>
      <c r="DY26" s="767">
        <f>GEntry!EX16</f>
        <v>0</v>
      </c>
      <c r="DZ26" s="764">
        <f>GEntry!EV16</f>
        <v>0</v>
      </c>
      <c r="EA26" s="764">
        <f>GEntry!EY16</f>
        <v>0</v>
      </c>
      <c r="EB26" s="764">
        <f>GEntry!EB16</f>
        <v>0</v>
      </c>
      <c r="EC26" s="764">
        <f>GEntry!EC16</f>
        <v>0</v>
      </c>
      <c r="ED26" s="764">
        <f>GEntry!EG16</f>
        <v>0</v>
      </c>
      <c r="EE26" s="764">
        <f>GEntry!EA16</f>
        <v>0</v>
      </c>
      <c r="EF26" s="764">
        <f>GEntry!EE16</f>
        <v>0</v>
      </c>
      <c r="EG26" s="764">
        <f>GEntry!EF16</f>
        <v>0</v>
      </c>
      <c r="EH26" s="764">
        <f>GEntry!EU16</f>
        <v>0</v>
      </c>
      <c r="EI26" s="764">
        <f>GEntry!ET16</f>
        <v>0</v>
      </c>
      <c r="EJ26" s="764">
        <f>GEntry!EQ16</f>
        <v>0</v>
      </c>
      <c r="EK26" s="764">
        <f>GEntry!ER16</f>
        <v>0</v>
      </c>
      <c r="EL26" s="764">
        <f>GEntry!EN16</f>
        <v>0</v>
      </c>
      <c r="EM26" s="764">
        <f>GEntry!EO16</f>
        <v>0</v>
      </c>
      <c r="EN26" s="764">
        <f>GEntry!FF16</f>
        <v>0</v>
      </c>
      <c r="EO26" s="764">
        <f>GEntry!FE16</f>
        <v>0</v>
      </c>
      <c r="EP26" s="764">
        <f>GEntry!FG16</f>
        <v>0</v>
      </c>
      <c r="EQ26" s="764">
        <f>GEntry!FQ16</f>
        <v>0</v>
      </c>
      <c r="ER26" s="764">
        <f>GEntry!FZ16</f>
        <v>0</v>
      </c>
      <c r="ES26" s="764">
        <f>GEntry!FU16</f>
        <v>0</v>
      </c>
      <c r="ET26" s="764">
        <f>GEntry!FV16</f>
        <v>0</v>
      </c>
      <c r="EU26" s="764">
        <f>GEntry!FW16</f>
        <v>0</v>
      </c>
      <c r="EV26" s="764">
        <f>GEntry!FY16</f>
        <v>0</v>
      </c>
      <c r="EW26" s="764">
        <f>GEntry!FX16</f>
        <v>0</v>
      </c>
      <c r="EX26" s="764">
        <f>GEntry!FR16</f>
        <v>0</v>
      </c>
      <c r="EY26" s="764">
        <f>GEntry!FS16</f>
        <v>0</v>
      </c>
      <c r="EZ26" s="764">
        <f>GEntry!FT16</f>
        <v>0</v>
      </c>
      <c r="FA26" s="1155">
        <f>GEntry!FB16</f>
        <v>0</v>
      </c>
      <c r="FB26" s="1155">
        <f>GEntry!FC16</f>
        <v>0</v>
      </c>
      <c r="FC26" s="1155">
        <f>GEntry!FD16</f>
        <v>0</v>
      </c>
      <c r="FD26" s="764">
        <f>GEntry!GD16</f>
        <v>0</v>
      </c>
      <c r="FE26" s="765">
        <f>GEntry!GE16</f>
        <v>0</v>
      </c>
      <c r="FF26" s="765">
        <f>GEntry!FI16</f>
        <v>0</v>
      </c>
      <c r="FG26" s="765">
        <f>GEntry!FJ16</f>
        <v>0</v>
      </c>
      <c r="FH26" s="765">
        <f>GEntry!FK16</f>
        <v>0</v>
      </c>
      <c r="FI26" s="765">
        <f>GEntry!FL16</f>
        <v>0</v>
      </c>
      <c r="FJ26" s="765">
        <f>GEntry!EP16</f>
        <v>0</v>
      </c>
      <c r="FK26" s="765">
        <f>GEntry!ES16</f>
        <v>0</v>
      </c>
      <c r="FL26" s="763">
        <f>GEntry!FM16</f>
        <v>0</v>
      </c>
      <c r="FM26" s="765">
        <f>GEntry!FN16</f>
        <v>0</v>
      </c>
      <c r="FN26" s="764">
        <f>GEntry!FO16</f>
        <v>0</v>
      </c>
      <c r="FO26" s="1687">
        <f>GEntry!EH16</f>
        <v>0</v>
      </c>
      <c r="FP26" s="1689">
        <f>GEntry!GA16</f>
        <v>0</v>
      </c>
      <c r="FQ26" s="1694">
        <f>GEntry!GB16</f>
        <v>0</v>
      </c>
      <c r="FR26" s="1877">
        <f>GEntry!EW16</f>
        <v>0</v>
      </c>
      <c r="FS26" s="1981">
        <f>GEntry!GF16</f>
        <v>0</v>
      </c>
      <c r="FT26" s="1983">
        <f>GEntry!FP16</f>
        <v>0</v>
      </c>
      <c r="FU26" s="2154">
        <f>GEntry!GG16</f>
        <v>0</v>
      </c>
      <c r="FV26" s="3143">
        <f>GEntry!GC16</f>
        <v>0</v>
      </c>
      <c r="FW26" s="764">
        <f>GEntry!EZ16</f>
        <v>0</v>
      </c>
      <c r="FX26" s="3685">
        <f>GEntry!EL16</f>
        <v>0</v>
      </c>
      <c r="FY26" s="3758">
        <f>GEntry!EM16</f>
        <v>0</v>
      </c>
      <c r="FZ26" s="3760">
        <f>GEntry!EK16</f>
        <v>0</v>
      </c>
      <c r="GA26" s="4897">
        <f>GEntry!FH16</f>
        <v>0</v>
      </c>
      <c r="GB26" s="4984">
        <f>GEntry!EI16</f>
        <v>0</v>
      </c>
      <c r="GC26" s="3685">
        <f>GEntry!GH16</f>
        <v>0</v>
      </c>
      <c r="GD26" s="993"/>
      <c r="GE26" s="910">
        <f t="shared" si="12"/>
        <v>0</v>
      </c>
      <c r="GF26" s="909">
        <f t="shared" si="6"/>
        <v>0</v>
      </c>
      <c r="GG26" s="906">
        <f t="shared" si="7"/>
        <v>0</v>
      </c>
      <c r="GH26" s="650">
        <f t="shared" si="8"/>
        <v>0</v>
      </c>
      <c r="GI26" s="650">
        <f t="shared" si="0"/>
        <v>0</v>
      </c>
      <c r="GJ26" s="650">
        <f t="shared" si="13"/>
        <v>0</v>
      </c>
      <c r="GK26" s="650">
        <f t="shared" si="9"/>
        <v>0</v>
      </c>
      <c r="GL26" s="650">
        <f t="shared" si="1"/>
        <v>0</v>
      </c>
      <c r="GM26" s="650">
        <f t="shared" si="2"/>
        <v>0</v>
      </c>
      <c r="GN26" s="650">
        <f t="shared" si="3"/>
        <v>0</v>
      </c>
      <c r="GO26" s="650">
        <f t="shared" si="10"/>
        <v>0</v>
      </c>
      <c r="GP26" s="650">
        <f t="shared" si="11"/>
        <v>0</v>
      </c>
      <c r="GQ26" s="650">
        <f t="shared" si="4"/>
        <v>0</v>
      </c>
      <c r="GR26" s="905">
        <f t="shared" si="5"/>
        <v>0</v>
      </c>
      <c r="GS26" s="904">
        <f>FWise!M18</f>
        <v>0</v>
      </c>
      <c r="GT26" s="3543">
        <f>GEntry!GL16</f>
        <v>97.41</v>
      </c>
      <c r="GU26" s="13"/>
      <c r="GV26" s="13"/>
      <c r="GW26" s="13"/>
      <c r="GX26" s="13"/>
      <c r="GY26" s="181"/>
      <c r="GZ26" s="181"/>
      <c r="HA26" s="181"/>
      <c r="HB26" s="181"/>
      <c r="HC26" s="181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6"/>
      <c r="JM26" s="13"/>
      <c r="JN26" s="13"/>
      <c r="JO26" s="13"/>
    </row>
    <row r="27" spans="1:275" ht="21.75" customHeight="1" thickBot="1">
      <c r="A27" s="609">
        <v>0.58333333333333337</v>
      </c>
      <c r="B27" s="761">
        <f>GEntry!W17</f>
        <v>0</v>
      </c>
      <c r="C27" s="758">
        <f>GEntry!X17</f>
        <v>0</v>
      </c>
      <c r="D27" s="758">
        <f>GEntry!Y17</f>
        <v>0</v>
      </c>
      <c r="E27" s="758">
        <f>GEntry!Z17</f>
        <v>0</v>
      </c>
      <c r="F27" s="759">
        <f>GEntry!AB17</f>
        <v>0</v>
      </c>
      <c r="G27" s="759">
        <f>GEntry!BY17</f>
        <v>0</v>
      </c>
      <c r="H27" s="758">
        <f>GEntry!CS17</f>
        <v>0</v>
      </c>
      <c r="I27" s="758">
        <f>GEntry!AO17</f>
        <v>0</v>
      </c>
      <c r="J27" s="758">
        <f>GEntry!AQ17</f>
        <v>0</v>
      </c>
      <c r="K27" s="758"/>
      <c r="L27" s="758">
        <f>GEntry!AN17</f>
        <v>0</v>
      </c>
      <c r="M27" s="758">
        <f>GEntry!AP17</f>
        <v>0</v>
      </c>
      <c r="N27" s="758">
        <f>GEntry!CP17</f>
        <v>0</v>
      </c>
      <c r="O27" s="758">
        <f>GEntry!CQ17</f>
        <v>0</v>
      </c>
      <c r="P27" s="758">
        <f>GEntry!CL17</f>
        <v>0</v>
      </c>
      <c r="Q27" s="758">
        <f>GEntry!DC17</f>
        <v>0</v>
      </c>
      <c r="R27" s="758">
        <f>GEntry!T17</f>
        <v>0</v>
      </c>
      <c r="S27" s="758">
        <f>GEntry!R17</f>
        <v>0</v>
      </c>
      <c r="T27" s="758">
        <f>GEntry!S17</f>
        <v>0</v>
      </c>
      <c r="U27" s="758">
        <f>GEntry!CC17</f>
        <v>0</v>
      </c>
      <c r="V27" s="759">
        <f>GEntry!CX17</f>
        <v>0</v>
      </c>
      <c r="W27" s="758">
        <f>GEntry!CE17</f>
        <v>0</v>
      </c>
      <c r="X27" s="758">
        <f>GEntry!CO17</f>
        <v>0</v>
      </c>
      <c r="Y27" s="758">
        <f>GEntry!DB17</f>
        <v>0</v>
      </c>
      <c r="Z27" s="758">
        <f>GEntry!CM17</f>
        <v>0</v>
      </c>
      <c r="AA27" s="758">
        <f>GEntry!DA17</f>
        <v>0</v>
      </c>
      <c r="AB27" s="758">
        <f>GEntry!DG17</f>
        <v>0</v>
      </c>
      <c r="AC27" s="758">
        <f>GEntry!DD17</f>
        <v>0</v>
      </c>
      <c r="AD27" s="758">
        <f>GEntry!BJ17</f>
        <v>0</v>
      </c>
      <c r="AE27" s="758">
        <f>GEntry!BM17</f>
        <v>0</v>
      </c>
      <c r="AF27" s="758">
        <f>GEntry!BU17</f>
        <v>0</v>
      </c>
      <c r="AG27" s="758">
        <f>GEntry!BV17</f>
        <v>0</v>
      </c>
      <c r="AH27" s="758">
        <f>GEntry!BW17</f>
        <v>0</v>
      </c>
      <c r="AI27" s="758">
        <f>GEntry!BX17</f>
        <v>0</v>
      </c>
      <c r="AJ27" s="758">
        <f>GEntry!CD17</f>
        <v>0</v>
      </c>
      <c r="AK27" s="758">
        <f>GEntry!AM17</f>
        <v>0</v>
      </c>
      <c r="AL27" s="1157">
        <f>GEntry!B17</f>
        <v>0</v>
      </c>
      <c r="AM27" s="1157">
        <f>GEntry!C17</f>
        <v>0</v>
      </c>
      <c r="AN27" s="758">
        <f>GEntry!D17</f>
        <v>0</v>
      </c>
      <c r="AO27" s="758">
        <f>GEntry!E17</f>
        <v>0</v>
      </c>
      <c r="AP27" s="758">
        <f>GEntry!F17</f>
        <v>0</v>
      </c>
      <c r="AQ27" s="758">
        <f>GEntry!H17</f>
        <v>0</v>
      </c>
      <c r="AR27" s="758">
        <f>GEntry!I17</f>
        <v>0</v>
      </c>
      <c r="AS27" s="758">
        <f>GEntry!K17</f>
        <v>0</v>
      </c>
      <c r="AT27" s="758">
        <f>GEntry!L17</f>
        <v>0</v>
      </c>
      <c r="AU27" s="758"/>
      <c r="AV27" s="758">
        <f>GEntry!BK17</f>
        <v>0</v>
      </c>
      <c r="AW27" s="758">
        <f>GEntry!N17</f>
        <v>0</v>
      </c>
      <c r="AX27" s="758">
        <f>GEntry!M17</f>
        <v>0</v>
      </c>
      <c r="AY27" s="758">
        <f>GEntry!CU17</f>
        <v>0</v>
      </c>
      <c r="AZ27" s="758">
        <f>GEntry!CZ17</f>
        <v>0</v>
      </c>
      <c r="BA27" s="758">
        <f>GEntry!CY17</f>
        <v>0</v>
      </c>
      <c r="BB27" s="758">
        <f>GEntry!BL17</f>
        <v>0</v>
      </c>
      <c r="BC27" s="758">
        <f>GEntry!BP17</f>
        <v>0</v>
      </c>
      <c r="BD27" s="758">
        <f>GEntry!AD17</f>
        <v>0</v>
      </c>
      <c r="BE27" s="758">
        <f>GEntry!AE17</f>
        <v>0</v>
      </c>
      <c r="BF27" s="758">
        <f>GEntry!AF17</f>
        <v>0</v>
      </c>
      <c r="BG27" s="758">
        <f>GEntry!AJ17</f>
        <v>0</v>
      </c>
      <c r="BH27" s="758">
        <f>GEntry!AI17</f>
        <v>0</v>
      </c>
      <c r="BI27" s="758">
        <f>GEntry!AH17</f>
        <v>0</v>
      </c>
      <c r="BJ27" s="758">
        <f>GEntry!V17</f>
        <v>0</v>
      </c>
      <c r="BK27" s="758">
        <f>GEntry!AL17</f>
        <v>0</v>
      </c>
      <c r="BL27" s="758">
        <f>GEntry!AG17</f>
        <v>0</v>
      </c>
      <c r="BM27" s="758">
        <f>GEntry!AK17</f>
        <v>0</v>
      </c>
      <c r="BN27" s="758">
        <f>GEntry!CT17</f>
        <v>0</v>
      </c>
      <c r="BO27" s="759">
        <f>GEntry!CW17</f>
        <v>0</v>
      </c>
      <c r="BP27" s="759">
        <f>GEntry!CN17</f>
        <v>0</v>
      </c>
      <c r="BQ27" s="759">
        <f>GEntry!Q17</f>
        <v>0</v>
      </c>
      <c r="BR27" s="758">
        <f>GEntry!CG17</f>
        <v>0</v>
      </c>
      <c r="BS27" s="759">
        <f>GEntry!BQ17</f>
        <v>0</v>
      </c>
      <c r="BT27" s="759">
        <f>GEntry!BR17</f>
        <v>0</v>
      </c>
      <c r="BU27" s="759">
        <f>GEntry!BS17</f>
        <v>0</v>
      </c>
      <c r="BV27" s="759">
        <f>GEntry!BT17</f>
        <v>0</v>
      </c>
      <c r="BW27" s="749">
        <f>GEntry!BO17</f>
        <v>0</v>
      </c>
      <c r="BX27" s="759">
        <f>GEntry!AR17</f>
        <v>0</v>
      </c>
      <c r="BY27" s="759">
        <f>GEntry!CF17</f>
        <v>0</v>
      </c>
      <c r="BZ27" s="759">
        <f>GEntry!BN17</f>
        <v>0</v>
      </c>
      <c r="CA27" s="1159">
        <f>GEntry!DF17</f>
        <v>0</v>
      </c>
      <c r="CB27" s="759">
        <f>GEntry!AT17</f>
        <v>0</v>
      </c>
      <c r="CC27" s="759">
        <f>GEntry!AU17</f>
        <v>0</v>
      </c>
      <c r="CD27" s="759">
        <f>GEntry!BF17</f>
        <v>0</v>
      </c>
      <c r="CE27" s="759">
        <f>GEntry!CV17</f>
        <v>0</v>
      </c>
      <c r="CF27" s="759">
        <f>GEntry!DE17</f>
        <v>0</v>
      </c>
      <c r="CG27" s="759">
        <f>GEntry!AV17</f>
        <v>0</v>
      </c>
      <c r="CH27" s="759">
        <f>GEntry!AW17</f>
        <v>0</v>
      </c>
      <c r="CI27" s="759">
        <f>GEntry!AX17</f>
        <v>0</v>
      </c>
      <c r="CJ27" s="759">
        <f>GEntry!AZ17</f>
        <v>0</v>
      </c>
      <c r="CK27" s="759">
        <f>GEntry!BA17</f>
        <v>0</v>
      </c>
      <c r="CL27" s="759">
        <f>GEntry!BB17</f>
        <v>0</v>
      </c>
      <c r="CM27" s="759">
        <f>GEntry!BC17</f>
        <v>0</v>
      </c>
      <c r="CN27" s="759">
        <f>GEntry!BD17</f>
        <v>0</v>
      </c>
      <c r="CO27" s="759">
        <f>GEntry!BH17</f>
        <v>0</v>
      </c>
      <c r="CP27" s="759">
        <f>GEntry!BG17</f>
        <v>0</v>
      </c>
      <c r="CQ27" s="986">
        <f>GEntry!BE17</f>
        <v>0</v>
      </c>
      <c r="CR27" s="986">
        <f>GEntry!P17</f>
        <v>0</v>
      </c>
      <c r="CS27" s="986">
        <f>GEntry!U17</f>
        <v>0</v>
      </c>
      <c r="CT27" s="759">
        <f>GEntry!DH17</f>
        <v>0</v>
      </c>
      <c r="CU27" s="986">
        <f>GEntry!DI17</f>
        <v>0</v>
      </c>
      <c r="CV27" s="986">
        <f>GEntry!DJ17</f>
        <v>0</v>
      </c>
      <c r="CW27" s="759">
        <f>GEntry!DK17</f>
        <v>0</v>
      </c>
      <c r="CX27" s="986">
        <f>GEntry!DL17</f>
        <v>0</v>
      </c>
      <c r="CY27" s="986">
        <f>GEntry!G17</f>
        <v>0</v>
      </c>
      <c r="CZ27" s="986">
        <f>GEntry!DM17</f>
        <v>0</v>
      </c>
      <c r="DA27" s="759">
        <f>GEntry!DN17</f>
        <v>0</v>
      </c>
      <c r="DB27" s="1667">
        <f>GEntry!DO17</f>
        <v>0</v>
      </c>
      <c r="DC27" s="1652">
        <f>GEntry!DP17</f>
        <v>0</v>
      </c>
      <c r="DD27" s="1760">
        <f>GEntry!DQ17</f>
        <v>0</v>
      </c>
      <c r="DE27" s="1759">
        <f>GEntry!CH17</f>
        <v>0</v>
      </c>
      <c r="DF27" s="1864">
        <f>GEntry!O17</f>
        <v>0</v>
      </c>
      <c r="DG27" s="1857">
        <f>GEntry!CI17</f>
        <v>0</v>
      </c>
      <c r="DH27" s="2064">
        <f>GEntry!DR17</f>
        <v>0</v>
      </c>
      <c r="DI27" s="2065">
        <f>GEntry!CJ17</f>
        <v>0</v>
      </c>
      <c r="DJ27" s="2077">
        <f>GEntry!CK17</f>
        <v>0</v>
      </c>
      <c r="DK27" s="3078">
        <f>GEntry!BZ17</f>
        <v>0</v>
      </c>
      <c r="DL27" s="3370">
        <f>GEntry!CA17</f>
        <v>0</v>
      </c>
      <c r="DM27" s="3079">
        <f>GEntry!DS17</f>
        <v>0</v>
      </c>
      <c r="DN27" s="3517">
        <f>GEntry!BI17</f>
        <v>0</v>
      </c>
      <c r="DO27" s="3518">
        <f>GEntry!CR17</f>
        <v>0</v>
      </c>
      <c r="DP27" s="3720">
        <f>GEntry!AS17</f>
        <v>0</v>
      </c>
      <c r="DQ27" s="3777">
        <f>GEntry!CB17</f>
        <v>0</v>
      </c>
      <c r="DR27" s="3848">
        <f>GEntry!DT17</f>
        <v>0</v>
      </c>
      <c r="DS27" s="3850">
        <f>GEntry!AY17</f>
        <v>0</v>
      </c>
      <c r="DT27" s="4039">
        <f>GEntry!DU17</f>
        <v>0</v>
      </c>
      <c r="DU27" s="4041">
        <f>GEntry!DV17</f>
        <v>0</v>
      </c>
      <c r="DV27" s="4793">
        <f>GEntry!DW17</f>
        <v>0</v>
      </c>
      <c r="DW27" s="4793">
        <f>GEntry!DX17</f>
        <v>0</v>
      </c>
      <c r="DX27" s="990"/>
      <c r="DY27" s="767">
        <f>GEntry!EX17</f>
        <v>0</v>
      </c>
      <c r="DZ27" s="764">
        <f>GEntry!EV17</f>
        <v>0</v>
      </c>
      <c r="EA27" s="764">
        <f>GEntry!EY17</f>
        <v>0</v>
      </c>
      <c r="EB27" s="764">
        <f>GEntry!EB17</f>
        <v>0</v>
      </c>
      <c r="EC27" s="764">
        <f>GEntry!EC17</f>
        <v>0</v>
      </c>
      <c r="ED27" s="764">
        <f>GEntry!EG17</f>
        <v>0</v>
      </c>
      <c r="EE27" s="764">
        <f>GEntry!EA17</f>
        <v>0</v>
      </c>
      <c r="EF27" s="764">
        <f>GEntry!EE17</f>
        <v>0</v>
      </c>
      <c r="EG27" s="764">
        <f>GEntry!EF17</f>
        <v>0</v>
      </c>
      <c r="EH27" s="764">
        <f>GEntry!EU17</f>
        <v>0</v>
      </c>
      <c r="EI27" s="764">
        <f>GEntry!ET17</f>
        <v>0</v>
      </c>
      <c r="EJ27" s="764">
        <f>GEntry!EQ17</f>
        <v>0</v>
      </c>
      <c r="EK27" s="764">
        <f>GEntry!ER17</f>
        <v>0</v>
      </c>
      <c r="EL27" s="764">
        <f>GEntry!EN17</f>
        <v>0</v>
      </c>
      <c r="EM27" s="764">
        <f>GEntry!EO17</f>
        <v>0</v>
      </c>
      <c r="EN27" s="764">
        <f>GEntry!FF17</f>
        <v>0</v>
      </c>
      <c r="EO27" s="764">
        <f>GEntry!FE17</f>
        <v>0</v>
      </c>
      <c r="EP27" s="764">
        <f>GEntry!FG17</f>
        <v>0</v>
      </c>
      <c r="EQ27" s="764">
        <f>GEntry!FQ17</f>
        <v>0</v>
      </c>
      <c r="ER27" s="764">
        <f>GEntry!FZ17</f>
        <v>0</v>
      </c>
      <c r="ES27" s="764">
        <f>GEntry!FU17</f>
        <v>0</v>
      </c>
      <c r="ET27" s="764">
        <f>GEntry!FV17</f>
        <v>0</v>
      </c>
      <c r="EU27" s="764">
        <f>GEntry!FW17</f>
        <v>0</v>
      </c>
      <c r="EV27" s="764">
        <f>GEntry!FY17</f>
        <v>0</v>
      </c>
      <c r="EW27" s="764">
        <f>GEntry!FX17</f>
        <v>0</v>
      </c>
      <c r="EX27" s="764">
        <f>GEntry!FR17</f>
        <v>0</v>
      </c>
      <c r="EY27" s="764">
        <f>GEntry!FS17</f>
        <v>0</v>
      </c>
      <c r="EZ27" s="764">
        <f>GEntry!FT17</f>
        <v>0</v>
      </c>
      <c r="FA27" s="1155">
        <f>GEntry!FB17</f>
        <v>0</v>
      </c>
      <c r="FB27" s="1155">
        <f>GEntry!FC17</f>
        <v>0</v>
      </c>
      <c r="FC27" s="1155">
        <f>GEntry!FD17</f>
        <v>0</v>
      </c>
      <c r="FD27" s="764">
        <f>GEntry!GD17</f>
        <v>0</v>
      </c>
      <c r="FE27" s="765">
        <f>GEntry!GE17</f>
        <v>0</v>
      </c>
      <c r="FF27" s="765">
        <f>GEntry!FI17</f>
        <v>0</v>
      </c>
      <c r="FG27" s="765">
        <f>GEntry!FJ17</f>
        <v>0</v>
      </c>
      <c r="FH27" s="765">
        <f>GEntry!FK17</f>
        <v>0</v>
      </c>
      <c r="FI27" s="765">
        <f>GEntry!FL17</f>
        <v>0</v>
      </c>
      <c r="FJ27" s="765">
        <f>GEntry!EP17</f>
        <v>0</v>
      </c>
      <c r="FK27" s="765">
        <f>GEntry!ES17</f>
        <v>0</v>
      </c>
      <c r="FL27" s="763">
        <f>GEntry!FM17</f>
        <v>0</v>
      </c>
      <c r="FM27" s="765">
        <f>GEntry!FN17</f>
        <v>0</v>
      </c>
      <c r="FN27" s="764">
        <f>GEntry!FO17</f>
        <v>0</v>
      </c>
      <c r="FO27" s="1687">
        <f>GEntry!EH17</f>
        <v>0</v>
      </c>
      <c r="FP27" s="1689">
        <f>GEntry!GA17</f>
        <v>0</v>
      </c>
      <c r="FQ27" s="1694">
        <f>GEntry!GB17</f>
        <v>0</v>
      </c>
      <c r="FR27" s="1877">
        <f>GEntry!EW17</f>
        <v>0</v>
      </c>
      <c r="FS27" s="1981">
        <f>GEntry!GF17</f>
        <v>0</v>
      </c>
      <c r="FT27" s="1983">
        <f>GEntry!FP17</f>
        <v>0</v>
      </c>
      <c r="FU27" s="2154">
        <f>GEntry!GG17</f>
        <v>0</v>
      </c>
      <c r="FV27" s="3143">
        <f>GEntry!GC17</f>
        <v>0</v>
      </c>
      <c r="FW27" s="764">
        <f>GEntry!EZ17</f>
        <v>0</v>
      </c>
      <c r="FX27" s="3685">
        <f>GEntry!EL17</f>
        <v>0</v>
      </c>
      <c r="FY27" s="3758">
        <f>GEntry!EM17</f>
        <v>0</v>
      </c>
      <c r="FZ27" s="3760">
        <f>GEntry!EK17</f>
        <v>0</v>
      </c>
      <c r="GA27" s="4897">
        <f>GEntry!FH17</f>
        <v>0</v>
      </c>
      <c r="GB27" s="4984">
        <f>GEntry!EI17</f>
        <v>0</v>
      </c>
      <c r="GC27" s="3685">
        <f>GEntry!GH17</f>
        <v>0</v>
      </c>
      <c r="GD27" s="993"/>
      <c r="GE27" s="910">
        <f t="shared" si="12"/>
        <v>0</v>
      </c>
      <c r="GF27" s="909">
        <f t="shared" si="6"/>
        <v>0</v>
      </c>
      <c r="GG27" s="906">
        <f t="shared" si="7"/>
        <v>0</v>
      </c>
      <c r="GH27" s="650">
        <f t="shared" si="8"/>
        <v>0</v>
      </c>
      <c r="GI27" s="650">
        <f t="shared" si="0"/>
        <v>0</v>
      </c>
      <c r="GJ27" s="650">
        <f t="shared" si="13"/>
        <v>0</v>
      </c>
      <c r="GK27" s="650">
        <f t="shared" si="9"/>
        <v>0</v>
      </c>
      <c r="GL27" s="650">
        <f t="shared" si="1"/>
        <v>0</v>
      </c>
      <c r="GM27" s="650">
        <f t="shared" si="2"/>
        <v>0</v>
      </c>
      <c r="GN27" s="650">
        <f t="shared" si="3"/>
        <v>0</v>
      </c>
      <c r="GO27" s="650">
        <f t="shared" si="10"/>
        <v>0</v>
      </c>
      <c r="GP27" s="650">
        <f t="shared" si="11"/>
        <v>0</v>
      </c>
      <c r="GQ27" s="650">
        <f t="shared" si="4"/>
        <v>0</v>
      </c>
      <c r="GR27" s="905">
        <f t="shared" si="5"/>
        <v>0</v>
      </c>
      <c r="GS27" s="904">
        <f>FWise!M19</f>
        <v>0</v>
      </c>
      <c r="GT27" s="3543">
        <f>GEntry!GL17</f>
        <v>97.41</v>
      </c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ht="22.5" customHeight="1" thickBot="1">
      <c r="A28" s="609">
        <v>0.625000000000003</v>
      </c>
      <c r="B28" s="761">
        <f>GEntry!W18</f>
        <v>0</v>
      </c>
      <c r="C28" s="758">
        <f>GEntry!X18</f>
        <v>0</v>
      </c>
      <c r="D28" s="758">
        <f>GEntry!Y18</f>
        <v>0</v>
      </c>
      <c r="E28" s="758">
        <f>GEntry!Z18</f>
        <v>0</v>
      </c>
      <c r="F28" s="759">
        <f>GEntry!AB18</f>
        <v>0</v>
      </c>
      <c r="G28" s="759">
        <f>GEntry!BY18</f>
        <v>0</v>
      </c>
      <c r="H28" s="758">
        <f>GEntry!CS18</f>
        <v>0</v>
      </c>
      <c r="I28" s="758">
        <f>GEntry!AO18</f>
        <v>0</v>
      </c>
      <c r="J28" s="758">
        <f>GEntry!AQ18</f>
        <v>0</v>
      </c>
      <c r="K28" s="758"/>
      <c r="L28" s="758">
        <f>GEntry!AN18</f>
        <v>0</v>
      </c>
      <c r="M28" s="758">
        <f>GEntry!AP18</f>
        <v>0</v>
      </c>
      <c r="N28" s="758">
        <f>GEntry!CP18</f>
        <v>0</v>
      </c>
      <c r="O28" s="758">
        <f>GEntry!CQ18</f>
        <v>0</v>
      </c>
      <c r="P28" s="758">
        <f>GEntry!CL18</f>
        <v>0</v>
      </c>
      <c r="Q28" s="758">
        <f>GEntry!DC18</f>
        <v>0</v>
      </c>
      <c r="R28" s="758">
        <f>GEntry!T18</f>
        <v>0</v>
      </c>
      <c r="S28" s="758">
        <f>GEntry!R18</f>
        <v>0</v>
      </c>
      <c r="T28" s="758">
        <f>GEntry!S18</f>
        <v>0</v>
      </c>
      <c r="U28" s="758">
        <f>GEntry!CC18</f>
        <v>0</v>
      </c>
      <c r="V28" s="759">
        <f>GEntry!CX18</f>
        <v>0</v>
      </c>
      <c r="W28" s="758">
        <f>GEntry!CE18</f>
        <v>0</v>
      </c>
      <c r="X28" s="758">
        <f>GEntry!CO18</f>
        <v>0</v>
      </c>
      <c r="Y28" s="758">
        <f>GEntry!DB18</f>
        <v>0</v>
      </c>
      <c r="Z28" s="758">
        <f>GEntry!CM18</f>
        <v>0</v>
      </c>
      <c r="AA28" s="758">
        <f>GEntry!DA18</f>
        <v>0</v>
      </c>
      <c r="AB28" s="758">
        <f>GEntry!DG18</f>
        <v>0</v>
      </c>
      <c r="AC28" s="758">
        <f>GEntry!DD18</f>
        <v>0</v>
      </c>
      <c r="AD28" s="758">
        <f>GEntry!BJ18</f>
        <v>0</v>
      </c>
      <c r="AE28" s="758">
        <f>GEntry!BM18</f>
        <v>0</v>
      </c>
      <c r="AF28" s="758">
        <f>GEntry!BU18</f>
        <v>0</v>
      </c>
      <c r="AG28" s="758">
        <f>GEntry!BV18</f>
        <v>0</v>
      </c>
      <c r="AH28" s="758">
        <f>GEntry!BW18</f>
        <v>0</v>
      </c>
      <c r="AI28" s="758">
        <f>GEntry!BX18</f>
        <v>0</v>
      </c>
      <c r="AJ28" s="758">
        <f>GEntry!CD18</f>
        <v>0</v>
      </c>
      <c r="AK28" s="758">
        <f>GEntry!AM18</f>
        <v>0</v>
      </c>
      <c r="AL28" s="1157">
        <f>GEntry!B18</f>
        <v>0</v>
      </c>
      <c r="AM28" s="1157">
        <f>GEntry!C18</f>
        <v>0</v>
      </c>
      <c r="AN28" s="758">
        <f>GEntry!D18</f>
        <v>0</v>
      </c>
      <c r="AO28" s="758">
        <f>GEntry!E18</f>
        <v>0</v>
      </c>
      <c r="AP28" s="758">
        <f>GEntry!F18</f>
        <v>0</v>
      </c>
      <c r="AQ28" s="758">
        <f>GEntry!H18</f>
        <v>0</v>
      </c>
      <c r="AR28" s="758">
        <f>GEntry!I18</f>
        <v>0</v>
      </c>
      <c r="AS28" s="758">
        <f>GEntry!K18</f>
        <v>0</v>
      </c>
      <c r="AT28" s="758">
        <f>GEntry!L18</f>
        <v>0</v>
      </c>
      <c r="AU28" s="758"/>
      <c r="AV28" s="758">
        <f>GEntry!BK18</f>
        <v>0</v>
      </c>
      <c r="AW28" s="758">
        <f>GEntry!N18</f>
        <v>0</v>
      </c>
      <c r="AX28" s="758">
        <f>GEntry!M18</f>
        <v>0</v>
      </c>
      <c r="AY28" s="758">
        <f>GEntry!CU18</f>
        <v>0</v>
      </c>
      <c r="AZ28" s="758">
        <f>GEntry!CZ18</f>
        <v>0</v>
      </c>
      <c r="BA28" s="758">
        <f>GEntry!CY18</f>
        <v>0</v>
      </c>
      <c r="BB28" s="758">
        <f>GEntry!BL18</f>
        <v>0</v>
      </c>
      <c r="BC28" s="758">
        <f>GEntry!BP18</f>
        <v>0</v>
      </c>
      <c r="BD28" s="758">
        <f>GEntry!AD18</f>
        <v>0</v>
      </c>
      <c r="BE28" s="758">
        <f>GEntry!AE18</f>
        <v>0</v>
      </c>
      <c r="BF28" s="758">
        <f>GEntry!AF18</f>
        <v>0</v>
      </c>
      <c r="BG28" s="758">
        <f>GEntry!AJ18</f>
        <v>0</v>
      </c>
      <c r="BH28" s="758">
        <f>GEntry!AI18</f>
        <v>0</v>
      </c>
      <c r="BI28" s="758">
        <f>GEntry!AH18</f>
        <v>0</v>
      </c>
      <c r="BJ28" s="758">
        <f>GEntry!V18</f>
        <v>0</v>
      </c>
      <c r="BK28" s="758">
        <f>GEntry!AL18</f>
        <v>0</v>
      </c>
      <c r="BL28" s="758">
        <f>GEntry!AG18</f>
        <v>0</v>
      </c>
      <c r="BM28" s="758">
        <f>GEntry!AK18</f>
        <v>0</v>
      </c>
      <c r="BN28" s="758">
        <f>GEntry!CT18</f>
        <v>0</v>
      </c>
      <c r="BO28" s="759">
        <f>GEntry!CW18</f>
        <v>0</v>
      </c>
      <c r="BP28" s="759">
        <f>GEntry!CN18</f>
        <v>0</v>
      </c>
      <c r="BQ28" s="759">
        <f>GEntry!Q18</f>
        <v>0</v>
      </c>
      <c r="BR28" s="758">
        <f>GEntry!CG18</f>
        <v>0</v>
      </c>
      <c r="BS28" s="759">
        <f>GEntry!BQ18</f>
        <v>0</v>
      </c>
      <c r="BT28" s="759">
        <f>GEntry!BR18</f>
        <v>0</v>
      </c>
      <c r="BU28" s="759">
        <f>GEntry!BS18</f>
        <v>0</v>
      </c>
      <c r="BV28" s="759">
        <f>GEntry!BT18</f>
        <v>0</v>
      </c>
      <c r="BW28" s="749">
        <f>GEntry!BO18</f>
        <v>0</v>
      </c>
      <c r="BX28" s="759">
        <f>GEntry!AR18</f>
        <v>0</v>
      </c>
      <c r="BY28" s="759">
        <f>GEntry!CF18</f>
        <v>0</v>
      </c>
      <c r="BZ28" s="759">
        <f>GEntry!BN18</f>
        <v>0</v>
      </c>
      <c r="CA28" s="1159">
        <f>GEntry!DF18</f>
        <v>0</v>
      </c>
      <c r="CB28" s="759">
        <f>GEntry!AT18</f>
        <v>0</v>
      </c>
      <c r="CC28" s="759">
        <f>GEntry!AU18</f>
        <v>0</v>
      </c>
      <c r="CD28" s="759">
        <f>GEntry!BF18</f>
        <v>0</v>
      </c>
      <c r="CE28" s="759">
        <f>GEntry!CV18</f>
        <v>0</v>
      </c>
      <c r="CF28" s="759">
        <f>GEntry!DE18</f>
        <v>0</v>
      </c>
      <c r="CG28" s="759">
        <f>GEntry!AV18</f>
        <v>0</v>
      </c>
      <c r="CH28" s="759">
        <f>GEntry!AW18</f>
        <v>0</v>
      </c>
      <c r="CI28" s="759">
        <f>GEntry!AX18</f>
        <v>0</v>
      </c>
      <c r="CJ28" s="759">
        <f>GEntry!AZ18</f>
        <v>0</v>
      </c>
      <c r="CK28" s="759">
        <f>GEntry!BA18</f>
        <v>0</v>
      </c>
      <c r="CL28" s="759">
        <f>GEntry!BB18</f>
        <v>0</v>
      </c>
      <c r="CM28" s="759">
        <f>GEntry!BC18</f>
        <v>0</v>
      </c>
      <c r="CN28" s="759">
        <f>GEntry!BD18</f>
        <v>0</v>
      </c>
      <c r="CO28" s="759">
        <f>GEntry!BH18</f>
        <v>0</v>
      </c>
      <c r="CP28" s="759">
        <f>GEntry!BG18</f>
        <v>0</v>
      </c>
      <c r="CQ28" s="986">
        <f>GEntry!BE18</f>
        <v>0</v>
      </c>
      <c r="CR28" s="986">
        <f>GEntry!P18</f>
        <v>0</v>
      </c>
      <c r="CS28" s="986">
        <f>GEntry!U18</f>
        <v>0</v>
      </c>
      <c r="CT28" s="759">
        <f>GEntry!DH18</f>
        <v>0</v>
      </c>
      <c r="CU28" s="986">
        <f>GEntry!DI18</f>
        <v>0</v>
      </c>
      <c r="CV28" s="986">
        <f>GEntry!DJ18</f>
        <v>0</v>
      </c>
      <c r="CW28" s="759">
        <f>GEntry!DK18</f>
        <v>0</v>
      </c>
      <c r="CX28" s="986">
        <f>GEntry!DL18</f>
        <v>0</v>
      </c>
      <c r="CY28" s="986">
        <f>GEntry!G18</f>
        <v>0</v>
      </c>
      <c r="CZ28" s="986">
        <f>GEntry!DM18</f>
        <v>0</v>
      </c>
      <c r="DA28" s="759">
        <f>GEntry!DN18</f>
        <v>0</v>
      </c>
      <c r="DB28" s="1667">
        <f>GEntry!DO18</f>
        <v>0</v>
      </c>
      <c r="DC28" s="1652">
        <f>GEntry!DP18</f>
        <v>0</v>
      </c>
      <c r="DD28" s="1760">
        <f>GEntry!DQ18</f>
        <v>0</v>
      </c>
      <c r="DE28" s="1759">
        <f>GEntry!CH18</f>
        <v>0</v>
      </c>
      <c r="DF28" s="1864">
        <f>GEntry!O18</f>
        <v>0</v>
      </c>
      <c r="DG28" s="1857">
        <f>GEntry!CI18</f>
        <v>0</v>
      </c>
      <c r="DH28" s="2064">
        <f>GEntry!DR18</f>
        <v>0</v>
      </c>
      <c r="DI28" s="2065">
        <f>GEntry!CJ18</f>
        <v>0</v>
      </c>
      <c r="DJ28" s="2077">
        <f>GEntry!CK18</f>
        <v>0</v>
      </c>
      <c r="DK28" s="3078">
        <f>GEntry!BZ18</f>
        <v>0</v>
      </c>
      <c r="DL28" s="3370">
        <f>GEntry!CA18</f>
        <v>0</v>
      </c>
      <c r="DM28" s="3079">
        <f>GEntry!DS18</f>
        <v>0</v>
      </c>
      <c r="DN28" s="3517">
        <f>GEntry!BI18</f>
        <v>0</v>
      </c>
      <c r="DO28" s="3518">
        <f>GEntry!CR18</f>
        <v>0</v>
      </c>
      <c r="DP28" s="3720">
        <f>GEntry!AS18</f>
        <v>0</v>
      </c>
      <c r="DQ28" s="3777">
        <f>GEntry!CB18</f>
        <v>0</v>
      </c>
      <c r="DR28" s="3848">
        <f>GEntry!DT18</f>
        <v>0</v>
      </c>
      <c r="DS28" s="3850">
        <f>GEntry!AY18</f>
        <v>0</v>
      </c>
      <c r="DT28" s="4039">
        <f>GEntry!DU18</f>
        <v>0</v>
      </c>
      <c r="DU28" s="4041">
        <f>GEntry!DV18</f>
        <v>0</v>
      </c>
      <c r="DV28" s="4793">
        <f>GEntry!DW18</f>
        <v>0</v>
      </c>
      <c r="DW28" s="4793">
        <f>GEntry!DX18</f>
        <v>0</v>
      </c>
      <c r="DX28" s="990"/>
      <c r="DY28" s="767">
        <f>GEntry!EX18</f>
        <v>0</v>
      </c>
      <c r="DZ28" s="764">
        <f>GEntry!EV18</f>
        <v>0</v>
      </c>
      <c r="EA28" s="764">
        <f>GEntry!EY18</f>
        <v>0</v>
      </c>
      <c r="EB28" s="764">
        <f>GEntry!EB18</f>
        <v>0</v>
      </c>
      <c r="EC28" s="764">
        <f>GEntry!EC18</f>
        <v>0</v>
      </c>
      <c r="ED28" s="764">
        <f>GEntry!EG18</f>
        <v>0</v>
      </c>
      <c r="EE28" s="764">
        <f>GEntry!EA18</f>
        <v>0</v>
      </c>
      <c r="EF28" s="764">
        <f>GEntry!EE18</f>
        <v>0</v>
      </c>
      <c r="EG28" s="764">
        <f>GEntry!EF18</f>
        <v>0</v>
      </c>
      <c r="EH28" s="764">
        <f>GEntry!EU18</f>
        <v>0</v>
      </c>
      <c r="EI28" s="764">
        <f>GEntry!ET18</f>
        <v>0</v>
      </c>
      <c r="EJ28" s="764">
        <f>GEntry!EQ18</f>
        <v>0</v>
      </c>
      <c r="EK28" s="764">
        <f>GEntry!ER18</f>
        <v>0</v>
      </c>
      <c r="EL28" s="764">
        <f>GEntry!EN18</f>
        <v>0</v>
      </c>
      <c r="EM28" s="764">
        <f>GEntry!EO18</f>
        <v>0</v>
      </c>
      <c r="EN28" s="764">
        <f>GEntry!FF18</f>
        <v>0</v>
      </c>
      <c r="EO28" s="764">
        <f>GEntry!FE18</f>
        <v>0</v>
      </c>
      <c r="EP28" s="764">
        <f>GEntry!FG18</f>
        <v>0</v>
      </c>
      <c r="EQ28" s="764">
        <f>GEntry!FQ18</f>
        <v>0</v>
      </c>
      <c r="ER28" s="764">
        <f>GEntry!FZ18</f>
        <v>0</v>
      </c>
      <c r="ES28" s="764">
        <f>GEntry!FU18</f>
        <v>0</v>
      </c>
      <c r="ET28" s="764">
        <f>GEntry!FV18</f>
        <v>0</v>
      </c>
      <c r="EU28" s="764">
        <f>GEntry!FW18</f>
        <v>0</v>
      </c>
      <c r="EV28" s="764">
        <f>GEntry!FY18</f>
        <v>0</v>
      </c>
      <c r="EW28" s="764">
        <f>GEntry!FX18</f>
        <v>0</v>
      </c>
      <c r="EX28" s="764">
        <f>GEntry!FR18</f>
        <v>0</v>
      </c>
      <c r="EY28" s="764">
        <f>GEntry!FS18</f>
        <v>0</v>
      </c>
      <c r="EZ28" s="764">
        <f>GEntry!FT18</f>
        <v>0</v>
      </c>
      <c r="FA28" s="1155">
        <f>GEntry!FB18</f>
        <v>0</v>
      </c>
      <c r="FB28" s="1155">
        <f>GEntry!FC18</f>
        <v>0</v>
      </c>
      <c r="FC28" s="1155">
        <f>GEntry!FD18</f>
        <v>0</v>
      </c>
      <c r="FD28" s="764">
        <f>GEntry!GD18</f>
        <v>0</v>
      </c>
      <c r="FE28" s="765">
        <f>GEntry!GE18</f>
        <v>0</v>
      </c>
      <c r="FF28" s="765">
        <f>GEntry!FI18</f>
        <v>0</v>
      </c>
      <c r="FG28" s="765">
        <f>GEntry!FJ18</f>
        <v>0</v>
      </c>
      <c r="FH28" s="765">
        <f>GEntry!FK18</f>
        <v>0</v>
      </c>
      <c r="FI28" s="765">
        <f>GEntry!FL18</f>
        <v>0</v>
      </c>
      <c r="FJ28" s="765">
        <f>GEntry!EP18</f>
        <v>0</v>
      </c>
      <c r="FK28" s="765">
        <f>GEntry!ES18</f>
        <v>0</v>
      </c>
      <c r="FL28" s="763">
        <f>GEntry!FM18</f>
        <v>0</v>
      </c>
      <c r="FM28" s="765">
        <f>GEntry!FN17</f>
        <v>0</v>
      </c>
      <c r="FN28" s="764">
        <f>GEntry!FO18</f>
        <v>0</v>
      </c>
      <c r="FO28" s="1687">
        <f>GEntry!EH18</f>
        <v>0</v>
      </c>
      <c r="FP28" s="1689">
        <f>GEntry!GA18</f>
        <v>0</v>
      </c>
      <c r="FQ28" s="1694">
        <f>GEntry!GB18</f>
        <v>0</v>
      </c>
      <c r="FR28" s="1877">
        <f>GEntry!EW18</f>
        <v>0</v>
      </c>
      <c r="FS28" s="1981">
        <f>GEntry!GF18</f>
        <v>0</v>
      </c>
      <c r="FT28" s="1983">
        <f>GEntry!FP18</f>
        <v>0</v>
      </c>
      <c r="FU28" s="2154">
        <f>GEntry!GG18</f>
        <v>0</v>
      </c>
      <c r="FV28" s="3143">
        <f>GEntry!GC18</f>
        <v>0</v>
      </c>
      <c r="FW28" s="764">
        <f>GEntry!EZ18</f>
        <v>0</v>
      </c>
      <c r="FX28" s="3685">
        <f>GEntry!EL18</f>
        <v>0</v>
      </c>
      <c r="FY28" s="3758">
        <f>GEntry!EM18</f>
        <v>0</v>
      </c>
      <c r="FZ28" s="3760">
        <f>GEntry!EK18</f>
        <v>0</v>
      </c>
      <c r="GA28" s="4897">
        <f>GEntry!FH18</f>
        <v>0</v>
      </c>
      <c r="GB28" s="4984">
        <f>GEntry!EI18</f>
        <v>0</v>
      </c>
      <c r="GC28" s="3685">
        <f>GEntry!GH18</f>
        <v>0</v>
      </c>
      <c r="GD28" s="993"/>
      <c r="GE28" s="910">
        <f t="shared" si="12"/>
        <v>0</v>
      </c>
      <c r="GF28" s="909">
        <f t="shared" si="6"/>
        <v>0</v>
      </c>
      <c r="GG28" s="906">
        <f t="shared" si="7"/>
        <v>0</v>
      </c>
      <c r="GH28" s="650">
        <f t="shared" si="8"/>
        <v>0</v>
      </c>
      <c r="GI28" s="650">
        <f t="shared" si="0"/>
        <v>0</v>
      </c>
      <c r="GJ28" s="650">
        <f t="shared" si="13"/>
        <v>0</v>
      </c>
      <c r="GK28" s="650">
        <f t="shared" si="9"/>
        <v>0</v>
      </c>
      <c r="GL28" s="650">
        <f t="shared" si="1"/>
        <v>0</v>
      </c>
      <c r="GM28" s="650">
        <f t="shared" si="2"/>
        <v>0</v>
      </c>
      <c r="GN28" s="650">
        <f t="shared" si="3"/>
        <v>0</v>
      </c>
      <c r="GO28" s="650">
        <f t="shared" si="10"/>
        <v>0</v>
      </c>
      <c r="GP28" s="650">
        <f t="shared" si="11"/>
        <v>0</v>
      </c>
      <c r="GQ28" s="650">
        <f t="shared" si="4"/>
        <v>0</v>
      </c>
      <c r="GR28" s="905">
        <f t="shared" si="5"/>
        <v>0</v>
      </c>
      <c r="GS28" s="904">
        <f>FWise!M20</f>
        <v>0</v>
      </c>
      <c r="GT28" s="3543">
        <f>GEntry!GL18</f>
        <v>97.4</v>
      </c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ht="24" customHeight="1" thickBot="1">
      <c r="A29" s="609">
        <v>0.66666666666666996</v>
      </c>
      <c r="B29" s="761">
        <f>GEntry!W19</f>
        <v>0</v>
      </c>
      <c r="C29" s="758">
        <f>GEntry!X19</f>
        <v>0</v>
      </c>
      <c r="D29" s="758">
        <f>GEntry!Y19</f>
        <v>0</v>
      </c>
      <c r="E29" s="758">
        <f>GEntry!Z19</f>
        <v>0</v>
      </c>
      <c r="F29" s="759">
        <f>GEntry!AB19</f>
        <v>0</v>
      </c>
      <c r="G29" s="759">
        <f>GEntry!BY19</f>
        <v>0</v>
      </c>
      <c r="H29" s="758">
        <f>GEntry!CS19</f>
        <v>0</v>
      </c>
      <c r="I29" s="758">
        <f>GEntry!AO19</f>
        <v>0</v>
      </c>
      <c r="J29" s="758">
        <f>GEntry!AQ19</f>
        <v>0</v>
      </c>
      <c r="K29" s="758"/>
      <c r="L29" s="758">
        <f>GEntry!AN19</f>
        <v>0</v>
      </c>
      <c r="M29" s="758">
        <f>GEntry!AP19</f>
        <v>0</v>
      </c>
      <c r="N29" s="758">
        <f>GEntry!CP19</f>
        <v>0</v>
      </c>
      <c r="O29" s="758">
        <f>GEntry!CQ19</f>
        <v>0</v>
      </c>
      <c r="P29" s="758">
        <f>GEntry!CL19</f>
        <v>0</v>
      </c>
      <c r="Q29" s="758">
        <f>GEntry!DC19</f>
        <v>0</v>
      </c>
      <c r="R29" s="758">
        <f>GEntry!T19</f>
        <v>0</v>
      </c>
      <c r="S29" s="758">
        <f>GEntry!R19</f>
        <v>0</v>
      </c>
      <c r="T29" s="758">
        <f>GEntry!S19</f>
        <v>0</v>
      </c>
      <c r="U29" s="758">
        <f>GEntry!CC19</f>
        <v>0</v>
      </c>
      <c r="V29" s="759">
        <f>GEntry!CX19</f>
        <v>0</v>
      </c>
      <c r="W29" s="758">
        <f>GEntry!CE19</f>
        <v>0</v>
      </c>
      <c r="X29" s="758">
        <f>GEntry!CO19</f>
        <v>0</v>
      </c>
      <c r="Y29" s="758">
        <f>GEntry!DB19</f>
        <v>0</v>
      </c>
      <c r="Z29" s="758">
        <f>GEntry!CM19</f>
        <v>0</v>
      </c>
      <c r="AA29" s="758">
        <f>GEntry!DA19</f>
        <v>0</v>
      </c>
      <c r="AB29" s="758">
        <f>GEntry!DG19</f>
        <v>0</v>
      </c>
      <c r="AC29" s="758">
        <f>GEntry!DD19</f>
        <v>0</v>
      </c>
      <c r="AD29" s="758">
        <f>GEntry!BJ19</f>
        <v>0</v>
      </c>
      <c r="AE29" s="758">
        <f>GEntry!BM19</f>
        <v>0</v>
      </c>
      <c r="AF29" s="758">
        <f>GEntry!BU19</f>
        <v>0</v>
      </c>
      <c r="AG29" s="758">
        <f>GEntry!BV19</f>
        <v>0</v>
      </c>
      <c r="AH29" s="758">
        <f>GEntry!BW19</f>
        <v>0</v>
      </c>
      <c r="AI29" s="758">
        <f>GEntry!BX19</f>
        <v>0</v>
      </c>
      <c r="AJ29" s="758">
        <f>GEntry!CD19</f>
        <v>0</v>
      </c>
      <c r="AK29" s="758">
        <f>GEntry!AM19</f>
        <v>0</v>
      </c>
      <c r="AL29" s="1157">
        <f>GEntry!B19</f>
        <v>0</v>
      </c>
      <c r="AM29" s="1157">
        <f>GEntry!C19</f>
        <v>0</v>
      </c>
      <c r="AN29" s="758">
        <f>GEntry!D19</f>
        <v>0</v>
      </c>
      <c r="AO29" s="758">
        <f>GEntry!E19</f>
        <v>0</v>
      </c>
      <c r="AP29" s="758">
        <f>GEntry!F19</f>
        <v>0</v>
      </c>
      <c r="AQ29" s="758">
        <f>GEntry!H19</f>
        <v>0</v>
      </c>
      <c r="AR29" s="758">
        <f>GEntry!I19</f>
        <v>0</v>
      </c>
      <c r="AS29" s="758">
        <f>GEntry!K19</f>
        <v>0</v>
      </c>
      <c r="AT29" s="758">
        <f>GEntry!L19</f>
        <v>0</v>
      </c>
      <c r="AU29" s="758"/>
      <c r="AV29" s="758">
        <f>GEntry!BK19</f>
        <v>0</v>
      </c>
      <c r="AW29" s="758">
        <f>GEntry!N19</f>
        <v>0</v>
      </c>
      <c r="AX29" s="758">
        <f>GEntry!M19</f>
        <v>0</v>
      </c>
      <c r="AY29" s="758">
        <f>GEntry!CU19</f>
        <v>0</v>
      </c>
      <c r="AZ29" s="758">
        <f>GEntry!CZ19</f>
        <v>0</v>
      </c>
      <c r="BA29" s="758">
        <f>GEntry!CY19</f>
        <v>0</v>
      </c>
      <c r="BB29" s="758">
        <f>GEntry!BL19</f>
        <v>0</v>
      </c>
      <c r="BC29" s="758">
        <f>GEntry!BP19</f>
        <v>0</v>
      </c>
      <c r="BD29" s="758">
        <f>GEntry!AD19</f>
        <v>0</v>
      </c>
      <c r="BE29" s="758">
        <f>GEntry!AE19</f>
        <v>0</v>
      </c>
      <c r="BF29" s="758">
        <f>GEntry!AF19</f>
        <v>0</v>
      </c>
      <c r="BG29" s="758">
        <f>GEntry!AJ19</f>
        <v>0</v>
      </c>
      <c r="BH29" s="758">
        <f>GEntry!AI19</f>
        <v>0</v>
      </c>
      <c r="BI29" s="758">
        <f>GEntry!AH19</f>
        <v>0</v>
      </c>
      <c r="BJ29" s="758">
        <f>GEntry!V19</f>
        <v>0</v>
      </c>
      <c r="BK29" s="758">
        <f>GEntry!AL19</f>
        <v>0</v>
      </c>
      <c r="BL29" s="758">
        <f>GEntry!AG19</f>
        <v>0</v>
      </c>
      <c r="BM29" s="758">
        <f>GEntry!AK19</f>
        <v>0</v>
      </c>
      <c r="BN29" s="758">
        <f>GEntry!CT19</f>
        <v>0</v>
      </c>
      <c r="BO29" s="759">
        <f>GEntry!CW19</f>
        <v>0</v>
      </c>
      <c r="BP29" s="759">
        <f>GEntry!CN19</f>
        <v>0</v>
      </c>
      <c r="BQ29" s="759">
        <f>GEntry!Q19</f>
        <v>0</v>
      </c>
      <c r="BR29" s="758">
        <f>GEntry!CG19</f>
        <v>0</v>
      </c>
      <c r="BS29" s="759">
        <f>GEntry!BQ19</f>
        <v>0</v>
      </c>
      <c r="BT29" s="759">
        <f>GEntry!BR19</f>
        <v>0</v>
      </c>
      <c r="BU29" s="759">
        <f>GEntry!BS19</f>
        <v>0</v>
      </c>
      <c r="BV29" s="759">
        <f>GEntry!BT19</f>
        <v>0</v>
      </c>
      <c r="BW29" s="749">
        <f>GEntry!BO19</f>
        <v>0</v>
      </c>
      <c r="BX29" s="759">
        <f>GEntry!AR19</f>
        <v>0</v>
      </c>
      <c r="BY29" s="759">
        <f>GEntry!CF19</f>
        <v>0</v>
      </c>
      <c r="BZ29" s="759">
        <f>GEntry!BN19</f>
        <v>0</v>
      </c>
      <c r="CA29" s="1159">
        <f>GEntry!DF19</f>
        <v>0</v>
      </c>
      <c r="CB29" s="759">
        <f>GEntry!AT19</f>
        <v>0</v>
      </c>
      <c r="CC29" s="759">
        <f>GEntry!AU19</f>
        <v>0</v>
      </c>
      <c r="CD29" s="759">
        <f>GEntry!BF19</f>
        <v>0</v>
      </c>
      <c r="CE29" s="759">
        <f>GEntry!CV19</f>
        <v>0</v>
      </c>
      <c r="CF29" s="759">
        <f>GEntry!DE19</f>
        <v>0</v>
      </c>
      <c r="CG29" s="759">
        <f>GEntry!AV19</f>
        <v>0</v>
      </c>
      <c r="CH29" s="759">
        <f>GEntry!AW19</f>
        <v>0</v>
      </c>
      <c r="CI29" s="759">
        <f>GEntry!AX19</f>
        <v>0</v>
      </c>
      <c r="CJ29" s="759">
        <f>GEntry!AZ19</f>
        <v>0</v>
      </c>
      <c r="CK29" s="759">
        <f>GEntry!BA19</f>
        <v>0</v>
      </c>
      <c r="CL29" s="759">
        <f>GEntry!BB19</f>
        <v>0</v>
      </c>
      <c r="CM29" s="759">
        <f>GEntry!BC19</f>
        <v>0</v>
      </c>
      <c r="CN29" s="759">
        <f>GEntry!BD19</f>
        <v>0</v>
      </c>
      <c r="CO29" s="759">
        <f>GEntry!BH19</f>
        <v>0</v>
      </c>
      <c r="CP29" s="759">
        <f>GEntry!BG19</f>
        <v>0</v>
      </c>
      <c r="CQ29" s="986">
        <f>GEntry!BE19</f>
        <v>0</v>
      </c>
      <c r="CR29" s="986">
        <f>GEntry!P19</f>
        <v>0</v>
      </c>
      <c r="CS29" s="986">
        <f>GEntry!U19</f>
        <v>0</v>
      </c>
      <c r="CT29" s="759">
        <f>GEntry!DH19</f>
        <v>0</v>
      </c>
      <c r="CU29" s="986">
        <f>GEntry!DI19</f>
        <v>0</v>
      </c>
      <c r="CV29" s="986">
        <f>GEntry!DJ19</f>
        <v>0</v>
      </c>
      <c r="CW29" s="759">
        <f>GEntry!DK19</f>
        <v>0</v>
      </c>
      <c r="CX29" s="986">
        <f>GEntry!DL19</f>
        <v>0</v>
      </c>
      <c r="CY29" s="986">
        <f>GEntry!G19</f>
        <v>0</v>
      </c>
      <c r="CZ29" s="986">
        <f>GEntry!DM19</f>
        <v>0</v>
      </c>
      <c r="DA29" s="759">
        <f>GEntry!DN19</f>
        <v>0</v>
      </c>
      <c r="DB29" s="1667">
        <f>GEntry!DO19</f>
        <v>0</v>
      </c>
      <c r="DC29" s="1652">
        <f>GEntry!DP19</f>
        <v>0</v>
      </c>
      <c r="DD29" s="1760">
        <f>GEntry!DQ19</f>
        <v>0</v>
      </c>
      <c r="DE29" s="1759">
        <f>GEntry!CH19</f>
        <v>0</v>
      </c>
      <c r="DF29" s="1864">
        <f>GEntry!O19</f>
        <v>0</v>
      </c>
      <c r="DG29" s="1857">
        <f>GEntry!CI19</f>
        <v>0</v>
      </c>
      <c r="DH29" s="2064">
        <f>GEntry!DR19</f>
        <v>0</v>
      </c>
      <c r="DI29" s="2065">
        <f>GEntry!CJ19</f>
        <v>0</v>
      </c>
      <c r="DJ29" s="2077">
        <f>GEntry!CK19</f>
        <v>0</v>
      </c>
      <c r="DK29" s="3078">
        <f>GEntry!BZ19</f>
        <v>0</v>
      </c>
      <c r="DL29" s="3370">
        <f>GEntry!CA19</f>
        <v>0</v>
      </c>
      <c r="DM29" s="3079">
        <f>GEntry!DS19</f>
        <v>0</v>
      </c>
      <c r="DN29" s="3517">
        <f>GEntry!BI19</f>
        <v>0</v>
      </c>
      <c r="DO29" s="3518">
        <f>GEntry!CR19</f>
        <v>0</v>
      </c>
      <c r="DP29" s="3720">
        <f>GEntry!AS19</f>
        <v>0</v>
      </c>
      <c r="DQ29" s="3777">
        <f>GEntry!CB19</f>
        <v>0</v>
      </c>
      <c r="DR29" s="3848">
        <f>GEntry!DT19</f>
        <v>0</v>
      </c>
      <c r="DS29" s="3850">
        <f>GEntry!AY19</f>
        <v>0</v>
      </c>
      <c r="DT29" s="4039">
        <f>GEntry!DU19</f>
        <v>0</v>
      </c>
      <c r="DU29" s="4041">
        <f>GEntry!DV19</f>
        <v>0</v>
      </c>
      <c r="DV29" s="4793">
        <f>GEntry!DW19</f>
        <v>0</v>
      </c>
      <c r="DW29" s="4793">
        <f>GEntry!DX19</f>
        <v>0</v>
      </c>
      <c r="DX29" s="990"/>
      <c r="DY29" s="767">
        <f>GEntry!EX19</f>
        <v>0</v>
      </c>
      <c r="DZ29" s="764">
        <f>GEntry!EV19</f>
        <v>0</v>
      </c>
      <c r="EA29" s="764">
        <f>GEntry!EY19</f>
        <v>0</v>
      </c>
      <c r="EB29" s="764">
        <f>GEntry!EB19</f>
        <v>0</v>
      </c>
      <c r="EC29" s="764">
        <f>GEntry!EC19</f>
        <v>0</v>
      </c>
      <c r="ED29" s="764">
        <f>GEntry!EG19</f>
        <v>0</v>
      </c>
      <c r="EE29" s="764">
        <f>GEntry!EA19</f>
        <v>0</v>
      </c>
      <c r="EF29" s="764">
        <f>GEntry!EE19</f>
        <v>0</v>
      </c>
      <c r="EG29" s="764">
        <f>GEntry!EF19</f>
        <v>0</v>
      </c>
      <c r="EH29" s="764">
        <f>GEntry!EU19</f>
        <v>0</v>
      </c>
      <c r="EI29" s="764">
        <f>GEntry!ET19</f>
        <v>0</v>
      </c>
      <c r="EJ29" s="764">
        <f>GEntry!EQ19</f>
        <v>0</v>
      </c>
      <c r="EK29" s="764">
        <f>GEntry!ER19</f>
        <v>0</v>
      </c>
      <c r="EL29" s="764">
        <f>GEntry!EN19</f>
        <v>0</v>
      </c>
      <c r="EM29" s="764">
        <f>GEntry!EO19</f>
        <v>0</v>
      </c>
      <c r="EN29" s="764">
        <f>GEntry!FF19</f>
        <v>0</v>
      </c>
      <c r="EO29" s="764">
        <f>GEntry!FE19</f>
        <v>0</v>
      </c>
      <c r="EP29" s="764">
        <f>GEntry!FG19</f>
        <v>0</v>
      </c>
      <c r="EQ29" s="764">
        <f>GEntry!FQ19</f>
        <v>0</v>
      </c>
      <c r="ER29" s="764">
        <f>GEntry!FZ19</f>
        <v>0</v>
      </c>
      <c r="ES29" s="764">
        <f>GEntry!FU19</f>
        <v>0</v>
      </c>
      <c r="ET29" s="764">
        <f>GEntry!FV19</f>
        <v>0</v>
      </c>
      <c r="EU29" s="764">
        <f>GEntry!FW19</f>
        <v>0</v>
      </c>
      <c r="EV29" s="764">
        <f>GEntry!FY19</f>
        <v>0</v>
      </c>
      <c r="EW29" s="764">
        <f>GEntry!FX19</f>
        <v>0</v>
      </c>
      <c r="EX29" s="764">
        <f>GEntry!FR19</f>
        <v>0</v>
      </c>
      <c r="EY29" s="764">
        <f>GEntry!FS19</f>
        <v>0</v>
      </c>
      <c r="EZ29" s="764">
        <f>GEntry!FT19</f>
        <v>0</v>
      </c>
      <c r="FA29" s="1155">
        <f>GEntry!FB19</f>
        <v>0</v>
      </c>
      <c r="FB29" s="1155">
        <f>GEntry!FC19</f>
        <v>0</v>
      </c>
      <c r="FC29" s="1155">
        <f>GEntry!FD19</f>
        <v>0</v>
      </c>
      <c r="FD29" s="764">
        <f>GEntry!GD19</f>
        <v>0</v>
      </c>
      <c r="FE29" s="765">
        <f>GEntry!GE19</f>
        <v>0</v>
      </c>
      <c r="FF29" s="765">
        <f>GEntry!FI19</f>
        <v>0</v>
      </c>
      <c r="FG29" s="765">
        <f>GEntry!FJ19</f>
        <v>0</v>
      </c>
      <c r="FH29" s="765">
        <f>GEntry!FK19</f>
        <v>0</v>
      </c>
      <c r="FI29" s="765">
        <f>GEntry!FL19</f>
        <v>0</v>
      </c>
      <c r="FJ29" s="765">
        <f>GEntry!EP19</f>
        <v>0</v>
      </c>
      <c r="FK29" s="765">
        <f>GEntry!ES19</f>
        <v>0</v>
      </c>
      <c r="FL29" s="763">
        <f>GEntry!FM19</f>
        <v>0</v>
      </c>
      <c r="FM29" s="765">
        <f>GEntry!FN19</f>
        <v>0</v>
      </c>
      <c r="FN29" s="764">
        <f>GEntry!FO19</f>
        <v>0</v>
      </c>
      <c r="FO29" s="1687">
        <f>GEntry!EH19</f>
        <v>0</v>
      </c>
      <c r="FP29" s="1689">
        <f>GEntry!GA19</f>
        <v>0</v>
      </c>
      <c r="FQ29" s="1694">
        <f>GEntry!GB19</f>
        <v>0</v>
      </c>
      <c r="FR29" s="1877">
        <f>GEntry!EW19</f>
        <v>0</v>
      </c>
      <c r="FS29" s="1981">
        <f>GEntry!GF19</f>
        <v>0</v>
      </c>
      <c r="FT29" s="1983">
        <f>GEntry!FP19</f>
        <v>0</v>
      </c>
      <c r="FU29" s="2154">
        <f>GEntry!GG19</f>
        <v>0</v>
      </c>
      <c r="FV29" s="3143">
        <f>GEntry!GC19</f>
        <v>0</v>
      </c>
      <c r="FW29" s="764">
        <f>GEntry!EZ19</f>
        <v>0</v>
      </c>
      <c r="FX29" s="3685">
        <f>GEntry!EL19</f>
        <v>0</v>
      </c>
      <c r="FY29" s="3758">
        <f>GEntry!EM19</f>
        <v>0</v>
      </c>
      <c r="FZ29" s="3760">
        <f>GEntry!EK19</f>
        <v>0</v>
      </c>
      <c r="GA29" s="4897">
        <f>GEntry!FH19</f>
        <v>0</v>
      </c>
      <c r="GB29" s="4984">
        <f>GEntry!EI19</f>
        <v>0</v>
      </c>
      <c r="GC29" s="3685">
        <f>GEntry!GH19</f>
        <v>0</v>
      </c>
      <c r="GD29" s="993"/>
      <c r="GE29" s="910">
        <f t="shared" si="12"/>
        <v>0</v>
      </c>
      <c r="GF29" s="909">
        <f t="shared" si="6"/>
        <v>0</v>
      </c>
      <c r="GG29" s="906">
        <f t="shared" si="7"/>
        <v>0</v>
      </c>
      <c r="GH29" s="650">
        <f t="shared" si="8"/>
        <v>0</v>
      </c>
      <c r="GI29" s="650">
        <f t="shared" si="0"/>
        <v>0</v>
      </c>
      <c r="GJ29" s="650">
        <f t="shared" si="13"/>
        <v>0</v>
      </c>
      <c r="GK29" s="650">
        <f t="shared" si="9"/>
        <v>0</v>
      </c>
      <c r="GL29" s="650">
        <f t="shared" si="1"/>
        <v>0</v>
      </c>
      <c r="GM29" s="650">
        <f t="shared" si="2"/>
        <v>0</v>
      </c>
      <c r="GN29" s="650">
        <f t="shared" si="3"/>
        <v>0</v>
      </c>
      <c r="GO29" s="650">
        <f t="shared" si="10"/>
        <v>0</v>
      </c>
      <c r="GP29" s="650">
        <f t="shared" si="11"/>
        <v>0</v>
      </c>
      <c r="GQ29" s="650">
        <f t="shared" si="4"/>
        <v>0</v>
      </c>
      <c r="GR29" s="905">
        <f t="shared" si="5"/>
        <v>0</v>
      </c>
      <c r="GS29" s="904">
        <f>FWise!M21</f>
        <v>0</v>
      </c>
      <c r="GT29" s="3543">
        <f>GEntry!GL19</f>
        <v>97.39</v>
      </c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6"/>
      <c r="HR29" s="136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ht="21.75" customHeight="1" thickBot="1">
      <c r="A30" s="609">
        <v>0.70833333333333337</v>
      </c>
      <c r="B30" s="761">
        <f>GEntry!W20</f>
        <v>0</v>
      </c>
      <c r="C30" s="758">
        <f>GEntry!X20</f>
        <v>0</v>
      </c>
      <c r="D30" s="758">
        <f>GEntry!Y20</f>
        <v>0</v>
      </c>
      <c r="E30" s="758">
        <f>GEntry!Z20</f>
        <v>0</v>
      </c>
      <c r="F30" s="759">
        <f>GEntry!AB20</f>
        <v>0</v>
      </c>
      <c r="G30" s="759">
        <f>GEntry!BY20</f>
        <v>0</v>
      </c>
      <c r="H30" s="758">
        <f>GEntry!CS20</f>
        <v>0</v>
      </c>
      <c r="I30" s="758">
        <f>GEntry!AO20</f>
        <v>0</v>
      </c>
      <c r="J30" s="758">
        <f>GEntry!AQ20</f>
        <v>0</v>
      </c>
      <c r="K30" s="758"/>
      <c r="L30" s="758">
        <f>GEntry!AN20</f>
        <v>0</v>
      </c>
      <c r="M30" s="758">
        <f>GEntry!AP20</f>
        <v>0</v>
      </c>
      <c r="N30" s="758">
        <f>GEntry!CP20</f>
        <v>0</v>
      </c>
      <c r="O30" s="758">
        <f>GEntry!CQ20</f>
        <v>0</v>
      </c>
      <c r="P30" s="758">
        <f>GEntry!CL20</f>
        <v>0</v>
      </c>
      <c r="Q30" s="758">
        <f>GEntry!DC20</f>
        <v>0</v>
      </c>
      <c r="R30" s="758">
        <f>GEntry!T20</f>
        <v>0</v>
      </c>
      <c r="S30" s="758">
        <f>GEntry!R20</f>
        <v>0</v>
      </c>
      <c r="T30" s="758">
        <f>GEntry!S20</f>
        <v>0</v>
      </c>
      <c r="U30" s="758">
        <f>GEntry!CC20</f>
        <v>0</v>
      </c>
      <c r="V30" s="759">
        <f>GEntry!CX20</f>
        <v>0</v>
      </c>
      <c r="W30" s="758">
        <f>GEntry!CE20</f>
        <v>0</v>
      </c>
      <c r="X30" s="758">
        <f>GEntry!CO20</f>
        <v>0</v>
      </c>
      <c r="Y30" s="758">
        <f>GEntry!DB20</f>
        <v>0</v>
      </c>
      <c r="Z30" s="758">
        <f>GEntry!CM20</f>
        <v>0</v>
      </c>
      <c r="AA30" s="758">
        <f>GEntry!DA20</f>
        <v>0</v>
      </c>
      <c r="AB30" s="758">
        <f>GEntry!DG20</f>
        <v>0</v>
      </c>
      <c r="AC30" s="758">
        <f>GEntry!DD20</f>
        <v>0</v>
      </c>
      <c r="AD30" s="758">
        <f>GEntry!BJ20</f>
        <v>0</v>
      </c>
      <c r="AE30" s="758">
        <f>GEntry!BM20</f>
        <v>0</v>
      </c>
      <c r="AF30" s="758">
        <f>GEntry!BU20</f>
        <v>0</v>
      </c>
      <c r="AG30" s="758">
        <f>GEntry!BV20</f>
        <v>0</v>
      </c>
      <c r="AH30" s="758">
        <f>GEntry!BW20</f>
        <v>0</v>
      </c>
      <c r="AI30" s="758">
        <f>GEntry!BX20</f>
        <v>0</v>
      </c>
      <c r="AJ30" s="758">
        <f>GEntry!CD20</f>
        <v>0</v>
      </c>
      <c r="AK30" s="758">
        <f>GEntry!AM20</f>
        <v>0</v>
      </c>
      <c r="AL30" s="1157">
        <f>GEntry!B20</f>
        <v>0</v>
      </c>
      <c r="AM30" s="1157">
        <f>GEntry!C20</f>
        <v>0</v>
      </c>
      <c r="AN30" s="758">
        <f>GEntry!D20</f>
        <v>0</v>
      </c>
      <c r="AO30" s="758">
        <f>GEntry!E20</f>
        <v>0</v>
      </c>
      <c r="AP30" s="758">
        <f>GEntry!F20</f>
        <v>0</v>
      </c>
      <c r="AQ30" s="758">
        <f>GEntry!H20</f>
        <v>0</v>
      </c>
      <c r="AR30" s="758">
        <f>GEntry!I20</f>
        <v>0</v>
      </c>
      <c r="AS30" s="758">
        <f>GEntry!K20</f>
        <v>0</v>
      </c>
      <c r="AT30" s="758">
        <f>GEntry!L20</f>
        <v>0</v>
      </c>
      <c r="AU30" s="758"/>
      <c r="AV30" s="758">
        <f>GEntry!BK20</f>
        <v>0</v>
      </c>
      <c r="AW30" s="758">
        <f>GEntry!N20</f>
        <v>0</v>
      </c>
      <c r="AX30" s="758">
        <f>GEntry!M20</f>
        <v>0</v>
      </c>
      <c r="AY30" s="758">
        <f>GEntry!CU20</f>
        <v>0</v>
      </c>
      <c r="AZ30" s="758">
        <f>GEntry!CZ20</f>
        <v>0</v>
      </c>
      <c r="BA30" s="758">
        <f>GEntry!CY20</f>
        <v>0</v>
      </c>
      <c r="BB30" s="758">
        <f>GEntry!BL20</f>
        <v>0</v>
      </c>
      <c r="BC30" s="758">
        <f>GEntry!BP20</f>
        <v>0</v>
      </c>
      <c r="BD30" s="758">
        <f>GEntry!AD20</f>
        <v>0</v>
      </c>
      <c r="BE30" s="758">
        <f>GEntry!AE20</f>
        <v>0</v>
      </c>
      <c r="BF30" s="758">
        <f>GEntry!AF20</f>
        <v>0</v>
      </c>
      <c r="BG30" s="758">
        <f>GEntry!AJ20</f>
        <v>0</v>
      </c>
      <c r="BH30" s="758">
        <f>GEntry!AI20</f>
        <v>0</v>
      </c>
      <c r="BI30" s="758">
        <f>GEntry!AH20</f>
        <v>0</v>
      </c>
      <c r="BJ30" s="758">
        <f>GEntry!V20</f>
        <v>0</v>
      </c>
      <c r="BK30" s="758">
        <f>GEntry!AL20</f>
        <v>0</v>
      </c>
      <c r="BL30" s="758">
        <f>GEntry!AG20</f>
        <v>0</v>
      </c>
      <c r="BM30" s="758">
        <f>GEntry!AK20</f>
        <v>0</v>
      </c>
      <c r="BN30" s="758">
        <f>GEntry!CT20</f>
        <v>0</v>
      </c>
      <c r="BO30" s="759">
        <f>GEntry!CW20</f>
        <v>0</v>
      </c>
      <c r="BP30" s="759">
        <f>GEntry!CN20</f>
        <v>0</v>
      </c>
      <c r="BQ30" s="759">
        <f>GEntry!Q20</f>
        <v>0</v>
      </c>
      <c r="BR30" s="758">
        <f>GEntry!CG20</f>
        <v>0</v>
      </c>
      <c r="BS30" s="759">
        <f>GEntry!BQ20</f>
        <v>0</v>
      </c>
      <c r="BT30" s="759">
        <f>GEntry!BR20</f>
        <v>0</v>
      </c>
      <c r="BU30" s="759">
        <f>GEntry!BS20</f>
        <v>0</v>
      </c>
      <c r="BV30" s="759">
        <f>GEntry!BT20</f>
        <v>0</v>
      </c>
      <c r="BW30" s="749">
        <f>GEntry!BO20</f>
        <v>0</v>
      </c>
      <c r="BX30" s="759">
        <f>GEntry!AR20</f>
        <v>0</v>
      </c>
      <c r="BY30" s="759">
        <f>GEntry!CF20</f>
        <v>0</v>
      </c>
      <c r="BZ30" s="759">
        <f>GEntry!BN20</f>
        <v>0</v>
      </c>
      <c r="CA30" s="1159">
        <f>GEntry!DF20</f>
        <v>0</v>
      </c>
      <c r="CB30" s="759">
        <f>GEntry!AT20</f>
        <v>0</v>
      </c>
      <c r="CC30" s="759">
        <f>GEntry!AU20</f>
        <v>0</v>
      </c>
      <c r="CD30" s="759">
        <f>GEntry!BF20</f>
        <v>0</v>
      </c>
      <c r="CE30" s="759">
        <f>GEntry!CV20</f>
        <v>0</v>
      </c>
      <c r="CF30" s="759">
        <f>GEntry!DE20</f>
        <v>0</v>
      </c>
      <c r="CG30" s="759">
        <f>GEntry!AV20</f>
        <v>0</v>
      </c>
      <c r="CH30" s="759">
        <f>GEntry!AW20</f>
        <v>0</v>
      </c>
      <c r="CI30" s="759">
        <f>GEntry!AX20</f>
        <v>0</v>
      </c>
      <c r="CJ30" s="759">
        <f>GEntry!AZ20</f>
        <v>0</v>
      </c>
      <c r="CK30" s="759">
        <f>GEntry!BA20</f>
        <v>0</v>
      </c>
      <c r="CL30" s="759">
        <f>GEntry!BB20</f>
        <v>0</v>
      </c>
      <c r="CM30" s="759">
        <f>GEntry!BC20</f>
        <v>0</v>
      </c>
      <c r="CN30" s="759">
        <f>GEntry!BD20</f>
        <v>0</v>
      </c>
      <c r="CO30" s="759">
        <f>GEntry!BH20</f>
        <v>0</v>
      </c>
      <c r="CP30" s="759">
        <f>GEntry!BG20</f>
        <v>0</v>
      </c>
      <c r="CQ30" s="986">
        <f>GEntry!BE20</f>
        <v>0</v>
      </c>
      <c r="CR30" s="986">
        <f>GEntry!P20</f>
        <v>0</v>
      </c>
      <c r="CS30" s="986">
        <f>GEntry!U20</f>
        <v>0</v>
      </c>
      <c r="CT30" s="759">
        <f>GEntry!DH20</f>
        <v>0</v>
      </c>
      <c r="CU30" s="986">
        <f>GEntry!DI20</f>
        <v>0</v>
      </c>
      <c r="CV30" s="986">
        <f>GEntry!DJ20</f>
        <v>0</v>
      </c>
      <c r="CW30" s="759">
        <f>GEntry!DK20</f>
        <v>0</v>
      </c>
      <c r="CX30" s="986">
        <f>GEntry!DL20</f>
        <v>0</v>
      </c>
      <c r="CY30" s="986">
        <f>GEntry!G20</f>
        <v>0</v>
      </c>
      <c r="CZ30" s="986">
        <f>GEntry!DM20</f>
        <v>0</v>
      </c>
      <c r="DA30" s="759">
        <f>GEntry!DN20</f>
        <v>0</v>
      </c>
      <c r="DB30" s="1667">
        <f>GEntry!DO20</f>
        <v>0</v>
      </c>
      <c r="DC30" s="1652">
        <f>GEntry!DP20</f>
        <v>0</v>
      </c>
      <c r="DD30" s="1760">
        <f>GEntry!DQ20</f>
        <v>0</v>
      </c>
      <c r="DE30" s="1759">
        <f>GEntry!CH20</f>
        <v>0</v>
      </c>
      <c r="DF30" s="1864">
        <f>GEntry!O20</f>
        <v>0</v>
      </c>
      <c r="DG30" s="1857">
        <f>GEntry!CI20</f>
        <v>0</v>
      </c>
      <c r="DH30" s="2064">
        <f>GEntry!DR20</f>
        <v>0</v>
      </c>
      <c r="DI30" s="2065">
        <f>GEntry!CJ20</f>
        <v>0</v>
      </c>
      <c r="DJ30" s="2077">
        <f>GEntry!CK20</f>
        <v>0</v>
      </c>
      <c r="DK30" s="3078">
        <f>GEntry!BZ20</f>
        <v>0</v>
      </c>
      <c r="DL30" s="3370">
        <f>GEntry!CA20</f>
        <v>0</v>
      </c>
      <c r="DM30" s="3079">
        <f>GEntry!DS20</f>
        <v>0</v>
      </c>
      <c r="DN30" s="3517">
        <f>GEntry!BI20</f>
        <v>0</v>
      </c>
      <c r="DO30" s="3518">
        <f>GEntry!CR20</f>
        <v>0</v>
      </c>
      <c r="DP30" s="3720">
        <f>GEntry!AS20</f>
        <v>0</v>
      </c>
      <c r="DQ30" s="3777">
        <f>GEntry!CB20</f>
        <v>0</v>
      </c>
      <c r="DR30" s="3848">
        <f>GEntry!DT20</f>
        <v>0</v>
      </c>
      <c r="DS30" s="3850">
        <f>GEntry!AY20</f>
        <v>0</v>
      </c>
      <c r="DT30" s="4039">
        <f>GEntry!DU20</f>
        <v>0</v>
      </c>
      <c r="DU30" s="4041">
        <f>GEntry!DV20</f>
        <v>0</v>
      </c>
      <c r="DV30" s="4793">
        <f>GEntry!DW20</f>
        <v>0</v>
      </c>
      <c r="DW30" s="4793">
        <f>GEntry!DX20</f>
        <v>0</v>
      </c>
      <c r="DX30" s="990"/>
      <c r="DY30" s="767">
        <f>GEntry!EX20</f>
        <v>0</v>
      </c>
      <c r="DZ30" s="764">
        <f>GEntry!EV20</f>
        <v>0</v>
      </c>
      <c r="EA30" s="764">
        <f>GEntry!EY20</f>
        <v>0</v>
      </c>
      <c r="EB30" s="764">
        <f>GEntry!EB20</f>
        <v>0</v>
      </c>
      <c r="EC30" s="764">
        <f>GEntry!EC20</f>
        <v>0</v>
      </c>
      <c r="ED30" s="764">
        <f>GEntry!EG20</f>
        <v>0</v>
      </c>
      <c r="EE30" s="764">
        <f>GEntry!EA20</f>
        <v>0</v>
      </c>
      <c r="EF30" s="764">
        <v>0</v>
      </c>
      <c r="EG30" s="764">
        <f>GEntry!EF20</f>
        <v>0</v>
      </c>
      <c r="EH30" s="764">
        <f>GEntry!EU20</f>
        <v>0</v>
      </c>
      <c r="EI30" s="764">
        <f>GEntry!ET20</f>
        <v>0</v>
      </c>
      <c r="EJ30" s="764">
        <f>GEntry!EQ20</f>
        <v>0</v>
      </c>
      <c r="EK30" s="764">
        <f>GEntry!ER20</f>
        <v>0</v>
      </c>
      <c r="EL30" s="764">
        <f>GEntry!EN20</f>
        <v>0</v>
      </c>
      <c r="EM30" s="764">
        <f>GEntry!EO20</f>
        <v>0</v>
      </c>
      <c r="EN30" s="764">
        <f>GEntry!FF20</f>
        <v>0</v>
      </c>
      <c r="EO30" s="764">
        <f>GEntry!FE20</f>
        <v>0</v>
      </c>
      <c r="EP30" s="764">
        <f>GEntry!FG20</f>
        <v>0</v>
      </c>
      <c r="EQ30" s="764">
        <f>GEntry!FQ20</f>
        <v>0</v>
      </c>
      <c r="ER30" s="764">
        <f>GEntry!FZ20</f>
        <v>0</v>
      </c>
      <c r="ES30" s="764">
        <f>GEntry!FU20</f>
        <v>0</v>
      </c>
      <c r="ET30" s="764">
        <f>GEntry!FV20</f>
        <v>0</v>
      </c>
      <c r="EU30" s="764">
        <f>GEntry!FW20</f>
        <v>0</v>
      </c>
      <c r="EV30" s="764">
        <f>GEntry!FY20</f>
        <v>0</v>
      </c>
      <c r="EW30" s="764">
        <f>GEntry!FX20</f>
        <v>0</v>
      </c>
      <c r="EX30" s="764">
        <f>GEntry!FR20</f>
        <v>0</v>
      </c>
      <c r="EY30" s="764">
        <f>GEntry!FS20</f>
        <v>0</v>
      </c>
      <c r="EZ30" s="764">
        <f>GEntry!FT20</f>
        <v>0</v>
      </c>
      <c r="FA30" s="1155">
        <f>GEntry!FB20</f>
        <v>0</v>
      </c>
      <c r="FB30" s="1155">
        <f>GEntry!FC20</f>
        <v>0</v>
      </c>
      <c r="FC30" s="1155">
        <f>GEntry!FD20</f>
        <v>0</v>
      </c>
      <c r="FD30" s="764">
        <f>GEntry!GD20</f>
        <v>0</v>
      </c>
      <c r="FE30" s="765">
        <f>GEntry!GE20</f>
        <v>0</v>
      </c>
      <c r="FF30" s="765">
        <f>GEntry!FI20</f>
        <v>0</v>
      </c>
      <c r="FG30" s="765">
        <f>GEntry!FJ20</f>
        <v>0</v>
      </c>
      <c r="FH30" s="765">
        <f>GEntry!FK20</f>
        <v>0</v>
      </c>
      <c r="FI30" s="765">
        <f>GEntry!FL20</f>
        <v>0</v>
      </c>
      <c r="FJ30" s="765">
        <f>GEntry!EP20</f>
        <v>0</v>
      </c>
      <c r="FK30" s="765">
        <f>GEntry!ES20</f>
        <v>0</v>
      </c>
      <c r="FL30" s="763">
        <f>GEntry!FM20</f>
        <v>0</v>
      </c>
      <c r="FM30" s="765">
        <f>GEntry!FN20</f>
        <v>0</v>
      </c>
      <c r="FN30" s="764">
        <f>GEntry!FO20</f>
        <v>0</v>
      </c>
      <c r="FO30" s="1687">
        <f>GEntry!EH20</f>
        <v>0</v>
      </c>
      <c r="FP30" s="1689">
        <f>GEntry!GA20</f>
        <v>0</v>
      </c>
      <c r="FQ30" s="1694">
        <f>GEntry!GB20</f>
        <v>0</v>
      </c>
      <c r="FR30" s="1877">
        <f>GEntry!EW20</f>
        <v>0</v>
      </c>
      <c r="FS30" s="1981">
        <f>GEntry!GF20</f>
        <v>0</v>
      </c>
      <c r="FT30" s="1983">
        <f>GEntry!FP20</f>
        <v>0</v>
      </c>
      <c r="FU30" s="2154">
        <f>GEntry!GG20</f>
        <v>0</v>
      </c>
      <c r="FV30" s="3143">
        <f>GEntry!GC20</f>
        <v>0</v>
      </c>
      <c r="FW30" s="764">
        <f>GEntry!EZ20</f>
        <v>0</v>
      </c>
      <c r="FX30" s="3685">
        <f>GEntry!EL20</f>
        <v>0</v>
      </c>
      <c r="FY30" s="3758">
        <f>GEntry!EM20</f>
        <v>0</v>
      </c>
      <c r="FZ30" s="3760">
        <f>GEntry!EK20</f>
        <v>0</v>
      </c>
      <c r="GA30" s="4897">
        <f>GEntry!FH20</f>
        <v>0</v>
      </c>
      <c r="GB30" s="4984">
        <f>GEntry!EI20</f>
        <v>0</v>
      </c>
      <c r="GC30" s="3685">
        <f>GEntry!GH20</f>
        <v>0</v>
      </c>
      <c r="GD30" s="993"/>
      <c r="GE30" s="910">
        <f>SUM(B30:DX30)</f>
        <v>0</v>
      </c>
      <c r="GF30" s="909">
        <f>SUM(DY30:GD30)</f>
        <v>0</v>
      </c>
      <c r="GG30" s="906">
        <f>GE30+GF30</f>
        <v>0</v>
      </c>
      <c r="GH30" s="650">
        <f t="shared" si="8"/>
        <v>0</v>
      </c>
      <c r="GI30" s="650">
        <f t="shared" si="0"/>
        <v>0</v>
      </c>
      <c r="GJ30" s="650">
        <f t="shared" si="13"/>
        <v>0</v>
      </c>
      <c r="GK30" s="650">
        <f t="shared" si="9"/>
        <v>0</v>
      </c>
      <c r="GL30" s="650">
        <f t="shared" si="1"/>
        <v>0</v>
      </c>
      <c r="GM30" s="650">
        <f t="shared" si="2"/>
        <v>0</v>
      </c>
      <c r="GN30" s="650">
        <f>AL30+AM30</f>
        <v>0</v>
      </c>
      <c r="GO30" s="650">
        <f t="shared" si="10"/>
        <v>0</v>
      </c>
      <c r="GP30" s="650">
        <f t="shared" si="11"/>
        <v>0</v>
      </c>
      <c r="GQ30" s="650">
        <f t="shared" si="4"/>
        <v>0</v>
      </c>
      <c r="GR30" s="905">
        <f t="shared" si="5"/>
        <v>0</v>
      </c>
      <c r="GS30" s="904">
        <f>FWise!M22</f>
        <v>0</v>
      </c>
      <c r="GT30" s="3543">
        <f>GEntry!GL20</f>
        <v>97.38</v>
      </c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ht="21.75" customHeight="1" thickBot="1">
      <c r="A31" s="609">
        <v>0.75</v>
      </c>
      <c r="B31" s="1238">
        <f>GEntry!W21</f>
        <v>0</v>
      </c>
      <c r="C31" s="1239">
        <f>GEntry!X21</f>
        <v>0</v>
      </c>
      <c r="D31" s="1239">
        <f>GEntry!Y21</f>
        <v>0</v>
      </c>
      <c r="E31" s="1239">
        <f>GEntry!Z21</f>
        <v>0</v>
      </c>
      <c r="F31" s="1240">
        <f>GEntry!AB21</f>
        <v>0</v>
      </c>
      <c r="G31" s="1240">
        <f>GEntry!BY21</f>
        <v>0</v>
      </c>
      <c r="H31" s="1239">
        <f>GEntry!CS21</f>
        <v>0</v>
      </c>
      <c r="I31" s="1239">
        <f>GEntry!AO21</f>
        <v>0</v>
      </c>
      <c r="J31" s="1239">
        <f>GEntry!AQ21</f>
        <v>0</v>
      </c>
      <c r="K31" s="1239"/>
      <c r="L31" s="1239">
        <f>GEntry!AN21</f>
        <v>0</v>
      </c>
      <c r="M31" s="1239">
        <f>GEntry!AP21</f>
        <v>0</v>
      </c>
      <c r="N31" s="1239">
        <f>GEntry!CP21</f>
        <v>0</v>
      </c>
      <c r="O31" s="1239">
        <f>GEntry!CQ21</f>
        <v>0</v>
      </c>
      <c r="P31" s="1239">
        <f>GEntry!CL21</f>
        <v>0</v>
      </c>
      <c r="Q31" s="1239">
        <f>GEntry!DC21</f>
        <v>0</v>
      </c>
      <c r="R31" s="1239">
        <f>GEntry!T21</f>
        <v>0</v>
      </c>
      <c r="S31" s="1239">
        <f>GEntry!R21</f>
        <v>0</v>
      </c>
      <c r="T31" s="1239">
        <f>GEntry!S21</f>
        <v>0</v>
      </c>
      <c r="U31" s="1239">
        <f>GEntry!CC21</f>
        <v>0</v>
      </c>
      <c r="V31" s="1240">
        <f>GEntry!CX21</f>
        <v>0</v>
      </c>
      <c r="W31" s="1239">
        <f>GEntry!CE21</f>
        <v>0</v>
      </c>
      <c r="X31" s="1239">
        <f>GEntry!CO21</f>
        <v>0</v>
      </c>
      <c r="Y31" s="1239">
        <f>GEntry!DB21</f>
        <v>0</v>
      </c>
      <c r="Z31" s="1239">
        <f>GEntry!CM21</f>
        <v>0</v>
      </c>
      <c r="AA31" s="1239">
        <f>GEntry!DA21</f>
        <v>0</v>
      </c>
      <c r="AB31" s="1239">
        <f>GEntry!DG21</f>
        <v>0</v>
      </c>
      <c r="AC31" s="1239">
        <f>GEntry!DD21</f>
        <v>0</v>
      </c>
      <c r="AD31" s="1239">
        <f>GEntry!BJ21</f>
        <v>0</v>
      </c>
      <c r="AE31" s="1239">
        <f>GEntry!BM21</f>
        <v>0</v>
      </c>
      <c r="AF31" s="1239">
        <f>GEntry!BU21</f>
        <v>0</v>
      </c>
      <c r="AG31" s="1239">
        <f>GEntry!BV21</f>
        <v>0</v>
      </c>
      <c r="AH31" s="1239">
        <f>GEntry!BW21</f>
        <v>0</v>
      </c>
      <c r="AI31" s="1239">
        <f>GEntry!BX21</f>
        <v>0</v>
      </c>
      <c r="AJ31" s="1239">
        <f>GEntry!CD21</f>
        <v>0</v>
      </c>
      <c r="AK31" s="1239">
        <f>GEntry!AM21</f>
        <v>0</v>
      </c>
      <c r="AL31" s="1626">
        <f>GEntry!B21</f>
        <v>0</v>
      </c>
      <c r="AM31" s="1241">
        <f>GEntry!C21</f>
        <v>0</v>
      </c>
      <c r="AN31" s="1239">
        <f>GEntry!D21</f>
        <v>0</v>
      </c>
      <c r="AO31" s="1239">
        <f>GEntry!E21</f>
        <v>0</v>
      </c>
      <c r="AP31" s="1239">
        <f>GEntry!F21</f>
        <v>0</v>
      </c>
      <c r="AQ31" s="1239">
        <f>GEntry!H21</f>
        <v>0</v>
      </c>
      <c r="AR31" s="1239">
        <f>GEntry!I21</f>
        <v>0</v>
      </c>
      <c r="AS31" s="1239">
        <f>GEntry!K21</f>
        <v>0</v>
      </c>
      <c r="AT31" s="1239">
        <f>GEntry!L21</f>
        <v>0</v>
      </c>
      <c r="AU31" s="1239"/>
      <c r="AV31" s="1239">
        <f>GEntry!BK21</f>
        <v>0</v>
      </c>
      <c r="AW31" s="1239">
        <f>GEntry!N21</f>
        <v>0</v>
      </c>
      <c r="AX31" s="1239">
        <f>GEntry!M21</f>
        <v>0</v>
      </c>
      <c r="AY31" s="1239">
        <f>GEntry!CU21</f>
        <v>0</v>
      </c>
      <c r="AZ31" s="1239">
        <f>GEntry!CZ21</f>
        <v>0</v>
      </c>
      <c r="BA31" s="1239">
        <f>GEntry!CY21</f>
        <v>0</v>
      </c>
      <c r="BB31" s="1239">
        <f>GEntry!BL21</f>
        <v>0</v>
      </c>
      <c r="BC31" s="1239">
        <f>GEntry!BP21</f>
        <v>0</v>
      </c>
      <c r="BD31" s="1239">
        <f>GEntry!AD21</f>
        <v>0</v>
      </c>
      <c r="BE31" s="1239">
        <f>GEntry!AE21</f>
        <v>0</v>
      </c>
      <c r="BF31" s="1239">
        <f>GEntry!AF21</f>
        <v>0</v>
      </c>
      <c r="BG31" s="1239">
        <f>GEntry!AJ21</f>
        <v>0</v>
      </c>
      <c r="BH31" s="1239">
        <f>GEntry!AI21</f>
        <v>0</v>
      </c>
      <c r="BI31" s="1239">
        <f>GEntry!AH21</f>
        <v>0</v>
      </c>
      <c r="BJ31" s="1239">
        <f>GEntry!V21</f>
        <v>0</v>
      </c>
      <c r="BK31" s="1239">
        <f>GEntry!AL21</f>
        <v>0</v>
      </c>
      <c r="BL31" s="1239">
        <f>GEntry!AG21</f>
        <v>0</v>
      </c>
      <c r="BM31" s="1239">
        <f>GEntry!AK21</f>
        <v>0</v>
      </c>
      <c r="BN31" s="1239">
        <f>GEntry!CT21</f>
        <v>0</v>
      </c>
      <c r="BO31" s="1240">
        <f>GEntry!CW21</f>
        <v>0</v>
      </c>
      <c r="BP31" s="1240">
        <f>GEntry!CN21</f>
        <v>0</v>
      </c>
      <c r="BQ31" s="1240">
        <f>GEntry!Q21</f>
        <v>0</v>
      </c>
      <c r="BR31" s="1239">
        <f>GEntry!CG21</f>
        <v>0</v>
      </c>
      <c r="BS31" s="1240">
        <f>GEntry!BQ21</f>
        <v>0</v>
      </c>
      <c r="BT31" s="1240">
        <f>GEntry!BR21</f>
        <v>0</v>
      </c>
      <c r="BU31" s="1240">
        <f>GEntry!BS21</f>
        <v>0</v>
      </c>
      <c r="BV31" s="1240">
        <f>GEntry!BT21</f>
        <v>0</v>
      </c>
      <c r="BW31" s="1242">
        <f>GEntry!BO21</f>
        <v>0</v>
      </c>
      <c r="BX31" s="1240">
        <f>GEntry!AR21</f>
        <v>0</v>
      </c>
      <c r="BY31" s="1240">
        <f>GEntry!CF21</f>
        <v>0</v>
      </c>
      <c r="BZ31" s="1240">
        <f>GEntry!BN21</f>
        <v>0</v>
      </c>
      <c r="CA31" s="1159">
        <f>GEntry!DF21</f>
        <v>0</v>
      </c>
      <c r="CB31" s="1240">
        <f>GEntry!AT21</f>
        <v>0</v>
      </c>
      <c r="CC31" s="1240">
        <f>GEntry!AU21</f>
        <v>0</v>
      </c>
      <c r="CD31" s="1240">
        <f>GEntry!BF21</f>
        <v>0</v>
      </c>
      <c r="CE31" s="1240">
        <f>GEntry!CV21</f>
        <v>0</v>
      </c>
      <c r="CF31" s="1240">
        <f>GEntry!DE21</f>
        <v>0</v>
      </c>
      <c r="CG31" s="1240">
        <f>GEntry!AV21</f>
        <v>0</v>
      </c>
      <c r="CH31" s="1240">
        <f>GEntry!AW21</f>
        <v>0</v>
      </c>
      <c r="CI31" s="1240">
        <f>GEntry!AX21</f>
        <v>0</v>
      </c>
      <c r="CJ31" s="1240">
        <f>GEntry!AZ21</f>
        <v>0</v>
      </c>
      <c r="CK31" s="1240">
        <f>GEntry!BA21</f>
        <v>0</v>
      </c>
      <c r="CL31" s="1240">
        <f>GEntry!BB21</f>
        <v>0</v>
      </c>
      <c r="CM31" s="1240">
        <f>GEntry!BC21</f>
        <v>0</v>
      </c>
      <c r="CN31" s="1240">
        <f>GEntry!BD21</f>
        <v>0</v>
      </c>
      <c r="CO31" s="1240">
        <f>GEntry!BH21</f>
        <v>0</v>
      </c>
      <c r="CP31" s="1240">
        <f>GEntry!BG21</f>
        <v>0</v>
      </c>
      <c r="CQ31" s="1243">
        <f>GEntry!BE21</f>
        <v>0</v>
      </c>
      <c r="CR31" s="986">
        <f>GEntry!P21</f>
        <v>0</v>
      </c>
      <c r="CS31" s="986">
        <f>GEntry!U21</f>
        <v>0</v>
      </c>
      <c r="CT31" s="759">
        <f>GEntry!DH21</f>
        <v>0</v>
      </c>
      <c r="CU31" s="986">
        <f>GEntry!DI21</f>
        <v>0</v>
      </c>
      <c r="CV31" s="986">
        <f>GEntry!DJ21</f>
        <v>0</v>
      </c>
      <c r="CW31" s="759">
        <f>GEntry!DK21</f>
        <v>0</v>
      </c>
      <c r="CX31" s="986">
        <f>GEntry!DL21</f>
        <v>0</v>
      </c>
      <c r="CY31" s="986">
        <f>GEntry!G21</f>
        <v>0</v>
      </c>
      <c r="CZ31" s="986">
        <f>GEntry!DM21</f>
        <v>0</v>
      </c>
      <c r="DA31" s="759">
        <f>GEntry!DN21</f>
        <v>0</v>
      </c>
      <c r="DB31" s="1667">
        <f>GEntry!DO21</f>
        <v>0</v>
      </c>
      <c r="DC31" s="1652">
        <f>GEntry!DP21</f>
        <v>0</v>
      </c>
      <c r="DD31" s="1760">
        <f>GEntry!DQ21</f>
        <v>0</v>
      </c>
      <c r="DE31" s="1759">
        <f>GEntry!CH21</f>
        <v>0</v>
      </c>
      <c r="DF31" s="1864">
        <f>GEntry!O21</f>
        <v>0</v>
      </c>
      <c r="DG31" s="1857">
        <f>GEntry!CI21</f>
        <v>0</v>
      </c>
      <c r="DH31" s="2064">
        <f>GEntry!DR21</f>
        <v>0</v>
      </c>
      <c r="DI31" s="2065">
        <f>GEntry!CJ21</f>
        <v>0</v>
      </c>
      <c r="DJ31" s="2077">
        <f>GEntry!CK21</f>
        <v>0</v>
      </c>
      <c r="DK31" s="3078">
        <f>GEntry!BZ21</f>
        <v>0</v>
      </c>
      <c r="DL31" s="3370">
        <f>GEntry!CA21</f>
        <v>0</v>
      </c>
      <c r="DM31" s="3079">
        <f>GEntry!DS21</f>
        <v>0</v>
      </c>
      <c r="DN31" s="3517">
        <f>GEntry!BI21</f>
        <v>0</v>
      </c>
      <c r="DO31" s="3518">
        <f>GEntry!CR21</f>
        <v>0</v>
      </c>
      <c r="DP31" s="3720">
        <f>GEntry!AS21</f>
        <v>0</v>
      </c>
      <c r="DQ31" s="3777">
        <f>GEntry!CB21</f>
        <v>0</v>
      </c>
      <c r="DR31" s="3848">
        <f>GEntry!DT21</f>
        <v>0</v>
      </c>
      <c r="DS31" s="3850">
        <f>GEntry!AY21</f>
        <v>0</v>
      </c>
      <c r="DT31" s="4039">
        <f>GEntry!DU21</f>
        <v>0</v>
      </c>
      <c r="DU31" s="4041">
        <f>GEntry!DV21</f>
        <v>0</v>
      </c>
      <c r="DV31" s="4793">
        <f>GEntry!DW21</f>
        <v>0</v>
      </c>
      <c r="DW31" s="4793">
        <f>GEntry!DX21</f>
        <v>0</v>
      </c>
      <c r="DX31" s="1244"/>
      <c r="DY31" s="1245">
        <f>GEntry!EX21</f>
        <v>0</v>
      </c>
      <c r="DZ31" s="1246">
        <f>GEntry!EV21</f>
        <v>0</v>
      </c>
      <c r="EA31" s="1246">
        <f>GEntry!EY21</f>
        <v>0</v>
      </c>
      <c r="EB31" s="1246">
        <f>GEntry!EB21</f>
        <v>0</v>
      </c>
      <c r="EC31" s="1246">
        <f>GEntry!EC21</f>
        <v>0</v>
      </c>
      <c r="ED31" s="1246">
        <f>GEntry!EG21</f>
        <v>0</v>
      </c>
      <c r="EE31" s="1246">
        <f>GEntry!EA21</f>
        <v>0</v>
      </c>
      <c r="EF31" s="1246">
        <f>GEntry!EE21</f>
        <v>0</v>
      </c>
      <c r="EG31" s="1246">
        <f>GEntry!EF21</f>
        <v>0</v>
      </c>
      <c r="EH31" s="1246">
        <f>GEntry!EU21</f>
        <v>0</v>
      </c>
      <c r="EI31" s="1246">
        <f>GEntry!ET21</f>
        <v>0</v>
      </c>
      <c r="EJ31" s="1246">
        <f>GEntry!EQ21</f>
        <v>0</v>
      </c>
      <c r="EK31" s="1246">
        <f>GEntry!ER21</f>
        <v>0</v>
      </c>
      <c r="EL31" s="1246">
        <f>GEntry!EN21</f>
        <v>0</v>
      </c>
      <c r="EM31" s="1246">
        <f>GEntry!EO21</f>
        <v>0</v>
      </c>
      <c r="EN31" s="1246">
        <f>GEntry!FF21</f>
        <v>0</v>
      </c>
      <c r="EO31" s="1246">
        <f>GEntry!FE21</f>
        <v>0</v>
      </c>
      <c r="EP31" s="1246">
        <f>GEntry!FG21</f>
        <v>0</v>
      </c>
      <c r="EQ31" s="1246">
        <f>GEntry!FQ21</f>
        <v>0</v>
      </c>
      <c r="ER31" s="1246">
        <f>GEntry!FZ21</f>
        <v>0</v>
      </c>
      <c r="ES31" s="1246">
        <f>GEntry!FU21</f>
        <v>0</v>
      </c>
      <c r="ET31" s="1246">
        <f>GEntry!FV21</f>
        <v>0</v>
      </c>
      <c r="EU31" s="1246">
        <f>GEntry!FW21</f>
        <v>0</v>
      </c>
      <c r="EV31" s="1246">
        <f>GEntry!FY21</f>
        <v>0</v>
      </c>
      <c r="EW31" s="1246">
        <f>GEntry!FX21</f>
        <v>0</v>
      </c>
      <c r="EX31" s="1246">
        <f>GEntry!FR21</f>
        <v>0</v>
      </c>
      <c r="EY31" s="1246">
        <f>GEntry!FS21</f>
        <v>0</v>
      </c>
      <c r="EZ31" s="1246">
        <f>GEntry!FT21</f>
        <v>0</v>
      </c>
      <c r="FA31" s="1247">
        <f>GEntry!FB21</f>
        <v>0</v>
      </c>
      <c r="FB31" s="1247">
        <f>GEntry!FC21</f>
        <v>0</v>
      </c>
      <c r="FC31" s="1247">
        <f>GEntry!FD21</f>
        <v>0</v>
      </c>
      <c r="FD31" s="1246">
        <f>GEntry!GD21</f>
        <v>0</v>
      </c>
      <c r="FE31" s="1248">
        <f>GEntry!GE21</f>
        <v>0</v>
      </c>
      <c r="FF31" s="765">
        <f>GEntry!FI21</f>
        <v>0</v>
      </c>
      <c r="FG31" s="765">
        <f>GEntry!FJ21</f>
        <v>0</v>
      </c>
      <c r="FH31" s="765">
        <f>GEntry!FK21</f>
        <v>0</v>
      </c>
      <c r="FI31" s="765">
        <f>GEntry!FL21</f>
        <v>0</v>
      </c>
      <c r="FJ31" s="765">
        <f>GEntry!EP21</f>
        <v>0</v>
      </c>
      <c r="FK31" s="765">
        <f>GEntry!ES21</f>
        <v>0</v>
      </c>
      <c r="FL31" s="763">
        <f>GEntry!FM21</f>
        <v>0</v>
      </c>
      <c r="FM31" s="765">
        <f>GEntry!FN21</f>
        <v>0</v>
      </c>
      <c r="FN31" s="764">
        <f>GEntry!FO21</f>
        <v>0</v>
      </c>
      <c r="FO31" s="1687">
        <f>GEntry!EH21</f>
        <v>0</v>
      </c>
      <c r="FP31" s="1689">
        <f>GEntry!GA21</f>
        <v>0</v>
      </c>
      <c r="FQ31" s="1694">
        <f>GEntry!GB21</f>
        <v>0</v>
      </c>
      <c r="FR31" s="1877">
        <f>GEntry!EW21</f>
        <v>0</v>
      </c>
      <c r="FS31" s="1981">
        <f>GEntry!GF21</f>
        <v>0</v>
      </c>
      <c r="FT31" s="1983">
        <f>GEntry!FP21</f>
        <v>0</v>
      </c>
      <c r="FU31" s="2154">
        <f>GEntry!GG21</f>
        <v>0</v>
      </c>
      <c r="FV31" s="3143">
        <f>GEntry!GC21</f>
        <v>0</v>
      </c>
      <c r="FW31" s="764">
        <f>GEntry!EZ21</f>
        <v>0</v>
      </c>
      <c r="FX31" s="3685">
        <f>GEntry!EL21</f>
        <v>0</v>
      </c>
      <c r="FY31" s="3758">
        <f>GEntry!EM21</f>
        <v>0</v>
      </c>
      <c r="FZ31" s="3760">
        <f>GEntry!EK21</f>
        <v>0</v>
      </c>
      <c r="GA31" s="4897">
        <f>GEntry!FH21</f>
        <v>0</v>
      </c>
      <c r="GB31" s="4984">
        <f>GEntry!EI21</f>
        <v>0</v>
      </c>
      <c r="GC31" s="3685">
        <f>GEntry!GH21</f>
        <v>0</v>
      </c>
      <c r="GD31" s="1249"/>
      <c r="GE31" s="910">
        <f t="shared" si="12"/>
        <v>0</v>
      </c>
      <c r="GF31" s="909">
        <f t="shared" si="6"/>
        <v>0</v>
      </c>
      <c r="GG31" s="906">
        <f t="shared" si="7"/>
        <v>0</v>
      </c>
      <c r="GH31" s="650">
        <f t="shared" si="8"/>
        <v>0</v>
      </c>
      <c r="GI31" s="650">
        <f t="shared" si="0"/>
        <v>0</v>
      </c>
      <c r="GJ31" s="650">
        <f t="shared" si="13"/>
        <v>0</v>
      </c>
      <c r="GK31" s="650">
        <f t="shared" si="9"/>
        <v>0</v>
      </c>
      <c r="GL31" s="650">
        <f t="shared" si="1"/>
        <v>0</v>
      </c>
      <c r="GM31" s="650">
        <f t="shared" si="2"/>
        <v>0</v>
      </c>
      <c r="GN31" s="650">
        <f t="shared" si="3"/>
        <v>0</v>
      </c>
      <c r="GO31" s="650">
        <f t="shared" si="10"/>
        <v>0</v>
      </c>
      <c r="GP31" s="650">
        <f t="shared" si="11"/>
        <v>0</v>
      </c>
      <c r="GQ31" s="650">
        <f t="shared" si="4"/>
        <v>0</v>
      </c>
      <c r="GR31" s="905">
        <f t="shared" si="5"/>
        <v>0</v>
      </c>
      <c r="GS31" s="904">
        <f>FWise!M23</f>
        <v>0</v>
      </c>
      <c r="GT31" s="3543">
        <f>GEntry!GL21</f>
        <v>97.37</v>
      </c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ht="23.25" customHeight="1" thickBot="1">
      <c r="A32" s="609">
        <v>0.77083333333333337</v>
      </c>
      <c r="B32" s="761">
        <f>GEntry!W22</f>
        <v>0</v>
      </c>
      <c r="C32" s="758">
        <f>GEntry!X22</f>
        <v>0</v>
      </c>
      <c r="D32" s="758">
        <f>GEntry!Y22</f>
        <v>0</v>
      </c>
      <c r="E32" s="758">
        <f>GEntry!Z22</f>
        <v>0</v>
      </c>
      <c r="F32" s="759">
        <f>GEntry!AB22</f>
        <v>0</v>
      </c>
      <c r="G32" s="759">
        <f>GEntry!BY22</f>
        <v>0</v>
      </c>
      <c r="H32" s="758">
        <f>GEntry!CS22</f>
        <v>0</v>
      </c>
      <c r="I32" s="758">
        <f>GEntry!AO22</f>
        <v>0</v>
      </c>
      <c r="J32" s="758">
        <f>GEntry!AQ22</f>
        <v>0</v>
      </c>
      <c r="K32" s="758"/>
      <c r="L32" s="758">
        <f>GEntry!AN22</f>
        <v>0</v>
      </c>
      <c r="M32" s="758">
        <f>GEntry!AP22</f>
        <v>0</v>
      </c>
      <c r="N32" s="758">
        <f>GEntry!CP22</f>
        <v>0</v>
      </c>
      <c r="O32" s="758">
        <f>GEntry!CQ22</f>
        <v>0</v>
      </c>
      <c r="P32" s="758">
        <f>GEntry!CL22</f>
        <v>0</v>
      </c>
      <c r="Q32" s="758">
        <f>GEntry!DC22</f>
        <v>0</v>
      </c>
      <c r="R32" s="758">
        <f>GEntry!T22</f>
        <v>0</v>
      </c>
      <c r="S32" s="758">
        <f>GEntry!R22</f>
        <v>0</v>
      </c>
      <c r="T32" s="758">
        <f>GEntry!S22</f>
        <v>0</v>
      </c>
      <c r="U32" s="758">
        <f>GEntry!CC22</f>
        <v>0</v>
      </c>
      <c r="V32" s="759">
        <f>GEntry!CX22</f>
        <v>0</v>
      </c>
      <c r="W32" s="758">
        <f>GEntry!CE22</f>
        <v>0</v>
      </c>
      <c r="X32" s="758">
        <f>GEntry!CO22</f>
        <v>0</v>
      </c>
      <c r="Y32" s="758">
        <f>GEntry!DB22</f>
        <v>0</v>
      </c>
      <c r="Z32" s="758">
        <f>GEntry!CM22</f>
        <v>0</v>
      </c>
      <c r="AA32" s="758">
        <f>GEntry!DA22</f>
        <v>0</v>
      </c>
      <c r="AB32" s="758">
        <f>GEntry!DG22</f>
        <v>0</v>
      </c>
      <c r="AC32" s="758">
        <f>GEntry!DD22</f>
        <v>0</v>
      </c>
      <c r="AD32" s="758">
        <f>GEntry!BJ22</f>
        <v>0</v>
      </c>
      <c r="AE32" s="758">
        <f>GEntry!BM22</f>
        <v>0</v>
      </c>
      <c r="AF32" s="758">
        <f>GEntry!BU22</f>
        <v>0</v>
      </c>
      <c r="AG32" s="758">
        <f>GEntry!BV22</f>
        <v>0</v>
      </c>
      <c r="AH32" s="758">
        <f>GEntry!BW22</f>
        <v>0</v>
      </c>
      <c r="AI32" s="758">
        <f>GEntry!BX22</f>
        <v>0</v>
      </c>
      <c r="AJ32" s="758">
        <f>GEntry!CD22</f>
        <v>0</v>
      </c>
      <c r="AK32" s="758">
        <f>GEntry!AM22</f>
        <v>0</v>
      </c>
      <c r="AL32" s="1157">
        <f>GEntry!B22</f>
        <v>0</v>
      </c>
      <c r="AM32" s="1157">
        <f>GEntry!C22</f>
        <v>0</v>
      </c>
      <c r="AN32" s="758">
        <f>GEntry!D22</f>
        <v>0</v>
      </c>
      <c r="AO32" s="758">
        <f>GEntry!E22</f>
        <v>0</v>
      </c>
      <c r="AP32" s="758">
        <f>GEntry!F22</f>
        <v>0</v>
      </c>
      <c r="AQ32" s="758">
        <f>GEntry!H22</f>
        <v>0</v>
      </c>
      <c r="AR32" s="758">
        <f>GEntry!I22</f>
        <v>0</v>
      </c>
      <c r="AS32" s="758">
        <f>GEntry!K22</f>
        <v>0</v>
      </c>
      <c r="AT32" s="758">
        <f>GEntry!L22</f>
        <v>0</v>
      </c>
      <c r="AU32" s="758"/>
      <c r="AV32" s="758">
        <f>GEntry!BK22</f>
        <v>0</v>
      </c>
      <c r="AW32" s="758">
        <f>GEntry!N22</f>
        <v>0</v>
      </c>
      <c r="AX32" s="758">
        <f>GEntry!M22</f>
        <v>0</v>
      </c>
      <c r="AY32" s="758">
        <f>GEntry!CU22</f>
        <v>0</v>
      </c>
      <c r="AZ32" s="758">
        <f>GEntry!CZ22</f>
        <v>0</v>
      </c>
      <c r="BA32" s="758">
        <f>GEntry!CY22</f>
        <v>0</v>
      </c>
      <c r="BB32" s="758">
        <f>GEntry!BL22</f>
        <v>0</v>
      </c>
      <c r="BC32" s="758">
        <f>GEntry!BP22</f>
        <v>0</v>
      </c>
      <c r="BD32" s="758">
        <f>GEntry!AD22</f>
        <v>0</v>
      </c>
      <c r="BE32" s="758">
        <f>GEntry!AE22</f>
        <v>0</v>
      </c>
      <c r="BF32" s="758">
        <f>GEntry!AF22</f>
        <v>0</v>
      </c>
      <c r="BG32" s="758">
        <f>GEntry!AJ22</f>
        <v>0</v>
      </c>
      <c r="BH32" s="758">
        <f>GEntry!AI22</f>
        <v>0</v>
      </c>
      <c r="BI32" s="758">
        <f>GEntry!AH22</f>
        <v>0</v>
      </c>
      <c r="BJ32" s="758">
        <f>GEntry!V22</f>
        <v>0</v>
      </c>
      <c r="BK32" s="758">
        <f>GEntry!AL22</f>
        <v>0</v>
      </c>
      <c r="BL32" s="758">
        <f>GEntry!AG22</f>
        <v>0</v>
      </c>
      <c r="BM32" s="758">
        <f>GEntry!AK22</f>
        <v>0</v>
      </c>
      <c r="BN32" s="758">
        <f>GEntry!CT22</f>
        <v>0</v>
      </c>
      <c r="BO32" s="759">
        <f>GEntry!CW22</f>
        <v>0</v>
      </c>
      <c r="BP32" s="759">
        <f>GEntry!CN22</f>
        <v>0</v>
      </c>
      <c r="BQ32" s="759">
        <f>GEntry!Q22</f>
        <v>0</v>
      </c>
      <c r="BR32" s="758">
        <f>GEntry!CG22</f>
        <v>0</v>
      </c>
      <c r="BS32" s="759">
        <f>GEntry!BQ22</f>
        <v>0</v>
      </c>
      <c r="BT32" s="759">
        <f>GEntry!BR22</f>
        <v>0</v>
      </c>
      <c r="BU32" s="759">
        <f>GEntry!BS22</f>
        <v>0</v>
      </c>
      <c r="BV32" s="759">
        <f>GEntry!BT22</f>
        <v>0</v>
      </c>
      <c r="BW32" s="749">
        <f>GEntry!BO22</f>
        <v>0</v>
      </c>
      <c r="BX32" s="759">
        <f>GEntry!AR22</f>
        <v>0</v>
      </c>
      <c r="BY32" s="759">
        <f>GEntry!CF22</f>
        <v>0</v>
      </c>
      <c r="BZ32" s="759">
        <f>GEntry!BN22</f>
        <v>0</v>
      </c>
      <c r="CA32" s="1159">
        <f>GEntry!DF22</f>
        <v>0</v>
      </c>
      <c r="CB32" s="759">
        <f>GEntry!AT22</f>
        <v>0</v>
      </c>
      <c r="CC32" s="759">
        <f>GEntry!AU22</f>
        <v>0</v>
      </c>
      <c r="CD32" s="759">
        <f>GEntry!BF22</f>
        <v>0</v>
      </c>
      <c r="CE32" s="759">
        <f>GEntry!CV22</f>
        <v>0</v>
      </c>
      <c r="CF32" s="759">
        <f>GEntry!DE22</f>
        <v>0</v>
      </c>
      <c r="CG32" s="759">
        <f>GEntry!AV22</f>
        <v>0</v>
      </c>
      <c r="CH32" s="759">
        <f>GEntry!AW22</f>
        <v>0</v>
      </c>
      <c r="CI32" s="759">
        <f>GEntry!AX22</f>
        <v>0</v>
      </c>
      <c r="CJ32" s="759">
        <f>GEntry!AZ22</f>
        <v>0</v>
      </c>
      <c r="CK32" s="759">
        <f>GEntry!BA22</f>
        <v>0</v>
      </c>
      <c r="CL32" s="759">
        <f>GEntry!BB22</f>
        <v>0</v>
      </c>
      <c r="CM32" s="759">
        <f>GEntry!BC22</f>
        <v>0</v>
      </c>
      <c r="CN32" s="759">
        <f>GEntry!BD22</f>
        <v>0</v>
      </c>
      <c r="CO32" s="759">
        <f>GEntry!BH22</f>
        <v>0</v>
      </c>
      <c r="CP32" s="759">
        <f>GEntry!BG22</f>
        <v>0</v>
      </c>
      <c r="CQ32" s="986">
        <f>GEntry!BE22</f>
        <v>0</v>
      </c>
      <c r="CR32" s="986">
        <f>GEntry!P22</f>
        <v>0</v>
      </c>
      <c r="CS32" s="986">
        <f>GEntry!U22</f>
        <v>0</v>
      </c>
      <c r="CT32" s="759">
        <f>GEntry!DH22</f>
        <v>0</v>
      </c>
      <c r="CU32" s="986">
        <f>GEntry!DI22</f>
        <v>0</v>
      </c>
      <c r="CV32" s="986">
        <f>GEntry!DJ22</f>
        <v>0</v>
      </c>
      <c r="CW32" s="759">
        <f>GEntry!DK22</f>
        <v>0</v>
      </c>
      <c r="CX32" s="986">
        <f>GEntry!DL22</f>
        <v>0</v>
      </c>
      <c r="CY32" s="986">
        <f>GEntry!G22</f>
        <v>0</v>
      </c>
      <c r="CZ32" s="986">
        <f>GEntry!DM22</f>
        <v>0</v>
      </c>
      <c r="DA32" s="759">
        <f>GEntry!DN22</f>
        <v>0</v>
      </c>
      <c r="DB32" s="1667">
        <f>GEntry!DO22</f>
        <v>0</v>
      </c>
      <c r="DC32" s="1652">
        <f>GEntry!DP22</f>
        <v>0</v>
      </c>
      <c r="DD32" s="1760">
        <f>GEntry!DQ22</f>
        <v>0</v>
      </c>
      <c r="DE32" s="1759">
        <f>GEntry!CH22</f>
        <v>0</v>
      </c>
      <c r="DF32" s="1864">
        <f>GEntry!O22</f>
        <v>0</v>
      </c>
      <c r="DG32" s="1857">
        <f>GEntry!CI22</f>
        <v>0</v>
      </c>
      <c r="DH32" s="2064">
        <f>GEntry!DR22</f>
        <v>0</v>
      </c>
      <c r="DI32" s="2065">
        <f>GEntry!CJ22</f>
        <v>0</v>
      </c>
      <c r="DJ32" s="2077">
        <f>GEntry!CK22</f>
        <v>0</v>
      </c>
      <c r="DK32" s="3078">
        <f>GEntry!BZ22</f>
        <v>0</v>
      </c>
      <c r="DL32" s="3370">
        <f>GEntry!CA22</f>
        <v>0</v>
      </c>
      <c r="DM32" s="3079">
        <f>GEntry!DS22</f>
        <v>0</v>
      </c>
      <c r="DN32" s="3517">
        <f>GEntry!BI22</f>
        <v>0</v>
      </c>
      <c r="DO32" s="3518">
        <f>GEntry!CR22</f>
        <v>0</v>
      </c>
      <c r="DP32" s="3720">
        <f>GEntry!AS22</f>
        <v>0</v>
      </c>
      <c r="DQ32" s="3777">
        <f>GEntry!CB22</f>
        <v>0</v>
      </c>
      <c r="DR32" s="3848">
        <f>GEntry!DT22</f>
        <v>0</v>
      </c>
      <c r="DS32" s="3850">
        <f>GEntry!AY22</f>
        <v>0</v>
      </c>
      <c r="DT32" s="4039">
        <f>GEntry!DU22</f>
        <v>0</v>
      </c>
      <c r="DU32" s="4041">
        <f>GEntry!DV22</f>
        <v>0</v>
      </c>
      <c r="DV32" s="4793">
        <f>GEntry!DW22</f>
        <v>0</v>
      </c>
      <c r="DW32" s="4793">
        <f>GEntry!DX22</f>
        <v>0</v>
      </c>
      <c r="DX32" s="990"/>
      <c r="DY32" s="767">
        <f>GEntry!EX22</f>
        <v>0</v>
      </c>
      <c r="DZ32" s="764">
        <f>GEntry!EV22</f>
        <v>0</v>
      </c>
      <c r="EA32" s="764">
        <f>GEntry!EY22</f>
        <v>0</v>
      </c>
      <c r="EB32" s="764">
        <f>GEntry!EB22</f>
        <v>0</v>
      </c>
      <c r="EC32" s="764">
        <f>GEntry!EC22</f>
        <v>0</v>
      </c>
      <c r="ED32" s="764">
        <f>GEntry!EG22</f>
        <v>0</v>
      </c>
      <c r="EE32" s="764">
        <f>GEntry!EA22</f>
        <v>0</v>
      </c>
      <c r="EF32" s="764">
        <f>GEntry!EE22</f>
        <v>0</v>
      </c>
      <c r="EG32" s="764">
        <f>GEntry!EF22</f>
        <v>0</v>
      </c>
      <c r="EH32" s="764">
        <f>GEntry!EU22</f>
        <v>0</v>
      </c>
      <c r="EI32" s="764">
        <f>GEntry!ET22</f>
        <v>0</v>
      </c>
      <c r="EJ32" s="764">
        <f>GEntry!EQ22</f>
        <v>0</v>
      </c>
      <c r="EK32" s="764">
        <f>GEntry!ER22</f>
        <v>0</v>
      </c>
      <c r="EL32" s="764">
        <f>GEntry!EN22</f>
        <v>0</v>
      </c>
      <c r="EM32" s="764">
        <f>GEntry!EO22</f>
        <v>0</v>
      </c>
      <c r="EN32" s="764">
        <f>GEntry!FF22</f>
        <v>0</v>
      </c>
      <c r="EO32" s="764">
        <f>GEntry!FE22</f>
        <v>0</v>
      </c>
      <c r="EP32" s="764">
        <f>GEntry!FG22</f>
        <v>0</v>
      </c>
      <c r="EQ32" s="764">
        <f>GEntry!FQ22</f>
        <v>0</v>
      </c>
      <c r="ER32" s="764">
        <f>GEntry!FZ22</f>
        <v>0</v>
      </c>
      <c r="ES32" s="764">
        <f>GEntry!FU22</f>
        <v>0</v>
      </c>
      <c r="ET32" s="764">
        <f>GEntry!FV22</f>
        <v>0</v>
      </c>
      <c r="EU32" s="764">
        <f>GEntry!FW22</f>
        <v>0</v>
      </c>
      <c r="EV32" s="764">
        <f>GEntry!FY22</f>
        <v>0</v>
      </c>
      <c r="EW32" s="764">
        <f>GEntry!FX22</f>
        <v>0</v>
      </c>
      <c r="EX32" s="764">
        <f>GEntry!FR22</f>
        <v>0</v>
      </c>
      <c r="EY32" s="764">
        <f>GEntry!FS22</f>
        <v>0</v>
      </c>
      <c r="EZ32" s="764">
        <f>GEntry!FT22</f>
        <v>0</v>
      </c>
      <c r="FA32" s="1155">
        <f>GEntry!FB22</f>
        <v>0</v>
      </c>
      <c r="FB32" s="1155">
        <f>GEntry!FC22</f>
        <v>0</v>
      </c>
      <c r="FC32" s="1155">
        <f>GEntry!FD22</f>
        <v>0</v>
      </c>
      <c r="FD32" s="764">
        <f>GEntry!GD22</f>
        <v>0</v>
      </c>
      <c r="FE32" s="765">
        <f>GEntry!GE22</f>
        <v>0</v>
      </c>
      <c r="FF32" s="765">
        <f>GEntry!FI22</f>
        <v>0</v>
      </c>
      <c r="FG32" s="765">
        <f>GEntry!FJ22</f>
        <v>0</v>
      </c>
      <c r="FH32" s="765">
        <f>GEntry!FK22</f>
        <v>0</v>
      </c>
      <c r="FI32" s="765">
        <f>GEntry!FL22</f>
        <v>0</v>
      </c>
      <c r="FJ32" s="765">
        <f>GEntry!EP22</f>
        <v>0</v>
      </c>
      <c r="FK32" s="765">
        <f>GEntry!ES22</f>
        <v>0</v>
      </c>
      <c r="FL32" s="763">
        <f>GEntry!FM22</f>
        <v>0</v>
      </c>
      <c r="FM32" s="765">
        <f>GEntry!FN22</f>
        <v>0</v>
      </c>
      <c r="FN32" s="764">
        <f>GEntry!FO22</f>
        <v>0</v>
      </c>
      <c r="FO32" s="1687">
        <f>GEntry!EH22</f>
        <v>0</v>
      </c>
      <c r="FP32" s="1689">
        <f>GEntry!GA22</f>
        <v>0</v>
      </c>
      <c r="FQ32" s="1694">
        <f>GEntry!GB22</f>
        <v>0</v>
      </c>
      <c r="FR32" s="1877">
        <f>GEntry!EW22</f>
        <v>0</v>
      </c>
      <c r="FS32" s="1981">
        <f>GEntry!GF22</f>
        <v>0</v>
      </c>
      <c r="FT32" s="1983">
        <f>GEntry!FP22</f>
        <v>0</v>
      </c>
      <c r="FU32" s="2154">
        <f>GEntry!GG22</f>
        <v>0</v>
      </c>
      <c r="FV32" s="3143">
        <f>GEntry!GC22</f>
        <v>0</v>
      </c>
      <c r="FW32" s="764">
        <f>GEntry!EZ22</f>
        <v>0</v>
      </c>
      <c r="FX32" s="3685">
        <f>GEntry!EL22</f>
        <v>0</v>
      </c>
      <c r="FY32" s="3758">
        <f>GEntry!EM22</f>
        <v>0</v>
      </c>
      <c r="FZ32" s="3760">
        <f>GEntry!EK22</f>
        <v>0</v>
      </c>
      <c r="GA32" s="4897">
        <f>GEntry!FH22</f>
        <v>0</v>
      </c>
      <c r="GB32" s="4984">
        <f>GEntry!EI22</f>
        <v>0</v>
      </c>
      <c r="GC32" s="3685">
        <f>GEntry!GH22</f>
        <v>0</v>
      </c>
      <c r="GD32" s="993"/>
      <c r="GE32" s="910">
        <f t="shared" si="12"/>
        <v>0</v>
      </c>
      <c r="GF32" s="909">
        <f t="shared" si="6"/>
        <v>0</v>
      </c>
      <c r="GG32" s="906">
        <f t="shared" si="7"/>
        <v>0</v>
      </c>
      <c r="GH32" s="650">
        <f t="shared" si="8"/>
        <v>0</v>
      </c>
      <c r="GI32" s="650">
        <f t="shared" si="0"/>
        <v>0</v>
      </c>
      <c r="GJ32" s="650">
        <f t="shared" si="13"/>
        <v>0</v>
      </c>
      <c r="GK32" s="650">
        <f t="shared" si="9"/>
        <v>0</v>
      </c>
      <c r="GL32" s="650">
        <f t="shared" si="1"/>
        <v>0</v>
      </c>
      <c r="GM32" s="650">
        <f t="shared" si="2"/>
        <v>0</v>
      </c>
      <c r="GN32" s="650">
        <f t="shared" si="3"/>
        <v>0</v>
      </c>
      <c r="GO32" s="650">
        <f t="shared" si="10"/>
        <v>0</v>
      </c>
      <c r="GP32" s="650">
        <f t="shared" si="11"/>
        <v>0</v>
      </c>
      <c r="GQ32" s="650">
        <f t="shared" si="4"/>
        <v>0</v>
      </c>
      <c r="GR32" s="905">
        <f t="shared" si="5"/>
        <v>0</v>
      </c>
      <c r="GS32" s="904">
        <f>FWise!M24</f>
        <v>0</v>
      </c>
      <c r="GT32" s="3543">
        <f>GEntry!GL22</f>
        <v>0</v>
      </c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ht="24" customHeight="1" thickBot="1">
      <c r="A33" s="609">
        <v>0.79166666666666663</v>
      </c>
      <c r="B33" s="761">
        <f>GEntry!W23</f>
        <v>0</v>
      </c>
      <c r="C33" s="758">
        <f>GEntry!X23</f>
        <v>0</v>
      </c>
      <c r="D33" s="758">
        <f>GEntry!Y23</f>
        <v>240</v>
      </c>
      <c r="E33" s="758">
        <f>GEntry!Z23</f>
        <v>0</v>
      </c>
      <c r="F33" s="759">
        <f>GEntry!AB23</f>
        <v>0</v>
      </c>
      <c r="G33" s="759">
        <f>GEntry!BY23</f>
        <v>0</v>
      </c>
      <c r="H33" s="758">
        <f>GEntry!CS23</f>
        <v>0</v>
      </c>
      <c r="I33" s="758">
        <f>GEntry!AO23</f>
        <v>0</v>
      </c>
      <c r="J33" s="758">
        <f>GEntry!AQ23</f>
        <v>223</v>
      </c>
      <c r="K33" s="758"/>
      <c r="L33" s="758">
        <f>GEntry!AN23</f>
        <v>0</v>
      </c>
      <c r="M33" s="758">
        <f>GEntry!AP23</f>
        <v>180</v>
      </c>
      <c r="N33" s="758">
        <f>GEntry!CP23</f>
        <v>0</v>
      </c>
      <c r="O33" s="758">
        <f>GEntry!CQ23</f>
        <v>0</v>
      </c>
      <c r="P33" s="758">
        <f>GEntry!CL23</f>
        <v>0</v>
      </c>
      <c r="Q33" s="758">
        <f>GEntry!DC23</f>
        <v>55</v>
      </c>
      <c r="R33" s="758">
        <f>GEntry!T23</f>
        <v>0</v>
      </c>
      <c r="S33" s="758">
        <f>GEntry!R23</f>
        <v>0</v>
      </c>
      <c r="T33" s="758">
        <f>GEntry!S23</f>
        <v>0</v>
      </c>
      <c r="U33" s="758">
        <f>GEntry!CC23</f>
        <v>0</v>
      </c>
      <c r="V33" s="759">
        <f>GEntry!CX23</f>
        <v>102</v>
      </c>
      <c r="W33" s="758">
        <f>GEntry!CE23</f>
        <v>16</v>
      </c>
      <c r="X33" s="758">
        <f>GEntry!CO23</f>
        <v>23</v>
      </c>
      <c r="Y33" s="758">
        <f>GEntry!DB23</f>
        <v>0</v>
      </c>
      <c r="Z33" s="758">
        <f>GEntry!CM23</f>
        <v>0</v>
      </c>
      <c r="AA33" s="758">
        <f>GEntry!DA23</f>
        <v>0</v>
      </c>
      <c r="AB33" s="758">
        <f>GEntry!DG23</f>
        <v>35</v>
      </c>
      <c r="AC33" s="758">
        <f>GEntry!DD23</f>
        <v>55</v>
      </c>
      <c r="AD33" s="758">
        <f>GEntry!BJ23</f>
        <v>35</v>
      </c>
      <c r="AE33" s="758">
        <f>GEntry!BM23</f>
        <v>16</v>
      </c>
      <c r="AF33" s="758">
        <f>GEntry!BU23</f>
        <v>25</v>
      </c>
      <c r="AG33" s="758">
        <f>GEntry!BV23</f>
        <v>9</v>
      </c>
      <c r="AH33" s="758">
        <f>GEntry!BW23</f>
        <v>16</v>
      </c>
      <c r="AI33" s="758">
        <f>GEntry!BX23</f>
        <v>33</v>
      </c>
      <c r="AJ33" s="758">
        <f>GEntry!CD23</f>
        <v>40</v>
      </c>
      <c r="AK33" s="758">
        <f>GEntry!AM23</f>
        <v>0</v>
      </c>
      <c r="AL33" s="1157">
        <f>GEntry!B23</f>
        <v>37</v>
      </c>
      <c r="AM33" s="1157">
        <f>GEntry!C23</f>
        <v>40</v>
      </c>
      <c r="AN33" s="758">
        <f>GEntry!D23</f>
        <v>0</v>
      </c>
      <c r="AO33" s="758">
        <f>GEntry!E23</f>
        <v>0</v>
      </c>
      <c r="AP33" s="758">
        <f>GEntry!F23</f>
        <v>17</v>
      </c>
      <c r="AQ33" s="758">
        <f>GEntry!H23</f>
        <v>0</v>
      </c>
      <c r="AR33" s="758">
        <f>GEntry!I23</f>
        <v>0</v>
      </c>
      <c r="AS33" s="758">
        <f>GEntry!K23</f>
        <v>0</v>
      </c>
      <c r="AT33" s="758">
        <f>GEntry!L23</f>
        <v>0</v>
      </c>
      <c r="AU33" s="758"/>
      <c r="AV33" s="758">
        <f>GEntry!BK23</f>
        <v>22</v>
      </c>
      <c r="AW33" s="758">
        <f>GEntry!N23</f>
        <v>0</v>
      </c>
      <c r="AX33" s="758">
        <f>GEntry!M23</f>
        <v>51</v>
      </c>
      <c r="AY33" s="758">
        <f>GEntry!CU23</f>
        <v>10</v>
      </c>
      <c r="AZ33" s="758">
        <f>GEntry!CZ23</f>
        <v>12</v>
      </c>
      <c r="BA33" s="758">
        <f>GEntry!CY23</f>
        <v>0</v>
      </c>
      <c r="BB33" s="758">
        <f>GEntry!BL23</f>
        <v>21</v>
      </c>
      <c r="BC33" s="758">
        <f>GEntry!BP23</f>
        <v>12</v>
      </c>
      <c r="BD33" s="758">
        <f>GEntry!AD23</f>
        <v>0</v>
      </c>
      <c r="BE33" s="758">
        <f>GEntry!AE23</f>
        <v>0</v>
      </c>
      <c r="BF33" s="758">
        <f>GEntry!AF23</f>
        <v>80</v>
      </c>
      <c r="BG33" s="758">
        <f>GEntry!AJ23</f>
        <v>150</v>
      </c>
      <c r="BH33" s="758">
        <f>GEntry!AI23</f>
        <v>310</v>
      </c>
      <c r="BI33" s="758">
        <f>GEntry!AH23</f>
        <v>175</v>
      </c>
      <c r="BJ33" s="758">
        <f>GEntry!V23</f>
        <v>8</v>
      </c>
      <c r="BK33" s="758">
        <f>GEntry!AL23</f>
        <v>130</v>
      </c>
      <c r="BL33" s="758">
        <f>GEntry!AG23</f>
        <v>3</v>
      </c>
      <c r="BM33" s="758">
        <f>GEntry!AK23</f>
        <v>5</v>
      </c>
      <c r="BN33" s="758">
        <f>GEntry!CT23</f>
        <v>0</v>
      </c>
      <c r="BO33" s="759">
        <f>GEntry!CW23</f>
        <v>51</v>
      </c>
      <c r="BP33" s="759">
        <f>GEntry!CN23</f>
        <v>0</v>
      </c>
      <c r="BQ33" s="759">
        <f>GEntry!Q23</f>
        <v>50</v>
      </c>
      <c r="BR33" s="758">
        <f>GEntry!CG23</f>
        <v>8</v>
      </c>
      <c r="BS33" s="759">
        <f>GEntry!BQ23</f>
        <v>20</v>
      </c>
      <c r="BT33" s="759">
        <f>GEntry!BR23</f>
        <v>11</v>
      </c>
      <c r="BU33" s="759">
        <f>GEntry!BS23</f>
        <v>33</v>
      </c>
      <c r="BV33" s="759">
        <f>GEntry!BT23</f>
        <v>9</v>
      </c>
      <c r="BW33" s="749">
        <f>GEntry!BO23</f>
        <v>86</v>
      </c>
      <c r="BX33" s="759">
        <f>GEntry!AR23</f>
        <v>50</v>
      </c>
      <c r="BY33" s="759">
        <f>GEntry!CF23</f>
        <v>0</v>
      </c>
      <c r="BZ33" s="759">
        <f>GEntry!BN23</f>
        <v>22</v>
      </c>
      <c r="CA33" s="1159">
        <f>GEntry!DF23</f>
        <v>0</v>
      </c>
      <c r="CB33" s="759">
        <f>GEntry!AT23</f>
        <v>43</v>
      </c>
      <c r="CC33" s="759">
        <f>GEntry!AU23</f>
        <v>0</v>
      </c>
      <c r="CD33" s="759">
        <f>GEntry!BF23</f>
        <v>49</v>
      </c>
      <c r="CE33" s="759">
        <f>GEntry!CV23</f>
        <v>0</v>
      </c>
      <c r="CF33" s="759">
        <f>GEntry!DE23</f>
        <v>163</v>
      </c>
      <c r="CG33" s="759">
        <f>GEntry!AV23</f>
        <v>0</v>
      </c>
      <c r="CH33" s="759">
        <f>GEntry!AW23</f>
        <v>64</v>
      </c>
      <c r="CI33" s="759">
        <f>GEntry!AX23</f>
        <v>79</v>
      </c>
      <c r="CJ33" s="759">
        <f>GEntry!AZ23</f>
        <v>0</v>
      </c>
      <c r="CK33" s="759">
        <f>GEntry!BA23</f>
        <v>190</v>
      </c>
      <c r="CL33" s="759">
        <f>GEntry!BB23</f>
        <v>18</v>
      </c>
      <c r="CM33" s="759">
        <f>GEntry!BC23</f>
        <v>0</v>
      </c>
      <c r="CN33" s="759">
        <f>GEntry!BD23</f>
        <v>10</v>
      </c>
      <c r="CO33" s="759">
        <f>GEntry!BH23</f>
        <v>280</v>
      </c>
      <c r="CP33" s="759">
        <f>GEntry!BG23</f>
        <v>24</v>
      </c>
      <c r="CQ33" s="986">
        <f>GEntry!BE23</f>
        <v>11</v>
      </c>
      <c r="CR33" s="986">
        <f>GEntry!P23</f>
        <v>0</v>
      </c>
      <c r="CS33" s="986">
        <f>GEntry!U23</f>
        <v>265</v>
      </c>
      <c r="CT33" s="759">
        <f>GEntry!DH23</f>
        <v>0</v>
      </c>
      <c r="CU33" s="986">
        <f>GEntry!DI23</f>
        <v>25</v>
      </c>
      <c r="CV33" s="986">
        <f>GEntry!DJ23</f>
        <v>183</v>
      </c>
      <c r="CW33" s="759">
        <f>GEntry!DK23</f>
        <v>25</v>
      </c>
      <c r="CX33" s="986">
        <f>GEntry!DL23</f>
        <v>70</v>
      </c>
      <c r="CY33" s="986">
        <f>GEntry!G23</f>
        <v>0</v>
      </c>
      <c r="CZ33" s="986">
        <f>GEntry!DM23</f>
        <v>90</v>
      </c>
      <c r="DA33" s="759">
        <f>GEntry!DN23</f>
        <v>63</v>
      </c>
      <c r="DB33" s="1667">
        <f>GEntry!DO23</f>
        <v>140</v>
      </c>
      <c r="DC33" s="1652">
        <f>GEntry!DP23</f>
        <v>0</v>
      </c>
      <c r="DD33" s="1760">
        <f>GEntry!DQ23</f>
        <v>100</v>
      </c>
      <c r="DE33" s="1759">
        <f>GEntry!CH23</f>
        <v>105</v>
      </c>
      <c r="DF33" s="1864">
        <f>GEntry!O23</f>
        <v>105</v>
      </c>
      <c r="DG33" s="1857">
        <f>GEntry!CI23</f>
        <v>0</v>
      </c>
      <c r="DH33" s="2064">
        <f>GEntry!DR23</f>
        <v>65</v>
      </c>
      <c r="DI33" s="2065">
        <f>GEntry!CJ23</f>
        <v>54</v>
      </c>
      <c r="DJ33" s="2077">
        <f>GEntry!CK23</f>
        <v>110</v>
      </c>
      <c r="DK33" s="3078">
        <f>GEntry!BZ23</f>
        <v>17</v>
      </c>
      <c r="DL33" s="3370">
        <f>GEntry!CA23</f>
        <v>0</v>
      </c>
      <c r="DM33" s="3079">
        <f>GEntry!DS23</f>
        <v>90</v>
      </c>
      <c r="DN33" s="3517">
        <f>GEntry!BI23</f>
        <v>200</v>
      </c>
      <c r="DO33" s="3518">
        <f>GEntry!CR23</f>
        <v>91</v>
      </c>
      <c r="DP33" s="3720">
        <f>GEntry!AS23</f>
        <v>0</v>
      </c>
      <c r="DQ33" s="3777">
        <f>GEntry!CB23</f>
        <v>54</v>
      </c>
      <c r="DR33" s="3848">
        <f>GEntry!DT23</f>
        <v>116</v>
      </c>
      <c r="DS33" s="3850">
        <f>GEntry!AY23</f>
        <v>0</v>
      </c>
      <c r="DT33" s="4039">
        <f>GEntry!DU23</f>
        <v>17</v>
      </c>
      <c r="DU33" s="4041">
        <f>GEntry!DV23</f>
        <v>0</v>
      </c>
      <c r="DV33" s="4793">
        <f>GEntry!DW23</f>
        <v>0</v>
      </c>
      <c r="DW33" s="4793">
        <f>GEntry!DX23</f>
        <v>55</v>
      </c>
      <c r="DX33" s="990"/>
      <c r="DY33" s="767">
        <f>GEntry!EX23</f>
        <v>656</v>
      </c>
      <c r="DZ33" s="764">
        <f>GEntry!EV23</f>
        <v>0</v>
      </c>
      <c r="EA33" s="764">
        <f>GEntry!EY23</f>
        <v>0</v>
      </c>
      <c r="EB33" s="764">
        <f>GEntry!EB23</f>
        <v>0</v>
      </c>
      <c r="EC33" s="764">
        <f>GEntry!EC23</f>
        <v>0</v>
      </c>
      <c r="ED33" s="764">
        <f>GEntry!EG23</f>
        <v>0</v>
      </c>
      <c r="EE33" s="764">
        <f>GEntry!EA23</f>
        <v>0</v>
      </c>
      <c r="EF33" s="764">
        <f>GEntry!EE23</f>
        <v>0</v>
      </c>
      <c r="EG33" s="764">
        <f>GEntry!EF23</f>
        <v>34</v>
      </c>
      <c r="EH33" s="764">
        <f>GEntry!EU23</f>
        <v>0</v>
      </c>
      <c r="EI33" s="764">
        <f>GEntry!ET23</f>
        <v>0</v>
      </c>
      <c r="EJ33" s="764">
        <f>GEntry!EQ23</f>
        <v>91</v>
      </c>
      <c r="EK33" s="764">
        <f>GEntry!ER23</f>
        <v>19</v>
      </c>
      <c r="EL33" s="764">
        <f>GEntry!EN23</f>
        <v>0</v>
      </c>
      <c r="EM33" s="764">
        <f>GEntry!EO23</f>
        <v>0</v>
      </c>
      <c r="EN33" s="764">
        <f>GEntry!FF23</f>
        <v>0</v>
      </c>
      <c r="EO33" s="764">
        <f>GEntry!FE23</f>
        <v>0</v>
      </c>
      <c r="EP33" s="764">
        <f>GEntry!FG23</f>
        <v>50</v>
      </c>
      <c r="EQ33" s="764">
        <f>GEntry!FQ23</f>
        <v>21</v>
      </c>
      <c r="ER33" s="764">
        <f>GEntry!FZ23</f>
        <v>100</v>
      </c>
      <c r="ES33" s="764">
        <f>GEntry!FU23</f>
        <v>0</v>
      </c>
      <c r="ET33" s="764">
        <f>GEntry!FV23</f>
        <v>34</v>
      </c>
      <c r="EU33" s="764">
        <f>GEntry!FW23</f>
        <v>32</v>
      </c>
      <c r="EV33" s="764">
        <f>GEntry!FY23</f>
        <v>52</v>
      </c>
      <c r="EW33" s="764">
        <f>GEntry!FX23</f>
        <v>0</v>
      </c>
      <c r="EX33" s="764">
        <f>GEntry!FR23</f>
        <v>22</v>
      </c>
      <c r="EY33" s="764">
        <f>GEntry!FS23</f>
        <v>0</v>
      </c>
      <c r="EZ33" s="764">
        <f>GEntry!FT23</f>
        <v>8</v>
      </c>
      <c r="FA33" s="1155">
        <f>GEntry!FB23</f>
        <v>0</v>
      </c>
      <c r="FB33" s="1155">
        <f>GEntry!FC23</f>
        <v>0</v>
      </c>
      <c r="FC33" s="1155">
        <f>GEntry!FD23</f>
        <v>199</v>
      </c>
      <c r="FD33" s="764">
        <f>GEntry!GD23</f>
        <v>0</v>
      </c>
      <c r="FE33" s="765">
        <f>GEntry!GE23</f>
        <v>0</v>
      </c>
      <c r="FF33" s="765">
        <f>GEntry!FI23</f>
        <v>0</v>
      </c>
      <c r="FG33" s="765">
        <f>GEntry!FJ23</f>
        <v>0</v>
      </c>
      <c r="FH33" s="765">
        <f>GEntry!FK23</f>
        <v>0</v>
      </c>
      <c r="FI33" s="765">
        <f>GEntry!FL23</f>
        <v>0</v>
      </c>
      <c r="FJ33" s="765">
        <f>GEntry!EP23</f>
        <v>11</v>
      </c>
      <c r="FK33" s="765">
        <f>GEntry!ES23</f>
        <v>0</v>
      </c>
      <c r="FL33" s="763">
        <f>GEntry!FM23</f>
        <v>184</v>
      </c>
      <c r="FM33" s="765">
        <f>GEntry!FN23</f>
        <v>0</v>
      </c>
      <c r="FN33" s="764">
        <f>GEntry!FO23</f>
        <v>377</v>
      </c>
      <c r="FO33" s="1687">
        <f>GEntry!EH23</f>
        <v>105</v>
      </c>
      <c r="FP33" s="1689">
        <f>GEntry!GA23</f>
        <v>0</v>
      </c>
      <c r="FQ33" s="1694">
        <f>GEntry!GB23</f>
        <v>90</v>
      </c>
      <c r="FR33" s="1877">
        <f>GEntry!EW23</f>
        <v>0</v>
      </c>
      <c r="FS33" s="1981">
        <f>GEntry!GF23</f>
        <v>112</v>
      </c>
      <c r="FT33" s="1983">
        <f>GEntry!FP23</f>
        <v>0</v>
      </c>
      <c r="FU33" s="2154">
        <f>GEntry!GG23</f>
        <v>0</v>
      </c>
      <c r="FV33" s="3143">
        <f>GEntry!GC23</f>
        <v>113</v>
      </c>
      <c r="FW33" s="764">
        <f>GEntry!EZ23</f>
        <v>70</v>
      </c>
      <c r="FX33" s="3685">
        <f>GEntry!EL23</f>
        <v>221</v>
      </c>
      <c r="FY33" s="3758">
        <f>GEntry!EM23</f>
        <v>0</v>
      </c>
      <c r="FZ33" s="3760">
        <f>GEntry!EK23</f>
        <v>0</v>
      </c>
      <c r="GA33" s="4897">
        <f>GEntry!FH23</f>
        <v>0</v>
      </c>
      <c r="GB33" s="4984">
        <f>GEntry!EI23</f>
        <v>0</v>
      </c>
      <c r="GC33" s="3685">
        <f>GEntry!GH23</f>
        <v>0</v>
      </c>
      <c r="GD33" s="993"/>
      <c r="GE33" s="910">
        <f t="shared" si="12"/>
        <v>5497</v>
      </c>
      <c r="GF33" s="909">
        <f t="shared" si="6"/>
        <v>2601</v>
      </c>
      <c r="GG33" s="906">
        <f t="shared" si="7"/>
        <v>8098</v>
      </c>
      <c r="GH33" s="650">
        <f t="shared" si="8"/>
        <v>2186</v>
      </c>
      <c r="GI33" s="650">
        <f t="shared" si="0"/>
        <v>656</v>
      </c>
      <c r="GJ33" s="650">
        <f t="shared" si="13"/>
        <v>1710</v>
      </c>
      <c r="GK33" s="650">
        <f t="shared" si="9"/>
        <v>50</v>
      </c>
      <c r="GL33" s="650">
        <f t="shared" si="1"/>
        <v>2710</v>
      </c>
      <c r="GM33" s="650">
        <f t="shared" si="2"/>
        <v>269</v>
      </c>
      <c r="GN33" s="650">
        <f t="shared" si="3"/>
        <v>77</v>
      </c>
      <c r="GO33" s="650">
        <f t="shared" si="10"/>
        <v>0</v>
      </c>
      <c r="GP33" s="650">
        <f t="shared" si="11"/>
        <v>354</v>
      </c>
      <c r="GQ33" s="650">
        <f t="shared" si="4"/>
        <v>86</v>
      </c>
      <c r="GR33" s="905">
        <f t="shared" si="5"/>
        <v>0</v>
      </c>
      <c r="GS33" s="904">
        <f>FWise!M25</f>
        <v>0</v>
      </c>
      <c r="GT33" s="3543">
        <f>GEntry!GL26</f>
        <v>97.34</v>
      </c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ht="24.75" customHeight="1" thickBot="1">
      <c r="A34" s="609">
        <v>0.8125</v>
      </c>
      <c r="B34" s="761">
        <f>GEntry!W24</f>
        <v>0</v>
      </c>
      <c r="C34" s="758">
        <f>GEntry!X24</f>
        <v>0</v>
      </c>
      <c r="D34" s="758">
        <f>GEntry!Y24</f>
        <v>240</v>
      </c>
      <c r="E34" s="758">
        <f>GEntry!Z24</f>
        <v>0</v>
      </c>
      <c r="F34" s="759">
        <f>GEntry!AB24</f>
        <v>0</v>
      </c>
      <c r="G34" s="759">
        <f>GEntry!BY24</f>
        <v>0</v>
      </c>
      <c r="H34" s="758">
        <f>GEntry!CS24</f>
        <v>0</v>
      </c>
      <c r="I34" s="758">
        <f>GEntry!AO24</f>
        <v>0</v>
      </c>
      <c r="J34" s="758">
        <f>GEntry!AQ24</f>
        <v>222</v>
      </c>
      <c r="K34" s="758"/>
      <c r="L34" s="758">
        <f>GEntry!AN24</f>
        <v>0</v>
      </c>
      <c r="M34" s="758">
        <f>GEntry!AP24</f>
        <v>180</v>
      </c>
      <c r="N34" s="758">
        <f>GEntry!CP24</f>
        <v>0</v>
      </c>
      <c r="O34" s="758">
        <f>GEntry!CQ24</f>
        <v>0</v>
      </c>
      <c r="P34" s="758">
        <f>GEntry!CL24</f>
        <v>0</v>
      </c>
      <c r="Q34" s="758">
        <f>GEntry!DC24</f>
        <v>55</v>
      </c>
      <c r="R34" s="758">
        <f>GEntry!T24</f>
        <v>0</v>
      </c>
      <c r="S34" s="758">
        <f>GEntry!R24</f>
        <v>0</v>
      </c>
      <c r="T34" s="758">
        <f>GEntry!S24</f>
        <v>0</v>
      </c>
      <c r="U34" s="758">
        <f>GEntry!CC24</f>
        <v>0</v>
      </c>
      <c r="V34" s="759">
        <f>GEntry!CX24</f>
        <v>102</v>
      </c>
      <c r="W34" s="758">
        <f>GEntry!CE24</f>
        <v>0</v>
      </c>
      <c r="X34" s="758">
        <f>GEntry!CO24</f>
        <v>24</v>
      </c>
      <c r="Y34" s="758">
        <f>GEntry!DB24</f>
        <v>0</v>
      </c>
      <c r="Z34" s="758">
        <f>GEntry!CM24</f>
        <v>0</v>
      </c>
      <c r="AA34" s="758">
        <f>GEntry!DA24</f>
        <v>0</v>
      </c>
      <c r="AB34" s="758">
        <f>GEntry!DG24</f>
        <v>35</v>
      </c>
      <c r="AC34" s="758">
        <f>GEntry!DD24</f>
        <v>55</v>
      </c>
      <c r="AD34" s="758">
        <f>GEntry!BJ24</f>
        <v>35</v>
      </c>
      <c r="AE34" s="758">
        <f>GEntry!BM24</f>
        <v>16</v>
      </c>
      <c r="AF34" s="758">
        <f>GEntry!BU24</f>
        <v>25</v>
      </c>
      <c r="AG34" s="758">
        <f>GEntry!BV24</f>
        <v>9</v>
      </c>
      <c r="AH34" s="758">
        <f>GEntry!BW24</f>
        <v>16</v>
      </c>
      <c r="AI34" s="758">
        <f>GEntry!BX24</f>
        <v>33</v>
      </c>
      <c r="AJ34" s="758">
        <f>GEntry!CD24</f>
        <v>25</v>
      </c>
      <c r="AK34" s="758">
        <f>GEntry!AM24</f>
        <v>0</v>
      </c>
      <c r="AL34" s="1157">
        <f>GEntry!B24</f>
        <v>38</v>
      </c>
      <c r="AM34" s="1157">
        <f>GEntry!C24</f>
        <v>40</v>
      </c>
      <c r="AN34" s="758">
        <f>GEntry!D24</f>
        <v>0</v>
      </c>
      <c r="AO34" s="758">
        <f>GEntry!E24</f>
        <v>0</v>
      </c>
      <c r="AP34" s="758">
        <f>GEntry!F24</f>
        <v>17</v>
      </c>
      <c r="AQ34" s="758">
        <f>GEntry!H24</f>
        <v>0</v>
      </c>
      <c r="AR34" s="758">
        <f>GEntry!I24</f>
        <v>0</v>
      </c>
      <c r="AS34" s="758">
        <f>GEntry!K24</f>
        <v>0</v>
      </c>
      <c r="AT34" s="758">
        <f>GEntry!L24</f>
        <v>0</v>
      </c>
      <c r="AU34" s="758"/>
      <c r="AV34" s="758">
        <f>GEntry!BK24</f>
        <v>22</v>
      </c>
      <c r="AW34" s="758">
        <f>GEntry!N24</f>
        <v>0</v>
      </c>
      <c r="AX34" s="758">
        <f>GEntry!M24</f>
        <v>40</v>
      </c>
      <c r="AY34" s="758">
        <f>GEntry!CU24</f>
        <v>10</v>
      </c>
      <c r="AZ34" s="758">
        <f>GEntry!CZ24</f>
        <v>12</v>
      </c>
      <c r="BA34" s="758">
        <f>GEntry!CY24</f>
        <v>0</v>
      </c>
      <c r="BB34" s="758">
        <f>GEntry!BL24</f>
        <v>21</v>
      </c>
      <c r="BC34" s="758">
        <f>GEntry!BP24</f>
        <v>10</v>
      </c>
      <c r="BD34" s="758">
        <f>GEntry!AD24</f>
        <v>0</v>
      </c>
      <c r="BE34" s="758">
        <f>GEntry!AE24</f>
        <v>0</v>
      </c>
      <c r="BF34" s="758">
        <f>GEntry!AF24</f>
        <v>80</v>
      </c>
      <c r="BG34" s="758">
        <f>GEntry!AJ24</f>
        <v>150</v>
      </c>
      <c r="BH34" s="758">
        <f>GEntry!AI24</f>
        <v>310</v>
      </c>
      <c r="BI34" s="758">
        <f>GEntry!AH24</f>
        <v>168</v>
      </c>
      <c r="BJ34" s="758">
        <f>GEntry!V24</f>
        <v>8</v>
      </c>
      <c r="BK34" s="758">
        <f>GEntry!AL24</f>
        <v>132</v>
      </c>
      <c r="BL34" s="758">
        <f>GEntry!AG24</f>
        <v>3</v>
      </c>
      <c r="BM34" s="758">
        <f>GEntry!AK24</f>
        <v>5</v>
      </c>
      <c r="BN34" s="758">
        <f>GEntry!CT24</f>
        <v>0</v>
      </c>
      <c r="BO34" s="759">
        <f>GEntry!CW24</f>
        <v>51</v>
      </c>
      <c r="BP34" s="759">
        <f>GEntry!CN24</f>
        <v>0</v>
      </c>
      <c r="BQ34" s="759">
        <f>GEntry!Q24</f>
        <v>0</v>
      </c>
      <c r="BR34" s="758">
        <f>GEntry!CG24</f>
        <v>8</v>
      </c>
      <c r="BS34" s="759">
        <f>GEntry!BQ24</f>
        <v>20</v>
      </c>
      <c r="BT34" s="759">
        <f>GEntry!BR24</f>
        <v>11</v>
      </c>
      <c r="BU34" s="759">
        <f>GEntry!BS24</f>
        <v>33</v>
      </c>
      <c r="BV34" s="759">
        <f>GEntry!BT24</f>
        <v>9</v>
      </c>
      <c r="BW34" s="749">
        <f>GEntry!BO24</f>
        <v>88</v>
      </c>
      <c r="BX34" s="759">
        <f>GEntry!AR24</f>
        <v>50</v>
      </c>
      <c r="BY34" s="759">
        <f>GEntry!CF24</f>
        <v>0</v>
      </c>
      <c r="BZ34" s="759">
        <f>GEntry!BN24</f>
        <v>22</v>
      </c>
      <c r="CA34" s="1159">
        <f>GEntry!DF24</f>
        <v>0</v>
      </c>
      <c r="CB34" s="759">
        <f>GEntry!AT24</f>
        <v>43</v>
      </c>
      <c r="CC34" s="759">
        <f>GEntry!AU24</f>
        <v>0</v>
      </c>
      <c r="CD34" s="759">
        <f>GEntry!BF24</f>
        <v>51</v>
      </c>
      <c r="CE34" s="759">
        <f>GEntry!CV24</f>
        <v>0</v>
      </c>
      <c r="CF34" s="759">
        <f>GEntry!DE24</f>
        <v>163</v>
      </c>
      <c r="CG34" s="759">
        <f>GEntry!AV24</f>
        <v>0</v>
      </c>
      <c r="CH34" s="759">
        <f>GEntry!AW24</f>
        <v>70</v>
      </c>
      <c r="CI34" s="759">
        <f>GEntry!AX24</f>
        <v>79</v>
      </c>
      <c r="CJ34" s="759">
        <f>GEntry!AZ24</f>
        <v>0</v>
      </c>
      <c r="CK34" s="759">
        <f>GEntry!BA24</f>
        <v>190</v>
      </c>
      <c r="CL34" s="759">
        <f>GEntry!BB24</f>
        <v>18</v>
      </c>
      <c r="CM34" s="759">
        <f>GEntry!BC24</f>
        <v>0</v>
      </c>
      <c r="CN34" s="759">
        <f>GEntry!BD24</f>
        <v>10</v>
      </c>
      <c r="CO34" s="759">
        <f>GEntry!BH24</f>
        <v>300</v>
      </c>
      <c r="CP34" s="759">
        <f>GEntry!BG24</f>
        <v>24</v>
      </c>
      <c r="CQ34" s="986">
        <f>GEntry!BE24</f>
        <v>11</v>
      </c>
      <c r="CR34" s="986">
        <f>GEntry!P24</f>
        <v>0</v>
      </c>
      <c r="CS34" s="986">
        <f>GEntry!U24</f>
        <v>265</v>
      </c>
      <c r="CT34" s="759">
        <f>GEntry!DH24</f>
        <v>0</v>
      </c>
      <c r="CU34" s="986">
        <f>GEntry!DI24</f>
        <v>0</v>
      </c>
      <c r="CV34" s="986">
        <f>GEntry!DJ24</f>
        <v>183</v>
      </c>
      <c r="CW34" s="759">
        <f>GEntry!DK24</f>
        <v>0</v>
      </c>
      <c r="CX34" s="986">
        <f>GEntry!DL24</f>
        <v>70</v>
      </c>
      <c r="CY34" s="986">
        <f>GEntry!G24</f>
        <v>0</v>
      </c>
      <c r="CZ34" s="986">
        <f>GEntry!DM24</f>
        <v>90</v>
      </c>
      <c r="DA34" s="759">
        <f>GEntry!DN24</f>
        <v>100</v>
      </c>
      <c r="DB34" s="1667">
        <f>GEntry!DO24</f>
        <v>142</v>
      </c>
      <c r="DC34" s="1652">
        <f>GEntry!DP24</f>
        <v>0</v>
      </c>
      <c r="DD34" s="1760">
        <f>GEntry!DQ24</f>
        <v>112</v>
      </c>
      <c r="DE34" s="1759">
        <f>GEntry!CH24</f>
        <v>105</v>
      </c>
      <c r="DF34" s="1864">
        <f>GEntry!O24</f>
        <v>105</v>
      </c>
      <c r="DG34" s="1857">
        <f>GEntry!CI24</f>
        <v>0</v>
      </c>
      <c r="DH34" s="2064">
        <f>GEntry!DR24</f>
        <v>65</v>
      </c>
      <c r="DI34" s="2065">
        <f>GEntry!CJ24</f>
        <v>54</v>
      </c>
      <c r="DJ34" s="2077">
        <f>GEntry!CK24</f>
        <v>110</v>
      </c>
      <c r="DK34" s="3078">
        <f>GEntry!BZ24</f>
        <v>17</v>
      </c>
      <c r="DL34" s="3370">
        <f>GEntry!CA24</f>
        <v>0</v>
      </c>
      <c r="DM34" s="3079">
        <f>GEntry!DS24</f>
        <v>90</v>
      </c>
      <c r="DN34" s="3517">
        <f>GEntry!BI24</f>
        <v>200</v>
      </c>
      <c r="DO34" s="3518">
        <f>GEntry!CR24</f>
        <v>104</v>
      </c>
      <c r="DP34" s="3720">
        <f>GEntry!AS24</f>
        <v>0</v>
      </c>
      <c r="DQ34" s="3777">
        <f>GEntry!CB24</f>
        <v>54</v>
      </c>
      <c r="DR34" s="3848">
        <f>GEntry!DT24</f>
        <v>116</v>
      </c>
      <c r="DS34" s="3850">
        <f>GEntry!AY24</f>
        <v>0</v>
      </c>
      <c r="DT34" s="4039">
        <f>GEntry!DU24</f>
        <v>17</v>
      </c>
      <c r="DU34" s="4041">
        <f>GEntry!DV24</f>
        <v>0</v>
      </c>
      <c r="DV34" s="4793">
        <f>GEntry!DW24</f>
        <v>0</v>
      </c>
      <c r="DW34" s="4793">
        <f>GEntry!DX24</f>
        <v>55</v>
      </c>
      <c r="DX34" s="990"/>
      <c r="DY34" s="767">
        <f>GEntry!EX24</f>
        <v>658</v>
      </c>
      <c r="DZ34" s="764">
        <f>GEntry!EV24</f>
        <v>0</v>
      </c>
      <c r="EA34" s="764">
        <f>GEntry!EY24</f>
        <v>0</v>
      </c>
      <c r="EB34" s="764">
        <f>GEntry!EB24</f>
        <v>0</v>
      </c>
      <c r="EC34" s="764">
        <f>GEntry!EC24</f>
        <v>0</v>
      </c>
      <c r="ED34" s="764">
        <f>GEntry!EG24</f>
        <v>0</v>
      </c>
      <c r="EE34" s="764">
        <f>GEntry!EA24</f>
        <v>0</v>
      </c>
      <c r="EF34" s="764">
        <f>GEntry!EE24</f>
        <v>0</v>
      </c>
      <c r="EG34" s="764">
        <f>GEntry!EF24</f>
        <v>34</v>
      </c>
      <c r="EH34" s="764">
        <f>GEntry!EU24</f>
        <v>0</v>
      </c>
      <c r="EI34" s="764">
        <f>GEntry!ET24</f>
        <v>0</v>
      </c>
      <c r="EJ34" s="764">
        <f>GEntry!EQ24</f>
        <v>91</v>
      </c>
      <c r="EK34" s="764">
        <f>GEntry!ER24</f>
        <v>20</v>
      </c>
      <c r="EL34" s="764">
        <f>GEntry!EN24</f>
        <v>0</v>
      </c>
      <c r="EM34" s="764">
        <f>GEntry!EO24</f>
        <v>0</v>
      </c>
      <c r="EN34" s="764">
        <f>GEntry!FF24</f>
        <v>0</v>
      </c>
      <c r="EO34" s="764">
        <f>GEntry!FE24</f>
        <v>0</v>
      </c>
      <c r="EP34" s="764">
        <f>GEntry!FG24</f>
        <v>50</v>
      </c>
      <c r="EQ34" s="764">
        <f>GEntry!FQ24</f>
        <v>25</v>
      </c>
      <c r="ER34" s="764">
        <f>GEntry!FZ24</f>
        <v>100</v>
      </c>
      <c r="ES34" s="764">
        <f>GEntry!FU24</f>
        <v>0</v>
      </c>
      <c r="ET34" s="764">
        <f>GEntry!FV24</f>
        <v>34</v>
      </c>
      <c r="EU34" s="764">
        <f>GEntry!FW24</f>
        <v>32</v>
      </c>
      <c r="EV34" s="764">
        <f>GEntry!FY24</f>
        <v>43</v>
      </c>
      <c r="EW34" s="764">
        <f>GEntry!FX24</f>
        <v>0</v>
      </c>
      <c r="EX34" s="764">
        <f>GEntry!FR24</f>
        <v>22</v>
      </c>
      <c r="EY34" s="764">
        <f>GEntry!FS24</f>
        <v>0</v>
      </c>
      <c r="EZ34" s="764">
        <f>GEntry!FT24</f>
        <v>8</v>
      </c>
      <c r="FA34" s="1155">
        <f>GEntry!FB24</f>
        <v>0</v>
      </c>
      <c r="FB34" s="1155">
        <f>GEntry!FC24</f>
        <v>0</v>
      </c>
      <c r="FC34" s="1155">
        <f>GEntry!FD24</f>
        <v>199</v>
      </c>
      <c r="FD34" s="764">
        <f>GEntry!GD24</f>
        <v>0</v>
      </c>
      <c r="FE34" s="765">
        <f>GEntry!GE24</f>
        <v>0</v>
      </c>
      <c r="FF34" s="765">
        <f>GEntry!FI24</f>
        <v>0</v>
      </c>
      <c r="FG34" s="765">
        <f>GEntry!FJ24</f>
        <v>0</v>
      </c>
      <c r="FH34" s="765">
        <f>GEntry!FK24</f>
        <v>0</v>
      </c>
      <c r="FI34" s="765">
        <f>GEntry!FL24</f>
        <v>0</v>
      </c>
      <c r="FJ34" s="765">
        <f>GEntry!EP24</f>
        <v>11</v>
      </c>
      <c r="FK34" s="765">
        <f>GEntry!ES24</f>
        <v>0</v>
      </c>
      <c r="FL34" s="763">
        <f>GEntry!FM24</f>
        <v>185</v>
      </c>
      <c r="FM34" s="765">
        <f>GEntry!FN24</f>
        <v>0</v>
      </c>
      <c r="FN34" s="764">
        <f>GEntry!FO24</f>
        <v>409</v>
      </c>
      <c r="FO34" s="1687">
        <f>GEntry!EH24</f>
        <v>105</v>
      </c>
      <c r="FP34" s="1689">
        <f>GEntry!GA24</f>
        <v>0</v>
      </c>
      <c r="FQ34" s="1694">
        <f>GEntry!GB24</f>
        <v>113</v>
      </c>
      <c r="FR34" s="1877">
        <f>GEntry!EW24</f>
        <v>0</v>
      </c>
      <c r="FS34" s="1981">
        <f>GEntry!GF24</f>
        <v>112</v>
      </c>
      <c r="FT34" s="1983">
        <f>GEntry!FP24</f>
        <v>0</v>
      </c>
      <c r="FU34" s="2154">
        <f>GEntry!GG24</f>
        <v>0</v>
      </c>
      <c r="FV34" s="3143">
        <f>GEntry!GC24</f>
        <v>113</v>
      </c>
      <c r="FW34" s="764">
        <f>GEntry!EZ24</f>
        <v>190</v>
      </c>
      <c r="FX34" s="3685">
        <f>GEntry!EL24</f>
        <v>221</v>
      </c>
      <c r="FY34" s="3758">
        <f>GEntry!EM24</f>
        <v>0</v>
      </c>
      <c r="FZ34" s="3760">
        <f>GEntry!EK24</f>
        <v>0</v>
      </c>
      <c r="GA34" s="4897">
        <f>GEntry!FH24</f>
        <v>0</v>
      </c>
      <c r="GB34" s="4984">
        <f>GEntry!EI24</f>
        <v>0</v>
      </c>
      <c r="GC34" s="3685">
        <f>GEntry!GH24</f>
        <v>0</v>
      </c>
      <c r="GD34" s="993"/>
      <c r="GE34" s="910">
        <f>SUM(B34:DX34)</f>
        <v>5443</v>
      </c>
      <c r="GF34" s="909">
        <f>SUM(DY34:GD34)</f>
        <v>2775</v>
      </c>
      <c r="GG34" s="906">
        <f>GE34+GF34</f>
        <v>8218</v>
      </c>
      <c r="GH34" s="650">
        <f t="shared" si="8"/>
        <v>2188</v>
      </c>
      <c r="GI34" s="650">
        <f>DY34</f>
        <v>658</v>
      </c>
      <c r="GJ34" s="650">
        <f t="shared" si="13"/>
        <v>1762</v>
      </c>
      <c r="GK34" s="650">
        <f t="shared" si="9"/>
        <v>0</v>
      </c>
      <c r="GL34" s="650">
        <f t="shared" si="1"/>
        <v>2774</v>
      </c>
      <c r="GM34" s="650">
        <f t="shared" si="2"/>
        <v>389</v>
      </c>
      <c r="GN34" s="650">
        <f>AL34+AM34</f>
        <v>78</v>
      </c>
      <c r="GO34" s="650">
        <f t="shared" si="10"/>
        <v>0</v>
      </c>
      <c r="GP34" s="650">
        <f t="shared" si="11"/>
        <v>281</v>
      </c>
      <c r="GQ34" s="650">
        <f>BW34</f>
        <v>88</v>
      </c>
      <c r="GR34" s="905">
        <f t="shared" si="5"/>
        <v>0</v>
      </c>
      <c r="GS34" s="904">
        <f>FWise!M26</f>
        <v>0</v>
      </c>
      <c r="GT34" s="3543">
        <f>GEntry!GL24</f>
        <v>0</v>
      </c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ht="23.25" customHeight="1" thickBot="1">
      <c r="A35" s="609">
        <v>0.83333333333333337</v>
      </c>
      <c r="B35" s="761">
        <f>GEntry!W25</f>
        <v>0</v>
      </c>
      <c r="C35" s="758">
        <f>GEntry!X25</f>
        <v>0</v>
      </c>
      <c r="D35" s="758">
        <f>GEntry!Y25</f>
        <v>240</v>
      </c>
      <c r="E35" s="758">
        <f>GEntry!Z25</f>
        <v>0</v>
      </c>
      <c r="F35" s="759">
        <f>GEntry!AB25</f>
        <v>0</v>
      </c>
      <c r="G35" s="759">
        <f>GEntry!BY25</f>
        <v>0</v>
      </c>
      <c r="H35" s="758">
        <f>GEntry!CS25</f>
        <v>0</v>
      </c>
      <c r="I35" s="758">
        <f>GEntry!AO25</f>
        <v>0</v>
      </c>
      <c r="J35" s="758">
        <f>GEntry!AQ25</f>
        <v>224</v>
      </c>
      <c r="K35" s="758"/>
      <c r="L35" s="758">
        <f>GEntry!AN25</f>
        <v>0</v>
      </c>
      <c r="M35" s="758">
        <f>GEntry!AP25</f>
        <v>180</v>
      </c>
      <c r="N35" s="758">
        <f>GEntry!CP25</f>
        <v>0</v>
      </c>
      <c r="O35" s="758">
        <f>GEntry!CQ25</f>
        <v>0</v>
      </c>
      <c r="P35" s="758">
        <f>GEntry!CL25</f>
        <v>0</v>
      </c>
      <c r="Q35" s="758">
        <f>GEntry!DC25</f>
        <v>30</v>
      </c>
      <c r="R35" s="758">
        <f>GEntry!T25</f>
        <v>0</v>
      </c>
      <c r="S35" s="758">
        <f>GEntry!R25</f>
        <v>0</v>
      </c>
      <c r="T35" s="758">
        <f>GEntry!S25</f>
        <v>0</v>
      </c>
      <c r="U35" s="758">
        <f>GEntry!CC25</f>
        <v>0</v>
      </c>
      <c r="V35" s="759">
        <f>GEntry!CX25</f>
        <v>102</v>
      </c>
      <c r="W35" s="758">
        <f>GEntry!CE25</f>
        <v>0</v>
      </c>
      <c r="X35" s="758">
        <f>GEntry!CO25</f>
        <v>24</v>
      </c>
      <c r="Y35" s="758">
        <f>GEntry!DB25</f>
        <v>0</v>
      </c>
      <c r="Z35" s="758">
        <f>GEntry!CM25</f>
        <v>0</v>
      </c>
      <c r="AA35" s="758">
        <f>GEntry!DA25</f>
        <v>0</v>
      </c>
      <c r="AB35" s="758">
        <f>GEntry!DG25</f>
        <v>35</v>
      </c>
      <c r="AC35" s="758">
        <f>GEntry!DD25</f>
        <v>55</v>
      </c>
      <c r="AD35" s="758">
        <f>GEntry!BJ25</f>
        <v>35</v>
      </c>
      <c r="AE35" s="758">
        <f>GEntry!BM25</f>
        <v>16</v>
      </c>
      <c r="AF35" s="758">
        <f>GEntry!BU25</f>
        <v>25</v>
      </c>
      <c r="AG35" s="758">
        <f>GEntry!BV25</f>
        <v>9</v>
      </c>
      <c r="AH35" s="758">
        <f>GEntry!BW25</f>
        <v>16</v>
      </c>
      <c r="AI35" s="758">
        <f>GEntry!BX25</f>
        <v>33</v>
      </c>
      <c r="AJ35" s="758">
        <f>GEntry!CD25</f>
        <v>25</v>
      </c>
      <c r="AK35" s="758">
        <f>GEntry!AM25</f>
        <v>0</v>
      </c>
      <c r="AL35" s="1157">
        <f>GEntry!B25</f>
        <v>39</v>
      </c>
      <c r="AM35" s="1157">
        <f>GEntry!C25</f>
        <v>40</v>
      </c>
      <c r="AN35" s="758">
        <f>GEntry!D25</f>
        <v>0</v>
      </c>
      <c r="AO35" s="758">
        <f>GEntry!E25</f>
        <v>0</v>
      </c>
      <c r="AP35" s="758">
        <f>GEntry!F25</f>
        <v>17</v>
      </c>
      <c r="AQ35" s="758">
        <f>GEntry!H25</f>
        <v>0</v>
      </c>
      <c r="AR35" s="758">
        <f>GEntry!I25</f>
        <v>0</v>
      </c>
      <c r="AS35" s="758">
        <f>GEntry!K25</f>
        <v>0</v>
      </c>
      <c r="AT35" s="758">
        <f>GEntry!L25</f>
        <v>0</v>
      </c>
      <c r="AU35" s="758"/>
      <c r="AV35" s="758">
        <f>GEntry!BK25</f>
        <v>22</v>
      </c>
      <c r="AW35" s="758">
        <f>GEntry!N25</f>
        <v>0</v>
      </c>
      <c r="AX35" s="758">
        <f>GEntry!M25</f>
        <v>34</v>
      </c>
      <c r="AY35" s="758">
        <f>GEntry!CU25</f>
        <v>10</v>
      </c>
      <c r="AZ35" s="758">
        <f>GEntry!CZ25</f>
        <v>12</v>
      </c>
      <c r="BA35" s="758">
        <f>GEntry!CY25</f>
        <v>0</v>
      </c>
      <c r="BB35" s="758">
        <f>GEntry!BL25</f>
        <v>21</v>
      </c>
      <c r="BC35" s="758">
        <f>GEntry!BP25</f>
        <v>14</v>
      </c>
      <c r="BD35" s="758">
        <f>GEntry!AD25</f>
        <v>0</v>
      </c>
      <c r="BE35" s="758">
        <f>GEntry!AE25</f>
        <v>0</v>
      </c>
      <c r="BF35" s="758">
        <f>GEntry!AF25</f>
        <v>80</v>
      </c>
      <c r="BG35" s="758">
        <f>GEntry!AJ25</f>
        <v>150</v>
      </c>
      <c r="BH35" s="758">
        <f>GEntry!AI25</f>
        <v>310</v>
      </c>
      <c r="BI35" s="758">
        <f>GEntry!AH25</f>
        <v>163</v>
      </c>
      <c r="BJ35" s="758">
        <f>GEntry!V25</f>
        <v>8</v>
      </c>
      <c r="BK35" s="758">
        <f>GEntry!AL25</f>
        <v>132</v>
      </c>
      <c r="BL35" s="758">
        <f>GEntry!AG25</f>
        <v>3</v>
      </c>
      <c r="BM35" s="758">
        <f>GEntry!AK25</f>
        <v>5</v>
      </c>
      <c r="BN35" s="758">
        <f>GEntry!CT25</f>
        <v>0</v>
      </c>
      <c r="BO35" s="759">
        <f>GEntry!CW25</f>
        <v>51</v>
      </c>
      <c r="BP35" s="759">
        <f>GEntry!CN25</f>
        <v>0</v>
      </c>
      <c r="BQ35" s="759">
        <f>GEntry!Q25</f>
        <v>0</v>
      </c>
      <c r="BR35" s="758">
        <f>GEntry!CG25</f>
        <v>8</v>
      </c>
      <c r="BS35" s="759">
        <f>GEntry!BQ25</f>
        <v>21</v>
      </c>
      <c r="BT35" s="759">
        <f>GEntry!BR25</f>
        <v>11</v>
      </c>
      <c r="BU35" s="759">
        <f>GEntry!BS25</f>
        <v>33</v>
      </c>
      <c r="BV35" s="759">
        <f>GEntry!BT25</f>
        <v>9</v>
      </c>
      <c r="BW35" s="749">
        <f>GEntry!BO25</f>
        <v>86</v>
      </c>
      <c r="BX35" s="759">
        <f>GEntry!AR25</f>
        <v>50</v>
      </c>
      <c r="BY35" s="759">
        <f>GEntry!CF25</f>
        <v>0</v>
      </c>
      <c r="BZ35" s="759">
        <f>GEntry!BN25</f>
        <v>22</v>
      </c>
      <c r="CA35" s="1159">
        <f>GEntry!DF25</f>
        <v>0</v>
      </c>
      <c r="CB35" s="759">
        <f>GEntry!AT25</f>
        <v>43</v>
      </c>
      <c r="CC35" s="759">
        <f>GEntry!AU25</f>
        <v>0</v>
      </c>
      <c r="CD35" s="759">
        <f>GEntry!BF25</f>
        <v>51</v>
      </c>
      <c r="CE35" s="759">
        <f>GEntry!CV25</f>
        <v>0</v>
      </c>
      <c r="CF35" s="759">
        <f>GEntry!DE25</f>
        <v>163</v>
      </c>
      <c r="CG35" s="759">
        <f>GEntry!AV25</f>
        <v>0</v>
      </c>
      <c r="CH35" s="759">
        <f>GEntry!AW25</f>
        <v>70</v>
      </c>
      <c r="CI35" s="759">
        <f>GEntry!AX25</f>
        <v>79</v>
      </c>
      <c r="CJ35" s="759">
        <f>GEntry!AZ25</f>
        <v>0</v>
      </c>
      <c r="CK35" s="759">
        <f>GEntry!BA25</f>
        <v>190</v>
      </c>
      <c r="CL35" s="759">
        <f>GEntry!BB25</f>
        <v>18</v>
      </c>
      <c r="CM35" s="759">
        <f>GEntry!BC25</f>
        <v>0</v>
      </c>
      <c r="CN35" s="759">
        <f>GEntry!BD25</f>
        <v>10</v>
      </c>
      <c r="CO35" s="759">
        <f>GEntry!BH25</f>
        <v>290</v>
      </c>
      <c r="CP35" s="759">
        <f>GEntry!BG25</f>
        <v>24</v>
      </c>
      <c r="CQ35" s="986">
        <f>GEntry!BE25</f>
        <v>11</v>
      </c>
      <c r="CR35" s="986">
        <f>GEntry!P25</f>
        <v>0</v>
      </c>
      <c r="CS35" s="986">
        <f>GEntry!U25</f>
        <v>265</v>
      </c>
      <c r="CT35" s="759">
        <f>GEntry!DH25</f>
        <v>0</v>
      </c>
      <c r="CU35" s="986">
        <f>GEntry!DI25</f>
        <v>0</v>
      </c>
      <c r="CV35" s="986">
        <f>GEntry!DJ25</f>
        <v>183</v>
      </c>
      <c r="CW35" s="759">
        <f>GEntry!DK25</f>
        <v>0</v>
      </c>
      <c r="CX35" s="986">
        <f>GEntry!DL25</f>
        <v>70</v>
      </c>
      <c r="CY35" s="986">
        <f>GEntry!G25</f>
        <v>0</v>
      </c>
      <c r="CZ35" s="986">
        <f>GEntry!DM25</f>
        <v>90</v>
      </c>
      <c r="DA35" s="759">
        <f>GEntry!DN25</f>
        <v>100</v>
      </c>
      <c r="DB35" s="1667">
        <f>GEntry!DO25</f>
        <v>142</v>
      </c>
      <c r="DC35" s="1652">
        <f>GEntry!DP25</f>
        <v>0</v>
      </c>
      <c r="DD35" s="1760">
        <f>GEntry!DQ25</f>
        <v>112</v>
      </c>
      <c r="DE35" s="1759">
        <f>GEntry!CH25</f>
        <v>105</v>
      </c>
      <c r="DF35" s="1864">
        <f>GEntry!O25</f>
        <v>105</v>
      </c>
      <c r="DG35" s="1857">
        <f>GEntry!CI25</f>
        <v>0</v>
      </c>
      <c r="DH35" s="2064">
        <f>GEntry!DR25</f>
        <v>30</v>
      </c>
      <c r="DI35" s="2065">
        <f>GEntry!CJ25</f>
        <v>54</v>
      </c>
      <c r="DJ35" s="2077">
        <f>GEntry!CK25</f>
        <v>110</v>
      </c>
      <c r="DK35" s="3078">
        <f>GEntry!BZ25</f>
        <v>0</v>
      </c>
      <c r="DL35" s="3370">
        <f>GEntry!CA25</f>
        <v>0</v>
      </c>
      <c r="DM35" s="3079">
        <f>GEntry!DS25</f>
        <v>100</v>
      </c>
      <c r="DN35" s="3517">
        <f>GEntry!BI25</f>
        <v>270</v>
      </c>
      <c r="DO35" s="3518">
        <f>GEntry!CR25</f>
        <v>101</v>
      </c>
      <c r="DP35" s="3720">
        <f>GEntry!AS25</f>
        <v>0</v>
      </c>
      <c r="DQ35" s="3777">
        <f>GEntry!CB25</f>
        <v>54</v>
      </c>
      <c r="DR35" s="3848">
        <f>GEntry!DT25</f>
        <v>116</v>
      </c>
      <c r="DS35" s="3850">
        <f>GEntry!AY25</f>
        <v>0</v>
      </c>
      <c r="DT35" s="4039">
        <f>GEntry!DU25</f>
        <v>17</v>
      </c>
      <c r="DU35" s="4041">
        <f>GEntry!DV25</f>
        <v>0</v>
      </c>
      <c r="DV35" s="4793">
        <f>GEntry!DW25</f>
        <v>0</v>
      </c>
      <c r="DW35" s="4793">
        <f>GEntry!DX25</f>
        <v>55</v>
      </c>
      <c r="DX35" s="990"/>
      <c r="DY35" s="767">
        <f>GEntry!EX25</f>
        <v>657</v>
      </c>
      <c r="DZ35" s="764">
        <f>GEntry!EV25</f>
        <v>0</v>
      </c>
      <c r="EA35" s="764">
        <f>GEntry!EY25</f>
        <v>0</v>
      </c>
      <c r="EB35" s="764">
        <f>GEntry!EB25</f>
        <v>0</v>
      </c>
      <c r="EC35" s="764">
        <f>GEntry!EC25</f>
        <v>0</v>
      </c>
      <c r="ED35" s="764">
        <f>GEntry!EG25</f>
        <v>0</v>
      </c>
      <c r="EE35" s="764">
        <f>GEntry!EA25</f>
        <v>0</v>
      </c>
      <c r="EF35" s="764">
        <f>GEntry!EE25</f>
        <v>0</v>
      </c>
      <c r="EG35" s="764">
        <f>GEntry!EF25</f>
        <v>10</v>
      </c>
      <c r="EH35" s="764">
        <f>GEntry!EU25</f>
        <v>0</v>
      </c>
      <c r="EI35" s="764">
        <f>GEntry!ET25</f>
        <v>0</v>
      </c>
      <c r="EJ35" s="764">
        <f>GEntry!EQ25</f>
        <v>91</v>
      </c>
      <c r="EK35" s="764">
        <f>GEntry!ER25</f>
        <v>21</v>
      </c>
      <c r="EL35" s="764">
        <f>GEntry!EN25</f>
        <v>0</v>
      </c>
      <c r="EM35" s="764">
        <f>GEntry!EO25</f>
        <v>0</v>
      </c>
      <c r="EN35" s="764">
        <f>GEntry!FF25</f>
        <v>0</v>
      </c>
      <c r="EO35" s="764">
        <f>GEntry!FE25</f>
        <v>0</v>
      </c>
      <c r="EP35" s="764">
        <f>GEntry!FG25</f>
        <v>50</v>
      </c>
      <c r="EQ35" s="764">
        <f>GEntry!FQ25</f>
        <v>0</v>
      </c>
      <c r="ER35" s="764">
        <f>GEntry!FZ25</f>
        <v>100</v>
      </c>
      <c r="ES35" s="764">
        <f>GEntry!FU25</f>
        <v>0</v>
      </c>
      <c r="ET35" s="764">
        <f>GEntry!FV25</f>
        <v>34</v>
      </c>
      <c r="EU35" s="764">
        <f>GEntry!FW25</f>
        <v>32</v>
      </c>
      <c r="EV35" s="764">
        <f>GEntry!FY25</f>
        <v>43</v>
      </c>
      <c r="EW35" s="764">
        <f>GEntry!FX25</f>
        <v>0</v>
      </c>
      <c r="EX35" s="764">
        <f>GEntry!FR25</f>
        <v>22</v>
      </c>
      <c r="EY35" s="764">
        <f>GEntry!FS25</f>
        <v>0</v>
      </c>
      <c r="EZ35" s="764">
        <f>GEntry!FT25</f>
        <v>8</v>
      </c>
      <c r="FA35" s="1155">
        <f>GEntry!FB25</f>
        <v>0</v>
      </c>
      <c r="FB35" s="1155">
        <f>GEntry!FC25</f>
        <v>0</v>
      </c>
      <c r="FC35" s="1155">
        <f>GEntry!FD25</f>
        <v>199</v>
      </c>
      <c r="FD35" s="764">
        <f>GEntry!GD25</f>
        <v>0</v>
      </c>
      <c r="FE35" s="765">
        <f>GEntry!GE25</f>
        <v>0</v>
      </c>
      <c r="FF35" s="765">
        <f>GEntry!FI25</f>
        <v>0</v>
      </c>
      <c r="FG35" s="765">
        <f>GEntry!FJ25</f>
        <v>0</v>
      </c>
      <c r="FH35" s="765">
        <f>GEntry!FK25</f>
        <v>0</v>
      </c>
      <c r="FI35" s="765">
        <f>GEntry!FL25</f>
        <v>0</v>
      </c>
      <c r="FJ35" s="765">
        <f>GEntry!EP25</f>
        <v>11</v>
      </c>
      <c r="FK35" s="765">
        <f>GEntry!ES25</f>
        <v>0</v>
      </c>
      <c r="FL35" s="763">
        <f>GEntry!FM25</f>
        <v>186</v>
      </c>
      <c r="FM35" s="765">
        <f>GEntry!FN25</f>
        <v>0</v>
      </c>
      <c r="FN35" s="764">
        <f>GEntry!FO25</f>
        <v>395</v>
      </c>
      <c r="FO35" s="1687">
        <f>GEntry!EH25</f>
        <v>105</v>
      </c>
      <c r="FP35" s="1689">
        <f>GEntry!GA25</f>
        <v>0</v>
      </c>
      <c r="FQ35" s="1694">
        <f>GEntry!GB25</f>
        <v>113</v>
      </c>
      <c r="FR35" s="1877">
        <f>GEntry!EW25</f>
        <v>0</v>
      </c>
      <c r="FS35" s="1981">
        <f>GEntry!GF25</f>
        <v>112</v>
      </c>
      <c r="FT35" s="1983">
        <f>GEntry!FP25</f>
        <v>0</v>
      </c>
      <c r="FU35" s="2154">
        <f>GEntry!GG25</f>
        <v>0</v>
      </c>
      <c r="FV35" s="3143">
        <f>GEntry!GC25</f>
        <v>113</v>
      </c>
      <c r="FW35" s="764">
        <f>GEntry!EZ25</f>
        <v>210</v>
      </c>
      <c r="FX35" s="3685">
        <f>GEntry!EL25</f>
        <v>223</v>
      </c>
      <c r="FY35" s="3758">
        <f>GEntry!EM25</f>
        <v>0</v>
      </c>
      <c r="FZ35" s="3760">
        <f>GEntry!EK25</f>
        <v>0</v>
      </c>
      <c r="GA35" s="4897">
        <f>GEntry!FH25</f>
        <v>0</v>
      </c>
      <c r="GB35" s="4984">
        <f>GEntry!EI25</f>
        <v>0</v>
      </c>
      <c r="GC35" s="3685">
        <f>GEntry!GH25</f>
        <v>0</v>
      </c>
      <c r="GD35" s="993"/>
      <c r="GE35" s="910">
        <f>SUM(B35:DX35)</f>
        <v>5428</v>
      </c>
      <c r="GF35" s="909">
        <f>SUM(DY35:GD35)</f>
        <v>2735</v>
      </c>
      <c r="GG35" s="906">
        <f>GE35+GF35</f>
        <v>8163</v>
      </c>
      <c r="GH35" s="650">
        <f t="shared" si="8"/>
        <v>2255</v>
      </c>
      <c r="GI35" s="650">
        <f>DY35</f>
        <v>657</v>
      </c>
      <c r="GJ35" s="650">
        <f t="shared" si="13"/>
        <v>1747</v>
      </c>
      <c r="GK35" s="650">
        <f t="shared" si="9"/>
        <v>0</v>
      </c>
      <c r="GL35" s="650">
        <f t="shared" si="1"/>
        <v>2704</v>
      </c>
      <c r="GM35" s="650">
        <f t="shared" si="2"/>
        <v>409</v>
      </c>
      <c r="GN35" s="650">
        <f>AL35+AM35</f>
        <v>79</v>
      </c>
      <c r="GO35" s="650">
        <f t="shared" si="10"/>
        <v>0</v>
      </c>
      <c r="GP35" s="650">
        <f t="shared" si="11"/>
        <v>226</v>
      </c>
      <c r="GQ35" s="650">
        <f>BW35</f>
        <v>86</v>
      </c>
      <c r="GR35" s="905">
        <f t="shared" si="5"/>
        <v>0</v>
      </c>
      <c r="GS35" s="904">
        <f>FWise!M27</f>
        <v>0</v>
      </c>
      <c r="GT35" s="3543">
        <f>GEntry!GL25</f>
        <v>97.35</v>
      </c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ht="24" customHeight="1" thickBot="1">
      <c r="A36" s="609">
        <v>0.875</v>
      </c>
      <c r="B36" s="761">
        <f>GEntry!W26</f>
        <v>0</v>
      </c>
      <c r="C36" s="758">
        <f>GEntry!X26</f>
        <v>0</v>
      </c>
      <c r="D36" s="758">
        <f>GEntry!Y26</f>
        <v>240</v>
      </c>
      <c r="E36" s="758">
        <f>GEntry!Z26</f>
        <v>0</v>
      </c>
      <c r="F36" s="759">
        <f>GEntry!AB26</f>
        <v>0</v>
      </c>
      <c r="G36" s="759">
        <f>GEntry!BY26</f>
        <v>0</v>
      </c>
      <c r="H36" s="758">
        <f>GEntry!CS26</f>
        <v>0</v>
      </c>
      <c r="I36" s="758">
        <f>GEntry!AO26</f>
        <v>0</v>
      </c>
      <c r="J36" s="758">
        <f>GEntry!AQ26</f>
        <v>224</v>
      </c>
      <c r="K36" s="758"/>
      <c r="L36" s="758">
        <f>GEntry!AN26</f>
        <v>0</v>
      </c>
      <c r="M36" s="758">
        <f>GEntry!AP26</f>
        <v>180</v>
      </c>
      <c r="N36" s="758">
        <f>GEntry!CP26</f>
        <v>0</v>
      </c>
      <c r="O36" s="758">
        <f>GEntry!CQ26</f>
        <v>0</v>
      </c>
      <c r="P36" s="758">
        <f>GEntry!CL26</f>
        <v>0</v>
      </c>
      <c r="Q36" s="758">
        <f>GEntry!DC26</f>
        <v>0</v>
      </c>
      <c r="R36" s="758">
        <f>GEntry!T26</f>
        <v>0</v>
      </c>
      <c r="S36" s="758">
        <f>GEntry!R26</f>
        <v>0</v>
      </c>
      <c r="T36" s="758">
        <f>GEntry!S26</f>
        <v>0</v>
      </c>
      <c r="U36" s="758">
        <f>GEntry!CC26</f>
        <v>0</v>
      </c>
      <c r="V36" s="759">
        <f>GEntry!CX26</f>
        <v>58</v>
      </c>
      <c r="W36" s="758">
        <f>GEntry!CE26</f>
        <v>0</v>
      </c>
      <c r="X36" s="758">
        <f>GEntry!CO26</f>
        <v>24</v>
      </c>
      <c r="Y36" s="758">
        <f>GEntry!DB26</f>
        <v>0</v>
      </c>
      <c r="Z36" s="758">
        <f>GEntry!CM26</f>
        <v>0</v>
      </c>
      <c r="AA36" s="758">
        <f>GEntry!DA26</f>
        <v>0</v>
      </c>
      <c r="AB36" s="758">
        <f>GEntry!DG26</f>
        <v>35</v>
      </c>
      <c r="AC36" s="758">
        <f>GEntry!DD26</f>
        <v>55</v>
      </c>
      <c r="AD36" s="758">
        <f>GEntry!BJ26</f>
        <v>35</v>
      </c>
      <c r="AE36" s="758">
        <f>GEntry!BM26</f>
        <v>16</v>
      </c>
      <c r="AF36" s="758">
        <f>GEntry!BU26</f>
        <v>25</v>
      </c>
      <c r="AG36" s="758">
        <f>GEntry!BV26</f>
        <v>9</v>
      </c>
      <c r="AH36" s="758">
        <f>GEntry!BW26</f>
        <v>16</v>
      </c>
      <c r="AI36" s="758">
        <f>GEntry!BX26</f>
        <v>33</v>
      </c>
      <c r="AJ36" s="758">
        <f>GEntry!CD26</f>
        <v>0</v>
      </c>
      <c r="AK36" s="758">
        <f>GEntry!AM26</f>
        <v>0</v>
      </c>
      <c r="AL36" s="1157">
        <f>GEntry!B26</f>
        <v>46</v>
      </c>
      <c r="AM36" s="1157">
        <f>GEntry!C26</f>
        <v>40</v>
      </c>
      <c r="AN36" s="758">
        <f>GEntry!D26</f>
        <v>0</v>
      </c>
      <c r="AO36" s="758">
        <f>GEntry!E26</f>
        <v>0</v>
      </c>
      <c r="AP36" s="758">
        <f>GEntry!F26</f>
        <v>0</v>
      </c>
      <c r="AQ36" s="758">
        <f>GEntry!H26</f>
        <v>0</v>
      </c>
      <c r="AR36" s="758">
        <f>GEntry!I26</f>
        <v>0</v>
      </c>
      <c r="AS36" s="758">
        <f>GEntry!K26</f>
        <v>0</v>
      </c>
      <c r="AT36" s="758">
        <f>GEntry!L26</f>
        <v>0</v>
      </c>
      <c r="AU36" s="758"/>
      <c r="AV36" s="758">
        <f>GEntry!BK26</f>
        <v>22</v>
      </c>
      <c r="AW36" s="758">
        <f>GEntry!N26</f>
        <v>0</v>
      </c>
      <c r="AX36" s="758">
        <f>GEntry!M26</f>
        <v>0</v>
      </c>
      <c r="AY36" s="758">
        <f>GEntry!CU26</f>
        <v>30</v>
      </c>
      <c r="AZ36" s="758">
        <f>GEntry!CZ26</f>
        <v>12</v>
      </c>
      <c r="BA36" s="758">
        <f>GEntry!CY26</f>
        <v>0</v>
      </c>
      <c r="BB36" s="758">
        <f>GEntry!BL26</f>
        <v>21</v>
      </c>
      <c r="BC36" s="758">
        <f>GEntry!BP26</f>
        <v>16</v>
      </c>
      <c r="BD36" s="758">
        <f>GEntry!AD26</f>
        <v>0</v>
      </c>
      <c r="BE36" s="758">
        <f>GEntry!AE26</f>
        <v>0</v>
      </c>
      <c r="BF36" s="758">
        <f>GEntry!AF26</f>
        <v>80</v>
      </c>
      <c r="BG36" s="758">
        <f>GEntry!AJ26</f>
        <v>150</v>
      </c>
      <c r="BH36" s="758">
        <f>GEntry!AI26</f>
        <v>310</v>
      </c>
      <c r="BI36" s="758">
        <f>GEntry!AH26</f>
        <v>151</v>
      </c>
      <c r="BJ36" s="758">
        <f>GEntry!V26</f>
        <v>8</v>
      </c>
      <c r="BK36" s="758">
        <f>GEntry!AL26</f>
        <v>138</v>
      </c>
      <c r="BL36" s="758">
        <f>GEntry!AG26</f>
        <v>3</v>
      </c>
      <c r="BM36" s="758">
        <f>GEntry!AK26</f>
        <v>5</v>
      </c>
      <c r="BN36" s="758">
        <f>GEntry!CT26</f>
        <v>0</v>
      </c>
      <c r="BO36" s="759">
        <f>GEntry!CW26</f>
        <v>51</v>
      </c>
      <c r="BP36" s="759">
        <f>GEntry!CN26</f>
        <v>0</v>
      </c>
      <c r="BQ36" s="759">
        <f>GEntry!Q26</f>
        <v>0</v>
      </c>
      <c r="BR36" s="758">
        <f>GEntry!CG26</f>
        <v>8</v>
      </c>
      <c r="BS36" s="759">
        <f>GEntry!BQ26</f>
        <v>21</v>
      </c>
      <c r="BT36" s="759">
        <f>GEntry!BR26</f>
        <v>11</v>
      </c>
      <c r="BU36" s="759">
        <f>GEntry!BS26</f>
        <v>33</v>
      </c>
      <c r="BV36" s="759">
        <f>GEntry!BT26</f>
        <v>9</v>
      </c>
      <c r="BW36" s="749">
        <f>GEntry!BO26</f>
        <v>86</v>
      </c>
      <c r="BX36" s="759">
        <f>GEntry!AR26</f>
        <v>50</v>
      </c>
      <c r="BY36" s="759">
        <f>GEntry!CF26</f>
        <v>0</v>
      </c>
      <c r="BZ36" s="759">
        <f>GEntry!BN26</f>
        <v>22</v>
      </c>
      <c r="CA36" s="1159">
        <f>GEntry!DF26</f>
        <v>0</v>
      </c>
      <c r="CB36" s="759">
        <f>GEntry!AT26</f>
        <v>42</v>
      </c>
      <c r="CC36" s="759">
        <f>GEntry!AU26</f>
        <v>0</v>
      </c>
      <c r="CD36" s="759">
        <f>GEntry!BF26</f>
        <v>51</v>
      </c>
      <c r="CE36" s="759">
        <f>GEntry!CV26</f>
        <v>0</v>
      </c>
      <c r="CF36" s="759">
        <f>GEntry!DE26</f>
        <v>163</v>
      </c>
      <c r="CG36" s="759">
        <f>GEntry!AV26</f>
        <v>0</v>
      </c>
      <c r="CH36" s="759">
        <f>GEntry!AW26</f>
        <v>70</v>
      </c>
      <c r="CI36" s="759">
        <f>GEntry!AX26</f>
        <v>79</v>
      </c>
      <c r="CJ36" s="759">
        <f>GEntry!AZ26</f>
        <v>0</v>
      </c>
      <c r="CK36" s="759">
        <f>GEntry!BA26</f>
        <v>190</v>
      </c>
      <c r="CL36" s="759">
        <f>GEntry!BB26</f>
        <v>18</v>
      </c>
      <c r="CM36" s="759">
        <f>GEntry!BC26</f>
        <v>0</v>
      </c>
      <c r="CN36" s="759">
        <f>GEntry!BD26</f>
        <v>10</v>
      </c>
      <c r="CO36" s="759">
        <f>GEntry!BH26</f>
        <v>290</v>
      </c>
      <c r="CP36" s="759">
        <f>GEntry!BG26</f>
        <v>24</v>
      </c>
      <c r="CQ36" s="986">
        <f>GEntry!BE26</f>
        <v>11</v>
      </c>
      <c r="CR36" s="986">
        <f>GEntry!P26</f>
        <v>0</v>
      </c>
      <c r="CS36" s="986">
        <f>GEntry!U26</f>
        <v>265</v>
      </c>
      <c r="CT36" s="759">
        <f>GEntry!DH26</f>
        <v>0</v>
      </c>
      <c r="CU36" s="986">
        <f>GEntry!DI26</f>
        <v>0</v>
      </c>
      <c r="CV36" s="986">
        <f>GEntry!DJ26</f>
        <v>183</v>
      </c>
      <c r="CW36" s="759">
        <f>GEntry!DK26</f>
        <v>0</v>
      </c>
      <c r="CX36" s="986">
        <f>GEntry!DL26</f>
        <v>0</v>
      </c>
      <c r="CY36" s="986">
        <f>GEntry!G26</f>
        <v>0</v>
      </c>
      <c r="CZ36" s="986">
        <f>GEntry!DM26</f>
        <v>90</v>
      </c>
      <c r="DA36" s="759">
        <f>GEntry!DN26</f>
        <v>68</v>
      </c>
      <c r="DB36" s="1667">
        <f>GEntry!DO26</f>
        <v>147</v>
      </c>
      <c r="DC36" s="1652">
        <f>GEntry!DP26</f>
        <v>0</v>
      </c>
      <c r="DD36" s="1760">
        <f>GEntry!DQ26</f>
        <v>85</v>
      </c>
      <c r="DE36" s="1759">
        <f>GEntry!CH26</f>
        <v>105</v>
      </c>
      <c r="DF36" s="1864">
        <f>GEntry!O26</f>
        <v>68</v>
      </c>
      <c r="DG36" s="1857">
        <f>GEntry!CI26</f>
        <v>0</v>
      </c>
      <c r="DH36" s="2064">
        <f>GEntry!DR26</f>
        <v>15</v>
      </c>
      <c r="DI36" s="2065">
        <f>GEntry!CJ26</f>
        <v>54</v>
      </c>
      <c r="DJ36" s="2077">
        <f>GEntry!CK26</f>
        <v>110</v>
      </c>
      <c r="DK36" s="3078">
        <f>GEntry!BZ26</f>
        <v>0</v>
      </c>
      <c r="DL36" s="3370">
        <f>GEntry!CA26</f>
        <v>20</v>
      </c>
      <c r="DM36" s="3079">
        <f>GEntry!DS26</f>
        <v>100</v>
      </c>
      <c r="DN36" s="3517">
        <f>GEntry!BI26</f>
        <v>401</v>
      </c>
      <c r="DO36" s="3518">
        <f>GEntry!CR26</f>
        <v>104</v>
      </c>
      <c r="DP36" s="3720">
        <f>GEntry!AS26</f>
        <v>0</v>
      </c>
      <c r="DQ36" s="3777">
        <f>GEntry!CB26</f>
        <v>54</v>
      </c>
      <c r="DR36" s="3848">
        <f>GEntry!DT26</f>
        <v>116</v>
      </c>
      <c r="DS36" s="3850">
        <f>GEntry!AY26</f>
        <v>0</v>
      </c>
      <c r="DT36" s="4039">
        <f>GEntry!DU26</f>
        <v>17</v>
      </c>
      <c r="DU36" s="4041">
        <f>GEntry!DV26</f>
        <v>0</v>
      </c>
      <c r="DV36" s="4793">
        <f>GEntry!DW26</f>
        <v>0</v>
      </c>
      <c r="DW36" s="4793">
        <f>GEntry!DX26</f>
        <v>55</v>
      </c>
      <c r="DX36" s="990"/>
      <c r="DY36" s="767">
        <f>GEntry!EX26</f>
        <v>657</v>
      </c>
      <c r="DZ36" s="764">
        <f>GEntry!EV26</f>
        <v>0</v>
      </c>
      <c r="EA36" s="764">
        <f>GEntry!EY26</f>
        <v>0</v>
      </c>
      <c r="EB36" s="764">
        <f>GEntry!EB26</f>
        <v>0</v>
      </c>
      <c r="EC36" s="764">
        <f>GEntry!EC26</f>
        <v>0</v>
      </c>
      <c r="ED36" s="764">
        <f>GEntry!EG26</f>
        <v>0</v>
      </c>
      <c r="EE36" s="764">
        <f>GEntry!EA26</f>
        <v>0</v>
      </c>
      <c r="EF36" s="764">
        <f>GEntry!EE26</f>
        <v>0</v>
      </c>
      <c r="EG36" s="764">
        <f>GEntry!EF26</f>
        <v>10</v>
      </c>
      <c r="EH36" s="764">
        <f>GEntry!EU26</f>
        <v>0</v>
      </c>
      <c r="EI36" s="764">
        <f>GEntry!ET26</f>
        <v>0</v>
      </c>
      <c r="EJ36" s="764">
        <f>GEntry!EQ26</f>
        <v>91</v>
      </c>
      <c r="EK36" s="764">
        <f>GEntry!ER26</f>
        <v>23</v>
      </c>
      <c r="EL36" s="764">
        <f>GEntry!EN26</f>
        <v>0</v>
      </c>
      <c r="EM36" s="764">
        <f>GEntry!EO26</f>
        <v>0</v>
      </c>
      <c r="EN36" s="764">
        <f>GEntry!FF26</f>
        <v>0</v>
      </c>
      <c r="EO36" s="764">
        <f>GEntry!FE26</f>
        <v>0</v>
      </c>
      <c r="EP36" s="764">
        <f>GEntry!FG26</f>
        <v>0</v>
      </c>
      <c r="EQ36" s="764">
        <f>GEntry!FQ26</f>
        <v>0</v>
      </c>
      <c r="ER36" s="764">
        <f>GEntry!FZ26</f>
        <v>100</v>
      </c>
      <c r="ES36" s="764">
        <f>GEntry!FU26</f>
        <v>0</v>
      </c>
      <c r="ET36" s="764">
        <f>GEntry!FV26</f>
        <v>0</v>
      </c>
      <c r="EU36" s="764">
        <f>GEntry!FW26</f>
        <v>0</v>
      </c>
      <c r="EV36" s="764">
        <f>GEntry!FY26</f>
        <v>34</v>
      </c>
      <c r="EW36" s="764">
        <f>GEntry!FX26</f>
        <v>0</v>
      </c>
      <c r="EX36" s="764">
        <f>GEntry!FR26</f>
        <v>22</v>
      </c>
      <c r="EY36" s="764">
        <f>GEntry!FS26</f>
        <v>0</v>
      </c>
      <c r="EZ36" s="764">
        <f>GEntry!FT26</f>
        <v>8</v>
      </c>
      <c r="FA36" s="1155">
        <f>GEntry!FB26</f>
        <v>0</v>
      </c>
      <c r="FB36" s="1155">
        <f>GEntry!FC26</f>
        <v>0</v>
      </c>
      <c r="FC36" s="1155">
        <f>GEntry!FD26</f>
        <v>200</v>
      </c>
      <c r="FD36" s="764">
        <f>GEntry!GD26</f>
        <v>0</v>
      </c>
      <c r="FE36" s="765">
        <f>GEntry!GE26</f>
        <v>0</v>
      </c>
      <c r="FF36" s="765">
        <f>GEntry!FI26</f>
        <v>0</v>
      </c>
      <c r="FG36" s="765">
        <f>GEntry!FJ26</f>
        <v>0</v>
      </c>
      <c r="FH36" s="765">
        <f>GEntry!FK26</f>
        <v>0</v>
      </c>
      <c r="FI36" s="765">
        <f>GEntry!FL26</f>
        <v>0</v>
      </c>
      <c r="FJ36" s="765">
        <f>GEntry!EP26</f>
        <v>11</v>
      </c>
      <c r="FK36" s="765">
        <f>GEntry!ES26</f>
        <v>0</v>
      </c>
      <c r="FL36" s="763">
        <f>GEntry!FM26</f>
        <v>192</v>
      </c>
      <c r="FM36" s="765">
        <f>GEntry!FN26</f>
        <v>0</v>
      </c>
      <c r="FN36" s="764">
        <f>GEntry!FO26</f>
        <v>420</v>
      </c>
      <c r="FO36" s="1687">
        <f>GEntry!EH26</f>
        <v>105</v>
      </c>
      <c r="FP36" s="1689">
        <f>GEntry!GA26</f>
        <v>0</v>
      </c>
      <c r="FQ36" s="1694">
        <f>GEntry!GB26</f>
        <v>113</v>
      </c>
      <c r="FR36" s="1877">
        <f>GEntry!EW26</f>
        <v>0</v>
      </c>
      <c r="FS36" s="1981">
        <f>GEntry!GF26</f>
        <v>112</v>
      </c>
      <c r="FT36" s="1983">
        <f>GEntry!FP26</f>
        <v>0</v>
      </c>
      <c r="FU36" s="2154">
        <f>GEntry!GG26</f>
        <v>0</v>
      </c>
      <c r="FV36" s="3143">
        <f>GEntry!GC26</f>
        <v>113</v>
      </c>
      <c r="FW36" s="764">
        <f>GEntry!EZ26</f>
        <v>280</v>
      </c>
      <c r="FX36" s="3685">
        <f>GEntry!EL26</f>
        <v>224</v>
      </c>
      <c r="FY36" s="3758">
        <f>GEntry!EM26</f>
        <v>0</v>
      </c>
      <c r="FZ36" s="3760">
        <f>GEntry!EK26</f>
        <v>0</v>
      </c>
      <c r="GA36" s="4897">
        <f>GEntry!FH26</f>
        <v>0</v>
      </c>
      <c r="GB36" s="4984">
        <f>GEntry!EI26</f>
        <v>0</v>
      </c>
      <c r="GC36" s="3685">
        <f>GEntry!GH26</f>
        <v>0</v>
      </c>
      <c r="GD36" s="993"/>
      <c r="GE36" s="910">
        <f t="shared" si="12"/>
        <v>5278</v>
      </c>
      <c r="GF36" s="909">
        <f t="shared" si="6"/>
        <v>2715</v>
      </c>
      <c r="GG36" s="906">
        <f t="shared" si="7"/>
        <v>7993</v>
      </c>
      <c r="GH36" s="650">
        <f t="shared" si="8"/>
        <v>2385</v>
      </c>
      <c r="GI36" s="650">
        <f t="shared" si="0"/>
        <v>657</v>
      </c>
      <c r="GJ36" s="650">
        <f t="shared" si="13"/>
        <v>1777</v>
      </c>
      <c r="GK36" s="650">
        <f t="shared" si="9"/>
        <v>0</v>
      </c>
      <c r="GL36" s="650">
        <f t="shared" si="1"/>
        <v>2412</v>
      </c>
      <c r="GM36" s="650">
        <f t="shared" si="2"/>
        <v>480</v>
      </c>
      <c r="GN36" s="650">
        <f t="shared" si="3"/>
        <v>86</v>
      </c>
      <c r="GO36" s="650">
        <f t="shared" si="10"/>
        <v>0</v>
      </c>
      <c r="GP36" s="650">
        <f t="shared" si="11"/>
        <v>110</v>
      </c>
      <c r="GQ36" s="650">
        <f t="shared" si="4"/>
        <v>86</v>
      </c>
      <c r="GR36" s="905">
        <f t="shared" si="5"/>
        <v>0</v>
      </c>
      <c r="GS36" s="904">
        <f>FWise!M28</f>
        <v>0</v>
      </c>
      <c r="GT36" s="3543">
        <f>GEntry!GL26</f>
        <v>97.34</v>
      </c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ht="24" customHeight="1" thickBot="1">
      <c r="A37" s="609">
        <v>0.91666666666666663</v>
      </c>
      <c r="B37" s="761">
        <f>GEntry!W27</f>
        <v>0</v>
      </c>
      <c r="C37" s="758">
        <f>GEntry!X27</f>
        <v>0</v>
      </c>
      <c r="D37" s="758">
        <f>GEntry!Y27</f>
        <v>240</v>
      </c>
      <c r="E37" s="758">
        <f>GEntry!Z27</f>
        <v>0</v>
      </c>
      <c r="F37" s="759">
        <f>GEntry!AB27</f>
        <v>0</v>
      </c>
      <c r="G37" s="759">
        <f>GEntry!BY27</f>
        <v>0</v>
      </c>
      <c r="H37" s="758">
        <f>GEntry!CS27</f>
        <v>0</v>
      </c>
      <c r="I37" s="758">
        <f>GEntry!AO27</f>
        <v>0</v>
      </c>
      <c r="J37" s="758">
        <f>GEntry!AQ27</f>
        <v>224</v>
      </c>
      <c r="K37" s="758"/>
      <c r="L37" s="758">
        <f>GEntry!AN27</f>
        <v>0</v>
      </c>
      <c r="M37" s="758">
        <f>GEntry!AP27</f>
        <v>180</v>
      </c>
      <c r="N37" s="758">
        <f>GEntry!CP27</f>
        <v>0</v>
      </c>
      <c r="O37" s="758">
        <f>GEntry!CQ27</f>
        <v>0</v>
      </c>
      <c r="P37" s="758">
        <f>GEntry!CL27</f>
        <v>0</v>
      </c>
      <c r="Q37" s="758">
        <f>GEntry!DC27</f>
        <v>0</v>
      </c>
      <c r="R37" s="758">
        <f>GEntry!T27</f>
        <v>0</v>
      </c>
      <c r="S37" s="758">
        <f>GEntry!R27</f>
        <v>0</v>
      </c>
      <c r="T37" s="758">
        <f>GEntry!S27</f>
        <v>0</v>
      </c>
      <c r="U37" s="758">
        <f>GEntry!CC27</f>
        <v>0</v>
      </c>
      <c r="V37" s="759">
        <f>GEntry!CX27</f>
        <v>7</v>
      </c>
      <c r="W37" s="758">
        <f>GEntry!CE27</f>
        <v>0</v>
      </c>
      <c r="X37" s="758">
        <f>GEntry!CO27</f>
        <v>0</v>
      </c>
      <c r="Y37" s="758">
        <f>GEntry!DB27</f>
        <v>0</v>
      </c>
      <c r="Z37" s="758">
        <f>GEntry!CM27</f>
        <v>0</v>
      </c>
      <c r="AA37" s="758">
        <f>GEntry!DA27</f>
        <v>0</v>
      </c>
      <c r="AB37" s="758">
        <f>GEntry!DG27</f>
        <v>35</v>
      </c>
      <c r="AC37" s="758">
        <f>GEntry!DD27</f>
        <v>55</v>
      </c>
      <c r="AD37" s="758">
        <f>GEntry!BJ27</f>
        <v>35</v>
      </c>
      <c r="AE37" s="758">
        <f>GEntry!BM27</f>
        <v>16</v>
      </c>
      <c r="AF37" s="758">
        <f>GEntry!BU27</f>
        <v>25</v>
      </c>
      <c r="AG37" s="758">
        <f>GEntry!BV27</f>
        <v>9</v>
      </c>
      <c r="AH37" s="758">
        <f>GEntry!BW27</f>
        <v>16</v>
      </c>
      <c r="AI37" s="758">
        <f>GEntry!BX27</f>
        <v>33</v>
      </c>
      <c r="AJ37" s="758">
        <f>GEntry!CD27</f>
        <v>0</v>
      </c>
      <c r="AK37" s="758">
        <f>GEntry!AM27</f>
        <v>0</v>
      </c>
      <c r="AL37" s="1157">
        <f>GEntry!B27</f>
        <v>46</v>
      </c>
      <c r="AM37" s="1157">
        <f>GEntry!C27</f>
        <v>40</v>
      </c>
      <c r="AN37" s="758">
        <f>GEntry!D27</f>
        <v>0</v>
      </c>
      <c r="AO37" s="758">
        <f>GEntry!E27</f>
        <v>0</v>
      </c>
      <c r="AP37" s="758">
        <f>GEntry!F27</f>
        <v>0</v>
      </c>
      <c r="AQ37" s="758">
        <f>GEntry!H27</f>
        <v>0</v>
      </c>
      <c r="AR37" s="758">
        <f>GEntry!I27</f>
        <v>0</v>
      </c>
      <c r="AS37" s="758">
        <f>GEntry!K27</f>
        <v>0</v>
      </c>
      <c r="AT37" s="758">
        <f>GEntry!L27</f>
        <v>0</v>
      </c>
      <c r="AU37" s="758"/>
      <c r="AV37" s="758">
        <f>GEntry!BK27</f>
        <v>22</v>
      </c>
      <c r="AW37" s="758">
        <f>GEntry!N27</f>
        <v>0</v>
      </c>
      <c r="AX37" s="758">
        <f>GEntry!M27</f>
        <v>0</v>
      </c>
      <c r="AY37" s="758">
        <f>GEntry!CU27</f>
        <v>0</v>
      </c>
      <c r="AZ37" s="758">
        <f>GEntry!CZ27</f>
        <v>12</v>
      </c>
      <c r="BA37" s="758">
        <f>GEntry!CY27</f>
        <v>0</v>
      </c>
      <c r="BB37" s="758">
        <f>GEntry!BL27</f>
        <v>21</v>
      </c>
      <c r="BC37" s="758">
        <f>GEntry!BP27</f>
        <v>16</v>
      </c>
      <c r="BD37" s="758">
        <f>GEntry!AD27</f>
        <v>0</v>
      </c>
      <c r="BE37" s="758">
        <f>GEntry!AE27</f>
        <v>0</v>
      </c>
      <c r="BF37" s="758">
        <f>GEntry!AF27</f>
        <v>80</v>
      </c>
      <c r="BG37" s="758">
        <f>GEntry!AJ27</f>
        <v>150</v>
      </c>
      <c r="BH37" s="758">
        <f>GEntry!AI27</f>
        <v>310</v>
      </c>
      <c r="BI37" s="758">
        <f>GEntry!AH27</f>
        <v>144</v>
      </c>
      <c r="BJ37" s="758">
        <f>GEntry!V27</f>
        <v>8</v>
      </c>
      <c r="BK37" s="758">
        <f>GEntry!AL27</f>
        <v>136</v>
      </c>
      <c r="BL37" s="758">
        <f>GEntry!AG27</f>
        <v>3</v>
      </c>
      <c r="BM37" s="758">
        <f>GEntry!AK27</f>
        <v>5</v>
      </c>
      <c r="BN37" s="758">
        <f>GEntry!CT27</f>
        <v>0</v>
      </c>
      <c r="BO37" s="759">
        <f>GEntry!CW27</f>
        <v>51</v>
      </c>
      <c r="BP37" s="759">
        <f>GEntry!CN27</f>
        <v>0</v>
      </c>
      <c r="BQ37" s="759">
        <f>GEntry!Q27</f>
        <v>0</v>
      </c>
      <c r="BR37" s="758">
        <f>GEntry!CG27</f>
        <v>8</v>
      </c>
      <c r="BS37" s="759">
        <f>GEntry!BQ27</f>
        <v>21</v>
      </c>
      <c r="BT37" s="759">
        <f>GEntry!BR27</f>
        <v>11</v>
      </c>
      <c r="BU37" s="759">
        <f>GEntry!BS27</f>
        <v>33</v>
      </c>
      <c r="BV37" s="759">
        <f>GEntry!BT27</f>
        <v>9</v>
      </c>
      <c r="BW37" s="749">
        <f>GEntry!BO27</f>
        <v>84</v>
      </c>
      <c r="BX37" s="759">
        <f>GEntry!AR27</f>
        <v>50</v>
      </c>
      <c r="BY37" s="759">
        <f>GEntry!CF27</f>
        <v>0</v>
      </c>
      <c r="BZ37" s="759">
        <f>GEntry!BN27</f>
        <v>22</v>
      </c>
      <c r="CA37" s="1159">
        <f>GEntry!DF27</f>
        <v>0</v>
      </c>
      <c r="CB37" s="759">
        <f>GEntry!AT27</f>
        <v>43</v>
      </c>
      <c r="CC37" s="759">
        <f>GEntry!AU27</f>
        <v>0</v>
      </c>
      <c r="CD37" s="759">
        <f>GEntry!BF27</f>
        <v>51</v>
      </c>
      <c r="CE37" s="759">
        <f>GEntry!CV27</f>
        <v>0</v>
      </c>
      <c r="CF37" s="759">
        <f>GEntry!DE27</f>
        <v>130</v>
      </c>
      <c r="CG37" s="759">
        <f>GEntry!AV27</f>
        <v>0</v>
      </c>
      <c r="CH37" s="759">
        <f>GEntry!AW27</f>
        <v>69</v>
      </c>
      <c r="CI37" s="759">
        <f>GEntry!AX27</f>
        <v>79</v>
      </c>
      <c r="CJ37" s="759">
        <f>GEntry!AZ27</f>
        <v>0</v>
      </c>
      <c r="CK37" s="759">
        <f>GEntry!BA27</f>
        <v>190</v>
      </c>
      <c r="CL37" s="759">
        <f>GEntry!BB27</f>
        <v>18</v>
      </c>
      <c r="CM37" s="759">
        <f>GEntry!BC27</f>
        <v>0</v>
      </c>
      <c r="CN37" s="759">
        <f>GEntry!BD27</f>
        <v>10</v>
      </c>
      <c r="CO37" s="759">
        <f>GEntry!BH27</f>
        <v>290</v>
      </c>
      <c r="CP37" s="759">
        <f>GEntry!BG27</f>
        <v>16</v>
      </c>
      <c r="CQ37" s="986">
        <f>GEntry!BE27</f>
        <v>11</v>
      </c>
      <c r="CR37" s="986">
        <f>GEntry!P27</f>
        <v>0</v>
      </c>
      <c r="CS37" s="986">
        <f>GEntry!U27</f>
        <v>195</v>
      </c>
      <c r="CT37" s="759">
        <f>GEntry!DH27</f>
        <v>0</v>
      </c>
      <c r="CU37" s="986">
        <f>GEntry!DI27</f>
        <v>0</v>
      </c>
      <c r="CV37" s="986">
        <f>GEntry!DJ27</f>
        <v>183</v>
      </c>
      <c r="CW37" s="759">
        <f>GEntry!DK27</f>
        <v>0</v>
      </c>
      <c r="CX37" s="986">
        <f>GEntry!DL27</f>
        <v>0</v>
      </c>
      <c r="CY37" s="986">
        <f>GEntry!G27</f>
        <v>0</v>
      </c>
      <c r="CZ37" s="986">
        <f>GEntry!DM27</f>
        <v>90</v>
      </c>
      <c r="DA37" s="759">
        <f>GEntry!DN27</f>
        <v>17</v>
      </c>
      <c r="DB37" s="1667">
        <f>GEntry!DO27</f>
        <v>142</v>
      </c>
      <c r="DC37" s="1652">
        <f>GEntry!DP27</f>
        <v>0</v>
      </c>
      <c r="DD37" s="1760">
        <f>GEntry!DQ27</f>
        <v>85</v>
      </c>
      <c r="DE37" s="1759">
        <f>GEntry!CH27</f>
        <v>105</v>
      </c>
      <c r="DF37" s="1864">
        <f>GEntry!O27</f>
        <v>34</v>
      </c>
      <c r="DG37" s="1857">
        <f>GEntry!CI27</f>
        <v>0</v>
      </c>
      <c r="DH37" s="2064">
        <f>GEntry!DR27</f>
        <v>0</v>
      </c>
      <c r="DI37" s="2065">
        <f>GEntry!CJ27</f>
        <v>54</v>
      </c>
      <c r="DJ37" s="2077">
        <f>GEntry!CK27</f>
        <v>110</v>
      </c>
      <c r="DK37" s="3078">
        <f>GEntry!BZ27</f>
        <v>0</v>
      </c>
      <c r="DL37" s="3370">
        <f>GEntry!CA27</f>
        <v>108</v>
      </c>
      <c r="DM37" s="3079">
        <f>GEntry!DS27</f>
        <v>70</v>
      </c>
      <c r="DN37" s="3517">
        <f>GEntry!BI27</f>
        <v>402</v>
      </c>
      <c r="DO37" s="3518">
        <f>GEntry!CR27</f>
        <v>104</v>
      </c>
      <c r="DP37" s="3720">
        <f>GEntry!AS27</f>
        <v>0</v>
      </c>
      <c r="DQ37" s="3777">
        <f>GEntry!CB27</f>
        <v>54</v>
      </c>
      <c r="DR37" s="3848">
        <f>GEntry!DT27</f>
        <v>116</v>
      </c>
      <c r="DS37" s="3850">
        <f>GEntry!AY27</f>
        <v>0</v>
      </c>
      <c r="DT37" s="4039">
        <f>GEntry!DU27</f>
        <v>17</v>
      </c>
      <c r="DU37" s="4041">
        <f>GEntry!DV27</f>
        <v>0</v>
      </c>
      <c r="DV37" s="4793">
        <f>GEntry!DW27</f>
        <v>0</v>
      </c>
      <c r="DW37" s="4793">
        <f>GEntry!DX27</f>
        <v>55</v>
      </c>
      <c r="DX37" s="990"/>
      <c r="DY37" s="767">
        <f>GEntry!EX27</f>
        <v>658</v>
      </c>
      <c r="DZ37" s="764">
        <f>GEntry!EV27</f>
        <v>0</v>
      </c>
      <c r="EA37" s="764">
        <f>GEntry!EY27</f>
        <v>0</v>
      </c>
      <c r="EB37" s="764">
        <f>GEntry!EB27</f>
        <v>0</v>
      </c>
      <c r="EC37" s="764">
        <f>GEntry!EC27</f>
        <v>0</v>
      </c>
      <c r="ED37" s="764">
        <f>GEntry!EG27</f>
        <v>0</v>
      </c>
      <c r="EE37" s="764">
        <f>GEntry!EA27</f>
        <v>0</v>
      </c>
      <c r="EF37" s="764">
        <f>GEntry!EE27</f>
        <v>0</v>
      </c>
      <c r="EG37" s="764">
        <f>GEntry!EF27</f>
        <v>10</v>
      </c>
      <c r="EH37" s="764">
        <f>GEntry!EU27</f>
        <v>0</v>
      </c>
      <c r="EI37" s="764">
        <f>GEntry!ET27</f>
        <v>0</v>
      </c>
      <c r="EJ37" s="764">
        <f>GEntry!EQ27</f>
        <v>91</v>
      </c>
      <c r="EK37" s="764">
        <f>GEntry!ER27</f>
        <v>23</v>
      </c>
      <c r="EL37" s="764">
        <f>GEntry!EN27</f>
        <v>0</v>
      </c>
      <c r="EM37" s="764">
        <f>GEntry!EO27</f>
        <v>0</v>
      </c>
      <c r="EN37" s="764">
        <f>GEntry!FF27</f>
        <v>0</v>
      </c>
      <c r="EO37" s="764">
        <f>GEntry!FE27</f>
        <v>0</v>
      </c>
      <c r="EP37" s="764">
        <f>GEntry!FG27</f>
        <v>0</v>
      </c>
      <c r="EQ37" s="764">
        <f>GEntry!FQ27</f>
        <v>0</v>
      </c>
      <c r="ER37" s="764">
        <f>GEntry!FZ27</f>
        <v>100</v>
      </c>
      <c r="ES37" s="764">
        <f>GEntry!FU27</f>
        <v>0</v>
      </c>
      <c r="ET37" s="764">
        <f>GEntry!FV27</f>
        <v>0</v>
      </c>
      <c r="EU37" s="764">
        <f>GEntry!FW27</f>
        <v>0</v>
      </c>
      <c r="EV37" s="764">
        <f>GEntry!FY27</f>
        <v>34</v>
      </c>
      <c r="EW37" s="764">
        <f>GEntry!FX27</f>
        <v>0</v>
      </c>
      <c r="EX37" s="764">
        <f>GEntry!FR27</f>
        <v>22</v>
      </c>
      <c r="EY37" s="764">
        <f>GEntry!FS27</f>
        <v>0</v>
      </c>
      <c r="EZ37" s="764">
        <f>GEntry!FT27</f>
        <v>8</v>
      </c>
      <c r="FA37" s="1155">
        <f>GEntry!FB27</f>
        <v>0</v>
      </c>
      <c r="FB37" s="1155">
        <f>GEntry!FC27</f>
        <v>0</v>
      </c>
      <c r="FC37" s="1155">
        <f>GEntry!FD27</f>
        <v>199</v>
      </c>
      <c r="FD37" s="764">
        <f>GEntry!GD27</f>
        <v>0</v>
      </c>
      <c r="FE37" s="765">
        <f>GEntry!GE27</f>
        <v>0</v>
      </c>
      <c r="FF37" s="765">
        <f>GEntry!FI27</f>
        <v>0</v>
      </c>
      <c r="FG37" s="765">
        <f>GEntry!FJ27</f>
        <v>0</v>
      </c>
      <c r="FH37" s="765">
        <f>GEntry!FK27</f>
        <v>0</v>
      </c>
      <c r="FI37" s="765">
        <f>GEntry!FL27</f>
        <v>0</v>
      </c>
      <c r="FJ37" s="765">
        <f>GEntry!EP27</f>
        <v>11</v>
      </c>
      <c r="FK37" s="765">
        <f>GEntry!ES27</f>
        <v>0</v>
      </c>
      <c r="FL37" s="763">
        <f>GEntry!FM27</f>
        <v>186</v>
      </c>
      <c r="FM37" s="765">
        <f>GEntry!FN27</f>
        <v>0</v>
      </c>
      <c r="FN37" s="764">
        <f>GEntry!FO27</f>
        <v>400</v>
      </c>
      <c r="FO37" s="1687">
        <f>GEntry!EH27</f>
        <v>70</v>
      </c>
      <c r="FP37" s="1689">
        <f>GEntry!GA27</f>
        <v>0</v>
      </c>
      <c r="FQ37" s="1694">
        <f>GEntry!GB27</f>
        <v>113</v>
      </c>
      <c r="FR37" s="1877">
        <f>GEntry!EW27</f>
        <v>0</v>
      </c>
      <c r="FS37" s="1981">
        <f>GEntry!GF27</f>
        <v>112</v>
      </c>
      <c r="FT37" s="1983">
        <f>GEntry!FP27</f>
        <v>0</v>
      </c>
      <c r="FU37" s="2154">
        <f>GEntry!GG27</f>
        <v>0</v>
      </c>
      <c r="FV37" s="3143">
        <f>GEntry!GC27</f>
        <v>113</v>
      </c>
      <c r="FW37" s="764">
        <f>GEntry!EZ27</f>
        <v>380</v>
      </c>
      <c r="FX37" s="3685">
        <f>GEntry!EL27</f>
        <v>224</v>
      </c>
      <c r="FY37" s="3758">
        <f>GEntry!EM27</f>
        <v>0</v>
      </c>
      <c r="FZ37" s="3760">
        <f>GEntry!EK27</f>
        <v>0</v>
      </c>
      <c r="GA37" s="4897">
        <f>GEntry!FH27</f>
        <v>0</v>
      </c>
      <c r="GB37" s="4984">
        <f>GEntry!EI27</f>
        <v>0</v>
      </c>
      <c r="GC37" s="3685">
        <f>GEntry!GH27</f>
        <v>0</v>
      </c>
      <c r="GD37" s="993"/>
      <c r="GE37" s="910">
        <f t="shared" si="12"/>
        <v>5005</v>
      </c>
      <c r="GF37" s="909">
        <f t="shared" si="6"/>
        <v>2754</v>
      </c>
      <c r="GG37" s="906">
        <f t="shared" si="7"/>
        <v>7759</v>
      </c>
      <c r="GH37" s="650">
        <f t="shared" si="8"/>
        <v>2363</v>
      </c>
      <c r="GI37" s="650">
        <f t="shared" si="0"/>
        <v>658</v>
      </c>
      <c r="GJ37" s="650">
        <f t="shared" si="13"/>
        <v>1724</v>
      </c>
      <c r="GK37" s="650">
        <f t="shared" si="9"/>
        <v>0</v>
      </c>
      <c r="GL37" s="650">
        <f t="shared" si="1"/>
        <v>2155</v>
      </c>
      <c r="GM37" s="650">
        <f t="shared" si="2"/>
        <v>579</v>
      </c>
      <c r="GN37" s="650">
        <f t="shared" si="3"/>
        <v>86</v>
      </c>
      <c r="GO37" s="650">
        <f t="shared" si="10"/>
        <v>0</v>
      </c>
      <c r="GP37" s="650">
        <f t="shared" si="11"/>
        <v>110</v>
      </c>
      <c r="GQ37" s="650">
        <f t="shared" si="4"/>
        <v>84</v>
      </c>
      <c r="GR37" s="905">
        <f t="shared" si="5"/>
        <v>0</v>
      </c>
      <c r="GS37" s="904">
        <f>FWise!M29</f>
        <v>0</v>
      </c>
      <c r="GT37" s="3543">
        <f>GEntry!GL27</f>
        <v>97.33</v>
      </c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6"/>
      <c r="IW37" s="136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6"/>
    </row>
    <row r="38" spans="1:275" ht="21.75" customHeight="1" thickBot="1">
      <c r="A38" s="609">
        <v>0.95833333333333337</v>
      </c>
      <c r="B38" s="761">
        <f>GEntry!W28</f>
        <v>0</v>
      </c>
      <c r="C38" s="758">
        <f>GEntry!X28</f>
        <v>0</v>
      </c>
      <c r="D38" s="758">
        <f>GEntry!Y28</f>
        <v>240</v>
      </c>
      <c r="E38" s="758">
        <f>GEntry!Z28</f>
        <v>0</v>
      </c>
      <c r="F38" s="759">
        <f>GEntry!AB28</f>
        <v>0</v>
      </c>
      <c r="G38" s="759">
        <f>GEntry!BY28</f>
        <v>0</v>
      </c>
      <c r="H38" s="758">
        <f>GEntry!CS28</f>
        <v>0</v>
      </c>
      <c r="I38" s="758">
        <f>GEntry!AO28</f>
        <v>0</v>
      </c>
      <c r="J38" s="758">
        <f>GEntry!AQ28</f>
        <v>230</v>
      </c>
      <c r="K38" s="758"/>
      <c r="L38" s="758">
        <f>GEntry!AN28</f>
        <v>0</v>
      </c>
      <c r="M38" s="758">
        <f>GEntry!AP28</f>
        <v>180</v>
      </c>
      <c r="N38" s="758">
        <f>GEntry!CP28</f>
        <v>0</v>
      </c>
      <c r="O38" s="758">
        <f>GEntry!CQ28</f>
        <v>0</v>
      </c>
      <c r="P38" s="758">
        <f>GEntry!CL28</f>
        <v>0</v>
      </c>
      <c r="Q38" s="758">
        <f>GEntry!DC28</f>
        <v>0</v>
      </c>
      <c r="R38" s="758">
        <f>GEntry!T28</f>
        <v>0</v>
      </c>
      <c r="S38" s="758">
        <f>GEntry!R28</f>
        <v>0</v>
      </c>
      <c r="T38" s="758">
        <f>GEntry!S28</f>
        <v>0</v>
      </c>
      <c r="U38" s="758">
        <f>GEntry!CC28</f>
        <v>0</v>
      </c>
      <c r="V38" s="759">
        <f>GEntry!CX28</f>
        <v>0</v>
      </c>
      <c r="W38" s="758">
        <f>GEntry!CE28</f>
        <v>0</v>
      </c>
      <c r="X38" s="758">
        <f>GEntry!CO28</f>
        <v>0</v>
      </c>
      <c r="Y38" s="758">
        <f>GEntry!DB28</f>
        <v>0</v>
      </c>
      <c r="Z38" s="758">
        <f>GEntry!CM28</f>
        <v>0</v>
      </c>
      <c r="AA38" s="758">
        <f>GEntry!DA28</f>
        <v>0</v>
      </c>
      <c r="AB38" s="758">
        <f>GEntry!DG28</f>
        <v>35</v>
      </c>
      <c r="AC38" s="758">
        <f>GEntry!DD28</f>
        <v>55</v>
      </c>
      <c r="AD38" s="758">
        <f>GEntry!BJ28</f>
        <v>35</v>
      </c>
      <c r="AE38" s="758">
        <f>GEntry!BM28</f>
        <v>16</v>
      </c>
      <c r="AF38" s="758">
        <f>GEntry!BU28</f>
        <v>25</v>
      </c>
      <c r="AG38" s="758">
        <f>GEntry!BV28</f>
        <v>9</v>
      </c>
      <c r="AH38" s="758">
        <f>GEntry!BW28</f>
        <v>16</v>
      </c>
      <c r="AI38" s="758">
        <f>GEntry!BX28</f>
        <v>33</v>
      </c>
      <c r="AJ38" s="758">
        <f>GEntry!CD28</f>
        <v>0</v>
      </c>
      <c r="AK38" s="758">
        <f>GEntry!AM28</f>
        <v>0</v>
      </c>
      <c r="AL38" s="1157">
        <f>GEntry!B28</f>
        <v>37</v>
      </c>
      <c r="AM38" s="1157">
        <f>GEntry!C28</f>
        <v>40</v>
      </c>
      <c r="AN38" s="758">
        <f>GEntry!D28</f>
        <v>0</v>
      </c>
      <c r="AO38" s="758">
        <f>GEntry!E28</f>
        <v>0</v>
      </c>
      <c r="AP38" s="758">
        <f>GEntry!F28</f>
        <v>0</v>
      </c>
      <c r="AQ38" s="758">
        <f>GEntry!H28</f>
        <v>0</v>
      </c>
      <c r="AR38" s="758">
        <f>GEntry!I28</f>
        <v>0</v>
      </c>
      <c r="AS38" s="758">
        <f>GEntry!K28</f>
        <v>0</v>
      </c>
      <c r="AT38" s="758">
        <f>GEntry!L28</f>
        <v>0</v>
      </c>
      <c r="AU38" s="758"/>
      <c r="AV38" s="758">
        <f>GEntry!BK28</f>
        <v>22</v>
      </c>
      <c r="AW38" s="758">
        <f>GEntry!N28</f>
        <v>0</v>
      </c>
      <c r="AX38" s="758">
        <f>GEntry!M28</f>
        <v>0</v>
      </c>
      <c r="AY38" s="758">
        <f>GEntry!CU28</f>
        <v>0</v>
      </c>
      <c r="AZ38" s="758">
        <f>GEntry!CZ28</f>
        <v>12</v>
      </c>
      <c r="BA38" s="758">
        <f>GEntry!CY28</f>
        <v>0</v>
      </c>
      <c r="BB38" s="758">
        <f>GEntry!BL28</f>
        <v>21</v>
      </c>
      <c r="BC38" s="758">
        <f>GEntry!BP28</f>
        <v>16</v>
      </c>
      <c r="BD38" s="758">
        <f>GEntry!AD28</f>
        <v>0</v>
      </c>
      <c r="BE38" s="758">
        <f>GEntry!AE28</f>
        <v>0</v>
      </c>
      <c r="BF38" s="758">
        <f>GEntry!AF28</f>
        <v>80</v>
      </c>
      <c r="BG38" s="758">
        <f>GEntry!AJ28</f>
        <v>150</v>
      </c>
      <c r="BH38" s="758">
        <f>GEntry!AI28</f>
        <v>310</v>
      </c>
      <c r="BI38" s="758">
        <f>GEntry!AH28</f>
        <v>142</v>
      </c>
      <c r="BJ38" s="758">
        <f>GEntry!V28</f>
        <v>8</v>
      </c>
      <c r="BK38" s="758">
        <f>GEntry!AL28</f>
        <v>133</v>
      </c>
      <c r="BL38" s="758">
        <f>GEntry!AG28</f>
        <v>3</v>
      </c>
      <c r="BM38" s="758">
        <f>GEntry!AK28</f>
        <v>5</v>
      </c>
      <c r="BN38" s="758">
        <f>GEntry!CT28</f>
        <v>0</v>
      </c>
      <c r="BO38" s="759">
        <f>GEntry!CW28</f>
        <v>51</v>
      </c>
      <c r="BP38" s="759">
        <f>GEntry!CN28</f>
        <v>0</v>
      </c>
      <c r="BQ38" s="759">
        <f>GEntry!Q28</f>
        <v>0</v>
      </c>
      <c r="BR38" s="758">
        <f>GEntry!CG28</f>
        <v>8</v>
      </c>
      <c r="BS38" s="759">
        <f>GEntry!BQ28</f>
        <v>21</v>
      </c>
      <c r="BT38" s="759">
        <f>GEntry!BR28</f>
        <v>11</v>
      </c>
      <c r="BU38" s="759">
        <f>GEntry!BS28</f>
        <v>33</v>
      </c>
      <c r="BV38" s="759">
        <f>GEntry!BT28</f>
        <v>9</v>
      </c>
      <c r="BW38" s="749">
        <f>GEntry!BO28</f>
        <v>76</v>
      </c>
      <c r="BX38" s="759">
        <f>GEntry!AR28</f>
        <v>52</v>
      </c>
      <c r="BY38" s="759">
        <f>GEntry!CF28</f>
        <v>0</v>
      </c>
      <c r="BZ38" s="759">
        <f>GEntry!BN28</f>
        <v>22</v>
      </c>
      <c r="CA38" s="1159">
        <f>GEntry!DF28</f>
        <v>0</v>
      </c>
      <c r="CB38" s="759">
        <f>GEntry!AT28</f>
        <v>42</v>
      </c>
      <c r="CC38" s="759">
        <f>GEntry!AU28</f>
        <v>0</v>
      </c>
      <c r="CD38" s="759">
        <f>GEntry!BF28</f>
        <v>50</v>
      </c>
      <c r="CE38" s="759">
        <f>GEntry!CV28</f>
        <v>0</v>
      </c>
      <c r="CF38" s="759">
        <f>GEntry!DE28</f>
        <v>130</v>
      </c>
      <c r="CG38" s="759">
        <f>GEntry!AV28</f>
        <v>0</v>
      </c>
      <c r="CH38" s="759">
        <f>GEntry!AW28</f>
        <v>71</v>
      </c>
      <c r="CI38" s="759">
        <f>GEntry!AX28</f>
        <v>79</v>
      </c>
      <c r="CJ38" s="759">
        <f>GEntry!AZ28</f>
        <v>0</v>
      </c>
      <c r="CK38" s="759">
        <f>GEntry!BA28</f>
        <v>190</v>
      </c>
      <c r="CL38" s="759">
        <f>GEntry!BB28</f>
        <v>18</v>
      </c>
      <c r="CM38" s="759">
        <f>GEntry!BC28</f>
        <v>0</v>
      </c>
      <c r="CN38" s="759">
        <f>GEntry!BD28</f>
        <v>10</v>
      </c>
      <c r="CO38" s="759">
        <f>GEntry!BH28</f>
        <v>295</v>
      </c>
      <c r="CP38" s="759">
        <f>GEntry!BG28</f>
        <v>22</v>
      </c>
      <c r="CQ38" s="986">
        <f>GEntry!BE28</f>
        <v>11</v>
      </c>
      <c r="CR38" s="986">
        <f>GEntry!P28</f>
        <v>0</v>
      </c>
      <c r="CS38" s="986">
        <f>GEntry!U28</f>
        <v>145</v>
      </c>
      <c r="CT38" s="759">
        <f>GEntry!DH28</f>
        <v>0</v>
      </c>
      <c r="CU38" s="986">
        <f>GEntry!DI28</f>
        <v>0</v>
      </c>
      <c r="CV38" s="986">
        <f>GEntry!DJ28</f>
        <v>200</v>
      </c>
      <c r="CW38" s="759">
        <f>GEntry!DK28</f>
        <v>0</v>
      </c>
      <c r="CX38" s="986">
        <f>GEntry!DL28</f>
        <v>0</v>
      </c>
      <c r="CY38" s="986">
        <f>GEntry!G28</f>
        <v>0</v>
      </c>
      <c r="CZ38" s="986">
        <f>GEntry!DM28</f>
        <v>90</v>
      </c>
      <c r="DA38" s="759">
        <f>GEntry!DN28</f>
        <v>0</v>
      </c>
      <c r="DB38" s="1667">
        <f>GEntry!DO28</f>
        <v>138</v>
      </c>
      <c r="DC38" s="1652">
        <f>GEntry!DP28</f>
        <v>0</v>
      </c>
      <c r="DD38" s="1760">
        <f>GEntry!DQ28</f>
        <v>55</v>
      </c>
      <c r="DE38" s="1759">
        <f>GEntry!CH28</f>
        <v>70</v>
      </c>
      <c r="DF38" s="1864">
        <f>GEntry!O28</f>
        <v>34</v>
      </c>
      <c r="DG38" s="1857">
        <f>GEntry!CI28</f>
        <v>0</v>
      </c>
      <c r="DH38" s="2064">
        <f>GEntry!DR28</f>
        <v>0</v>
      </c>
      <c r="DI38" s="2065">
        <f>GEntry!CJ28</f>
        <v>54</v>
      </c>
      <c r="DJ38" s="2077">
        <f>GEntry!CK28</f>
        <v>110</v>
      </c>
      <c r="DK38" s="3078">
        <f>GEntry!BZ28</f>
        <v>0</v>
      </c>
      <c r="DL38" s="3370">
        <f>GEntry!CA28</f>
        <v>75</v>
      </c>
      <c r="DM38" s="3079">
        <f>GEntry!DS28</f>
        <v>50</v>
      </c>
      <c r="DN38" s="3517">
        <f>GEntry!BI28</f>
        <v>400</v>
      </c>
      <c r="DO38" s="3518">
        <f>GEntry!CR28</f>
        <v>72</v>
      </c>
      <c r="DP38" s="3720">
        <f>GEntry!AS28</f>
        <v>0</v>
      </c>
      <c r="DQ38" s="3777">
        <f>GEntry!CB28</f>
        <v>54</v>
      </c>
      <c r="DR38" s="3848">
        <f>GEntry!DT28</f>
        <v>116</v>
      </c>
      <c r="DS38" s="3850">
        <f>GEntry!AY28</f>
        <v>0</v>
      </c>
      <c r="DT38" s="4039">
        <f>GEntry!DU28</f>
        <v>17</v>
      </c>
      <c r="DU38" s="4041">
        <f>GEntry!DV28</f>
        <v>0</v>
      </c>
      <c r="DV38" s="4793">
        <f>GEntry!DW28</f>
        <v>0</v>
      </c>
      <c r="DW38" s="4793">
        <f>GEntry!DX28</f>
        <v>55</v>
      </c>
      <c r="DX38" s="990"/>
      <c r="DY38" s="767">
        <f>GEntry!EX28</f>
        <v>610</v>
      </c>
      <c r="DZ38" s="764">
        <f>GEntry!EV28</f>
        <v>0</v>
      </c>
      <c r="EA38" s="764">
        <f>GEntry!EY28</f>
        <v>0</v>
      </c>
      <c r="EB38" s="764">
        <f>GEntry!EB28</f>
        <v>0</v>
      </c>
      <c r="EC38" s="764">
        <f>GEntry!EC28</f>
        <v>0</v>
      </c>
      <c r="ED38" s="764">
        <f>GEntry!EG28</f>
        <v>0</v>
      </c>
      <c r="EE38" s="764">
        <f>GEntry!EA28</f>
        <v>0</v>
      </c>
      <c r="EF38" s="764">
        <f>GEntry!EE28</f>
        <v>0</v>
      </c>
      <c r="EG38" s="764">
        <f>GEntry!EF28</f>
        <v>8</v>
      </c>
      <c r="EH38" s="764">
        <f>GEntry!EU28</f>
        <v>0</v>
      </c>
      <c r="EI38" s="764">
        <f>GEntry!ET28</f>
        <v>0</v>
      </c>
      <c r="EJ38" s="764">
        <f>GEntry!EQ28</f>
        <v>91</v>
      </c>
      <c r="EK38" s="764">
        <f>GEntry!ER28</f>
        <v>22</v>
      </c>
      <c r="EL38" s="764">
        <f>GEntry!EN28</f>
        <v>0</v>
      </c>
      <c r="EM38" s="764">
        <f>GEntry!EO28</f>
        <v>0</v>
      </c>
      <c r="EN38" s="764">
        <f>GEntry!FF28</f>
        <v>0</v>
      </c>
      <c r="EO38" s="764">
        <f>GEntry!FE28</f>
        <v>0</v>
      </c>
      <c r="EP38" s="764">
        <f>GEntry!FG28</f>
        <v>0</v>
      </c>
      <c r="EQ38" s="764">
        <f>GEntry!FQ28</f>
        <v>0</v>
      </c>
      <c r="ER38" s="764">
        <f>GEntry!FZ28</f>
        <v>0</v>
      </c>
      <c r="ES38" s="764">
        <f>GEntry!FU28</f>
        <v>0</v>
      </c>
      <c r="ET38" s="764">
        <f>GEntry!FV28</f>
        <v>0</v>
      </c>
      <c r="EU38" s="764">
        <f>GEntry!FW28</f>
        <v>0</v>
      </c>
      <c r="EV38" s="764">
        <f>GEntry!FY28</f>
        <v>25</v>
      </c>
      <c r="EW38" s="764">
        <f>GEntry!FX28</f>
        <v>0</v>
      </c>
      <c r="EX38" s="764">
        <f>GEntry!FR28</f>
        <v>22</v>
      </c>
      <c r="EY38" s="764">
        <f>GEntry!FS28</f>
        <v>0</v>
      </c>
      <c r="EZ38" s="764">
        <f>GEntry!FT28</f>
        <v>8</v>
      </c>
      <c r="FA38" s="1155">
        <f>GEntry!FB28</f>
        <v>0</v>
      </c>
      <c r="FB38" s="1155">
        <f>GEntry!FC28</f>
        <v>0</v>
      </c>
      <c r="FC38" s="1155">
        <f>GEntry!FD28</f>
        <v>199</v>
      </c>
      <c r="FD38" s="764">
        <f>GEntry!GD28</f>
        <v>0</v>
      </c>
      <c r="FE38" s="765">
        <f>GEntry!GE28</f>
        <v>0</v>
      </c>
      <c r="FF38" s="765">
        <f>GEntry!FI28</f>
        <v>0</v>
      </c>
      <c r="FG38" s="765">
        <f>GEntry!FJ28</f>
        <v>0</v>
      </c>
      <c r="FH38" s="765">
        <f>GEntry!FK28</f>
        <v>0</v>
      </c>
      <c r="FI38" s="765">
        <f>GEntry!FL28</f>
        <v>0</v>
      </c>
      <c r="FJ38" s="765">
        <f>GEntry!EP28</f>
        <v>11</v>
      </c>
      <c r="FK38" s="765">
        <f>GEntry!ES28</f>
        <v>0</v>
      </c>
      <c r="FL38" s="763">
        <f>GEntry!FM28</f>
        <v>170</v>
      </c>
      <c r="FM38" s="765">
        <f>GEntry!FN28</f>
        <v>0</v>
      </c>
      <c r="FN38" s="764">
        <f>GEntry!FO28</f>
        <v>354</v>
      </c>
      <c r="FO38" s="1687">
        <f>GEntry!EH28</f>
        <v>35</v>
      </c>
      <c r="FP38" s="1689">
        <f>GEntry!GA28</f>
        <v>0</v>
      </c>
      <c r="FQ38" s="1694">
        <f>GEntry!GB28</f>
        <v>70</v>
      </c>
      <c r="FR38" s="1877">
        <f>GEntry!EW28</f>
        <v>0</v>
      </c>
      <c r="FS38" s="1981">
        <f>GEntry!GF28</f>
        <v>112</v>
      </c>
      <c r="FT38" s="1983">
        <f>GEntry!FP28</f>
        <v>0</v>
      </c>
      <c r="FU38" s="2154">
        <f>GEntry!GG28</f>
        <v>0</v>
      </c>
      <c r="FV38" s="3143">
        <f>GEntry!GC28</f>
        <v>113</v>
      </c>
      <c r="FW38" s="764">
        <f>GEntry!EZ28</f>
        <v>370</v>
      </c>
      <c r="FX38" s="3685">
        <f>GEntry!EL28</f>
        <v>223</v>
      </c>
      <c r="FY38" s="3758">
        <f>GEntry!EM28</f>
        <v>0</v>
      </c>
      <c r="FZ38" s="3760">
        <f>GEntry!EK28</f>
        <v>0</v>
      </c>
      <c r="GA38" s="4897">
        <f>GEntry!FH28</f>
        <v>0</v>
      </c>
      <c r="GB38" s="4984">
        <f>GEntry!EI28</f>
        <v>0</v>
      </c>
      <c r="GC38" s="3685">
        <f>GEntry!GH28</f>
        <v>0</v>
      </c>
      <c r="GD38" s="993"/>
      <c r="GE38" s="910">
        <f t="shared" si="12"/>
        <v>4789</v>
      </c>
      <c r="GF38" s="909">
        <f t="shared" si="6"/>
        <v>2443</v>
      </c>
      <c r="GG38" s="906">
        <f t="shared" si="7"/>
        <v>7232</v>
      </c>
      <c r="GH38" s="650">
        <f t="shared" si="8"/>
        <v>2349</v>
      </c>
      <c r="GI38" s="650">
        <f t="shared" si="0"/>
        <v>610</v>
      </c>
      <c r="GJ38" s="650">
        <f t="shared" si="13"/>
        <v>1686</v>
      </c>
      <c r="GK38" s="650">
        <f t="shared" si="9"/>
        <v>0</v>
      </c>
      <c r="GL38" s="650">
        <f t="shared" si="1"/>
        <v>1857</v>
      </c>
      <c r="GM38" s="650">
        <f t="shared" si="2"/>
        <v>569</v>
      </c>
      <c r="GN38" s="650">
        <f t="shared" si="3"/>
        <v>77</v>
      </c>
      <c r="GO38" s="650">
        <f t="shared" si="10"/>
        <v>0</v>
      </c>
      <c r="GP38" s="650">
        <f t="shared" si="11"/>
        <v>8</v>
      </c>
      <c r="GQ38" s="650">
        <f t="shared" si="4"/>
        <v>76</v>
      </c>
      <c r="GR38" s="905">
        <f t="shared" si="5"/>
        <v>0</v>
      </c>
      <c r="GS38" s="904">
        <f>FWise!M30</f>
        <v>0</v>
      </c>
      <c r="GT38" s="3543">
        <f>GEntry!GL28</f>
        <v>97.32</v>
      </c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6"/>
    </row>
    <row r="39" spans="1:275" ht="24.75" customHeight="1" thickBot="1">
      <c r="A39" s="610" t="s">
        <v>24</v>
      </c>
      <c r="B39" s="761">
        <f>GEntry!W29</f>
        <v>0</v>
      </c>
      <c r="C39" s="758">
        <f>GEntry!X29</f>
        <v>0</v>
      </c>
      <c r="D39" s="758">
        <f>GEntry!Y29</f>
        <v>240</v>
      </c>
      <c r="E39" s="758">
        <f>GEntry!Z29</f>
        <v>0</v>
      </c>
      <c r="F39" s="759">
        <f>GEntry!AB29</f>
        <v>0</v>
      </c>
      <c r="G39" s="759">
        <f>GEntry!BY29</f>
        <v>0</v>
      </c>
      <c r="H39" s="758">
        <f>GEntry!CS29</f>
        <v>0</v>
      </c>
      <c r="I39" s="758">
        <f>GEntry!AO29</f>
        <v>0</v>
      </c>
      <c r="J39" s="758">
        <f>GEntry!AQ29</f>
        <v>230</v>
      </c>
      <c r="K39" s="758"/>
      <c r="L39" s="758">
        <f>GEntry!AN29</f>
        <v>0</v>
      </c>
      <c r="M39" s="758">
        <f>GEntry!AP29</f>
        <v>180</v>
      </c>
      <c r="N39" s="758">
        <f>GEntry!CP29</f>
        <v>0</v>
      </c>
      <c r="O39" s="758">
        <f>GEntry!CQ29</f>
        <v>0</v>
      </c>
      <c r="P39" s="758">
        <f>GEntry!CL29</f>
        <v>0</v>
      </c>
      <c r="Q39" s="758">
        <f>GEntry!DC29</f>
        <v>0</v>
      </c>
      <c r="R39" s="758">
        <f>GEntry!T29</f>
        <v>0</v>
      </c>
      <c r="S39" s="758">
        <f>GEntry!R29</f>
        <v>0</v>
      </c>
      <c r="T39" s="758">
        <f>GEntry!S29</f>
        <v>0</v>
      </c>
      <c r="U39" s="758">
        <f>GEntry!CC29</f>
        <v>0</v>
      </c>
      <c r="V39" s="759">
        <f>GEntry!CX29</f>
        <v>0</v>
      </c>
      <c r="W39" s="758">
        <f>GEntry!CE29</f>
        <v>0</v>
      </c>
      <c r="X39" s="758">
        <f>GEntry!CO29</f>
        <v>0</v>
      </c>
      <c r="Y39" s="758">
        <f>GEntry!DB29</f>
        <v>0</v>
      </c>
      <c r="Z39" s="758">
        <f>GEntry!CM29</f>
        <v>0</v>
      </c>
      <c r="AA39" s="758">
        <f>GEntry!DA29</f>
        <v>0</v>
      </c>
      <c r="AB39" s="758">
        <f>GEntry!DG29</f>
        <v>35</v>
      </c>
      <c r="AC39" s="758">
        <f>GEntry!DD29</f>
        <v>55</v>
      </c>
      <c r="AD39" s="758">
        <f>GEntry!BJ29</f>
        <v>35</v>
      </c>
      <c r="AE39" s="758">
        <f>GEntry!BM29</f>
        <v>16</v>
      </c>
      <c r="AF39" s="758">
        <f>GEntry!BU29</f>
        <v>25</v>
      </c>
      <c r="AG39" s="758">
        <f>GEntry!BV29</f>
        <v>9</v>
      </c>
      <c r="AH39" s="758">
        <f>GEntry!BW29</f>
        <v>16</v>
      </c>
      <c r="AI39" s="758">
        <f>GEntry!BX29</f>
        <v>33</v>
      </c>
      <c r="AJ39" s="758">
        <f>GEntry!CD29</f>
        <v>0</v>
      </c>
      <c r="AK39" s="758">
        <f>GEntry!AM29</f>
        <v>0</v>
      </c>
      <c r="AL39" s="1157">
        <f>GEntry!B29</f>
        <v>35</v>
      </c>
      <c r="AM39" s="1157">
        <f>GEntry!C29</f>
        <v>40</v>
      </c>
      <c r="AN39" s="758">
        <f>GEntry!D29</f>
        <v>0</v>
      </c>
      <c r="AO39" s="758">
        <f>GEntry!E29</f>
        <v>0</v>
      </c>
      <c r="AP39" s="758">
        <f>GEntry!F29</f>
        <v>0</v>
      </c>
      <c r="AQ39" s="758">
        <f>GEntry!H29</f>
        <v>0</v>
      </c>
      <c r="AR39" s="758">
        <f>GEntry!I29</f>
        <v>0</v>
      </c>
      <c r="AS39" s="758">
        <f>GEntry!K29</f>
        <v>0</v>
      </c>
      <c r="AT39" s="758">
        <f>GEntry!L29</f>
        <v>0</v>
      </c>
      <c r="AU39" s="758"/>
      <c r="AV39" s="758">
        <f>GEntry!BK29</f>
        <v>22</v>
      </c>
      <c r="AW39" s="758">
        <f>GEntry!N29</f>
        <v>0</v>
      </c>
      <c r="AX39" s="758">
        <f>GEntry!M29</f>
        <v>0</v>
      </c>
      <c r="AY39" s="758">
        <f>GEntry!CU29</f>
        <v>0</v>
      </c>
      <c r="AZ39" s="758">
        <f>GEntry!CZ29</f>
        <v>12</v>
      </c>
      <c r="BA39" s="758">
        <f>GEntry!CY29</f>
        <v>0</v>
      </c>
      <c r="BB39" s="758">
        <f>GEntry!BL29</f>
        <v>21</v>
      </c>
      <c r="BC39" s="758">
        <f>GEntry!BP29</f>
        <v>30</v>
      </c>
      <c r="BD39" s="758">
        <f>GEntry!AD29</f>
        <v>0</v>
      </c>
      <c r="BE39" s="758">
        <f>GEntry!AE29</f>
        <v>0</v>
      </c>
      <c r="BF39" s="758">
        <f>GEntry!AF29</f>
        <v>80</v>
      </c>
      <c r="BG39" s="758">
        <f>GEntry!AJ29</f>
        <v>150</v>
      </c>
      <c r="BH39" s="758">
        <f>GEntry!AI29</f>
        <v>310</v>
      </c>
      <c r="BI39" s="758">
        <f>GEntry!AH29</f>
        <v>142</v>
      </c>
      <c r="BJ39" s="758">
        <f>GEntry!V29</f>
        <v>8</v>
      </c>
      <c r="BK39" s="758">
        <f>GEntry!AL29</f>
        <v>135</v>
      </c>
      <c r="BL39" s="758">
        <f>GEntry!AG29</f>
        <v>3</v>
      </c>
      <c r="BM39" s="758">
        <f>GEntry!AK29</f>
        <v>5</v>
      </c>
      <c r="BN39" s="758">
        <f>GEntry!CT29</f>
        <v>0</v>
      </c>
      <c r="BO39" s="759">
        <f>GEntry!CW29</f>
        <v>51</v>
      </c>
      <c r="BP39" s="759">
        <f>GEntry!CN29</f>
        <v>0</v>
      </c>
      <c r="BQ39" s="759">
        <f>GEntry!Q29</f>
        <v>0</v>
      </c>
      <c r="BR39" s="758">
        <f>GEntry!CG29</f>
        <v>8</v>
      </c>
      <c r="BS39" s="759">
        <f>GEntry!BQ29</f>
        <v>21</v>
      </c>
      <c r="BT39" s="759">
        <f>GEntry!BR29</f>
        <v>11</v>
      </c>
      <c r="BU39" s="759">
        <f>GEntry!BS29</f>
        <v>33</v>
      </c>
      <c r="BV39" s="759">
        <f>GEntry!BT29</f>
        <v>9</v>
      </c>
      <c r="BW39" s="749">
        <f>GEntry!BO29</f>
        <v>71</v>
      </c>
      <c r="BX39" s="759">
        <f>GEntry!AR29</f>
        <v>52</v>
      </c>
      <c r="BY39" s="759">
        <f>GEntry!CF29</f>
        <v>0</v>
      </c>
      <c r="BZ39" s="759">
        <f>GEntry!BN29</f>
        <v>22</v>
      </c>
      <c r="CA39" s="1159">
        <f>GEntry!DF29</f>
        <v>0</v>
      </c>
      <c r="CB39" s="759">
        <f>GEntry!AT29</f>
        <v>42</v>
      </c>
      <c r="CC39" s="759">
        <f>GEntry!AU29</f>
        <v>0</v>
      </c>
      <c r="CD39" s="759">
        <f>GEntry!BF29</f>
        <v>50</v>
      </c>
      <c r="CE39" s="759">
        <f>GEntry!CV29</f>
        <v>0</v>
      </c>
      <c r="CF39" s="759">
        <f>GEntry!DE29</f>
        <v>130</v>
      </c>
      <c r="CG39" s="759">
        <f>GEntry!AV29</f>
        <v>0</v>
      </c>
      <c r="CH39" s="759">
        <f>GEntry!AW29</f>
        <v>71</v>
      </c>
      <c r="CI39" s="759">
        <f>GEntry!AX29</f>
        <v>79</v>
      </c>
      <c r="CJ39" s="759">
        <f>GEntry!AZ29</f>
        <v>0</v>
      </c>
      <c r="CK39" s="759">
        <f>GEntry!BA29</f>
        <v>190</v>
      </c>
      <c r="CL39" s="759">
        <f>GEntry!BB29</f>
        <v>18</v>
      </c>
      <c r="CM39" s="759">
        <f>GEntry!BC29</f>
        <v>0</v>
      </c>
      <c r="CN39" s="759">
        <f>GEntry!BD29</f>
        <v>10</v>
      </c>
      <c r="CO39" s="759">
        <f>GEntry!BH29</f>
        <v>290</v>
      </c>
      <c r="CP39" s="759">
        <f>GEntry!BG29</f>
        <v>22</v>
      </c>
      <c r="CQ39" s="986">
        <f>GEntry!BE29</f>
        <v>11</v>
      </c>
      <c r="CR39" s="986">
        <f>GEntry!P29</f>
        <v>0</v>
      </c>
      <c r="CS39" s="1539">
        <f>GEntry!U29</f>
        <v>95</v>
      </c>
      <c r="CT39" s="1538">
        <f>GEntry!DH29</f>
        <v>0</v>
      </c>
      <c r="CU39" s="986">
        <f>GEntry!DI29</f>
        <v>0</v>
      </c>
      <c r="CV39" s="1539">
        <f>GEntry!DJ29</f>
        <v>200</v>
      </c>
      <c r="CW39" s="1538">
        <f>GEntry!DK29</f>
        <v>0</v>
      </c>
      <c r="CX39" s="986">
        <f>GEntry!DL29</f>
        <v>0</v>
      </c>
      <c r="CY39" s="1539">
        <f>GEntry!G29</f>
        <v>0</v>
      </c>
      <c r="CZ39" s="1539">
        <f>GEntry!DM29</f>
        <v>90</v>
      </c>
      <c r="DA39" s="1538">
        <f>GEntry!DN29</f>
        <v>0</v>
      </c>
      <c r="DB39" s="1667">
        <f>GEntry!DO29</f>
        <v>146</v>
      </c>
      <c r="DC39" s="1669">
        <f>GEntry!DP29</f>
        <v>0</v>
      </c>
      <c r="DD39" s="1760">
        <f>GEntry!DQ29</f>
        <v>25</v>
      </c>
      <c r="DE39" s="1761">
        <f>GEntry!CH29</f>
        <v>35</v>
      </c>
      <c r="DF39" s="1864">
        <f>GEntry!O29</f>
        <v>0</v>
      </c>
      <c r="DG39" s="1866">
        <f>GEntry!CI29</f>
        <v>0</v>
      </c>
      <c r="DH39" s="2064">
        <f>GEntry!DR29</f>
        <v>0</v>
      </c>
      <c r="DI39" s="2066">
        <f>GEntry!CJ29</f>
        <v>54</v>
      </c>
      <c r="DJ39" s="2077">
        <f>GEntry!CK29</f>
        <v>110</v>
      </c>
      <c r="DK39" s="3078">
        <f>GEntry!BZ29</f>
        <v>0</v>
      </c>
      <c r="DL39" s="3371">
        <f>GEntry!CA29</f>
        <v>75</v>
      </c>
      <c r="DM39" s="3372">
        <f>GEntry!DS29</f>
        <v>50</v>
      </c>
      <c r="DN39" s="3517">
        <f>GEntry!BI29</f>
        <v>400</v>
      </c>
      <c r="DO39" s="3519">
        <f>GEntry!CR29</f>
        <v>34</v>
      </c>
      <c r="DP39" s="3720">
        <f>GEntry!AS29</f>
        <v>0</v>
      </c>
      <c r="DQ39" s="3778">
        <f>GEntry!CB29</f>
        <v>17</v>
      </c>
      <c r="DR39" s="3849">
        <f>GEntry!DT29</f>
        <v>116</v>
      </c>
      <c r="DS39" s="3851">
        <f>GEntry!AY29</f>
        <v>0</v>
      </c>
      <c r="DT39" s="4039">
        <f>GEntry!DU29</f>
        <v>17</v>
      </c>
      <c r="DU39" s="3851">
        <f>GEntry!DV29</f>
        <v>0</v>
      </c>
      <c r="DV39" s="4793">
        <f>GEntry!DW29</f>
        <v>0</v>
      </c>
      <c r="DW39" s="4793">
        <f>GEntry!DX29</f>
        <v>55</v>
      </c>
      <c r="DX39" s="990"/>
      <c r="DY39" s="767">
        <f>GEntry!EX29</f>
        <v>469</v>
      </c>
      <c r="DZ39" s="764">
        <f>GEntry!EV29</f>
        <v>0</v>
      </c>
      <c r="EA39" s="764">
        <f>GEntry!EY29</f>
        <v>0</v>
      </c>
      <c r="EB39" s="764">
        <f>GEntry!EB29</f>
        <v>0</v>
      </c>
      <c r="EC39" s="764">
        <f>GEntry!EC29</f>
        <v>0</v>
      </c>
      <c r="ED39" s="764">
        <f>GEntry!EG29</f>
        <v>0</v>
      </c>
      <c r="EE39" s="764">
        <f>GEntry!EA29</f>
        <v>0</v>
      </c>
      <c r="EF39" s="764">
        <f>GEntry!EE29</f>
        <v>0</v>
      </c>
      <c r="EG39" s="764">
        <f>GEntry!EF29</f>
        <v>8</v>
      </c>
      <c r="EH39" s="764">
        <f>GEntry!EU29</f>
        <v>0</v>
      </c>
      <c r="EI39" s="764">
        <f>GEntry!ET29</f>
        <v>0</v>
      </c>
      <c r="EJ39" s="764">
        <f>GEntry!EQ29</f>
        <v>91</v>
      </c>
      <c r="EK39" s="764">
        <f>GEntry!ER29</f>
        <v>21</v>
      </c>
      <c r="EL39" s="764">
        <f>GEntry!EN29</f>
        <v>0</v>
      </c>
      <c r="EM39" s="764">
        <f>GEntry!EO29</f>
        <v>0</v>
      </c>
      <c r="EN39" s="764">
        <f>GEntry!FF29</f>
        <v>0</v>
      </c>
      <c r="EO39" s="764">
        <f>GEntry!FE29</f>
        <v>0</v>
      </c>
      <c r="EP39" s="764">
        <f>GEntry!FG29</f>
        <v>0</v>
      </c>
      <c r="EQ39" s="764">
        <f>GEntry!FQ29</f>
        <v>0</v>
      </c>
      <c r="ER39" s="764">
        <f>GEntry!FZ29</f>
        <v>0</v>
      </c>
      <c r="ES39" s="764">
        <f>GEntry!FU29</f>
        <v>0</v>
      </c>
      <c r="ET39" s="764">
        <f>GEntry!FV29</f>
        <v>0</v>
      </c>
      <c r="EU39" s="764">
        <f>GEntry!FW29</f>
        <v>0</v>
      </c>
      <c r="EV39" s="764">
        <f>GEntry!FY29</f>
        <v>25</v>
      </c>
      <c r="EW39" s="764">
        <f>GEntry!FX29</f>
        <v>0</v>
      </c>
      <c r="EX39" s="764">
        <f>GEntry!FR29</f>
        <v>22</v>
      </c>
      <c r="EY39" s="764">
        <f>GEntry!FS29</f>
        <v>0</v>
      </c>
      <c r="EZ39" s="764">
        <f>GEntry!FT29</f>
        <v>8</v>
      </c>
      <c r="FA39" s="1155">
        <f>GEntry!FB29</f>
        <v>0</v>
      </c>
      <c r="FB39" s="1155">
        <f>GEntry!FC29</f>
        <v>0</v>
      </c>
      <c r="FC39" s="1155">
        <f>GEntry!FD29</f>
        <v>199</v>
      </c>
      <c r="FD39" s="764">
        <f>GEntry!GD29</f>
        <v>0</v>
      </c>
      <c r="FE39" s="765">
        <f>GEntry!GE29</f>
        <v>0</v>
      </c>
      <c r="FF39" s="1392">
        <f>GEntry!FI29</f>
        <v>0</v>
      </c>
      <c r="FG39" s="1392">
        <f>GEntry!FJ29</f>
        <v>0</v>
      </c>
      <c r="FH39" s="765">
        <f>GEntry!FK29</f>
        <v>0</v>
      </c>
      <c r="FI39" s="765">
        <f>GEntry!FL29</f>
        <v>0</v>
      </c>
      <c r="FJ39" s="1392">
        <f>GEntry!EP29</f>
        <v>11</v>
      </c>
      <c r="FK39" s="765">
        <f>GEntry!ES29</f>
        <v>0</v>
      </c>
      <c r="FL39" s="763">
        <f>GEntry!FM29</f>
        <v>166</v>
      </c>
      <c r="FM39" s="1392">
        <f>GEntry!FN29</f>
        <v>0</v>
      </c>
      <c r="FN39" s="1631">
        <f>GEntry!FO29</f>
        <v>354</v>
      </c>
      <c r="FO39" s="1687">
        <f>GEntry!EH29</f>
        <v>0</v>
      </c>
      <c r="FP39" s="1690">
        <f>GEntry!GA29</f>
        <v>0</v>
      </c>
      <c r="FQ39" s="1694">
        <f>GEntry!GB29</f>
        <v>0</v>
      </c>
      <c r="FR39" s="1877">
        <f>GEntry!EW29</f>
        <v>0</v>
      </c>
      <c r="FS39" s="1982">
        <f>GEntry!GF29</f>
        <v>112</v>
      </c>
      <c r="FT39" s="1984">
        <f>GEntry!FP29</f>
        <v>0</v>
      </c>
      <c r="FU39" s="2154">
        <f>GEntry!GG29</f>
        <v>0</v>
      </c>
      <c r="FV39" s="3143">
        <f>GEntry!GC29</f>
        <v>70</v>
      </c>
      <c r="FW39" s="3145">
        <f>GEntry!EZ29</f>
        <v>320</v>
      </c>
      <c r="FX39" s="3685">
        <f>GEntry!EL29</f>
        <v>224</v>
      </c>
      <c r="FY39" s="3758">
        <f>GEntry!EM29</f>
        <v>0</v>
      </c>
      <c r="FZ39" s="3761">
        <f>GEntry!EK29</f>
        <v>0</v>
      </c>
      <c r="GA39" s="4897">
        <f>GEntry!FH29</f>
        <v>0</v>
      </c>
      <c r="GB39" s="4985">
        <f>GEntry!EI29</f>
        <v>0</v>
      </c>
      <c r="GC39" s="4898">
        <f>GEntry!GH29</f>
        <v>0</v>
      </c>
      <c r="GD39" s="993"/>
      <c r="GE39" s="910">
        <f t="shared" si="12"/>
        <v>4577</v>
      </c>
      <c r="GF39" s="909">
        <f t="shared" si="6"/>
        <v>2100</v>
      </c>
      <c r="GG39" s="906">
        <f t="shared" si="7"/>
        <v>6677</v>
      </c>
      <c r="GH39" s="650">
        <f t="shared" si="8"/>
        <v>2347</v>
      </c>
      <c r="GI39" s="650">
        <f t="shared" si="0"/>
        <v>469</v>
      </c>
      <c r="GJ39" s="650">
        <f t="shared" si="13"/>
        <v>1695</v>
      </c>
      <c r="GK39" s="650">
        <f t="shared" si="9"/>
        <v>0</v>
      </c>
      <c r="GL39" s="650">
        <f t="shared" si="1"/>
        <v>1493</v>
      </c>
      <c r="GM39" s="650">
        <f t="shared" si="2"/>
        <v>519</v>
      </c>
      <c r="GN39" s="650">
        <f t="shared" si="3"/>
        <v>75</v>
      </c>
      <c r="GO39" s="650">
        <f t="shared" si="10"/>
        <v>0</v>
      </c>
      <c r="GP39" s="650">
        <f t="shared" si="11"/>
        <v>8</v>
      </c>
      <c r="GQ39" s="650">
        <f t="shared" si="4"/>
        <v>71</v>
      </c>
      <c r="GR39" s="905">
        <f t="shared" si="5"/>
        <v>0</v>
      </c>
      <c r="GS39" s="904">
        <f>FWise!M31</f>
        <v>0</v>
      </c>
      <c r="GT39" s="3543">
        <f>GEntry!GL29</f>
        <v>97.31</v>
      </c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s="105" customFormat="1" ht="33" customHeight="1" thickBot="1">
      <c r="A40" s="913" t="s">
        <v>15</v>
      </c>
      <c r="B40" s="888">
        <f>GEntry!W30</f>
        <v>0</v>
      </c>
      <c r="C40" s="888">
        <f>GEntry!X30</f>
        <v>0</v>
      </c>
      <c r="D40" s="888">
        <f>GEntry!Y30</f>
        <v>5146000</v>
      </c>
      <c r="E40" s="888">
        <f>GEntry!Z30</f>
        <v>0</v>
      </c>
      <c r="F40" s="939">
        <f>GEntry!AB30</f>
        <v>0</v>
      </c>
      <c r="G40" s="939">
        <f>GEntry!BY30</f>
        <v>0</v>
      </c>
      <c r="H40" s="888">
        <f>GEntry!CS30</f>
        <v>0</v>
      </c>
      <c r="I40" s="888">
        <f>GEntry!AO30</f>
        <v>0</v>
      </c>
      <c r="J40" s="888">
        <f>GEntry!AQ30</f>
        <v>5166000</v>
      </c>
      <c r="K40" s="888"/>
      <c r="L40" s="888">
        <f>GEntry!AN30</f>
        <v>0</v>
      </c>
      <c r="M40" s="888">
        <f>GEntry!AP30</f>
        <v>4190750</v>
      </c>
      <c r="N40" s="888">
        <f>GEntry!CP30</f>
        <v>0</v>
      </c>
      <c r="O40" s="888">
        <f>GEntry!CQ30</f>
        <v>0</v>
      </c>
      <c r="P40" s="888">
        <f>GEntry!CL30</f>
        <v>0</v>
      </c>
      <c r="Q40" s="888">
        <f>GEntry!DC30</f>
        <v>424788</v>
      </c>
      <c r="R40" s="888">
        <f>GEntry!T30</f>
        <v>0</v>
      </c>
      <c r="S40" s="888">
        <f>GEntry!R30</f>
        <v>0</v>
      </c>
      <c r="T40" s="888">
        <f>GEntry!S30</f>
        <v>0</v>
      </c>
      <c r="U40" s="888">
        <f>GEntry!CC30</f>
        <v>0</v>
      </c>
      <c r="V40" s="939">
        <f>GEntry!CX30</f>
        <v>1256544</v>
      </c>
      <c r="W40" s="888">
        <f>GEntry!CE30</f>
        <v>63840</v>
      </c>
      <c r="X40" s="888">
        <f>GEntry!CO30</f>
        <v>126484</v>
      </c>
      <c r="Y40" s="888">
        <f>GEntry!DB30</f>
        <v>0</v>
      </c>
      <c r="Z40" s="888">
        <f>GEntry!CM30</f>
        <v>0</v>
      </c>
      <c r="AA40" s="888">
        <f>GEntry!DA30</f>
        <v>0</v>
      </c>
      <c r="AB40" s="888">
        <f>GEntry!DG30</f>
        <v>876600</v>
      </c>
      <c r="AC40" s="888">
        <f>GEntry!DD30</f>
        <v>1151874</v>
      </c>
      <c r="AD40" s="888">
        <f>GEntry!BJ30</f>
        <v>720579</v>
      </c>
      <c r="AE40" s="888">
        <f>GEntry!BM30</f>
        <v>408816</v>
      </c>
      <c r="AF40" s="888">
        <f>GEntry!BU30</f>
        <v>600000</v>
      </c>
      <c r="AG40" s="888">
        <f>GEntry!BV30</f>
        <v>197100</v>
      </c>
      <c r="AH40" s="888">
        <f>GEntry!BW30</f>
        <v>568000</v>
      </c>
      <c r="AI40" s="888">
        <f>GEntry!BX30</f>
        <v>839200</v>
      </c>
      <c r="AJ40" s="888">
        <f>GEntry!CD30</f>
        <v>108480</v>
      </c>
      <c r="AK40" s="888">
        <f>GEntry!AM30</f>
        <v>0</v>
      </c>
      <c r="AL40" s="888">
        <f>GEntry!B30</f>
        <v>838800</v>
      </c>
      <c r="AM40" s="888">
        <f>GEntry!C30</f>
        <v>976000</v>
      </c>
      <c r="AN40" s="888">
        <f>GEntry!D30</f>
        <v>0</v>
      </c>
      <c r="AO40" s="888">
        <f>GEntry!E30</f>
        <v>0</v>
      </c>
      <c r="AP40" s="888">
        <f>GEntry!F30</f>
        <v>56071</v>
      </c>
      <c r="AQ40" s="888">
        <f>GEntry!H30</f>
        <v>0</v>
      </c>
      <c r="AR40" s="888">
        <f>GEntry!I30</f>
        <v>0</v>
      </c>
      <c r="AS40" s="888">
        <f>GEntry!K30</f>
        <v>0</v>
      </c>
      <c r="AT40" s="888">
        <f>GEntry!L30</f>
        <v>0</v>
      </c>
      <c r="AU40" s="888"/>
      <c r="AV40" s="888">
        <f>GEntry!BK30</f>
        <v>515040</v>
      </c>
      <c r="AW40" s="888">
        <f>GEntry!N30</f>
        <v>0</v>
      </c>
      <c r="AX40" s="888">
        <f>GEntry!M30</f>
        <v>141029</v>
      </c>
      <c r="AY40" s="888">
        <f>GEntry!CU30</f>
        <v>334560</v>
      </c>
      <c r="AZ40" s="888">
        <f>GEntry!CZ30</f>
        <v>319680</v>
      </c>
      <c r="BA40" s="888">
        <f>GEntry!CY30</f>
        <v>342240</v>
      </c>
      <c r="BB40" s="888">
        <f>GEntry!BL30</f>
        <v>457440</v>
      </c>
      <c r="BC40" s="888">
        <f>GEntry!BP30</f>
        <v>364320</v>
      </c>
      <c r="BD40" s="888">
        <f>GEntry!AD30</f>
        <v>0</v>
      </c>
      <c r="BE40" s="888">
        <f>GEntry!AE30</f>
        <v>0</v>
      </c>
      <c r="BF40" s="888">
        <f>GEntry!AF30</f>
        <v>1973546</v>
      </c>
      <c r="BG40" s="888">
        <f>GEntry!AJ30</f>
        <v>4327900</v>
      </c>
      <c r="BH40" s="888">
        <f>GEntry!AI30</f>
        <v>5778000</v>
      </c>
      <c r="BI40" s="888">
        <f>GEntry!AH30</f>
        <v>3462000</v>
      </c>
      <c r="BJ40" s="888">
        <f>GEntry!V30</f>
        <v>217454</v>
      </c>
      <c r="BK40" s="888">
        <f>GEntry!AL30</f>
        <v>3072740</v>
      </c>
      <c r="BL40" s="888">
        <f>GEntry!AG30</f>
        <v>159696</v>
      </c>
      <c r="BM40" s="888">
        <f>GEntry!AK30</f>
        <v>149280</v>
      </c>
      <c r="BN40" s="888">
        <f>GEntry!CT30</f>
        <v>0</v>
      </c>
      <c r="BO40" s="939">
        <f>GEntry!CW30</f>
        <v>1255256</v>
      </c>
      <c r="BP40" s="939">
        <f>GEntry!CN30</f>
        <v>0</v>
      </c>
      <c r="BQ40" s="939">
        <f>GEntry!Q30</f>
        <v>88248</v>
      </c>
      <c r="BR40" s="888">
        <f>GEntry!CG30</f>
        <v>180552</v>
      </c>
      <c r="BS40" s="939">
        <f>GEntry!BQ30</f>
        <v>483408</v>
      </c>
      <c r="BT40" s="939">
        <f>GEntry!BR30</f>
        <v>245340</v>
      </c>
      <c r="BU40" s="939">
        <f>GEntry!BS30</f>
        <v>698400</v>
      </c>
      <c r="BV40" s="939">
        <f>GEntry!BT30</f>
        <v>239680</v>
      </c>
      <c r="BW40" s="939">
        <f>GEntry!BO30</f>
        <v>1943040</v>
      </c>
      <c r="BX40" s="939">
        <f>GEntry!AR30</f>
        <v>1186560</v>
      </c>
      <c r="BY40" s="939">
        <f>GEntry!CF30</f>
        <v>0</v>
      </c>
      <c r="BZ40" s="939">
        <f>GEntry!BN30</f>
        <v>484596</v>
      </c>
      <c r="CA40" s="939">
        <f>GEntry!DF30</f>
        <v>11900</v>
      </c>
      <c r="CB40" s="939">
        <f>GEntry!AT30</f>
        <v>1013000</v>
      </c>
      <c r="CC40" s="939">
        <f>GEntry!AU30</f>
        <v>0</v>
      </c>
      <c r="CD40" s="939">
        <f>GEntry!BF30</f>
        <v>1169400</v>
      </c>
      <c r="CE40" s="939">
        <f>GEntry!CV30</f>
        <v>0</v>
      </c>
      <c r="CF40" s="939">
        <f>GEntry!DE30</f>
        <v>3566045</v>
      </c>
      <c r="CG40" s="939">
        <f>GEntry!AV30</f>
        <v>0</v>
      </c>
      <c r="CH40" s="939">
        <f>GEntry!AW30</f>
        <v>1520352</v>
      </c>
      <c r="CI40" s="939">
        <f>GEntry!AX30</f>
        <v>1867200</v>
      </c>
      <c r="CJ40" s="939">
        <f>GEntry!AZ30</f>
        <v>0</v>
      </c>
      <c r="CK40" s="939">
        <f>GEntry!BA30</f>
        <v>4518080</v>
      </c>
      <c r="CL40" s="939">
        <f>GEntry!BB30</f>
        <v>420000</v>
      </c>
      <c r="CM40" s="939">
        <f>GEntry!BC30</f>
        <v>0</v>
      </c>
      <c r="CN40" s="939">
        <f>GEntry!BD30</f>
        <v>252540</v>
      </c>
      <c r="CO40" s="939">
        <f>GEntry!BH30</f>
        <v>7324500</v>
      </c>
      <c r="CP40" s="939">
        <f>GEntry!BG30</f>
        <v>523896</v>
      </c>
      <c r="CQ40" s="987">
        <f>GEntry!BE30</f>
        <v>211200</v>
      </c>
      <c r="CR40" s="1537">
        <f>GEntry!P30</f>
        <v>0</v>
      </c>
      <c r="CS40" s="1537">
        <f>GEntry!U30</f>
        <v>3858980</v>
      </c>
      <c r="CT40" s="1425">
        <f>GEntry!DH30</f>
        <v>70596</v>
      </c>
      <c r="CU40" s="1572">
        <f>GEntry!DI30</f>
        <v>40738</v>
      </c>
      <c r="CV40" s="1537">
        <f>GEntry!DJ30</f>
        <v>4092000</v>
      </c>
      <c r="CW40" s="1425">
        <f>GEntry!DK30</f>
        <v>52983</v>
      </c>
      <c r="CX40" s="1642">
        <f>GEntry!DL30</f>
        <v>745488</v>
      </c>
      <c r="CY40" s="1537">
        <f>GEntry!G30</f>
        <v>133110</v>
      </c>
      <c r="CZ40" s="1537">
        <f>GEntry!DM30</f>
        <v>2079360</v>
      </c>
      <c r="DA40" s="1425">
        <f>GEntry!DN30</f>
        <v>493440</v>
      </c>
      <c r="DB40" s="1668">
        <f>GEntry!DO30</f>
        <v>3400654</v>
      </c>
      <c r="DC40" s="1425">
        <f>GEntry!DP30</f>
        <v>0</v>
      </c>
      <c r="DD40" s="1668">
        <f>GEntry!DQ30</f>
        <v>913200</v>
      </c>
      <c r="DE40" s="4294">
        <f>GEntry!CH30</f>
        <v>2010000</v>
      </c>
      <c r="DF40" s="1865">
        <f>GEntry!O30</f>
        <v>960145</v>
      </c>
      <c r="DG40" s="1425">
        <f>GEntry!CI30</f>
        <v>27600</v>
      </c>
      <c r="DH40" s="1537">
        <f>GEntry!DR30</f>
        <v>647345</v>
      </c>
      <c r="DI40" s="1425">
        <f>GEntry!CJ30</f>
        <v>1347607</v>
      </c>
      <c r="DJ40" s="2078">
        <f>GEntry!CK30</f>
        <v>2154463</v>
      </c>
      <c r="DK40" s="1537">
        <f>GEntry!BZ30</f>
        <v>102600</v>
      </c>
      <c r="DL40" s="1537">
        <f>GEntry!CA30</f>
        <v>373800</v>
      </c>
      <c r="DM40" s="1425">
        <f>GEntry!DS30</f>
        <v>1582080</v>
      </c>
      <c r="DN40" s="1537">
        <f>GEntry!BI30</f>
        <v>7415900</v>
      </c>
      <c r="DO40" s="1425">
        <f>GEntry!CR30</f>
        <v>1228800</v>
      </c>
      <c r="DP40" s="3721">
        <f>GEntry!AS30</f>
        <v>248960</v>
      </c>
      <c r="DQ40" s="1537">
        <f>GEntry!CB30</f>
        <v>3034080</v>
      </c>
      <c r="DR40" s="1537">
        <f>GEntry!DT30</f>
        <v>2655873</v>
      </c>
      <c r="DS40" s="1425">
        <f>GEntry!AY30</f>
        <v>0</v>
      </c>
      <c r="DT40" s="4040">
        <f>GEntry!DU30</f>
        <v>439920</v>
      </c>
      <c r="DU40" s="1425">
        <f>GEntry!DV30</f>
        <v>180071</v>
      </c>
      <c r="DV40" s="1425">
        <f>GEntry!DW30</f>
        <v>0</v>
      </c>
      <c r="DW40" s="4824">
        <f>GEntry!DX30</f>
        <v>385200</v>
      </c>
      <c r="DX40" s="991"/>
      <c r="DY40" s="988">
        <f>GEntry!EX30</f>
        <v>12730909</v>
      </c>
      <c r="DZ40" s="912">
        <f>GEntry!EV30</f>
        <v>0</v>
      </c>
      <c r="EA40" s="912">
        <f>GEntry!EY30</f>
        <v>0</v>
      </c>
      <c r="EB40" s="912">
        <f>GEntry!EB30</f>
        <v>0</v>
      </c>
      <c r="EC40" s="912">
        <f>GEntry!EC30</f>
        <v>0</v>
      </c>
      <c r="ED40" s="912">
        <f>GEntry!EG30</f>
        <v>0</v>
      </c>
      <c r="EE40" s="912">
        <f>GEntry!EA30</f>
        <v>0</v>
      </c>
      <c r="EF40" s="912">
        <f>GEntry!EE30</f>
        <v>0</v>
      </c>
      <c r="EG40" s="912">
        <f>GEntry!EF30</f>
        <v>107520</v>
      </c>
      <c r="EH40" s="912">
        <f>GEntry!EU30</f>
        <v>0</v>
      </c>
      <c r="EI40" s="912">
        <f>GEntry!ET30</f>
        <v>0</v>
      </c>
      <c r="EJ40" s="912">
        <f>GEntry!EQ30</f>
        <v>2213104</v>
      </c>
      <c r="EK40" s="912">
        <f>GEntry!ER30</f>
        <v>386400</v>
      </c>
      <c r="EL40" s="912">
        <f>GEntry!EN30</f>
        <v>68640</v>
      </c>
      <c r="EM40" s="912">
        <f>GEntry!EO30</f>
        <v>0</v>
      </c>
      <c r="EN40" s="912">
        <f>GEntry!FF30</f>
        <v>0</v>
      </c>
      <c r="EO40" s="912">
        <f>GEntry!FE30</f>
        <v>0</v>
      </c>
      <c r="EP40" s="912">
        <f>GEntry!FG30</f>
        <v>178080</v>
      </c>
      <c r="EQ40" s="912">
        <f>GEntry!FQ30</f>
        <v>29235</v>
      </c>
      <c r="ER40" s="912">
        <f>GEntry!FZ30</f>
        <v>508540</v>
      </c>
      <c r="ES40" s="912">
        <f>GEntry!FU30</f>
        <v>0</v>
      </c>
      <c r="ET40" s="912">
        <f>GEntry!FV30</f>
        <v>117683</v>
      </c>
      <c r="EU40" s="912">
        <f>GEntry!FW30</f>
        <v>87795</v>
      </c>
      <c r="EV40" s="912">
        <f>GEntry!FY30</f>
        <v>1150560</v>
      </c>
      <c r="EW40" s="912">
        <f>GEntry!FX30</f>
        <v>0</v>
      </c>
      <c r="EX40" s="912">
        <f>GEntry!FR30</f>
        <v>519600</v>
      </c>
      <c r="EY40" s="912">
        <f>GEntry!FS30</f>
        <v>0</v>
      </c>
      <c r="EZ40" s="912">
        <f>GEntry!FT30</f>
        <v>189126</v>
      </c>
      <c r="FA40" s="912">
        <f>GEntry!FB30</f>
        <v>0</v>
      </c>
      <c r="FB40" s="912">
        <f>GEntry!FC30</f>
        <v>0</v>
      </c>
      <c r="FC40" s="912">
        <f>GEntry!FD30</f>
        <v>4844700</v>
      </c>
      <c r="FD40" s="912">
        <f>GEntry!GD30</f>
        <v>0</v>
      </c>
      <c r="FE40" s="944">
        <f>GEntry!GE30</f>
        <v>0</v>
      </c>
      <c r="FF40" s="944">
        <f>GEntry!FI30</f>
        <v>0</v>
      </c>
      <c r="FG40" s="944">
        <f>GEntry!FJ30</f>
        <v>0</v>
      </c>
      <c r="FH40" s="944">
        <f>GEntry!FK30</f>
        <v>0</v>
      </c>
      <c r="FI40" s="944">
        <f>GEntry!FL30</f>
        <v>0</v>
      </c>
      <c r="FJ40" s="944">
        <f>GEntry!EP30</f>
        <v>272637</v>
      </c>
      <c r="FK40" s="1558">
        <f>GEntry!ES30</f>
        <v>28800</v>
      </c>
      <c r="FL40" s="944">
        <f>GEntry!FM30</f>
        <v>4567509</v>
      </c>
      <c r="FM40" s="944">
        <f>GEntry!FN30</f>
        <v>0</v>
      </c>
      <c r="FN40" s="912">
        <f>GEntry!FO30</f>
        <v>8896400</v>
      </c>
      <c r="FO40" s="1688">
        <f>GEntry!EH30</f>
        <v>791040</v>
      </c>
      <c r="FP40" s="912">
        <f>GEntry!GA30</f>
        <v>0</v>
      </c>
      <c r="FQ40" s="1695">
        <f>GEntry!GB30</f>
        <v>1517856</v>
      </c>
      <c r="FR40" s="1688">
        <f>GEntry!EW30</f>
        <v>44928</v>
      </c>
      <c r="FS40" s="944">
        <f>GEntry!GF30</f>
        <v>2196240</v>
      </c>
      <c r="FT40" s="912">
        <f>GEntry!FP30</f>
        <v>0</v>
      </c>
      <c r="FU40" s="2155">
        <f>GEntry!GG30</f>
        <v>14577</v>
      </c>
      <c r="FV40" s="3144">
        <f>GEntry!GC30</f>
        <v>1937376</v>
      </c>
      <c r="FW40" s="912">
        <f>GEntry!EZ30</f>
        <v>1840000</v>
      </c>
      <c r="FX40" s="3686">
        <f>GEntry!EL30</f>
        <v>5271224</v>
      </c>
      <c r="FY40" s="3759">
        <f>GEntry!EM30</f>
        <v>0</v>
      </c>
      <c r="FZ40" s="912">
        <f>GEntry!EK30</f>
        <v>42000</v>
      </c>
      <c r="GA40" s="944">
        <f>GEntry!FH30</f>
        <v>26700</v>
      </c>
      <c r="GB40" s="944">
        <f>GEntry!EI30</f>
        <v>445680</v>
      </c>
      <c r="GC40" s="912">
        <f>GEntry!GH30</f>
        <v>0</v>
      </c>
      <c r="GD40" s="945"/>
      <c r="GE40" s="910">
        <f>SUM(B40:DX40)</f>
        <v>115209037</v>
      </c>
      <c r="GF40" s="909">
        <f t="shared" si="6"/>
        <v>51024859</v>
      </c>
      <c r="GG40" s="906">
        <f>GE40+GF40</f>
        <v>166233896</v>
      </c>
      <c r="GH40" s="650">
        <f t="shared" si="8"/>
        <v>52920589</v>
      </c>
      <c r="GI40" s="650">
        <f t="shared" si="0"/>
        <v>12730909</v>
      </c>
      <c r="GJ40" s="650">
        <f t="shared" si="13"/>
        <v>40869006</v>
      </c>
      <c r="GK40" s="650">
        <f t="shared" si="9"/>
        <v>193117</v>
      </c>
      <c r="GL40" s="650">
        <f t="shared" si="1"/>
        <v>46784850</v>
      </c>
      <c r="GM40" s="650">
        <f t="shared" si="2"/>
        <v>6684700</v>
      </c>
      <c r="GN40" s="650">
        <f>AL40+AM40</f>
        <v>1814800</v>
      </c>
      <c r="GO40" s="650">
        <f t="shared" si="10"/>
        <v>0</v>
      </c>
      <c r="GP40" s="650">
        <f t="shared" si="11"/>
        <v>1204287</v>
      </c>
      <c r="GQ40" s="650">
        <f t="shared" si="4"/>
        <v>1943040</v>
      </c>
      <c r="GR40" s="650">
        <f t="shared" si="5"/>
        <v>1088598</v>
      </c>
      <c r="GS40" s="904">
        <f>FWise!M32</f>
        <v>0</v>
      </c>
      <c r="GT40" s="904"/>
      <c r="GU40" s="1160"/>
    </row>
    <row r="41" spans="1:275" s="5" customFormat="1" ht="33" customHeight="1" thickBot="1">
      <c r="A41" s="885" t="s">
        <v>269</v>
      </c>
      <c r="B41" s="913">
        <f>B40*B9</f>
        <v>0</v>
      </c>
      <c r="C41" s="886">
        <f t="shared" ref="C41:BI41" si="14">C40*C9</f>
        <v>0</v>
      </c>
      <c r="D41" s="886">
        <f t="shared" si="14"/>
        <v>7513160</v>
      </c>
      <c r="E41" s="886">
        <f t="shared" si="14"/>
        <v>0</v>
      </c>
      <c r="F41" s="886">
        <f t="shared" si="14"/>
        <v>0</v>
      </c>
      <c r="G41" s="886">
        <f t="shared" si="14"/>
        <v>0</v>
      </c>
      <c r="H41" s="886">
        <f t="shared" si="14"/>
        <v>0</v>
      </c>
      <c r="I41" s="886">
        <f t="shared" si="14"/>
        <v>0</v>
      </c>
      <c r="J41" s="886">
        <f t="shared" si="14"/>
        <v>5320980</v>
      </c>
      <c r="K41" s="886"/>
      <c r="L41" s="886">
        <f t="shared" si="14"/>
        <v>0</v>
      </c>
      <c r="M41" s="886">
        <f t="shared" si="14"/>
        <v>4567917.5</v>
      </c>
      <c r="N41" s="886">
        <f t="shared" si="14"/>
        <v>0</v>
      </c>
      <c r="O41" s="886">
        <f t="shared" si="14"/>
        <v>0</v>
      </c>
      <c r="P41" s="886">
        <f t="shared" si="14"/>
        <v>0</v>
      </c>
      <c r="Q41" s="886">
        <f>Q40*Q9</f>
        <v>3593706.4800000004</v>
      </c>
      <c r="R41" s="886">
        <f t="shared" si="14"/>
        <v>0</v>
      </c>
      <c r="S41" s="886">
        <f t="shared" si="14"/>
        <v>0</v>
      </c>
      <c r="T41" s="886">
        <f t="shared" si="14"/>
        <v>0</v>
      </c>
      <c r="U41" s="886">
        <f t="shared" si="14"/>
        <v>0</v>
      </c>
      <c r="V41" s="886">
        <f t="shared" si="14"/>
        <v>11459681.279999999</v>
      </c>
      <c r="W41" s="886">
        <f t="shared" si="14"/>
        <v>628185.59999999998</v>
      </c>
      <c r="X41" s="886">
        <f t="shared" si="14"/>
        <v>1166182.48</v>
      </c>
      <c r="Y41" s="886">
        <f t="shared" si="14"/>
        <v>0</v>
      </c>
      <c r="Z41" s="886">
        <f t="shared" si="14"/>
        <v>0</v>
      </c>
      <c r="AA41" s="886">
        <f t="shared" si="14"/>
        <v>0</v>
      </c>
      <c r="AB41" s="886">
        <f t="shared" si="14"/>
        <v>6399180</v>
      </c>
      <c r="AC41" s="886">
        <f t="shared" si="14"/>
        <v>8903986.0200000014</v>
      </c>
      <c r="AD41" s="886">
        <f t="shared" si="14"/>
        <v>7104908.9399999995</v>
      </c>
      <c r="AE41" s="886">
        <f t="shared" si="14"/>
        <v>306612</v>
      </c>
      <c r="AF41" s="886">
        <f t="shared" si="14"/>
        <v>450000</v>
      </c>
      <c r="AG41" s="886">
        <f t="shared" si="14"/>
        <v>0</v>
      </c>
      <c r="AH41" s="886">
        <f t="shared" si="14"/>
        <v>0</v>
      </c>
      <c r="AI41" s="886">
        <f t="shared" si="14"/>
        <v>0</v>
      </c>
      <c r="AJ41" s="886">
        <f t="shared" si="14"/>
        <v>1049001.6000000001</v>
      </c>
      <c r="AK41" s="886">
        <f t="shared" si="14"/>
        <v>0</v>
      </c>
      <c r="AL41" s="886">
        <f>AL40*AL9</f>
        <v>226476.00000000003</v>
      </c>
      <c r="AM41" s="886">
        <f>AM40*AM9</f>
        <v>263520</v>
      </c>
      <c r="AN41" s="886">
        <f t="shared" si="14"/>
        <v>0</v>
      </c>
      <c r="AO41" s="886">
        <f t="shared" si="14"/>
        <v>0</v>
      </c>
      <c r="AP41" s="886">
        <f t="shared" si="14"/>
        <v>520899.58999999997</v>
      </c>
      <c r="AQ41" s="886">
        <f t="shared" si="14"/>
        <v>0</v>
      </c>
      <c r="AR41" s="886">
        <f t="shared" si="14"/>
        <v>0</v>
      </c>
      <c r="AS41" s="886">
        <f t="shared" si="14"/>
        <v>0</v>
      </c>
      <c r="AT41" s="886">
        <f t="shared" si="14"/>
        <v>0</v>
      </c>
      <c r="AU41" s="886"/>
      <c r="AV41" s="886">
        <f t="shared" si="14"/>
        <v>0</v>
      </c>
      <c r="AW41" s="886">
        <f t="shared" si="14"/>
        <v>0</v>
      </c>
      <c r="AX41" s="886">
        <f t="shared" si="14"/>
        <v>1367981.2999999998</v>
      </c>
      <c r="AY41" s="886">
        <f t="shared" si="14"/>
        <v>3195048.0000000005</v>
      </c>
      <c r="AZ41" s="886">
        <f t="shared" si="14"/>
        <v>2781216</v>
      </c>
      <c r="BA41" s="886">
        <f t="shared" si="14"/>
        <v>2710540.8</v>
      </c>
      <c r="BB41" s="886">
        <f t="shared" si="14"/>
        <v>576374.4</v>
      </c>
      <c r="BC41" s="886">
        <f t="shared" si="14"/>
        <v>1082030.4000000001</v>
      </c>
      <c r="BD41" s="886">
        <f t="shared" si="14"/>
        <v>0</v>
      </c>
      <c r="BE41" s="886">
        <f t="shared" si="14"/>
        <v>0</v>
      </c>
      <c r="BF41" s="886">
        <f t="shared" si="14"/>
        <v>2901112.62</v>
      </c>
      <c r="BG41" s="886">
        <f t="shared" si="14"/>
        <v>3202646</v>
      </c>
      <c r="BH41" s="886">
        <f t="shared" si="14"/>
        <v>5778000</v>
      </c>
      <c r="BI41" s="886">
        <f t="shared" si="14"/>
        <v>3185040</v>
      </c>
      <c r="BJ41" s="886">
        <f t="shared" ref="BJ41:EY41" si="15">BJ40*BJ9</f>
        <v>280515.66000000003</v>
      </c>
      <c r="BK41" s="886">
        <f t="shared" si="15"/>
        <v>3533650.9999999995</v>
      </c>
      <c r="BL41" s="886">
        <f>BL40*BL9</f>
        <v>180456.47999999998</v>
      </c>
      <c r="BM41" s="886">
        <f t="shared" si="15"/>
        <v>208992</v>
      </c>
      <c r="BN41" s="886">
        <f t="shared" si="15"/>
        <v>0</v>
      </c>
      <c r="BO41" s="886">
        <f t="shared" si="15"/>
        <v>2146487.7599999998</v>
      </c>
      <c r="BP41" s="886">
        <f t="shared" si="15"/>
        <v>0</v>
      </c>
      <c r="BQ41" s="886">
        <f t="shared" si="15"/>
        <v>891304.79999999993</v>
      </c>
      <c r="BR41" s="886">
        <f t="shared" si="15"/>
        <v>1724271.6</v>
      </c>
      <c r="BS41" s="886">
        <f t="shared" si="15"/>
        <v>613928.16</v>
      </c>
      <c r="BT41" s="886">
        <f t="shared" si="15"/>
        <v>184005</v>
      </c>
      <c r="BU41" s="886">
        <f t="shared" si="15"/>
        <v>1222200</v>
      </c>
      <c r="BV41" s="886">
        <f t="shared" si="15"/>
        <v>179760</v>
      </c>
      <c r="BW41" s="886">
        <f t="shared" si="15"/>
        <v>14572800</v>
      </c>
      <c r="BX41" s="886">
        <f t="shared" si="15"/>
        <v>1257753.6000000001</v>
      </c>
      <c r="BY41" s="886">
        <f t="shared" si="15"/>
        <v>0</v>
      </c>
      <c r="BZ41" s="886">
        <f t="shared" si="15"/>
        <v>615436.92000000004</v>
      </c>
      <c r="CA41" s="886">
        <f t="shared" si="15"/>
        <v>189686</v>
      </c>
      <c r="CB41" s="886">
        <f t="shared" si="15"/>
        <v>1661320</v>
      </c>
      <c r="CC41" s="886">
        <f t="shared" si="15"/>
        <v>0</v>
      </c>
      <c r="CD41" s="886">
        <f t="shared" si="15"/>
        <v>2081532</v>
      </c>
      <c r="CE41" s="886">
        <f t="shared" si="15"/>
        <v>0</v>
      </c>
      <c r="CF41" s="886">
        <f t="shared" si="15"/>
        <v>4065291.3</v>
      </c>
      <c r="CG41" s="886">
        <f t="shared" si="15"/>
        <v>0</v>
      </c>
      <c r="CH41" s="886">
        <f t="shared" si="15"/>
        <v>2995093.44</v>
      </c>
      <c r="CI41" s="886">
        <f t="shared" si="15"/>
        <v>3566352</v>
      </c>
      <c r="CJ41" s="886">
        <f t="shared" si="15"/>
        <v>0</v>
      </c>
      <c r="CK41" s="886">
        <f t="shared" si="15"/>
        <v>7816278.4000000004</v>
      </c>
      <c r="CL41" s="886">
        <f t="shared" si="15"/>
        <v>919800</v>
      </c>
      <c r="CM41" s="886">
        <f t="shared" si="15"/>
        <v>0</v>
      </c>
      <c r="CN41" s="886">
        <f t="shared" si="15"/>
        <v>515181.60000000003</v>
      </c>
      <c r="CO41" s="886">
        <f t="shared" si="15"/>
        <v>7397745</v>
      </c>
      <c r="CP41" s="886">
        <f t="shared" si="15"/>
        <v>392922</v>
      </c>
      <c r="CQ41" s="886">
        <f t="shared" si="15"/>
        <v>160512</v>
      </c>
      <c r="CR41" s="886">
        <f t="shared" si="15"/>
        <v>0</v>
      </c>
      <c r="CS41" s="886">
        <f t="shared" si="15"/>
        <v>29173888.799999997</v>
      </c>
      <c r="CT41" s="886">
        <f t="shared" si="15"/>
        <v>1198720.08</v>
      </c>
      <c r="CU41" s="886">
        <f t="shared" ref="CU41:DA41" si="16">CU40*CU9</f>
        <v>681139.36</v>
      </c>
      <c r="CV41" s="886">
        <f t="shared" si="16"/>
        <v>21278400</v>
      </c>
      <c r="CW41" s="886">
        <f t="shared" si="16"/>
        <v>885875.75999999989</v>
      </c>
      <c r="CX41" s="886">
        <f t="shared" si="16"/>
        <v>7335601.9199999999</v>
      </c>
      <c r="CY41" s="886">
        <f t="shared" si="16"/>
        <v>1556055.9</v>
      </c>
      <c r="CZ41" s="886">
        <f t="shared" si="16"/>
        <v>16946784</v>
      </c>
      <c r="DA41" s="886">
        <f t="shared" si="16"/>
        <v>5353824</v>
      </c>
      <c r="DB41" s="886">
        <f t="shared" ref="DB41:DG41" si="17">DB40*DB9</f>
        <v>23974610.699999999</v>
      </c>
      <c r="DC41" s="886">
        <f t="shared" si="17"/>
        <v>0</v>
      </c>
      <c r="DD41" s="886">
        <f>DD40*DD9</f>
        <v>8328383.9999999991</v>
      </c>
      <c r="DE41" s="886">
        <f>DE40*DE9</f>
        <v>18994500</v>
      </c>
      <c r="DF41" s="886">
        <f t="shared" si="17"/>
        <v>8362862.9500000011</v>
      </c>
      <c r="DG41" s="886">
        <f t="shared" si="17"/>
        <v>0</v>
      </c>
      <c r="DH41" s="886">
        <f t="shared" ref="DH41:DM41" si="18">DH40*DH9</f>
        <v>4893928.2</v>
      </c>
      <c r="DI41" s="886">
        <f t="shared" si="18"/>
        <v>11737656.970000001</v>
      </c>
      <c r="DJ41" s="886">
        <f t="shared" si="18"/>
        <v>18937729.77</v>
      </c>
      <c r="DK41" s="886">
        <f t="shared" si="18"/>
        <v>1023948</v>
      </c>
      <c r="DL41" s="886">
        <f t="shared" si="18"/>
        <v>3203466</v>
      </c>
      <c r="DM41" s="886">
        <f t="shared" si="18"/>
        <v>10536652.800000001</v>
      </c>
      <c r="DN41" s="886">
        <f t="shared" ref="DN41:DS41" si="19">DN40*DN9</f>
        <v>0</v>
      </c>
      <c r="DO41" s="886">
        <f t="shared" si="19"/>
        <v>0</v>
      </c>
      <c r="DP41" s="886">
        <f t="shared" si="19"/>
        <v>0</v>
      </c>
      <c r="DQ41" s="886">
        <f t="shared" si="19"/>
        <v>0</v>
      </c>
      <c r="DR41" s="886">
        <f t="shared" si="19"/>
        <v>0</v>
      </c>
      <c r="DS41" s="886">
        <f t="shared" si="19"/>
        <v>0</v>
      </c>
      <c r="DT41" s="886">
        <f>DT40*DT9</f>
        <v>0</v>
      </c>
      <c r="DU41" s="886">
        <f>DU40*DU9</f>
        <v>0</v>
      </c>
      <c r="DV41" s="886">
        <f>DV40*DV9</f>
        <v>0</v>
      </c>
      <c r="DW41" s="886">
        <f>DW40*DW9</f>
        <v>0</v>
      </c>
      <c r="DX41" s="886"/>
      <c r="DY41" s="886">
        <f t="shared" si="15"/>
        <v>73330035.840000004</v>
      </c>
      <c r="DZ41" s="886">
        <f t="shared" si="15"/>
        <v>0</v>
      </c>
      <c r="EA41" s="886">
        <f t="shared" si="15"/>
        <v>0</v>
      </c>
      <c r="EB41" s="1235">
        <f t="shared" si="15"/>
        <v>0</v>
      </c>
      <c r="EC41" s="886">
        <f t="shared" si="15"/>
        <v>0</v>
      </c>
      <c r="ED41" s="886">
        <f t="shared" si="15"/>
        <v>0</v>
      </c>
      <c r="EE41" s="886">
        <f t="shared" si="15"/>
        <v>0</v>
      </c>
      <c r="EF41" s="886">
        <f t="shared" si="15"/>
        <v>0</v>
      </c>
      <c r="EG41" s="886">
        <f t="shared" si="15"/>
        <v>1127884.8</v>
      </c>
      <c r="EH41" s="886">
        <f t="shared" si="15"/>
        <v>0</v>
      </c>
      <c r="EI41" s="886">
        <f t="shared" si="15"/>
        <v>0</v>
      </c>
      <c r="EJ41" s="886">
        <f t="shared" si="15"/>
        <v>2500807.5199999996</v>
      </c>
      <c r="EK41" s="886">
        <f t="shared" si="15"/>
        <v>598920</v>
      </c>
      <c r="EL41" s="886">
        <f t="shared" si="15"/>
        <v>669926.40000000002</v>
      </c>
      <c r="EM41" s="886">
        <f t="shared" si="15"/>
        <v>0</v>
      </c>
      <c r="EN41" s="886">
        <f t="shared" si="15"/>
        <v>0</v>
      </c>
      <c r="EO41" s="886">
        <f t="shared" si="15"/>
        <v>0</v>
      </c>
      <c r="EP41" s="886">
        <f t="shared" si="15"/>
        <v>1752307.2</v>
      </c>
      <c r="EQ41" s="886">
        <f t="shared" si="15"/>
        <v>297027.59999999998</v>
      </c>
      <c r="ER41" s="886">
        <f t="shared" si="15"/>
        <v>4500579</v>
      </c>
      <c r="ES41" s="886">
        <f t="shared" si="15"/>
        <v>0</v>
      </c>
      <c r="ET41" s="886">
        <f t="shared" si="15"/>
        <v>1591074.16</v>
      </c>
      <c r="EU41" s="886">
        <f t="shared" si="15"/>
        <v>850733.54999999993</v>
      </c>
      <c r="EV41" s="886">
        <f t="shared" si="15"/>
        <v>11148926.399999999</v>
      </c>
      <c r="EW41" s="886">
        <f t="shared" si="15"/>
        <v>0</v>
      </c>
      <c r="EX41" s="886">
        <f t="shared" si="15"/>
        <v>997632</v>
      </c>
      <c r="EY41" s="886">
        <f t="shared" si="15"/>
        <v>0</v>
      </c>
      <c r="EZ41" s="886">
        <f t="shared" ref="EZ41:FJ41" si="20">EZ40*EZ9</f>
        <v>143168.38200000001</v>
      </c>
      <c r="FA41" s="886">
        <f t="shared" si="20"/>
        <v>0</v>
      </c>
      <c r="FB41" s="886">
        <f t="shared" si="20"/>
        <v>0</v>
      </c>
      <c r="FC41" s="886">
        <f t="shared" si="20"/>
        <v>26258274</v>
      </c>
      <c r="FD41" s="886">
        <f t="shared" si="20"/>
        <v>0</v>
      </c>
      <c r="FE41" s="886">
        <f t="shared" si="20"/>
        <v>0</v>
      </c>
      <c r="FF41" s="886">
        <f t="shared" si="20"/>
        <v>0</v>
      </c>
      <c r="FG41" s="886">
        <f t="shared" si="20"/>
        <v>0</v>
      </c>
      <c r="FH41" s="886">
        <f t="shared" si="20"/>
        <v>0</v>
      </c>
      <c r="FI41" s="886">
        <f t="shared" si="20"/>
        <v>0</v>
      </c>
      <c r="FJ41" s="886">
        <f t="shared" si="20"/>
        <v>408955.5</v>
      </c>
      <c r="FK41" s="886">
        <f t="shared" ref="FK41:FP41" si="21">FK40*FK9</f>
        <v>489888.00000000006</v>
      </c>
      <c r="FL41" s="886">
        <f t="shared" si="21"/>
        <v>5343985.5299999993</v>
      </c>
      <c r="FM41" s="886">
        <f t="shared" si="21"/>
        <v>0</v>
      </c>
      <c r="FN41" s="886">
        <f t="shared" si="21"/>
        <v>8807436</v>
      </c>
      <c r="FO41" s="886">
        <f t="shared" si="21"/>
        <v>8258457.5999999996</v>
      </c>
      <c r="FP41" s="886">
        <f t="shared" si="21"/>
        <v>0</v>
      </c>
      <c r="FQ41" s="886">
        <f t="shared" ref="FQ41:FW41" si="22">FQ40*FQ9</f>
        <v>14404453.439999999</v>
      </c>
      <c r="FR41" s="886">
        <f t="shared" si="22"/>
        <v>424120.31999999995</v>
      </c>
      <c r="FS41" s="886">
        <f t="shared" si="22"/>
        <v>17042822.399999999</v>
      </c>
      <c r="FT41" s="886">
        <f t="shared" si="22"/>
        <v>0</v>
      </c>
      <c r="FU41" s="886">
        <f t="shared" si="22"/>
        <v>161075.85</v>
      </c>
      <c r="FV41" s="886">
        <f t="shared" si="22"/>
        <v>14317208.639999999</v>
      </c>
      <c r="FW41" s="886">
        <f t="shared" si="22"/>
        <v>8077599.9999999991</v>
      </c>
      <c r="FX41" s="886">
        <f t="shared" ref="FX41:GC41" si="23">FX40*FX9</f>
        <v>0</v>
      </c>
      <c r="FY41" s="886">
        <f t="shared" si="23"/>
        <v>0</v>
      </c>
      <c r="FZ41" s="886">
        <f t="shared" si="23"/>
        <v>0</v>
      </c>
      <c r="GA41" s="886">
        <f t="shared" si="23"/>
        <v>0</v>
      </c>
      <c r="GB41" s="886">
        <f t="shared" si="23"/>
        <v>0</v>
      </c>
      <c r="GC41" s="886">
        <f t="shared" si="23"/>
        <v>0</v>
      </c>
      <c r="GD41" s="946"/>
      <c r="GE41" s="910">
        <f>SUM(B41:DX41)</f>
        <v>340031692.94</v>
      </c>
      <c r="GF41" s="909">
        <f t="shared" si="6"/>
        <v>203503300.13199997</v>
      </c>
      <c r="GG41" s="906">
        <f t="shared" si="7"/>
        <v>543534993.07200003</v>
      </c>
      <c r="GH41" s="650">
        <f t="shared" si="8"/>
        <v>53634023.452000007</v>
      </c>
      <c r="GI41" s="650">
        <f t="shared" si="0"/>
        <v>73330035.840000004</v>
      </c>
      <c r="GJ41" s="650">
        <f t="shared" si="13"/>
        <v>42045968.719999999</v>
      </c>
      <c r="GK41" s="650">
        <f t="shared" si="9"/>
        <v>3255623.1999999997</v>
      </c>
      <c r="GL41" s="650">
        <f t="shared" si="1"/>
        <v>308547850.25999993</v>
      </c>
      <c r="GM41" s="650">
        <f t="shared" si="2"/>
        <v>34335874</v>
      </c>
      <c r="GN41" s="650">
        <f t="shared" si="3"/>
        <v>489996</v>
      </c>
      <c r="GO41" s="650">
        <f t="shared" si="10"/>
        <v>0</v>
      </c>
      <c r="GP41" s="650">
        <f t="shared" si="11"/>
        <v>11416003.850000001</v>
      </c>
      <c r="GQ41" s="650">
        <f t="shared" si="4"/>
        <v>14572800</v>
      </c>
      <c r="GR41" s="650">
        <f t="shared" si="5"/>
        <v>1906817.75</v>
      </c>
      <c r="GS41" s="904">
        <f>FWise!M35</f>
        <v>0</v>
      </c>
      <c r="GT41" s="904"/>
    </row>
    <row r="42" spans="1:275" ht="33" customHeight="1" thickBot="1">
      <c r="A42" s="887" t="s">
        <v>119</v>
      </c>
      <c r="B42" s="1232">
        <f>INDEX(B22:B25,MATCH(E46,A22:A25))</f>
        <v>0</v>
      </c>
      <c r="C42" s="1233">
        <f>INDEX(C22:C25,MATCH(E46,A22:A25))</f>
        <v>0</v>
      </c>
      <c r="D42" s="1233">
        <f>INDEX(D22:D25,MATCH(E46,A22:A25))</f>
        <v>200</v>
      </c>
      <c r="E42" s="1233">
        <f>INDEX(E22:E25,MATCH(E46,A22:A25))</f>
        <v>0</v>
      </c>
      <c r="F42" s="1233">
        <f>INDEX(F22:F25,MATCH(E46,A22:A25))</f>
        <v>0</v>
      </c>
      <c r="G42" s="1233">
        <f>INDEX(G22:G25,MATCH(E46,A22:A25))</f>
        <v>0</v>
      </c>
      <c r="H42" s="1233">
        <f>INDEX(H22:H25,MATCH(E46,A22:A25))</f>
        <v>0</v>
      </c>
      <c r="I42" s="1233">
        <f>INDEX(I22:I25,MATCH(E46,A22:A25))</f>
        <v>0</v>
      </c>
      <c r="J42" s="1233">
        <f>INDEX(J22:J25,MATCH(E46,A22:A25))</f>
        <v>252</v>
      </c>
      <c r="K42" s="1233"/>
      <c r="L42" s="1233">
        <f>INDEX(L22:L25,MATCH(E46,A22:A25))</f>
        <v>0</v>
      </c>
      <c r="M42" s="1233">
        <f>INDEX(M22:M25,MATCH(E46,A22:A25))</f>
        <v>180</v>
      </c>
      <c r="N42" s="1233">
        <f>INDEX(N22:N25,MATCH(E46,A22:A25))</f>
        <v>0</v>
      </c>
      <c r="O42" s="1233">
        <f>INDEX(O22:O25,MATCH(E46,A22:A25))</f>
        <v>0</v>
      </c>
      <c r="P42" s="1233">
        <f>INDEX(P22:P25,MATCH(E46,A22:A25))</f>
        <v>0</v>
      </c>
      <c r="Q42" s="1233">
        <f>INDEX(Q22:Q25,MATCH(E46,A22:A25))</f>
        <v>31</v>
      </c>
      <c r="R42" s="1233">
        <f>INDEX(R22:R25,MATCH(E46,A22:A25))</f>
        <v>0</v>
      </c>
      <c r="S42" s="1233">
        <f>INDEX(S22:S25,MATCH(E46,A22:A25))</f>
        <v>0</v>
      </c>
      <c r="T42" s="1233">
        <f>INDEX(T22:T25,MATCH(E46,A22:A25))</f>
        <v>0</v>
      </c>
      <c r="U42" s="1233">
        <f>INDEX(U22:U25,MATCH(E46,A22:A25))</f>
        <v>0</v>
      </c>
      <c r="V42" s="1233">
        <f>INDEX(V22:V25,MATCH(E46,A22:A25))</f>
        <v>58</v>
      </c>
      <c r="W42" s="1233">
        <f>INDEX(W22:W25,MATCH(E46,A22:A25))</f>
        <v>0</v>
      </c>
      <c r="X42" s="1233">
        <f>INDEX(X22:X25,MATCH(E46,A22:A25))</f>
        <v>0</v>
      </c>
      <c r="Y42" s="1233">
        <f>INDEX(Y22:Y25,MATCH(E46,A22:A25))</f>
        <v>0</v>
      </c>
      <c r="Z42" s="1233">
        <f>INDEX(Z22:Z25,MATCH(E46,A22:A25))</f>
        <v>0</v>
      </c>
      <c r="AA42" s="1233">
        <f>INDEX(AA22:AA25,MATCH(E46,A22:A25))</f>
        <v>0</v>
      </c>
      <c r="AB42" s="1233">
        <f>INDEX(AB22:AB25,MATCH(E46,A22:A25))</f>
        <v>0</v>
      </c>
      <c r="AC42" s="1233">
        <f>INDEX(AC22:AC25,MATCH(E46,A22:A25))</f>
        <v>55</v>
      </c>
      <c r="AD42" s="1233">
        <f>INDEX(AD22:AD25,MATCH(E46,A22:A25))</f>
        <v>35</v>
      </c>
      <c r="AE42" s="1233">
        <f>INDEX(AE22:AE25,MATCH(E46,A22:A25))</f>
        <v>0</v>
      </c>
      <c r="AF42" s="1233">
        <f>INDEX(AF22:AF25,MATCH(E46,A22:A25))</f>
        <v>0</v>
      </c>
      <c r="AG42" s="1233">
        <f>INDEX(AG22:AG25,MATCH(E46,A22:A25))</f>
        <v>0</v>
      </c>
      <c r="AH42" s="1233">
        <f>INDEX(AH22:AH25,MATCH(E46,A22:A25))</f>
        <v>16</v>
      </c>
      <c r="AI42" s="1233">
        <f>INDEX(AI22:AI25,MATCH(E46,A22:A25))</f>
        <v>17</v>
      </c>
      <c r="AJ42" s="1233">
        <f>INDEX(AJ22:AJ25,MATCH(E46,A22:A25))</f>
        <v>25</v>
      </c>
      <c r="AK42" s="1233">
        <f>INDEX(AK22:AK25,MATCH(E46,A22:A25))</f>
        <v>0</v>
      </c>
      <c r="AL42" s="1233">
        <f>INDEX(AL22:AL25,MATCH(E46,A22:A25))</f>
        <v>40</v>
      </c>
      <c r="AM42" s="1233">
        <f>INDEX(AM22:AM25,MATCH(E46,A22:A25))</f>
        <v>40</v>
      </c>
      <c r="AN42" s="1233">
        <f>INDEX(AN22:AN25,MATCH(E46,A22:A25))</f>
        <v>0</v>
      </c>
      <c r="AO42" s="1233">
        <f>INDEX(AO22:AO25,MATCH(E46,A22:A25))</f>
        <v>0</v>
      </c>
      <c r="AP42" s="1233">
        <f>INDEX(AP22:AP25,MATCH(E46,A22:A25))</f>
        <v>0</v>
      </c>
      <c r="AQ42" s="1233">
        <f>INDEX(AQ22:AQ25,MATCH(E46,A22:A25))</f>
        <v>0</v>
      </c>
      <c r="AR42" s="1233">
        <f>INDEX(AR22:AR25,MATCH(E46,A22:A25))</f>
        <v>0</v>
      </c>
      <c r="AS42" s="1233">
        <f>INDEX(AS22:AS25,MATCH(E46,A22:A25))</f>
        <v>0</v>
      </c>
      <c r="AT42" s="1233">
        <f>INDEX(AT22:AT25,MATCH(E46,A22:A25))</f>
        <v>0</v>
      </c>
      <c r="AU42" s="1233"/>
      <c r="AV42" s="1233">
        <f>INDEX(AV22:AV25,MATCH(E46,A22:A25))</f>
        <v>22</v>
      </c>
      <c r="AW42" s="1233">
        <f>INDEX(AW22:AW25,MATCH(E46,A22:A25))</f>
        <v>0</v>
      </c>
      <c r="AX42" s="1233">
        <f>INDEX(AX22:AX25,MATCH(E46,A22:A25))</f>
        <v>0</v>
      </c>
      <c r="AY42" s="1233">
        <f>INDEX(AY22:AY25,MATCH(E46,A22:A25))</f>
        <v>0</v>
      </c>
      <c r="AZ42" s="1233">
        <f>INDEX(AZ22:AZ25,MATCH(E46,A22:A25))</f>
        <v>6</v>
      </c>
      <c r="BA42" s="1233">
        <f>INDEX(BA22:BA25,MATCH(E46,A22:A25))</f>
        <v>0</v>
      </c>
      <c r="BB42" s="1233">
        <f>INDEX(BB22:BB25,MATCH(E46,A22:A25))</f>
        <v>21</v>
      </c>
      <c r="BC42" s="1233">
        <f>INDEX(BC22:BC25,MATCH(E46,A22:A25))</f>
        <v>2</v>
      </c>
      <c r="BD42" s="1233">
        <f>INDEX(BD22:BD25,MATCH(E46,A22:A25))</f>
        <v>0</v>
      </c>
      <c r="BE42" s="1233">
        <f>INDEX(BE22:BE25,MATCH(E46,A22:A25))</f>
        <v>0</v>
      </c>
      <c r="BF42" s="1233">
        <f>INDEX(BF22:BF25,MATCH(E46,A22:A25))</f>
        <v>80</v>
      </c>
      <c r="BG42" s="1233">
        <f>INDEX(BG22:BG25,MATCH(E46,A22:A25))</f>
        <v>150</v>
      </c>
      <c r="BH42" s="1233">
        <f>INDEX(BH22:BH25,MATCH(E46,A22:A25))</f>
        <v>285</v>
      </c>
      <c r="BI42" s="1233">
        <f>INDEX(BI22:BI25,MATCH(E46,A22:A25))</f>
        <v>152</v>
      </c>
      <c r="BJ42" s="1233">
        <f>INDEX(BJ22:BJ25,MATCH(E46,A22:A25))</f>
        <v>8</v>
      </c>
      <c r="BK42" s="1233">
        <f>INDEX(BK22:BK25,MATCH(E46,A22:A25))</f>
        <v>138</v>
      </c>
      <c r="BL42" s="1233">
        <f>INDEX(BL22:BL25,MATCH(E46,A22:A25))</f>
        <v>5</v>
      </c>
      <c r="BM42" s="1233">
        <f>INDEX(BM22:BM25,MATCH(E46,A22:A25))</f>
        <v>5</v>
      </c>
      <c r="BN42" s="1233">
        <f>INDEX(BN22:BN25,MATCH(E46,A22:A25))</f>
        <v>0</v>
      </c>
      <c r="BO42" s="1233">
        <f>INDEX(BO22:BO25,MATCH(E46,A22:A25))</f>
        <v>43</v>
      </c>
      <c r="BP42" s="1233">
        <f>INDEX(BP22:BP25,MATCH(E46,A22:A25))</f>
        <v>0</v>
      </c>
      <c r="BQ42" s="1233">
        <f>INDEX(BQ22:BQ25,MATCH(E46,A22:A25))</f>
        <v>0</v>
      </c>
      <c r="BR42" s="1233">
        <f>INDEX(BR22:BR25,MATCH(E46,A22:A25))</f>
        <v>20</v>
      </c>
      <c r="BS42" s="1233">
        <f>INDEX(BS22:BS25,MATCH(E46,A22:A25))</f>
        <v>19</v>
      </c>
      <c r="BT42" s="1233">
        <f>INDEX(BT22:BT25,MATCH(E46,A22:A25))</f>
        <v>8</v>
      </c>
      <c r="BU42" s="1233">
        <f>INDEX(BU22:BU25,MATCH(E46,A22:A25))</f>
        <v>16</v>
      </c>
      <c r="BV42" s="1233">
        <f>INDEX(BV22:BV25,MATCH(E46,A22:A25))</f>
        <v>6</v>
      </c>
      <c r="BW42" s="1233">
        <f>INDEX(BW22:BW25,MATCH(E46,A22:A25))</f>
        <v>64</v>
      </c>
      <c r="BX42" s="1233">
        <f>INDEX(BX22:BX25,MATCH(E46,A22:A25))</f>
        <v>49</v>
      </c>
      <c r="BY42" s="1233">
        <f>INDEX(BY22:BY25,MATCH(E46,A22:A25))</f>
        <v>0</v>
      </c>
      <c r="BZ42" s="1233">
        <f>INDEX(BZ22:BZ25,MATCH(E46,A22:A25))</f>
        <v>22</v>
      </c>
      <c r="CA42" s="1233">
        <f>INDEX(CA22:CA25,MATCH(E46,A22:A25))</f>
        <v>2</v>
      </c>
      <c r="CB42" s="1233">
        <f>INDEX(CB22:CB25,MATCH(E46,A22:A25))</f>
        <v>43</v>
      </c>
      <c r="CC42" s="1233">
        <f>INDEX(CC22:CC25,MATCH(E46,A22:A25))</f>
        <v>0</v>
      </c>
      <c r="CD42" s="1233">
        <f>INDEX(CD22:CD25,MATCH(E46,A22:A25))</f>
        <v>45</v>
      </c>
      <c r="CE42" s="1233">
        <f>INDEX(CE22:CE25,MATCH(E46,A22:A25))</f>
        <v>0</v>
      </c>
      <c r="CF42" s="1233">
        <f>INDEX(CF22:CF25,MATCH(E46,A22:A25))</f>
        <v>163</v>
      </c>
      <c r="CG42" s="1233">
        <f>INDEX(CG22:CG25,MATCH(E46,A22:A25))</f>
        <v>0</v>
      </c>
      <c r="CH42" s="1233">
        <f>INDEX(CH22:CH25,MATCH(E46,A22:A25))</f>
        <v>67</v>
      </c>
      <c r="CI42" s="1233">
        <f>INDEX(CI22:CI25,MATCH(E46,A22:A25))</f>
        <v>78</v>
      </c>
      <c r="CJ42" s="1233">
        <f>INDEX(CJ22:CJ25,MATCH(E46,A22:A25))</f>
        <v>0</v>
      </c>
      <c r="CK42" s="1233">
        <f>INDEX(CK22:CK25,MATCH(E46,A22:A25))</f>
        <v>190</v>
      </c>
      <c r="CL42" s="1233">
        <f>INDEX(CL22:CL25,MATCH(E46,A22:A25))</f>
        <v>18</v>
      </c>
      <c r="CM42" s="1233">
        <f>INDEX(CM22:CM25,MATCH(E46,A22:A25))</f>
        <v>0</v>
      </c>
      <c r="CN42" s="1233">
        <f>INDEX(CN22:CN25,MATCH(E46,A22:A25))</f>
        <v>10</v>
      </c>
      <c r="CO42" s="1233">
        <f>INDEX(CO22:CO25,MATCH(E46,A22:A25))</f>
        <v>305</v>
      </c>
      <c r="CP42" s="1233">
        <f>INDEX(CP22:CP25,MATCH(E46,A22:A25))</f>
        <v>16</v>
      </c>
      <c r="CQ42" s="1233">
        <f>INDEX(CQ22:CQ25,MATCH(E46,A22:A25))</f>
        <v>8</v>
      </c>
      <c r="CR42" s="1233">
        <f>INDEX(CR22:CR25,MATCH(E46,A22:A25))</f>
        <v>0</v>
      </c>
      <c r="CS42" s="1233">
        <f>INDEX(CS22:CS25,MATCH(E46,A22:A25))</f>
        <v>276</v>
      </c>
      <c r="CT42" s="1233">
        <f>INDEX(CT22:CT25,MATCH(E46,A22:A25))</f>
        <v>0</v>
      </c>
      <c r="CU42" s="1233">
        <f>INDEX(CU22:CU25,MATCH(E46,A22:A25))</f>
        <v>0</v>
      </c>
      <c r="CV42" s="1233">
        <f>INDEX(CV22:CV25,MATCH(E46,A22:A25))</f>
        <v>127</v>
      </c>
      <c r="CW42" s="1233">
        <f>INDEX(CW22:CW25,MATCH(E46,A22:A25))</f>
        <v>0</v>
      </c>
      <c r="CX42" s="1233">
        <f>INDEX(CX22:CX25,MATCH(E46,A22:A25))</f>
        <v>0</v>
      </c>
      <c r="CY42" s="1233">
        <f>INDEX(CY22:CY25,MATCH(E46,A22:A25))</f>
        <v>19</v>
      </c>
      <c r="CZ42" s="1233">
        <f>INDEX(CZ22:CZ25,MATCH(E46,A22:A25))</f>
        <v>76</v>
      </c>
      <c r="DA42" s="1233">
        <f>INDEX(DA22:DA25,MATCH(E46,A22:A25))</f>
        <v>0</v>
      </c>
      <c r="DB42" s="1233">
        <f>INDEX(DB22:DB25,MATCH(E46,A22:A25))</f>
        <v>147</v>
      </c>
      <c r="DC42" s="1233">
        <f>INDEX(DC22:DC25,MATCH(E46,A22:A25))</f>
        <v>0</v>
      </c>
      <c r="DD42" s="1233">
        <f>INDEX(DD22:DD25,MATCH(E46,A22:A25))</f>
        <v>8</v>
      </c>
      <c r="DE42" s="1233">
        <f>INDEX(DE22:DE25,MATCH(E46,A22:A25))</f>
        <v>60</v>
      </c>
      <c r="DF42" s="1233">
        <f>INDEX(DF22:DF25,MATCH(E46,A22:A25))</f>
        <v>21</v>
      </c>
      <c r="DG42" s="1233">
        <f>INDEX(DG22:DG25,MATCH(E46,A22:A25))</f>
        <v>4</v>
      </c>
      <c r="DH42" s="1233">
        <f>INDEX(DH22:DH25,MATCH(E46,A22:A25))</f>
        <v>15</v>
      </c>
      <c r="DI42" s="1233">
        <f>INDEX(DI22:DI25,MATCH(E46,A22:A25))</f>
        <v>54</v>
      </c>
      <c r="DJ42" s="1233">
        <f>INDEX(DJ22:DJ25,MATCH(E46,A22:A25))</f>
        <v>68</v>
      </c>
      <c r="DK42" s="1233">
        <f>INDEX(DK22:DK25,MATCH(E46,A22:A25))</f>
        <v>0</v>
      </c>
      <c r="DL42" s="1233">
        <f>INDEX(DL22:DL25,MATCH(E46,A22:A25))</f>
        <v>66</v>
      </c>
      <c r="DM42" s="1233">
        <f>INDEX(DM22:DM25,MATCH(E46,A22:A25))</f>
        <v>90</v>
      </c>
      <c r="DN42" s="1233">
        <f>INDEX(DN22:DN25,MATCH(E46,A22:A25))</f>
        <v>371</v>
      </c>
      <c r="DO42" s="1233">
        <f>INDEX(DO22:DO25,MATCH(E46,A22:A25))</f>
        <v>74</v>
      </c>
      <c r="DP42" s="1233">
        <f>INDEX(DP22:DP25,MATCH(E46,A22:A25))</f>
        <v>43</v>
      </c>
      <c r="DQ42" s="1233">
        <f>INDEX(DQ22:DQ25,MATCH(E46,A22:A25))</f>
        <v>162</v>
      </c>
      <c r="DR42" s="1233">
        <f>INDEX(DR22:DR25,MATCH(E46,A22:A25))</f>
        <v>116</v>
      </c>
      <c r="DS42" s="1233">
        <f>INDEX(DS22:DS25,MATCH(E46,A22:A25))</f>
        <v>0</v>
      </c>
      <c r="DT42" s="1233">
        <f>INDEX(DT22:DT25,MATCH(E46,A22:A25))</f>
        <v>17</v>
      </c>
      <c r="DU42" s="1233">
        <f>INDEX(DU22:DU25,MATCH(E46,A22:A25))</f>
        <v>28</v>
      </c>
      <c r="DV42" s="1233">
        <f>INDEX(DV22:DV25,MATCH(E46,A22:A25))</f>
        <v>0</v>
      </c>
      <c r="DW42" s="1233">
        <f>INDEX(DW22:DW25,MATCH(E46,A22:A25))</f>
        <v>0</v>
      </c>
      <c r="DX42" s="1233"/>
      <c r="DY42" s="1233">
        <f>INDEX(DY22:DY25,MATCH(E46,A22:A25))</f>
        <v>655</v>
      </c>
      <c r="DZ42" s="1233">
        <f>INDEX(DZ22:DZ25,MATCH(E46,A22:A25))</f>
        <v>0</v>
      </c>
      <c r="EA42" s="1233">
        <f>INDEX(EA22:EA25,MATCH(E46,A22:A25))</f>
        <v>0</v>
      </c>
      <c r="EB42" s="1233">
        <f>INDEX(EB22:EB25,MATCH(E46,A22:A25))</f>
        <v>0</v>
      </c>
      <c r="EC42" s="1233">
        <f>INDEX(EC22:EC25,MATCH(E46,A22:A25))</f>
        <v>0</v>
      </c>
      <c r="ED42" s="1233">
        <f>INDEX(ED22:ED25,MATCH(E46,A22:A25))</f>
        <v>0</v>
      </c>
      <c r="EE42" s="1233">
        <f>INDEX(EE22:EE25,MATCH(E46,A22:A25))</f>
        <v>0</v>
      </c>
      <c r="EF42" s="1233">
        <f>INDEX(EF22:EF25,MATCH(E46,A22:A25))</f>
        <v>0</v>
      </c>
      <c r="EG42" s="1233">
        <f>INDEX(EG22:EG25,MATCH(E46,A22:A25))</f>
        <v>0</v>
      </c>
      <c r="EH42" s="1233">
        <f>INDEX(EH22:EH25,MATCH(E46,A22:A25))</f>
        <v>0</v>
      </c>
      <c r="EI42" s="1233">
        <f>INDEX(EI22:EI25,MATCH(E46,A22:A25))</f>
        <v>0</v>
      </c>
      <c r="EJ42" s="1233">
        <f>INDEX(EJ22:EJ25,MATCH(E46,A22:A25))</f>
        <v>91</v>
      </c>
      <c r="EK42" s="1233">
        <f>INDEX(EK22:EK25,MATCH(E46,A22:A25))</f>
        <v>10</v>
      </c>
      <c r="EL42" s="1233">
        <f>INDEX(EL22:EL25,MATCH(E46,A22:A25))</f>
        <v>0</v>
      </c>
      <c r="EM42" s="1233">
        <f>INDEX(EM22:EM25,MATCH(E46,A22:A25))</f>
        <v>0</v>
      </c>
      <c r="EN42" s="1233">
        <f>INDEX(EN22:EN25,MATCH(E46,A22:A25))</f>
        <v>0</v>
      </c>
      <c r="EO42" s="1233">
        <f>INDEX(EO22:EO25,MATCH(E46,A22:A25))</f>
        <v>0</v>
      </c>
      <c r="EP42" s="1233">
        <f>INDEX(EP22:EP25,MATCH(E46,A22:A25))</f>
        <v>0</v>
      </c>
      <c r="EQ42" s="1233">
        <f>INDEX(EQ22:EQ25,MATCH(E46,A22:A25))</f>
        <v>0</v>
      </c>
      <c r="ER42" s="1233">
        <f>INDEX(ER22:ER25,MATCH(E46,A22:A25))</f>
        <v>0</v>
      </c>
      <c r="ES42" s="1233">
        <f>INDEX(ES22:ES25,MATCH(E46,A22:A25))</f>
        <v>0</v>
      </c>
      <c r="ET42" s="1233">
        <f>INDEX(ET22:ET25,MATCH(E46,A22:A25))</f>
        <v>0</v>
      </c>
      <c r="EU42" s="1233">
        <f>INDEX(EU22:EU25,MATCH(E46,A22:A25))</f>
        <v>0</v>
      </c>
      <c r="EV42" s="1233">
        <f>INDEX(EV22:EV25,MATCH(E46,A22:A25))</f>
        <v>16</v>
      </c>
      <c r="EW42" s="1233">
        <f>INDEX(EW22:EW25,MATCH(E46,A22:A25))</f>
        <v>0</v>
      </c>
      <c r="EX42" s="1233">
        <f>INDEX(EX22:EX25,MATCH(E46,A22:A25))</f>
        <v>18</v>
      </c>
      <c r="EY42" s="1233">
        <f>INDEX(EY22:EY25,MATCH(E46,A22:A25))</f>
        <v>0</v>
      </c>
      <c r="EZ42" s="1233">
        <f>INDEX(EZ22:EZ25,MATCH(E46,A22:A25))</f>
        <v>8</v>
      </c>
      <c r="FA42" s="1233">
        <f>INDEX(FA22:FA25,MATCH(E46,A22:A25))</f>
        <v>0</v>
      </c>
      <c r="FB42" s="1233">
        <f>INDEX(FB22:FB25,MATCH(E46,A22:A25))</f>
        <v>0</v>
      </c>
      <c r="FC42" s="1233">
        <f>INDEX(FC22:FC25,MATCH(E46,A22:A25))</f>
        <v>200</v>
      </c>
      <c r="FD42" s="1233">
        <f>INDEX(FD22:FD25,MATCH(E46,A22:A25))</f>
        <v>0</v>
      </c>
      <c r="FE42" s="1233">
        <f>INDEX(FE22:FE25,MATCH(E46,A22:A25))</f>
        <v>0</v>
      </c>
      <c r="FF42" s="1391">
        <f>INDEX(FF21:FF25,MATCH(E46,A21:A25))</f>
        <v>0</v>
      </c>
      <c r="FG42" s="1391">
        <f>INDEX(FG21:FG25,MATCH(E46,A21:A25))</f>
        <v>0</v>
      </c>
      <c r="FH42" s="1391">
        <f>INDEX(FH21:FH25,MATCH(E46,A21:A25))</f>
        <v>0</v>
      </c>
      <c r="FI42" s="1391">
        <f>INDEX(FI21:FI25,MATCH(E46,A21:A25))</f>
        <v>0</v>
      </c>
      <c r="FJ42" s="1391">
        <f>INDEX(FJ21:FJ25,MATCH(E46,A21:A25))</f>
        <v>0</v>
      </c>
      <c r="FK42" s="1391">
        <f>INDEX(FK22:FK25,MATCH(E46,A22:A25))</f>
        <v>0</v>
      </c>
      <c r="FL42" s="1391">
        <f>INDEX(FL22:FL25,MATCH(E46,A22:A25))</f>
        <v>169</v>
      </c>
      <c r="FM42" s="1391">
        <f>INDEX(FM22:FM25,MATCH(E46,A22:A25))</f>
        <v>0</v>
      </c>
      <c r="FN42" s="1391">
        <f>INDEX(FN22:FN25,MATCH(E46,A22:A25))</f>
        <v>341</v>
      </c>
      <c r="FO42" s="1391">
        <f>INDEX(FO22:FO25,MATCH(E46,A22:A25))</f>
        <v>17</v>
      </c>
      <c r="FP42" s="1391">
        <f>INDEX(FP22:FP25,MATCH(E46,A22:A25))</f>
        <v>0</v>
      </c>
      <c r="FQ42" s="1391">
        <f>INDEX(FQ22:FQ25,MATCH(E46,A22:A25))</f>
        <v>35</v>
      </c>
      <c r="FR42" s="1391">
        <f>INDEX(FR22:FR25,MATCH(E46,A22:A25))</f>
        <v>0</v>
      </c>
      <c r="FS42" s="1391">
        <f>INDEX(FS22:FS25,MATCH(E46,A22:A25))</f>
        <v>72</v>
      </c>
      <c r="FT42" s="1391">
        <f>INDEX(FT22:FT25,MATCH(E46,A22:A25))</f>
        <v>0</v>
      </c>
      <c r="FU42" s="1391">
        <f>INDEX(FU22:FU25,MATCH(E46,A22:A25))</f>
        <v>3</v>
      </c>
      <c r="FV42" s="1391">
        <f>INDEX(FV22:FV25,MATCH(E46,A22:A25))</f>
        <v>35</v>
      </c>
      <c r="FW42" s="1391">
        <f>INDEX(FW22:FW25,MATCH(E46,A22:A25))</f>
        <v>250</v>
      </c>
      <c r="FX42" s="1391">
        <f>INDEX(FX22:FX25,MATCH(E46,A22:A25))</f>
        <v>130</v>
      </c>
      <c r="FY42" s="1391">
        <f>INDEX(FY22:FY25,MATCH(E46,A22:A25))</f>
        <v>0</v>
      </c>
      <c r="FZ42" s="1391">
        <f>INDEX(FZ22:FZ25,MATCH(E46,A22:A25))</f>
        <v>0</v>
      </c>
      <c r="GA42" s="1391">
        <f>INDEX(GA22:GA25,MATCH(E46,A22:A25))</f>
        <v>5</v>
      </c>
      <c r="GB42" s="1391">
        <f>INDEX(GB22:GB25,MATCH(E46,A22:A25))</f>
        <v>68</v>
      </c>
      <c r="GC42" s="1391">
        <f>INDEX(GC22:GC25,MATCH(E46,A22:A25))</f>
        <v>7</v>
      </c>
      <c r="GD42" s="889"/>
      <c r="GE42" s="1415">
        <f>SUM(B42:GD42)</f>
        <v>6987</v>
      </c>
      <c r="GF42" s="962" t="s">
        <v>794</v>
      </c>
      <c r="GG42" s="963"/>
      <c r="GH42" s="963"/>
      <c r="GI42" s="963"/>
      <c r="GJ42" s="963"/>
      <c r="GK42" s="963"/>
      <c r="GL42" s="963"/>
      <c r="GM42" s="963"/>
      <c r="GN42" s="963"/>
      <c r="GO42" s="963"/>
      <c r="GP42" s="963"/>
      <c r="GQ42" s="963"/>
      <c r="GR42" s="963"/>
      <c r="GS42" s="964"/>
      <c r="GT42" s="964"/>
    </row>
    <row r="43" spans="1:275" ht="35.25" customHeight="1" thickBot="1">
      <c r="A43" s="887" t="s">
        <v>118</v>
      </c>
      <c r="B43" s="911">
        <f>INDEX(B30:B36,MATCH(E47,A30:A36))</f>
        <v>0</v>
      </c>
      <c r="C43" s="888">
        <f>INDEX(C30:C36,MATCH(E47,A30:A36))</f>
        <v>0</v>
      </c>
      <c r="D43" s="888">
        <f>INDEX(D30:D36,MATCH(E47,A30:A36))</f>
        <v>240</v>
      </c>
      <c r="E43" s="888">
        <f>INDEX(E30:E36,MATCH(E47,A30:A36))</f>
        <v>0</v>
      </c>
      <c r="F43" s="888">
        <f>INDEX(F30:F36,MATCH(E47,A30:A36))</f>
        <v>0</v>
      </c>
      <c r="G43" s="888">
        <f>INDEX(G30:G36,MATCH(E47,A30:A36))</f>
        <v>0</v>
      </c>
      <c r="H43" s="888">
        <f>INDEX(H30:H36,MATCH(E47,A30:A36))</f>
        <v>0</v>
      </c>
      <c r="I43" s="888">
        <f>INDEX(I30:I36,MATCH(E47,A30:A36))</f>
        <v>0</v>
      </c>
      <c r="J43" s="888">
        <f>INDEX(J30:J36,MATCH(E47,A30:A36))</f>
        <v>222</v>
      </c>
      <c r="K43" s="888">
        <f>INDEX(K30:K36,MATCH(E47,A30:A36))</f>
        <v>0</v>
      </c>
      <c r="L43" s="888">
        <f>INDEX(L30:L36,MATCH(E47,A30:A36))</f>
        <v>0</v>
      </c>
      <c r="M43" s="888">
        <f>INDEX(M30:M36,MATCH(E47,A30:A36))</f>
        <v>180</v>
      </c>
      <c r="N43" s="888">
        <f>INDEX(N30:N36,MATCH(E47,A30:A36))</f>
        <v>0</v>
      </c>
      <c r="O43" s="888">
        <f>INDEX(O30:O36,MATCH(E47,A30:A36))</f>
        <v>0</v>
      </c>
      <c r="P43" s="888">
        <f>INDEX(P30:P36,MATCH(E47,A30:A36))</f>
        <v>0</v>
      </c>
      <c r="Q43" s="888">
        <f>INDEX(Q30:Q36,MATCH(E47,A30:A36))</f>
        <v>55</v>
      </c>
      <c r="R43" s="888">
        <f>INDEX(R30:R36,MATCH(E47,A30:A36))</f>
        <v>0</v>
      </c>
      <c r="S43" s="888">
        <f>INDEX(S30:S36,MATCH(E47,A30:A36))</f>
        <v>0</v>
      </c>
      <c r="T43" s="888">
        <f>INDEX(T30:T36,MATCH(E47,A30:A36))</f>
        <v>0</v>
      </c>
      <c r="U43" s="888">
        <f>INDEX(U30:U36,MATCH(E47,A30:A36))</f>
        <v>0</v>
      </c>
      <c r="V43" s="888">
        <f>INDEX(V30:V36,MATCH(E47,A30:A36))</f>
        <v>102</v>
      </c>
      <c r="W43" s="888">
        <f>INDEX(W30:W36,MATCH(E47,A30:A36))</f>
        <v>0</v>
      </c>
      <c r="X43" s="888">
        <f>INDEX(X30:X36,MATCH(E47,A30:A36))</f>
        <v>24</v>
      </c>
      <c r="Y43" s="888">
        <f>INDEX(Y30:Y36,MATCH(E47,A30:A36))</f>
        <v>0</v>
      </c>
      <c r="Z43" s="888">
        <f>INDEX(Z30:Z36,MATCH(E47,A30:A36))</f>
        <v>0</v>
      </c>
      <c r="AA43" s="888">
        <f>INDEX(AA30:AA36,MATCH(E47,A30:A36))</f>
        <v>0</v>
      </c>
      <c r="AB43" s="888">
        <f>INDEX(AB30:AB36,MATCH(E47,A30:A36))</f>
        <v>35</v>
      </c>
      <c r="AC43" s="888">
        <f>INDEX(AC30:AC36,MATCH(E47,A30:A36))</f>
        <v>55</v>
      </c>
      <c r="AD43" s="888">
        <f>INDEX(AD30:AD36,MATCH(E47,A30:A36))</f>
        <v>35</v>
      </c>
      <c r="AE43" s="888">
        <f>INDEX(AE30:AE36,MATCH(E47,A30:A36))</f>
        <v>16</v>
      </c>
      <c r="AF43" s="888">
        <f>INDEX(AF30:AF36,MATCH(E47,A30:A36))</f>
        <v>25</v>
      </c>
      <c r="AG43" s="888">
        <f>INDEX(AG30:AG36,MATCH(E47,A30:A36))</f>
        <v>9</v>
      </c>
      <c r="AH43" s="888">
        <f>INDEX(AH30:AH36,MATCH(E47,A30:A36))</f>
        <v>16</v>
      </c>
      <c r="AI43" s="888">
        <f>INDEX(AI30:AI36,MATCH(E47,A30:A36))</f>
        <v>33</v>
      </c>
      <c r="AJ43" s="888">
        <f>INDEX(AJ30:AJ36,MATCH(E47,A30:A36))</f>
        <v>25</v>
      </c>
      <c r="AK43" s="888">
        <f>INDEX(AK30:AK36,MATCH(E47,A30:A36))</f>
        <v>0</v>
      </c>
      <c r="AL43" s="888">
        <f>INDEX(AL30:AL36,MATCH(E47,A30:A36))</f>
        <v>38</v>
      </c>
      <c r="AM43" s="888">
        <f>INDEX(AM30:AM36,MATCH(E47,A30:A36))</f>
        <v>40</v>
      </c>
      <c r="AN43" s="888">
        <f>INDEX(AN30:AN36,MATCH(E47,A30:A36))</f>
        <v>0</v>
      </c>
      <c r="AO43" s="888">
        <f>INDEX(AO30:AO36,MATCH(E47,A30:A36))</f>
        <v>0</v>
      </c>
      <c r="AP43" s="888">
        <f>INDEX(AP30:AP36,MATCH(E47,A30:A36))</f>
        <v>17</v>
      </c>
      <c r="AQ43" s="888">
        <f>INDEX(AQ30:AQ36,MATCH(E47,A30:A36))</f>
        <v>0</v>
      </c>
      <c r="AR43" s="888">
        <f>INDEX(AR30:AR36,MATCH(E47,A30:A36))</f>
        <v>0</v>
      </c>
      <c r="AS43" s="888">
        <f>INDEX(AS30:AS36,MATCH(E47,A30:A36))</f>
        <v>0</v>
      </c>
      <c r="AT43" s="888">
        <f>INDEX(AT30:AT36,MATCH(E47,A30:A36))</f>
        <v>0</v>
      </c>
      <c r="AU43" s="888">
        <f>INDEX(AU30:AU36,MATCH(E47,A30:A36))</f>
        <v>0</v>
      </c>
      <c r="AV43" s="888">
        <f>INDEX(AV30:AV36,MATCH(E47,A30:A36))</f>
        <v>22</v>
      </c>
      <c r="AW43" s="888">
        <f>INDEX(AW30:AW36,MATCH(E47,A30:A36))</f>
        <v>0</v>
      </c>
      <c r="AX43" s="888">
        <f>INDEX(AX30:AX36,MATCH(E47,A30:A36))</f>
        <v>40</v>
      </c>
      <c r="AY43" s="888">
        <f>INDEX(AY30:AY36,MATCH(E47,A30:A36))</f>
        <v>10</v>
      </c>
      <c r="AZ43" s="888">
        <f>INDEX(AZ30:AZ36,MATCH(E47,A30:A36))</f>
        <v>12</v>
      </c>
      <c r="BA43" s="888">
        <f>INDEX(BA30:BA36,MATCH(E47,A30:A36))</f>
        <v>0</v>
      </c>
      <c r="BB43" s="888">
        <f>INDEX(BB30:BB36,MATCH(E47,A30:A36))</f>
        <v>21</v>
      </c>
      <c r="BC43" s="888">
        <f>INDEX(BC30:BC36,MATCH(E47,A30:A36))</f>
        <v>10</v>
      </c>
      <c r="BD43" s="888">
        <f>INDEX(BD30:BD36,MATCH(E47,A30:A36))</f>
        <v>0</v>
      </c>
      <c r="BE43" s="888">
        <f>INDEX(BE30:BE36,MATCH(E47,A30:A36))</f>
        <v>0</v>
      </c>
      <c r="BF43" s="888">
        <f>INDEX(BF30:BF36,MATCH(E47,A30:A36))</f>
        <v>80</v>
      </c>
      <c r="BG43" s="888">
        <f>INDEX(BG30:BG36,MATCH(E47,A30:A36))</f>
        <v>150</v>
      </c>
      <c r="BH43" s="888">
        <f>INDEX(BH30:BH36,MATCH(E47,A30:A36))</f>
        <v>310</v>
      </c>
      <c r="BI43" s="888">
        <f>INDEX(BI30:BI36,MATCH(E47,A30:A36))</f>
        <v>168</v>
      </c>
      <c r="BJ43" s="888">
        <f>INDEX(BJ30:BJ36,MATCH(E47,A30:A36))</f>
        <v>8</v>
      </c>
      <c r="BK43" s="888">
        <f>INDEX(BK30:BK36,MATCH(E47,A30:A36))</f>
        <v>132</v>
      </c>
      <c r="BL43" s="888">
        <f>INDEX(BL30:BL36,MATCH(E47,A30:A36))</f>
        <v>3</v>
      </c>
      <c r="BM43" s="888">
        <f>INDEX(BM30:BM36,MATCH(E47,A30:A36))</f>
        <v>5</v>
      </c>
      <c r="BN43" s="888">
        <f>INDEX(BN30:BN36,MATCH(E47,A30:A36))</f>
        <v>0</v>
      </c>
      <c r="BO43" s="888">
        <f>INDEX(BO30:BO36,MATCH(E47,A30:A36))</f>
        <v>51</v>
      </c>
      <c r="BP43" s="888">
        <f>INDEX(BP30:BP36,MATCH(E47,A30:A36))</f>
        <v>0</v>
      </c>
      <c r="BQ43" s="888">
        <f>INDEX(BQ30:BQ36,MATCH(E47,A30:A36))</f>
        <v>0</v>
      </c>
      <c r="BR43" s="888">
        <f>INDEX(BR30:BR36,MATCH(E47,A30:A36))</f>
        <v>8</v>
      </c>
      <c r="BS43" s="888">
        <f>INDEX(BS30:BS36,MATCH(E47,A30:A36))</f>
        <v>20</v>
      </c>
      <c r="BT43" s="888">
        <f>INDEX(BT30:BT36,MATCH(E47,A30:A36))</f>
        <v>11</v>
      </c>
      <c r="BU43" s="888">
        <f>INDEX(BU30:BU36,MATCH(E47,A30:A36))</f>
        <v>33</v>
      </c>
      <c r="BV43" s="888">
        <f>INDEX(BV30:BV36,MATCH(E47,A30:A36))</f>
        <v>9</v>
      </c>
      <c r="BW43" s="888">
        <f>INDEX(BW30:BW36,MATCH(E47,A30:A36))</f>
        <v>88</v>
      </c>
      <c r="BX43" s="888">
        <f>INDEX(BX30:BX36,MATCH(E47,A30:A36))</f>
        <v>50</v>
      </c>
      <c r="BY43" s="888">
        <f>INDEX(BY30:BY36,MATCH(E47,A30:A36))</f>
        <v>0</v>
      </c>
      <c r="BZ43" s="888">
        <f>INDEX(BZ30:BZ36,MATCH(E47,A30:A36))</f>
        <v>22</v>
      </c>
      <c r="CA43" s="888">
        <f>INDEX(CA30:CA36,MATCH(E47,A30:A36))</f>
        <v>0</v>
      </c>
      <c r="CB43" s="888">
        <f>INDEX(CB30:CB36,MATCH(E47,A30:A36))</f>
        <v>43</v>
      </c>
      <c r="CC43" s="888">
        <f>INDEX(CC30:CC36,MATCH(E47,A30:A36))</f>
        <v>0</v>
      </c>
      <c r="CD43" s="888">
        <f>INDEX(CD30:CD36,MATCH(E47,A30:A36))</f>
        <v>51</v>
      </c>
      <c r="CE43" s="888">
        <f>INDEX(CE30:CE36,MATCH(E47,A30:A36))</f>
        <v>0</v>
      </c>
      <c r="CF43" s="888">
        <f>INDEX(CF30:CF36,MATCH(E47,A30:A36))</f>
        <v>163</v>
      </c>
      <c r="CG43" s="888">
        <f>INDEX(CG30:CG36,MATCH(E47,A30:A36))</f>
        <v>0</v>
      </c>
      <c r="CH43" s="888">
        <f>INDEX(CH30:CH36,MATCH(E47,A30:A36))</f>
        <v>70</v>
      </c>
      <c r="CI43" s="888">
        <f>INDEX(CI30:CI36,MATCH(E47,A30:A36))</f>
        <v>79</v>
      </c>
      <c r="CJ43" s="888">
        <f>INDEX(CJ30:CJ36,MATCH(E47,A30:A36))</f>
        <v>0</v>
      </c>
      <c r="CK43" s="888">
        <f>INDEX(CK30:CK36,MATCH(E47,A30:A36))</f>
        <v>190</v>
      </c>
      <c r="CL43" s="888">
        <f>INDEX(CL30:CL36,MATCH(E47,A30:A36))</f>
        <v>18</v>
      </c>
      <c r="CM43" s="888">
        <f>INDEX(CM30:CM36,MATCH(E47,A30:A36))</f>
        <v>0</v>
      </c>
      <c r="CN43" s="888">
        <f>INDEX(CN30:CN36,MATCH(E47,A30:A36))</f>
        <v>10</v>
      </c>
      <c r="CO43" s="888">
        <f>INDEX(CO30:CO36,MATCH(E47,A30:A36))</f>
        <v>300</v>
      </c>
      <c r="CP43" s="888">
        <f>INDEX(CP30:CP36,MATCH(E47,A30:A36))</f>
        <v>24</v>
      </c>
      <c r="CQ43" s="888">
        <f>INDEX(CQ30:CQ36,MATCH(E47,A30:A36))</f>
        <v>11</v>
      </c>
      <c r="CR43" s="1756">
        <f>INDEX(CR30:CR36,MATCH(E47,A30:A36))</f>
        <v>0</v>
      </c>
      <c r="CS43" s="888">
        <f>INDEX(CS30:CS36,MATCH(E47,A30:A36))</f>
        <v>265</v>
      </c>
      <c r="CT43" s="888">
        <f>INDEX(CT30:CT36,MATCH(E47,A30:A36))</f>
        <v>0</v>
      </c>
      <c r="CU43" s="888">
        <f>INDEX(CU30:CU36,MATCH(E47,A30:A36))</f>
        <v>0</v>
      </c>
      <c r="CV43" s="888">
        <f>INDEX(CV30:CV36,MATCH(E47,A30:A36))</f>
        <v>183</v>
      </c>
      <c r="CW43" s="888">
        <f>INDEX(CW30:CW36,MATCH(E47,A30:A36))</f>
        <v>0</v>
      </c>
      <c r="CX43" s="888">
        <f>INDEX(CX30:CX36,MATCH(E47,A30:A36))</f>
        <v>70</v>
      </c>
      <c r="CY43" s="888">
        <f>INDEX(CY30:CY36,MATCH(E47,A30:A36))</f>
        <v>0</v>
      </c>
      <c r="CZ43" s="888">
        <f>INDEX(CZ30:CZ36,MATCH(E47,A30:A36))</f>
        <v>90</v>
      </c>
      <c r="DA43" s="888">
        <f>INDEX(DA30:DA36,MATCH(E47,A30:A36))</f>
        <v>100</v>
      </c>
      <c r="DB43" s="888">
        <f>INDEX(DB30:DB36,MATCH(E47,A30:A36))</f>
        <v>142</v>
      </c>
      <c r="DC43" s="888">
        <f>INDEX(DC30:DC36,MATCH(E47,A30:A36))</f>
        <v>0</v>
      </c>
      <c r="DD43" s="888">
        <f>INDEX(DD30:DD36,MATCH(E47,A30:A36))</f>
        <v>112</v>
      </c>
      <c r="DE43" s="888">
        <f>INDEX(DE30:DE36,MATCH(E47,A30:A36))</f>
        <v>105</v>
      </c>
      <c r="DF43" s="888">
        <f>INDEX(DF30:DF36,MATCH(E47,A30:A36))</f>
        <v>105</v>
      </c>
      <c r="DG43" s="888">
        <f>INDEX(DG31:DG36,MATCH(E47,A31:A36))</f>
        <v>0</v>
      </c>
      <c r="DH43" s="888">
        <f>INDEX(DH31:DH36,MATCH(E47,A31:A36))</f>
        <v>65</v>
      </c>
      <c r="DI43" s="888">
        <f>INDEX(DI31:DI36,MATCH(E47,A31:A36))</f>
        <v>54</v>
      </c>
      <c r="DJ43" s="888">
        <f>INDEX(DJ31:DJ36,MATCH(E47,A31:A36))</f>
        <v>110</v>
      </c>
      <c r="DK43" s="888">
        <f>INDEX(DK31:DK36,MATCH(E47,A31:A36))</f>
        <v>17</v>
      </c>
      <c r="DL43" s="888">
        <f>INDEX(DL31:DL36,MATCH(E47,A31:A36))</f>
        <v>0</v>
      </c>
      <c r="DM43" s="888">
        <f>INDEX(DM31:DM36,MATCH(E47,A31:A36))</f>
        <v>90</v>
      </c>
      <c r="DN43" s="888">
        <f>INDEX(DN31:DN36,MATCH(E47,A31:A36))</f>
        <v>200</v>
      </c>
      <c r="DO43" s="888">
        <f>INDEX(DO31:DO36,MATCH(E47,A31:A36))</f>
        <v>104</v>
      </c>
      <c r="DP43" s="888">
        <f>INDEX(DP31:DP36,MATCH(E47,A31:A36))</f>
        <v>0</v>
      </c>
      <c r="DQ43" s="888">
        <f>INDEX(DQ31:DQ36,MATCH(E47,A31:A36))</f>
        <v>54</v>
      </c>
      <c r="DR43" s="888">
        <f>INDEX(DR31:DR36,MATCH(E47,A31:A36))</f>
        <v>116</v>
      </c>
      <c r="DS43" s="888">
        <f>INDEX(DS31:DS36,MATCH(E47,A31:A36))</f>
        <v>0</v>
      </c>
      <c r="DT43" s="888">
        <f>INDEX(DT31:DT36,MATCH(E47,A31:A36))</f>
        <v>17</v>
      </c>
      <c r="DU43" s="888">
        <f>INDEX(DU31:DU36,MATCH(E47,A31:A36))</f>
        <v>0</v>
      </c>
      <c r="DV43" s="888">
        <f>INDEX(DV31:DV36,MATCH(E47,A31:A36))</f>
        <v>0</v>
      </c>
      <c r="DW43" s="888">
        <f>INDEX(DW31:DW36,MATCH(E47,A31:A36))</f>
        <v>55</v>
      </c>
      <c r="DX43" s="888"/>
      <c r="DY43" s="888">
        <f>INDEX(DY30:DY36,MATCH(E47,A30:A36))</f>
        <v>658</v>
      </c>
      <c r="DZ43" s="888">
        <f>INDEX(DZ30:DZ36,MATCH(E47,A30:A36))</f>
        <v>0</v>
      </c>
      <c r="EA43" s="888">
        <f>INDEX(EA30:EA36,MATCH(E47,A30:A36))</f>
        <v>0</v>
      </c>
      <c r="EB43" s="888">
        <f>INDEX(EB30:EB36,MATCH(E47,A30:A36))</f>
        <v>0</v>
      </c>
      <c r="EC43" s="888">
        <f>INDEX(EC30:EC36,MATCH(E47,A30:A36))</f>
        <v>0</v>
      </c>
      <c r="ED43" s="888">
        <f>INDEX(ED30:ED36,MATCH(E47,A30:A36))</f>
        <v>0</v>
      </c>
      <c r="EE43" s="888">
        <f>INDEX(EE30:EE36,MATCH(E47,A30:A36))</f>
        <v>0</v>
      </c>
      <c r="EF43" s="888">
        <f>INDEX(EF30:EF36,MATCH(E47,A30:A36))</f>
        <v>0</v>
      </c>
      <c r="EG43" s="888">
        <f>INDEX(EG30:EG36,MATCH(E47,A30:A36))</f>
        <v>34</v>
      </c>
      <c r="EH43" s="888">
        <f>INDEX(EH30:EH36,MATCH(E47,A30:A36))</f>
        <v>0</v>
      </c>
      <c r="EI43" s="888">
        <f>INDEX(EI30:EI36,MATCH(E47,A30:A36))</f>
        <v>0</v>
      </c>
      <c r="EJ43" s="888">
        <f>INDEX(EJ30:EJ36,MATCH(E47,A30:A36))</f>
        <v>91</v>
      </c>
      <c r="EK43" s="888">
        <f>INDEX(EK30:EK36,MATCH(E47,A30:A36))</f>
        <v>20</v>
      </c>
      <c r="EL43" s="888">
        <f>INDEX(EL30:EL36,MATCH(E47,A30:A36))</f>
        <v>0</v>
      </c>
      <c r="EM43" s="888">
        <f>INDEX(EM30:EM36,MATCH(E47,A30:A36))</f>
        <v>0</v>
      </c>
      <c r="EN43" s="888">
        <f>INDEX(EN30:EN36,MATCH(E47,A30:A36))</f>
        <v>0</v>
      </c>
      <c r="EO43" s="888">
        <f>INDEX(EO30:EO36,MATCH(E47,A30:A36))</f>
        <v>0</v>
      </c>
      <c r="EP43" s="888">
        <f>INDEX(EP30:EP36,MATCH(E47,A30:A36))</f>
        <v>50</v>
      </c>
      <c r="EQ43" s="888">
        <f>INDEX(EQ30:EQ36,MATCH(E47,A30:A36))</f>
        <v>25</v>
      </c>
      <c r="ER43" s="888">
        <f>INDEX(ER30:ER36,MATCH(E47,A30:A36))</f>
        <v>100</v>
      </c>
      <c r="ES43" s="888">
        <f>INDEX(ES30:ES36,MATCH(E47,A30:A36))</f>
        <v>0</v>
      </c>
      <c r="ET43" s="888">
        <f>INDEX(ET30:ET36,MATCH(E47,A30:A36))</f>
        <v>34</v>
      </c>
      <c r="EU43" s="888">
        <f>INDEX(EU30:EU36,MATCH(E47,A30:A36))</f>
        <v>32</v>
      </c>
      <c r="EV43" s="888">
        <f>INDEX(EV30:EV36,MATCH(E47,A30:A36))</f>
        <v>43</v>
      </c>
      <c r="EW43" s="888">
        <f>INDEX(EW30:EW36,MATCH(E47,A30:A36))</f>
        <v>0</v>
      </c>
      <c r="EX43" s="888">
        <f>INDEX(EX30:EX36,MATCH(E47,A30:A36))</f>
        <v>22</v>
      </c>
      <c r="EY43" s="888">
        <f>INDEX(EY30:EY36,MATCH(E47,A30:A36))</f>
        <v>0</v>
      </c>
      <c r="EZ43" s="888">
        <f>INDEX(EZ30:EZ36,MATCH(E47,A30:A36))</f>
        <v>8</v>
      </c>
      <c r="FA43" s="888">
        <f>INDEX(FA30:FA36,MATCH(E47,A30:A36))</f>
        <v>0</v>
      </c>
      <c r="FB43" s="888">
        <f>INDEX(FB30:FB36,MATCH(E47,A30:A36))</f>
        <v>0</v>
      </c>
      <c r="FC43" s="888">
        <f>INDEX(FC30:FC36,MATCH(E47,A30:A36))</f>
        <v>199</v>
      </c>
      <c r="FD43" s="888">
        <f>INDEX(FD30:FD36,MATCH(E47,A30:A36))</f>
        <v>0</v>
      </c>
      <c r="FE43" s="888">
        <f>INDEX(FE30:FE36,MATCH(E47,A30:A36))</f>
        <v>0</v>
      </c>
      <c r="FF43" s="889">
        <f>INDEX(FF30:FF36,MATCH(E47,A30:A36))</f>
        <v>0</v>
      </c>
      <c r="FG43" s="889">
        <f>INDEX(FG30:FG36,MATCH(E47,A30:A36))</f>
        <v>0</v>
      </c>
      <c r="FH43" s="889">
        <f>INDEX(FH30:FH36,MATCH(E47,A30:A36))</f>
        <v>0</v>
      </c>
      <c r="FI43" s="889">
        <f>INDEX(FI30:FI36,MATCH(E47,A30:A36))</f>
        <v>0</v>
      </c>
      <c r="FJ43" s="889">
        <f>INDEX(FJ30:FJ36,MATCH(E47,A30:A36))</f>
        <v>11</v>
      </c>
      <c r="FK43" s="889">
        <f>INDEX(FK30:FK36,MATCH(E47,A30:A36))</f>
        <v>0</v>
      </c>
      <c r="FL43" s="889">
        <f>INDEX(FL30:FL36,MATCH(E47,A30:A36))</f>
        <v>185</v>
      </c>
      <c r="FM43" s="889">
        <f>INDEX(FM30:FM36,MATCH(E47,A30:A36))</f>
        <v>0</v>
      </c>
      <c r="FN43" s="889">
        <f>INDEX(FN30:FN36,MATCH(E47,A30:A36))</f>
        <v>409</v>
      </c>
      <c r="FO43" s="889">
        <f>INDEX(FO30:FO36,MATCH(E47,A30:A36))</f>
        <v>105</v>
      </c>
      <c r="FP43" s="889">
        <f>INDEX(FP30:FP36,MATCH(E47,A30:A36))</f>
        <v>0</v>
      </c>
      <c r="FQ43" s="889">
        <f>INDEX(FQ30:FQ36,MATCH(E47,A30:A36))</f>
        <v>113</v>
      </c>
      <c r="FR43" s="889">
        <f>INDEX(FR30:FR36,MATCH(E47,A30:A36))</f>
        <v>0</v>
      </c>
      <c r="FS43" s="889">
        <f>INDEX(FS31:FS36,MATCH(E47,A31:A36))</f>
        <v>112</v>
      </c>
      <c r="FT43" s="889">
        <f>INDEX(FT31:FT36,MATCH(E47,A31:A36))</f>
        <v>0</v>
      </c>
      <c r="FU43" s="889">
        <f>INDEX(FU31:FU36,MATCH(E47,A31:A36))</f>
        <v>0</v>
      </c>
      <c r="FV43" s="889">
        <f>INDEX(FV31:FV36,MATCH(E47,A31:A36))</f>
        <v>113</v>
      </c>
      <c r="FW43" s="889">
        <f>INDEX(FW31:FW36,MATCH(E47,A31:A36))</f>
        <v>190</v>
      </c>
      <c r="FX43" s="889">
        <f>INDEX(FX31:FX36,MATCH(E47,A31:A36))</f>
        <v>221</v>
      </c>
      <c r="FY43" s="889">
        <f>INDEX(FY31:FY36,MATCH(E47,A31:A36))</f>
        <v>0</v>
      </c>
      <c r="FZ43" s="889">
        <f>INDEX(FZ31:FZ36,MATCH(E47,A31:A36))</f>
        <v>0</v>
      </c>
      <c r="GA43" s="889">
        <f>INDEX(GA31:GA36,MATCH(E47,A31:A36))</f>
        <v>0</v>
      </c>
      <c r="GB43" s="889">
        <f>INDEX(GB31:GB36,MATCH(E47,A31:A36))</f>
        <v>0</v>
      </c>
      <c r="GC43" s="889">
        <f>INDEX(GC31:GC36,MATCH(E47,A31:A36))</f>
        <v>0</v>
      </c>
      <c r="GD43" s="889"/>
      <c r="GE43" s="937">
        <f>SUM(B43:GD43)</f>
        <v>8218</v>
      </c>
      <c r="GF43" s="962" t="s">
        <v>795</v>
      </c>
      <c r="GG43" s="963"/>
      <c r="GH43" s="963"/>
      <c r="GI43" s="963"/>
      <c r="GJ43" s="963"/>
      <c r="GK43" s="963"/>
      <c r="GL43" s="963"/>
      <c r="GM43" s="963"/>
      <c r="GN43" s="963"/>
      <c r="GO43" s="963"/>
      <c r="GP43" s="963"/>
      <c r="GQ43" s="963"/>
      <c r="GR43" s="963"/>
      <c r="GS43" s="964"/>
      <c r="GT43" s="964"/>
    </row>
    <row r="44" spans="1:275" ht="36.75" customHeight="1">
      <c r="ED44" s="143"/>
    </row>
    <row r="45" spans="1:275" ht="36.75" customHeight="1">
      <c r="ED45" s="143"/>
      <c r="GK45" s="139"/>
      <c r="GL45" s="139"/>
    </row>
    <row r="46" spans="1:275" ht="28.5" customHeight="1">
      <c r="A46" s="156"/>
      <c r="B46" s="5326" t="s">
        <v>737</v>
      </c>
      <c r="C46" s="5327"/>
      <c r="D46" s="1413">
        <f>MAX(GG22:GG25)</f>
        <v>6987</v>
      </c>
      <c r="E46" s="876">
        <f>INDEX(A21:A35,MATCH(D46,GG21:GG25,0))</f>
        <v>0.45833333333333331</v>
      </c>
      <c r="ED46" s="143"/>
      <c r="FG46" s="1414"/>
    </row>
    <row r="47" spans="1:275" ht="24" customHeight="1">
      <c r="A47" s="179"/>
      <c r="B47" s="5328" t="s">
        <v>738</v>
      </c>
      <c r="C47" s="5329"/>
      <c r="D47" s="941">
        <f>MAX(GG31:GG36)</f>
        <v>8218</v>
      </c>
      <c r="E47" s="876">
        <f>INDEX(A31:A36,MATCH(D47,GG31:GG36,0))</f>
        <v>0.8125</v>
      </c>
      <c r="ED47" s="143"/>
      <c r="FE47" s="139"/>
      <c r="FF47" s="139"/>
      <c r="FG47" s="139"/>
      <c r="FH47" s="139"/>
      <c r="FI47" s="139"/>
      <c r="FJ47" s="139"/>
      <c r="FK47" s="139"/>
      <c r="FL47" s="139"/>
      <c r="FM47" s="139"/>
      <c r="FN47" s="139"/>
      <c r="FO47" s="139"/>
      <c r="FP47" s="139"/>
      <c r="FQ47" s="139"/>
      <c r="FR47" s="139"/>
      <c r="FS47" s="139"/>
      <c r="FT47" s="139"/>
      <c r="FU47" s="139"/>
      <c r="FV47" s="139"/>
      <c r="FW47" s="139"/>
      <c r="FX47" s="139"/>
      <c r="FY47" s="139"/>
      <c r="FZ47" s="139"/>
      <c r="GA47" s="139"/>
      <c r="GB47" s="139"/>
      <c r="GC47" s="139"/>
      <c r="GK47" s="139"/>
    </row>
    <row r="48" spans="1:275">
      <c r="A48" s="168"/>
      <c r="B48" s="5325" t="s">
        <v>735</v>
      </c>
      <c r="C48" s="5325"/>
      <c r="D48" s="877">
        <f>MIN(GG14:GG21)</f>
        <v>5475</v>
      </c>
      <c r="E48" s="876">
        <f>INDEX(A14:A21,MATCH(D48,GG14:GG21,0))</f>
        <v>0.20833333333333401</v>
      </c>
    </row>
    <row r="49" spans="1:275">
      <c r="A49" s="169"/>
    </row>
    <row r="51" spans="1:275" ht="14.25">
      <c r="B51" s="139">
        <f>B25-B42</f>
        <v>0</v>
      </c>
      <c r="C51" s="139">
        <f t="shared" ref="C51:BI51" si="24">C25-C42</f>
        <v>0</v>
      </c>
      <c r="D51" s="139">
        <f t="shared" si="24"/>
        <v>-200</v>
      </c>
      <c r="E51" s="139">
        <f t="shared" si="24"/>
        <v>0</v>
      </c>
      <c r="F51" s="139">
        <f t="shared" si="24"/>
        <v>0</v>
      </c>
      <c r="G51" s="139">
        <f t="shared" si="24"/>
        <v>0</v>
      </c>
      <c r="H51" s="139">
        <f t="shared" si="24"/>
        <v>0</v>
      </c>
      <c r="I51" s="139">
        <f t="shared" si="24"/>
        <v>0</v>
      </c>
      <c r="J51" s="139">
        <f t="shared" si="24"/>
        <v>-252</v>
      </c>
      <c r="K51" s="139">
        <f t="shared" si="24"/>
        <v>0</v>
      </c>
      <c r="L51" s="139">
        <f t="shared" si="24"/>
        <v>0</v>
      </c>
      <c r="M51" s="139">
        <f t="shared" si="24"/>
        <v>-180</v>
      </c>
      <c r="N51" s="139">
        <f t="shared" si="24"/>
        <v>0</v>
      </c>
      <c r="O51" s="139">
        <f t="shared" si="24"/>
        <v>0</v>
      </c>
      <c r="P51" s="139">
        <f t="shared" si="24"/>
        <v>0</v>
      </c>
      <c r="Q51" s="139">
        <f t="shared" si="24"/>
        <v>-31</v>
      </c>
      <c r="R51" s="139">
        <f t="shared" si="24"/>
        <v>0</v>
      </c>
      <c r="S51" s="139">
        <f t="shared" si="24"/>
        <v>0</v>
      </c>
      <c r="T51" s="139">
        <f t="shared" si="24"/>
        <v>0</v>
      </c>
      <c r="U51" s="139">
        <f t="shared" si="24"/>
        <v>0</v>
      </c>
      <c r="V51" s="139">
        <f t="shared" si="24"/>
        <v>-58</v>
      </c>
      <c r="W51" s="139">
        <f t="shared" si="24"/>
        <v>0</v>
      </c>
      <c r="X51" s="139">
        <f t="shared" si="24"/>
        <v>0</v>
      </c>
      <c r="Y51" s="139">
        <f t="shared" si="24"/>
        <v>0</v>
      </c>
      <c r="Z51" s="139">
        <f t="shared" si="24"/>
        <v>0</v>
      </c>
      <c r="AA51" s="139">
        <f t="shared" si="24"/>
        <v>0</v>
      </c>
      <c r="AB51" s="139">
        <f t="shared" si="24"/>
        <v>0</v>
      </c>
      <c r="AC51" s="139">
        <f t="shared" si="24"/>
        <v>-55</v>
      </c>
      <c r="AD51" s="139">
        <f t="shared" si="24"/>
        <v>-35</v>
      </c>
      <c r="AE51" s="139">
        <f t="shared" si="24"/>
        <v>0</v>
      </c>
      <c r="AF51" s="139">
        <f t="shared" si="24"/>
        <v>0</v>
      </c>
      <c r="AG51" s="139">
        <f t="shared" si="24"/>
        <v>0</v>
      </c>
      <c r="AH51" s="139">
        <f t="shared" si="24"/>
        <v>-16</v>
      </c>
      <c r="AI51" s="139">
        <f t="shared" si="24"/>
        <v>-17</v>
      </c>
      <c r="AJ51" s="139">
        <f t="shared" si="24"/>
        <v>-25</v>
      </c>
      <c r="AK51" s="139">
        <f t="shared" si="24"/>
        <v>0</v>
      </c>
      <c r="AL51" s="139">
        <f t="shared" si="24"/>
        <v>-40</v>
      </c>
      <c r="AM51" s="139">
        <f t="shared" si="24"/>
        <v>-40</v>
      </c>
      <c r="AN51" s="139">
        <f t="shared" si="24"/>
        <v>0</v>
      </c>
      <c r="AO51" s="139">
        <f t="shared" si="24"/>
        <v>0</v>
      </c>
      <c r="AP51" s="139">
        <f t="shared" si="24"/>
        <v>0</v>
      </c>
      <c r="AQ51" s="139">
        <f t="shared" si="24"/>
        <v>0</v>
      </c>
      <c r="AR51" s="139">
        <f t="shared" si="24"/>
        <v>0</v>
      </c>
      <c r="AS51" s="139">
        <f t="shared" si="24"/>
        <v>0</v>
      </c>
      <c r="AT51" s="139">
        <f t="shared" si="24"/>
        <v>0</v>
      </c>
      <c r="AU51" s="139">
        <f t="shared" si="24"/>
        <v>0</v>
      </c>
      <c r="AV51" s="139">
        <f t="shared" si="24"/>
        <v>-22</v>
      </c>
      <c r="AW51" s="139">
        <f t="shared" si="24"/>
        <v>0</v>
      </c>
      <c r="AX51" s="139">
        <f t="shared" si="24"/>
        <v>0</v>
      </c>
      <c r="AY51" s="139">
        <f t="shared" si="24"/>
        <v>0</v>
      </c>
      <c r="AZ51" s="139">
        <f t="shared" si="24"/>
        <v>-6</v>
      </c>
      <c r="BA51" s="139">
        <f t="shared" si="24"/>
        <v>0</v>
      </c>
      <c r="BB51" s="139">
        <f t="shared" si="24"/>
        <v>-21</v>
      </c>
      <c r="BC51" s="139">
        <f t="shared" si="24"/>
        <v>-2</v>
      </c>
      <c r="BD51" s="139">
        <f t="shared" si="24"/>
        <v>0</v>
      </c>
      <c r="BE51" s="139">
        <f t="shared" si="24"/>
        <v>0</v>
      </c>
      <c r="BF51" s="139">
        <f t="shared" si="24"/>
        <v>-80</v>
      </c>
      <c r="BG51" s="139">
        <f t="shared" si="24"/>
        <v>-150</v>
      </c>
      <c r="BH51" s="139">
        <f t="shared" si="24"/>
        <v>-285</v>
      </c>
      <c r="BI51" s="139">
        <f t="shared" si="24"/>
        <v>-152</v>
      </c>
      <c r="BJ51" s="139">
        <f t="shared" ref="BJ51:EZ51" si="25">BJ25-BJ42</f>
        <v>-8</v>
      </c>
      <c r="BK51" s="139">
        <f t="shared" si="25"/>
        <v>-138</v>
      </c>
      <c r="BL51" s="139">
        <f t="shared" si="25"/>
        <v>-5</v>
      </c>
      <c r="BM51" s="139">
        <f t="shared" si="25"/>
        <v>-5</v>
      </c>
      <c r="BN51" s="139">
        <f t="shared" si="25"/>
        <v>0</v>
      </c>
      <c r="BO51" s="139">
        <f t="shared" si="25"/>
        <v>-43</v>
      </c>
      <c r="BP51" s="139">
        <f t="shared" si="25"/>
        <v>0</v>
      </c>
      <c r="BQ51" s="139">
        <f t="shared" si="25"/>
        <v>0</v>
      </c>
      <c r="BR51" s="139">
        <f t="shared" si="25"/>
        <v>-20</v>
      </c>
      <c r="BS51" s="139">
        <f t="shared" si="25"/>
        <v>-19</v>
      </c>
      <c r="BT51" s="139">
        <f t="shared" si="25"/>
        <v>-8</v>
      </c>
      <c r="BU51" s="139">
        <f t="shared" si="25"/>
        <v>-16</v>
      </c>
      <c r="BV51" s="139">
        <f t="shared" si="25"/>
        <v>-6</v>
      </c>
      <c r="BW51" s="139">
        <f t="shared" si="25"/>
        <v>-64</v>
      </c>
      <c r="BX51" s="139">
        <f t="shared" si="25"/>
        <v>-49</v>
      </c>
      <c r="BY51" s="139">
        <f t="shared" si="25"/>
        <v>0</v>
      </c>
      <c r="BZ51" s="139">
        <f t="shared" si="25"/>
        <v>-22</v>
      </c>
      <c r="CA51" s="139">
        <f t="shared" si="25"/>
        <v>-2</v>
      </c>
      <c r="CB51" s="139">
        <f t="shared" si="25"/>
        <v>-43</v>
      </c>
      <c r="CC51" s="139">
        <f t="shared" si="25"/>
        <v>0</v>
      </c>
      <c r="CD51" s="139">
        <f t="shared" si="25"/>
        <v>-45</v>
      </c>
      <c r="CE51" s="139">
        <f t="shared" si="25"/>
        <v>0</v>
      </c>
      <c r="CF51" s="139">
        <f t="shared" si="25"/>
        <v>-163</v>
      </c>
      <c r="CG51" s="139">
        <f t="shared" si="25"/>
        <v>0</v>
      </c>
      <c r="CH51" s="139">
        <f t="shared" si="25"/>
        <v>-67</v>
      </c>
      <c r="CI51" s="139">
        <f t="shared" si="25"/>
        <v>-78</v>
      </c>
      <c r="CJ51" s="139">
        <f t="shared" si="25"/>
        <v>0</v>
      </c>
      <c r="CK51" s="139">
        <f t="shared" si="25"/>
        <v>-190</v>
      </c>
      <c r="CL51" s="139">
        <f t="shared" si="25"/>
        <v>-18</v>
      </c>
      <c r="CM51" s="139">
        <f t="shared" si="25"/>
        <v>0</v>
      </c>
      <c r="CN51" s="139">
        <f t="shared" si="25"/>
        <v>-10</v>
      </c>
      <c r="CO51" s="139">
        <f t="shared" si="25"/>
        <v>-305</v>
      </c>
      <c r="CP51" s="139">
        <f t="shared" si="25"/>
        <v>-16</v>
      </c>
      <c r="CQ51" s="139">
        <f t="shared" si="25"/>
        <v>-8</v>
      </c>
      <c r="CR51" s="139"/>
      <c r="CS51" s="139"/>
      <c r="CT51" s="139"/>
      <c r="CU51" s="139"/>
      <c r="CV51" s="139"/>
      <c r="CW51" s="139"/>
      <c r="CX51" s="139"/>
      <c r="CY51" s="139"/>
      <c r="CZ51" s="139"/>
      <c r="DA51" s="139"/>
      <c r="DB51" s="139"/>
      <c r="DC51" s="139"/>
      <c r="DD51" s="139"/>
      <c r="DE51" s="139"/>
      <c r="DF51" s="139"/>
      <c r="DG51" s="139"/>
      <c r="DH51" s="139"/>
      <c r="DI51" s="139"/>
      <c r="DJ51" s="139"/>
      <c r="DK51" s="139"/>
      <c r="DL51" s="139"/>
      <c r="DM51" s="139"/>
      <c r="DN51" s="139"/>
      <c r="DO51" s="139"/>
      <c r="DP51" s="139"/>
      <c r="DQ51" s="139"/>
      <c r="DR51" s="139"/>
      <c r="DS51" s="139"/>
      <c r="DT51" s="139"/>
      <c r="DU51" s="139"/>
      <c r="DV51" s="139"/>
      <c r="DW51" s="139"/>
      <c r="DX51" s="139">
        <f t="shared" si="25"/>
        <v>0</v>
      </c>
      <c r="DY51" s="139">
        <f t="shared" si="25"/>
        <v>-655</v>
      </c>
      <c r="DZ51" s="139">
        <f t="shared" si="25"/>
        <v>0</v>
      </c>
      <c r="EA51" s="139">
        <f t="shared" si="25"/>
        <v>0</v>
      </c>
      <c r="EB51" s="139">
        <f t="shared" si="25"/>
        <v>0</v>
      </c>
      <c r="EC51" s="139">
        <f t="shared" si="25"/>
        <v>0</v>
      </c>
      <c r="ED51" s="139">
        <f t="shared" si="25"/>
        <v>0</v>
      </c>
      <c r="EE51" s="139">
        <f t="shared" si="25"/>
        <v>0</v>
      </c>
      <c r="EF51" s="139">
        <f t="shared" si="25"/>
        <v>0</v>
      </c>
      <c r="EG51" s="139">
        <f t="shared" si="25"/>
        <v>0</v>
      </c>
      <c r="EH51" s="139">
        <f t="shared" si="25"/>
        <v>0</v>
      </c>
      <c r="EI51" s="139">
        <f t="shared" si="25"/>
        <v>0</v>
      </c>
      <c r="EJ51" s="139">
        <f t="shared" si="25"/>
        <v>-91</v>
      </c>
      <c r="EK51" s="139">
        <f t="shared" si="25"/>
        <v>-10</v>
      </c>
      <c r="EL51" s="139">
        <f t="shared" si="25"/>
        <v>0</v>
      </c>
      <c r="EM51" s="139">
        <f t="shared" si="25"/>
        <v>0</v>
      </c>
      <c r="EN51" s="139">
        <f t="shared" si="25"/>
        <v>0</v>
      </c>
      <c r="EO51" s="139">
        <f t="shared" si="25"/>
        <v>0</v>
      </c>
      <c r="EP51" s="139">
        <f t="shared" si="25"/>
        <v>0</v>
      </c>
      <c r="EQ51" s="139">
        <f t="shared" si="25"/>
        <v>0</v>
      </c>
      <c r="ER51" s="139">
        <f t="shared" si="25"/>
        <v>0</v>
      </c>
      <c r="ES51" s="139">
        <f t="shared" si="25"/>
        <v>0</v>
      </c>
      <c r="ET51" s="139">
        <f t="shared" si="25"/>
        <v>0</v>
      </c>
      <c r="EU51" s="139">
        <f t="shared" si="25"/>
        <v>0</v>
      </c>
      <c r="EV51" s="139">
        <f t="shared" si="25"/>
        <v>-16</v>
      </c>
      <c r="EW51" s="139">
        <f t="shared" si="25"/>
        <v>0</v>
      </c>
      <c r="EX51" s="139">
        <f t="shared" si="25"/>
        <v>-18</v>
      </c>
      <c r="EY51" s="139">
        <f t="shared" si="25"/>
        <v>0</v>
      </c>
      <c r="EZ51" s="139">
        <f t="shared" si="25"/>
        <v>-8</v>
      </c>
      <c r="FA51" s="139">
        <f t="shared" ref="FA51:FJ51" si="26">FA25-FA42</f>
        <v>0</v>
      </c>
      <c r="FB51" s="139">
        <f t="shared" si="26"/>
        <v>0</v>
      </c>
      <c r="FC51" s="139">
        <f t="shared" si="26"/>
        <v>-200</v>
      </c>
      <c r="FD51" s="139">
        <f t="shared" si="26"/>
        <v>0</v>
      </c>
      <c r="FE51" s="139">
        <f t="shared" si="26"/>
        <v>0</v>
      </c>
      <c r="FF51" s="139">
        <f t="shared" si="26"/>
        <v>0</v>
      </c>
      <c r="FG51" s="139">
        <f t="shared" si="26"/>
        <v>0</v>
      </c>
      <c r="FH51" s="139">
        <f t="shared" si="26"/>
        <v>0</v>
      </c>
      <c r="FI51" s="139">
        <f t="shared" si="26"/>
        <v>0</v>
      </c>
      <c r="FJ51" s="139">
        <f t="shared" si="26"/>
        <v>0</v>
      </c>
      <c r="FK51" s="139"/>
      <c r="FL51" s="139"/>
      <c r="FM51" s="139"/>
      <c r="FN51" s="139"/>
      <c r="FO51" s="139"/>
      <c r="FP51" s="139"/>
      <c r="FQ51" s="139"/>
      <c r="FR51" s="139"/>
      <c r="FS51" s="139"/>
      <c r="FT51" s="139"/>
      <c r="FU51" s="139"/>
      <c r="FV51" s="139"/>
      <c r="FW51" s="139"/>
      <c r="FX51" s="139"/>
      <c r="FY51" s="139"/>
      <c r="FZ51" s="139"/>
      <c r="GA51" s="139"/>
      <c r="GB51" s="139"/>
      <c r="GC51" s="139"/>
      <c r="GD51" s="139">
        <f>GD25-GD42</f>
        <v>0</v>
      </c>
    </row>
    <row r="52" spans="1:275">
      <c r="FD52" s="139"/>
    </row>
    <row r="53" spans="1:275">
      <c r="B53" s="943"/>
    </row>
    <row r="54" spans="1:275">
      <c r="A54" s="162"/>
      <c r="B54" s="162"/>
      <c r="C54" s="162"/>
    </row>
    <row r="55" spans="1:275" s="5" customFormat="1">
      <c r="A55" s="162"/>
      <c r="B55" s="162"/>
      <c r="C55" s="162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30"/>
      <c r="EE55" s="143"/>
      <c r="EF55" s="143"/>
      <c r="EG55" s="143"/>
      <c r="EH55" s="143"/>
      <c r="EI55" s="143"/>
      <c r="EJ55" s="143"/>
      <c r="EK55" s="143"/>
      <c r="EL55" s="143"/>
      <c r="EM55" s="143"/>
      <c r="EN55" s="143"/>
      <c r="EO55" s="143"/>
      <c r="EP55" s="143"/>
      <c r="EQ55" s="143"/>
      <c r="ER55" s="143"/>
      <c r="ES55" s="143"/>
      <c r="ET55" s="143"/>
      <c r="EU55" s="143"/>
      <c r="EV55" s="143"/>
      <c r="EW55" s="143"/>
      <c r="EX55" s="143"/>
      <c r="EY55" s="143"/>
      <c r="EZ55" s="143"/>
      <c r="FA55" s="143"/>
      <c r="FB55" s="143"/>
      <c r="FC55" s="143"/>
      <c r="FD55" s="143"/>
      <c r="FE55" s="143"/>
      <c r="FF55" s="143"/>
      <c r="FG55" s="143"/>
      <c r="FH55" s="143"/>
      <c r="FI55" s="143"/>
      <c r="FJ55" s="143"/>
      <c r="FK55" s="143"/>
      <c r="FL55" s="143"/>
      <c r="FM55" s="143"/>
      <c r="FN55" s="143"/>
      <c r="FO55" s="143"/>
      <c r="FP55" s="143"/>
      <c r="FQ55" s="143"/>
      <c r="FR55" s="143"/>
      <c r="FS55" s="143"/>
      <c r="FT55" s="143"/>
      <c r="FU55" s="143"/>
      <c r="FV55" s="143"/>
      <c r="FW55" s="143"/>
      <c r="FX55" s="143"/>
      <c r="FY55" s="143"/>
      <c r="FZ55" s="143"/>
      <c r="GA55" s="143"/>
      <c r="GB55" s="143"/>
      <c r="GC55" s="143"/>
      <c r="GD55" s="143"/>
      <c r="GE55" s="143"/>
      <c r="GF55" s="143"/>
      <c r="GG55" s="143"/>
      <c r="GH55" s="143"/>
      <c r="GI55" s="143"/>
      <c r="GJ55" s="143"/>
      <c r="GK55" s="143"/>
      <c r="GL55" s="143"/>
      <c r="GM55" s="143"/>
      <c r="GN55" s="143"/>
      <c r="GO55" s="143"/>
      <c r="GP55" s="143"/>
      <c r="GQ55" s="143"/>
      <c r="GR55" s="143"/>
      <c r="GS55" s="143"/>
      <c r="GT55" s="143"/>
      <c r="GU55" s="143"/>
      <c r="GV55" s="143"/>
      <c r="GW55" s="143"/>
      <c r="GX55" s="143"/>
      <c r="GY55" s="143"/>
      <c r="GZ55" s="143"/>
      <c r="HA55" s="143"/>
      <c r="HB55" s="143"/>
      <c r="HC55" s="143"/>
      <c r="HD55" s="143"/>
      <c r="HE55" s="143"/>
      <c r="HF55" s="143"/>
      <c r="HG55" s="143"/>
      <c r="HH55" s="143"/>
      <c r="HI55" s="143"/>
      <c r="HJ55" s="143"/>
      <c r="HK55" s="143"/>
      <c r="HL55" s="143"/>
      <c r="HM55" s="143"/>
      <c r="HN55" s="143"/>
      <c r="HO55" s="143"/>
      <c r="HP55" s="143"/>
      <c r="HQ55" s="143"/>
      <c r="HR55" s="143"/>
      <c r="HS55" s="143"/>
      <c r="HT55" s="143"/>
      <c r="HU55" s="143"/>
      <c r="HV55" s="143"/>
      <c r="HW55" s="143"/>
      <c r="HX55" s="143"/>
      <c r="HY55" s="143"/>
      <c r="HZ55" s="143"/>
      <c r="IA55" s="143"/>
      <c r="IB55" s="143"/>
      <c r="IC55" s="143"/>
      <c r="ID55" s="143"/>
      <c r="IE55" s="143"/>
      <c r="IF55" s="143"/>
      <c r="IG55" s="143"/>
      <c r="IH55" s="143"/>
      <c r="II55" s="143"/>
      <c r="IJ55" s="143"/>
      <c r="IK55" s="143"/>
      <c r="IL55" s="143"/>
      <c r="IM55" s="143"/>
      <c r="IN55" s="143"/>
      <c r="IO55" s="143"/>
      <c r="IP55" s="143"/>
      <c r="IQ55" s="143"/>
      <c r="IR55" s="143"/>
      <c r="IS55" s="143"/>
      <c r="IT55" s="143"/>
      <c r="IU55" s="143"/>
      <c r="IV55" s="143"/>
      <c r="IW55" s="143"/>
      <c r="IX55" s="143"/>
      <c r="IY55" s="143"/>
      <c r="IZ55" s="143"/>
      <c r="JA55" s="143"/>
      <c r="JB55" s="143"/>
      <c r="JC55" s="143"/>
      <c r="JD55" s="143"/>
      <c r="JE55" s="143"/>
      <c r="JF55" s="143"/>
      <c r="JG55" s="143"/>
      <c r="JH55" s="143"/>
      <c r="JI55" s="143"/>
      <c r="JJ55" s="143"/>
      <c r="JK55" s="143"/>
      <c r="JL55" s="143"/>
      <c r="JM55" s="143"/>
      <c r="JN55" s="143"/>
      <c r="JO55" s="143"/>
    </row>
    <row r="56" spans="1:275" s="5" customFormat="1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30"/>
      <c r="EE56" s="143"/>
      <c r="EF56" s="143"/>
      <c r="EG56" s="143"/>
      <c r="EH56" s="143"/>
      <c r="EI56" s="143"/>
      <c r="EJ56" s="143"/>
      <c r="EK56" s="143"/>
      <c r="EL56" s="143"/>
      <c r="EM56" s="143"/>
      <c r="EN56" s="143"/>
      <c r="EO56" s="143"/>
      <c r="EP56" s="143"/>
      <c r="EQ56" s="143"/>
      <c r="ER56" s="143"/>
      <c r="ES56" s="143"/>
      <c r="ET56" s="143"/>
      <c r="EU56" s="143"/>
      <c r="EV56" s="143"/>
      <c r="EW56" s="143"/>
      <c r="EX56" s="143"/>
      <c r="EY56" s="143"/>
      <c r="EZ56" s="143"/>
      <c r="FA56" s="143"/>
      <c r="FB56" s="143"/>
      <c r="FC56" s="143"/>
      <c r="FD56" s="143"/>
      <c r="FE56" s="143"/>
      <c r="FF56" s="143"/>
      <c r="FG56" s="143"/>
      <c r="FH56" s="143"/>
      <c r="FI56" s="143"/>
      <c r="FJ56" s="143"/>
      <c r="FK56" s="143"/>
      <c r="FL56" s="143"/>
      <c r="FM56" s="143"/>
      <c r="FN56" s="143"/>
      <c r="FO56" s="143"/>
      <c r="FP56" s="143"/>
      <c r="FQ56" s="143"/>
      <c r="FR56" s="143"/>
      <c r="FS56" s="143"/>
      <c r="FT56" s="143"/>
      <c r="FU56" s="143"/>
      <c r="FV56" s="143"/>
      <c r="FW56" s="143"/>
      <c r="FX56" s="143"/>
      <c r="FY56" s="143"/>
      <c r="FZ56" s="143"/>
      <c r="GA56" s="143"/>
      <c r="GB56" s="143"/>
      <c r="GC56" s="143"/>
      <c r="GD56" s="143"/>
      <c r="GE56" s="143"/>
      <c r="GF56" s="143"/>
      <c r="GG56" s="143"/>
      <c r="GH56" s="143"/>
      <c r="GI56" s="143"/>
      <c r="GJ56" s="143"/>
      <c r="GK56" s="143"/>
      <c r="GL56" s="143"/>
      <c r="GM56" s="143"/>
      <c r="GN56" s="143"/>
      <c r="GO56" s="143"/>
      <c r="GP56" s="143"/>
      <c r="GQ56" s="143"/>
      <c r="GR56" s="143"/>
      <c r="GS56" s="143"/>
      <c r="GT56" s="143"/>
      <c r="GU56" s="143"/>
      <c r="GV56" s="143"/>
      <c r="GW56" s="143"/>
      <c r="GX56" s="143"/>
      <c r="GY56" s="143"/>
      <c r="GZ56" s="143"/>
      <c r="HA56" s="143"/>
      <c r="HB56" s="143"/>
      <c r="HC56" s="143"/>
      <c r="HD56" s="143"/>
      <c r="HE56" s="143"/>
      <c r="HF56" s="143"/>
      <c r="HG56" s="143"/>
      <c r="HH56" s="143"/>
      <c r="HI56" s="143"/>
      <c r="HJ56" s="143"/>
      <c r="HK56" s="143"/>
      <c r="HL56" s="143"/>
      <c r="HM56" s="143"/>
      <c r="HN56" s="143"/>
      <c r="HO56" s="143"/>
      <c r="HP56" s="143"/>
      <c r="HQ56" s="143"/>
      <c r="HR56" s="143"/>
      <c r="HS56" s="143"/>
      <c r="HT56" s="143"/>
      <c r="HU56" s="143"/>
      <c r="HV56" s="143"/>
      <c r="HW56" s="143"/>
      <c r="HX56" s="143"/>
      <c r="HY56" s="143"/>
      <c r="HZ56" s="143"/>
      <c r="IA56" s="143"/>
      <c r="IB56" s="143"/>
      <c r="IC56" s="143"/>
      <c r="ID56" s="143"/>
      <c r="IE56" s="143"/>
      <c r="IF56" s="143"/>
      <c r="IG56" s="143"/>
      <c r="IH56" s="143"/>
      <c r="II56" s="143"/>
      <c r="IJ56" s="143"/>
      <c r="IK56" s="143"/>
      <c r="IL56" s="143"/>
      <c r="IM56" s="143"/>
      <c r="IN56" s="143"/>
      <c r="IO56" s="143"/>
      <c r="IP56" s="143"/>
      <c r="IQ56" s="143"/>
      <c r="IR56" s="143"/>
      <c r="IS56" s="143"/>
      <c r="IT56" s="143"/>
      <c r="IU56" s="143"/>
      <c r="IV56" s="143"/>
      <c r="IW56" s="143"/>
      <c r="IX56" s="143"/>
      <c r="IY56" s="143"/>
      <c r="IZ56" s="143"/>
      <c r="JA56" s="143"/>
      <c r="JB56" s="143"/>
      <c r="JC56" s="143"/>
      <c r="JD56" s="143"/>
      <c r="JE56" s="143"/>
      <c r="JF56" s="143"/>
      <c r="JG56" s="143"/>
      <c r="JH56" s="143"/>
      <c r="JI56" s="143"/>
      <c r="JJ56" s="143"/>
      <c r="JK56" s="143"/>
      <c r="JL56" s="143"/>
      <c r="JM56" s="143"/>
      <c r="JN56" s="143"/>
      <c r="JO56" s="143"/>
    </row>
    <row r="57" spans="1:275" s="5" customFormat="1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30"/>
      <c r="EE57" s="143"/>
      <c r="EF57" s="143"/>
      <c r="EG57" s="143"/>
      <c r="EH57" s="143"/>
      <c r="EI57" s="143"/>
      <c r="EJ57" s="143"/>
      <c r="EK57" s="143"/>
      <c r="EL57" s="143"/>
      <c r="EM57" s="143"/>
      <c r="EN57" s="143"/>
      <c r="EO57" s="143"/>
      <c r="EP57" s="143"/>
      <c r="EQ57" s="143"/>
      <c r="ER57" s="143"/>
      <c r="ES57" s="143"/>
      <c r="ET57" s="143"/>
      <c r="EU57" s="143"/>
      <c r="EV57" s="143"/>
      <c r="EW57" s="143"/>
      <c r="EX57" s="143"/>
      <c r="EY57" s="143"/>
      <c r="EZ57" s="143"/>
      <c r="FA57" s="143"/>
      <c r="FB57" s="143"/>
      <c r="FC57" s="143"/>
      <c r="FD57" s="143"/>
      <c r="FE57" s="143"/>
      <c r="FF57" s="143"/>
      <c r="FG57" s="143"/>
      <c r="FH57" s="143"/>
      <c r="FI57" s="143"/>
      <c r="FJ57" s="143"/>
      <c r="FK57" s="143"/>
      <c r="FL57" s="143"/>
      <c r="FM57" s="143"/>
      <c r="FN57" s="143"/>
      <c r="FO57" s="143"/>
      <c r="FP57" s="143"/>
      <c r="FQ57" s="143"/>
      <c r="FR57" s="143"/>
      <c r="FS57" s="143"/>
      <c r="FT57" s="143"/>
      <c r="FU57" s="143"/>
      <c r="FV57" s="143"/>
      <c r="FW57" s="143"/>
      <c r="FX57" s="143"/>
      <c r="FY57" s="143"/>
      <c r="FZ57" s="143"/>
      <c r="GA57" s="143"/>
      <c r="GB57" s="143"/>
      <c r="GC57" s="143"/>
      <c r="GD57" s="143"/>
      <c r="GE57" s="143"/>
      <c r="GF57" s="143"/>
      <c r="GG57" s="143"/>
      <c r="GH57" s="143"/>
      <c r="GI57" s="143"/>
      <c r="GJ57" s="143"/>
      <c r="GK57" s="143"/>
      <c r="GL57" s="143"/>
      <c r="GM57" s="143"/>
      <c r="GN57" s="143"/>
      <c r="GO57" s="143"/>
      <c r="GP57" s="143"/>
      <c r="GQ57" s="143"/>
      <c r="GR57" s="143"/>
      <c r="GS57" s="143"/>
      <c r="GT57" s="143"/>
      <c r="GU57" s="143"/>
      <c r="GV57" s="143"/>
      <c r="GW57" s="143"/>
      <c r="GX57" s="143"/>
      <c r="GY57" s="143"/>
      <c r="GZ57" s="143"/>
      <c r="HA57" s="143"/>
      <c r="HB57" s="143"/>
      <c r="HC57" s="143"/>
      <c r="HD57" s="143"/>
      <c r="HE57" s="143"/>
      <c r="HF57" s="143"/>
      <c r="HG57" s="143"/>
      <c r="HH57" s="143"/>
      <c r="HI57" s="143"/>
      <c r="HJ57" s="143"/>
      <c r="HK57" s="143"/>
      <c r="HL57" s="143"/>
      <c r="HM57" s="143"/>
      <c r="HN57" s="143"/>
      <c r="HO57" s="143"/>
      <c r="HP57" s="143"/>
      <c r="HQ57" s="143"/>
      <c r="HR57" s="143"/>
      <c r="HS57" s="143"/>
      <c r="HT57" s="143"/>
      <c r="HU57" s="143"/>
      <c r="HV57" s="143"/>
      <c r="HW57" s="143"/>
      <c r="HX57" s="143"/>
      <c r="HY57" s="143"/>
      <c r="HZ57" s="143"/>
      <c r="IA57" s="143"/>
      <c r="IB57" s="143"/>
      <c r="IC57" s="143"/>
      <c r="ID57" s="143"/>
      <c r="IE57" s="143"/>
      <c r="IF57" s="143"/>
      <c r="IG57" s="143"/>
      <c r="IH57" s="143"/>
      <c r="II57" s="143"/>
      <c r="IJ57" s="143"/>
      <c r="IK57" s="143"/>
      <c r="IL57" s="143"/>
      <c r="IM57" s="143"/>
      <c r="IN57" s="143"/>
      <c r="IO57" s="143"/>
      <c r="IP57" s="143"/>
      <c r="IQ57" s="143"/>
      <c r="IR57" s="143"/>
      <c r="IS57" s="143"/>
      <c r="IT57" s="143"/>
      <c r="IU57" s="143"/>
      <c r="IV57" s="143"/>
      <c r="IW57" s="143"/>
      <c r="IX57" s="143"/>
      <c r="IY57" s="143"/>
      <c r="IZ57" s="143"/>
      <c r="JA57" s="143"/>
      <c r="JB57" s="143"/>
      <c r="JC57" s="143"/>
      <c r="JD57" s="143"/>
      <c r="JE57" s="143"/>
      <c r="JF57" s="143"/>
      <c r="JG57" s="143"/>
      <c r="JH57" s="143"/>
      <c r="JI57" s="143"/>
      <c r="JJ57" s="143"/>
      <c r="JK57" s="143"/>
      <c r="JL57" s="143"/>
      <c r="JM57" s="143"/>
      <c r="JN57" s="143"/>
      <c r="JO57" s="143"/>
    </row>
    <row r="58" spans="1:275" s="5" customFormat="1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30"/>
      <c r="EE58" s="143"/>
      <c r="EF58" s="143"/>
      <c r="EG58" s="143"/>
      <c r="EH58" s="143"/>
      <c r="EI58" s="143"/>
      <c r="EJ58" s="143"/>
      <c r="EK58" s="143"/>
      <c r="EL58" s="143"/>
      <c r="EM58" s="143"/>
      <c r="EN58" s="143"/>
      <c r="EO58" s="143"/>
      <c r="EP58" s="143"/>
      <c r="EQ58" s="143"/>
      <c r="ER58" s="143"/>
      <c r="ES58" s="143"/>
      <c r="ET58" s="143"/>
      <c r="EU58" s="143"/>
      <c r="EV58" s="143"/>
      <c r="EW58" s="143"/>
      <c r="EX58" s="143"/>
      <c r="EY58" s="143"/>
      <c r="EZ58" s="143"/>
      <c r="FA58" s="143"/>
      <c r="FB58" s="143"/>
      <c r="FC58" s="143"/>
      <c r="FD58" s="143"/>
      <c r="FE58" s="143"/>
      <c r="FF58" s="143"/>
      <c r="FG58" s="143"/>
      <c r="FH58" s="143"/>
      <c r="FI58" s="143"/>
      <c r="FJ58" s="143"/>
      <c r="FK58" s="143"/>
      <c r="FL58" s="143"/>
      <c r="FM58" s="143"/>
      <c r="FN58" s="143"/>
      <c r="FO58" s="143"/>
      <c r="FP58" s="143"/>
      <c r="FQ58" s="143"/>
      <c r="FR58" s="143"/>
      <c r="FS58" s="143"/>
      <c r="FT58" s="143"/>
      <c r="FU58" s="143"/>
      <c r="FV58" s="143"/>
      <c r="FW58" s="143"/>
      <c r="FX58" s="143"/>
      <c r="FY58" s="143"/>
      <c r="FZ58" s="143"/>
      <c r="GA58" s="143"/>
      <c r="GB58" s="143"/>
      <c r="GC58" s="143"/>
      <c r="GD58" s="143"/>
      <c r="GE58" s="143"/>
      <c r="GF58" s="143"/>
      <c r="GG58" s="143"/>
      <c r="GH58" s="143"/>
      <c r="GI58" s="143"/>
      <c r="GJ58" s="143"/>
      <c r="GK58" s="143"/>
      <c r="GL58" s="143"/>
      <c r="GM58" s="143"/>
      <c r="GN58" s="143"/>
      <c r="GO58" s="143"/>
      <c r="GP58" s="143"/>
      <c r="GQ58" s="143"/>
      <c r="GR58" s="143"/>
      <c r="GS58" s="143"/>
      <c r="GT58" s="143"/>
      <c r="GU58" s="143"/>
      <c r="GV58" s="143"/>
      <c r="GW58" s="143"/>
      <c r="GX58" s="143"/>
      <c r="GY58" s="143"/>
      <c r="GZ58" s="143"/>
      <c r="HA58" s="143"/>
      <c r="HB58" s="143"/>
      <c r="HC58" s="143"/>
      <c r="HD58" s="143"/>
      <c r="HE58" s="143"/>
      <c r="HF58" s="143"/>
      <c r="HG58" s="143"/>
      <c r="HH58" s="143"/>
      <c r="HI58" s="143"/>
      <c r="HJ58" s="143"/>
      <c r="HK58" s="143"/>
      <c r="HL58" s="143"/>
      <c r="HM58" s="143"/>
      <c r="HN58" s="143"/>
      <c r="HO58" s="143"/>
      <c r="HP58" s="143"/>
      <c r="HQ58" s="143"/>
      <c r="HR58" s="143"/>
      <c r="HS58" s="143"/>
      <c r="HT58" s="143"/>
      <c r="HU58" s="143"/>
      <c r="HV58" s="143"/>
      <c r="HW58" s="143"/>
      <c r="HX58" s="143"/>
      <c r="HY58" s="143"/>
      <c r="HZ58" s="143"/>
      <c r="IA58" s="143"/>
      <c r="IB58" s="143"/>
      <c r="IC58" s="143"/>
      <c r="ID58" s="143"/>
      <c r="IE58" s="143"/>
      <c r="IF58" s="143"/>
      <c r="IG58" s="143"/>
      <c r="IH58" s="143"/>
      <c r="II58" s="143"/>
      <c r="IJ58" s="143"/>
      <c r="IK58" s="143"/>
      <c r="IL58" s="143"/>
      <c r="IM58" s="143"/>
      <c r="IN58" s="143"/>
      <c r="IO58" s="143"/>
      <c r="IP58" s="143"/>
      <c r="IQ58" s="143"/>
      <c r="IR58" s="143"/>
      <c r="IS58" s="143"/>
      <c r="IT58" s="143"/>
      <c r="IU58" s="143"/>
      <c r="IV58" s="143"/>
      <c r="IW58" s="143"/>
      <c r="IX58" s="143"/>
      <c r="IY58" s="143"/>
      <c r="IZ58" s="143"/>
      <c r="JA58" s="143"/>
      <c r="JB58" s="143"/>
      <c r="JC58" s="143"/>
      <c r="JD58" s="143"/>
      <c r="JE58" s="143"/>
      <c r="JF58" s="143"/>
      <c r="JG58" s="143"/>
      <c r="JH58" s="143"/>
      <c r="JI58" s="143"/>
      <c r="JJ58" s="143"/>
      <c r="JK58" s="143"/>
      <c r="JL58" s="143"/>
      <c r="JM58" s="143"/>
      <c r="JN58" s="143"/>
      <c r="JO58" s="143"/>
    </row>
    <row r="59" spans="1:275" s="5" customFormat="1" ht="44.25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3"/>
      <c r="GH59" s="143"/>
      <c r="GI59" s="143"/>
      <c r="GJ59" s="143"/>
      <c r="GK59" s="143"/>
      <c r="GL59" s="143"/>
      <c r="GM59" s="143"/>
      <c r="GN59" s="143"/>
      <c r="GO59" s="143"/>
      <c r="GP59" s="143"/>
      <c r="GQ59" s="143"/>
      <c r="GR59" s="143"/>
      <c r="GS59" s="143"/>
      <c r="GT59" s="143"/>
      <c r="GU59" s="143"/>
      <c r="GV59" s="143"/>
      <c r="GW59" s="143"/>
      <c r="GX59" s="143"/>
      <c r="GY59" s="143"/>
      <c r="GZ59" s="143"/>
      <c r="HA59" s="143"/>
      <c r="HB59" s="143"/>
      <c r="HC59" s="143"/>
      <c r="HD59" s="143"/>
      <c r="HE59" s="143"/>
      <c r="HF59" s="143"/>
      <c r="HG59" s="143"/>
      <c r="HH59" s="143"/>
      <c r="HI59" s="143"/>
      <c r="HJ59" s="143"/>
      <c r="HK59" s="143"/>
      <c r="HL59" s="143"/>
      <c r="HM59" s="143"/>
      <c r="HN59" s="143"/>
      <c r="HO59" s="143"/>
      <c r="HP59" s="143"/>
      <c r="HQ59" s="143"/>
      <c r="HR59" s="143"/>
      <c r="HS59" s="143"/>
      <c r="HT59" s="143"/>
      <c r="HU59" s="143"/>
      <c r="HV59" s="143"/>
      <c r="HW59" s="143"/>
      <c r="HX59" s="143"/>
      <c r="HY59" s="143"/>
      <c r="HZ59" s="143"/>
      <c r="IA59" s="143"/>
      <c r="IB59" s="143"/>
      <c r="IC59" s="143"/>
      <c r="ID59" s="143"/>
      <c r="IE59" s="143"/>
      <c r="IF59" s="143"/>
      <c r="IG59" s="143"/>
      <c r="IH59" s="143"/>
      <c r="II59" s="143"/>
      <c r="IJ59" s="143"/>
      <c r="IK59" s="143"/>
      <c r="IL59" s="143"/>
      <c r="IM59" s="143"/>
      <c r="IN59" s="143"/>
      <c r="IO59" s="143"/>
      <c r="IP59" s="143"/>
      <c r="IQ59" s="143"/>
      <c r="IR59" s="143"/>
      <c r="IS59" s="143"/>
      <c r="IT59" s="143"/>
      <c r="IU59" s="143"/>
      <c r="IV59" s="143"/>
      <c r="IW59" s="143"/>
      <c r="IX59" s="143"/>
      <c r="IY59" s="143"/>
      <c r="IZ59" s="143"/>
      <c r="JA59" s="143"/>
      <c r="JB59" s="143"/>
      <c r="JC59" s="143"/>
      <c r="JD59" s="143"/>
      <c r="JE59" s="143"/>
      <c r="JF59" s="143"/>
      <c r="JG59" s="143"/>
      <c r="JH59" s="143"/>
      <c r="JI59" s="143"/>
      <c r="JJ59" s="143"/>
      <c r="JK59" s="143"/>
      <c r="JL59" s="143"/>
      <c r="JM59" s="143"/>
      <c r="JN59" s="143"/>
      <c r="JO59" s="143"/>
    </row>
    <row r="60" spans="1:275" s="5" customFormat="1">
      <c r="A60" s="143"/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30"/>
      <c r="EE60" s="143"/>
      <c r="EF60" s="143"/>
      <c r="EG60" s="143"/>
      <c r="EH60" s="143"/>
      <c r="EI60" s="143"/>
      <c r="EJ60" s="143"/>
      <c r="EK60" s="143"/>
      <c r="EL60" s="143"/>
      <c r="EM60" s="143"/>
      <c r="EN60" s="143"/>
      <c r="EO60" s="143"/>
      <c r="EP60" s="143"/>
      <c r="EQ60" s="143"/>
      <c r="ER60" s="143"/>
      <c r="ES60" s="143"/>
      <c r="ET60" s="143"/>
      <c r="EU60" s="143"/>
      <c r="EV60" s="143"/>
      <c r="EW60" s="143"/>
      <c r="EX60" s="143"/>
      <c r="EY60" s="143"/>
      <c r="EZ60" s="143"/>
      <c r="FA60" s="143"/>
      <c r="FB60" s="143"/>
      <c r="FC60" s="143"/>
      <c r="FD60" s="143"/>
      <c r="FE60" s="143"/>
      <c r="FF60" s="143"/>
      <c r="FG60" s="143"/>
      <c r="FH60" s="143"/>
      <c r="FI60" s="143"/>
      <c r="FJ60" s="143"/>
      <c r="FK60" s="143"/>
      <c r="FL60" s="143"/>
      <c r="FM60" s="143"/>
      <c r="FN60" s="143"/>
      <c r="FO60" s="143"/>
      <c r="FP60" s="143"/>
      <c r="FQ60" s="143"/>
      <c r="FR60" s="143"/>
      <c r="FS60" s="143"/>
      <c r="FT60" s="143"/>
      <c r="FU60" s="143"/>
      <c r="FV60" s="143"/>
      <c r="FW60" s="143"/>
      <c r="FX60" s="143"/>
      <c r="FY60" s="143"/>
      <c r="FZ60" s="143"/>
      <c r="GA60" s="143"/>
      <c r="GB60" s="143"/>
      <c r="GC60" s="143"/>
      <c r="GD60" s="143"/>
      <c r="GE60" s="143"/>
      <c r="GF60" s="143"/>
      <c r="GG60" s="143"/>
      <c r="GH60" s="143"/>
      <c r="GI60" s="143"/>
      <c r="GJ60" s="143"/>
      <c r="GK60" s="143"/>
      <c r="GL60" s="143"/>
      <c r="GM60" s="143"/>
      <c r="GN60" s="143"/>
      <c r="GO60" s="143"/>
      <c r="GP60" s="143"/>
      <c r="GQ60" s="143"/>
      <c r="GR60" s="143"/>
      <c r="GS60" s="143"/>
      <c r="GT60" s="143"/>
      <c r="GU60" s="143"/>
      <c r="GV60" s="143"/>
      <c r="GW60" s="143"/>
      <c r="GX60" s="143"/>
      <c r="GY60" s="143"/>
      <c r="GZ60" s="143"/>
      <c r="HA60" s="143"/>
      <c r="HB60" s="143"/>
      <c r="HC60" s="143"/>
      <c r="HD60" s="143"/>
      <c r="HE60" s="143"/>
      <c r="HF60" s="143"/>
      <c r="HG60" s="143"/>
      <c r="HH60" s="143"/>
      <c r="HI60" s="143"/>
      <c r="HJ60" s="143"/>
      <c r="HK60" s="143"/>
      <c r="HL60" s="143"/>
      <c r="HM60" s="143"/>
      <c r="HN60" s="143"/>
      <c r="HO60" s="143"/>
      <c r="HP60" s="143"/>
      <c r="HQ60" s="143"/>
      <c r="HR60" s="143"/>
      <c r="HS60" s="143"/>
      <c r="HT60" s="143"/>
      <c r="HU60" s="143"/>
      <c r="HV60" s="143"/>
      <c r="HW60" s="143"/>
      <c r="HX60" s="143"/>
      <c r="HY60" s="143"/>
      <c r="HZ60" s="143"/>
      <c r="IA60" s="143"/>
      <c r="IB60" s="143"/>
      <c r="IC60" s="143"/>
      <c r="ID60" s="143"/>
      <c r="IE60" s="143"/>
      <c r="IF60" s="143"/>
      <c r="IG60" s="143"/>
      <c r="IH60" s="143"/>
      <c r="II60" s="143"/>
      <c r="IJ60" s="143"/>
      <c r="IK60" s="143"/>
      <c r="IL60" s="143"/>
      <c r="IM60" s="143"/>
      <c r="IN60" s="143"/>
      <c r="IO60" s="143"/>
      <c r="IP60" s="143"/>
      <c r="IQ60" s="143"/>
      <c r="IR60" s="143"/>
      <c r="IS60" s="143"/>
      <c r="IT60" s="143"/>
      <c r="IU60" s="143"/>
      <c r="IV60" s="143"/>
      <c r="IW60" s="143"/>
      <c r="IX60" s="143"/>
      <c r="IY60" s="143"/>
      <c r="IZ60" s="143"/>
      <c r="JA60" s="143"/>
      <c r="JB60" s="143"/>
      <c r="JC60" s="143"/>
      <c r="JD60" s="143"/>
      <c r="JE60" s="143"/>
      <c r="JF60" s="143"/>
      <c r="JG60" s="143"/>
      <c r="JH60" s="143"/>
      <c r="JI60" s="143"/>
      <c r="JJ60" s="143"/>
      <c r="JK60" s="143"/>
      <c r="JL60" s="143"/>
      <c r="JM60" s="143"/>
      <c r="JN60" s="143"/>
      <c r="JO60" s="143"/>
    </row>
    <row r="61" spans="1:275" s="145" customFormat="1">
      <c r="B61" s="146"/>
      <c r="C61" s="146"/>
      <c r="D61" s="146"/>
      <c r="E61" s="146"/>
      <c r="F61" s="147"/>
      <c r="G61" s="148"/>
      <c r="H61" s="146"/>
      <c r="I61" s="149"/>
      <c r="J61" s="149"/>
      <c r="K61" s="149"/>
      <c r="L61" s="149"/>
      <c r="M61" s="150"/>
      <c r="N61" s="150"/>
      <c r="O61" s="150"/>
      <c r="P61" s="151"/>
      <c r="Q61" s="146"/>
      <c r="R61" s="146"/>
      <c r="S61" s="146"/>
      <c r="T61" s="146"/>
      <c r="U61" s="146"/>
      <c r="V61" s="147"/>
      <c r="W61" s="147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  <c r="AN61" s="146"/>
      <c r="AO61" s="146"/>
      <c r="AP61" s="146"/>
      <c r="AQ61" s="146"/>
      <c r="AR61" s="146"/>
      <c r="AS61" s="146"/>
      <c r="AT61" s="146"/>
      <c r="AU61" s="146"/>
      <c r="AV61" s="146"/>
      <c r="AW61" s="146"/>
      <c r="AX61" s="146"/>
      <c r="AY61" s="146"/>
      <c r="AZ61" s="146"/>
      <c r="BA61" s="146"/>
      <c r="BB61" s="146"/>
      <c r="BC61" s="146"/>
      <c r="BD61" s="146"/>
      <c r="BE61" s="146"/>
      <c r="BF61" s="146"/>
      <c r="BG61" s="146"/>
      <c r="BH61" s="146"/>
      <c r="BI61" s="146"/>
      <c r="BJ61" s="146"/>
      <c r="BK61" s="146"/>
      <c r="BL61" s="146"/>
      <c r="BM61" s="146"/>
      <c r="BN61" s="146"/>
      <c r="BO61" s="146"/>
      <c r="BP61" s="152"/>
      <c r="BQ61" s="152"/>
      <c r="BR61" s="147"/>
      <c r="BS61" s="146"/>
      <c r="BT61" s="153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  <c r="DR61" s="147"/>
      <c r="DS61" s="147"/>
      <c r="DT61" s="147"/>
      <c r="DU61" s="147"/>
      <c r="DV61" s="147"/>
      <c r="DW61" s="147"/>
      <c r="DX61" s="147"/>
      <c r="DY61" s="143"/>
      <c r="DZ61" s="143"/>
      <c r="EA61" s="143"/>
      <c r="EB61" s="143"/>
      <c r="EC61" s="143"/>
      <c r="ED61" s="130"/>
      <c r="EE61" s="143"/>
      <c r="EF61" s="143"/>
      <c r="EG61" s="143"/>
      <c r="EH61" s="143"/>
      <c r="EI61" s="143"/>
      <c r="EJ61" s="143"/>
      <c r="EK61" s="143"/>
      <c r="EL61" s="143"/>
      <c r="EM61" s="143"/>
      <c r="EN61" s="143"/>
      <c r="EO61" s="143"/>
      <c r="EP61" s="143"/>
      <c r="EQ61" s="143"/>
      <c r="ER61" s="143"/>
      <c r="ES61" s="143"/>
      <c r="ET61" s="143"/>
      <c r="EU61" s="143"/>
      <c r="EV61" s="143"/>
      <c r="EW61" s="143"/>
      <c r="EX61" s="143"/>
      <c r="EY61" s="143"/>
      <c r="EZ61" s="143"/>
      <c r="FA61" s="143"/>
      <c r="FB61" s="143"/>
      <c r="FC61" s="143"/>
      <c r="FD61" s="143"/>
      <c r="FE61" s="143"/>
      <c r="FF61" s="143"/>
      <c r="FG61" s="143"/>
      <c r="FH61" s="143"/>
      <c r="FI61" s="143"/>
      <c r="FJ61" s="143"/>
      <c r="FK61" s="143"/>
      <c r="FL61" s="143"/>
      <c r="FM61" s="143"/>
      <c r="FN61" s="143"/>
      <c r="FO61" s="143"/>
      <c r="FP61" s="143"/>
      <c r="FQ61" s="143"/>
      <c r="FR61" s="143"/>
      <c r="FS61" s="143"/>
      <c r="FT61" s="143"/>
      <c r="FU61" s="143"/>
      <c r="FV61" s="143"/>
      <c r="FW61" s="143"/>
      <c r="FX61" s="143"/>
      <c r="FY61" s="143"/>
      <c r="FZ61" s="143"/>
      <c r="GA61" s="143"/>
      <c r="GB61" s="143"/>
      <c r="GC61" s="143"/>
      <c r="GD61" s="143"/>
      <c r="GE61" s="143"/>
      <c r="GF61" s="143"/>
    </row>
    <row r="62" spans="1:275" s="145" customFormat="1" ht="44.25">
      <c r="B62" s="155"/>
      <c r="C62" s="155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X62" s="155"/>
      <c r="Y62" s="155"/>
      <c r="Z62" s="155"/>
      <c r="AA62" s="155"/>
      <c r="AB62" s="155"/>
      <c r="AC62" s="155"/>
      <c r="AD62" s="155"/>
      <c r="AE62" s="155"/>
      <c r="AF62" s="155"/>
      <c r="AG62" s="155"/>
      <c r="AH62" s="155"/>
      <c r="AI62" s="155"/>
      <c r="AJ62" s="155"/>
      <c r="AK62" s="155"/>
      <c r="AL62" s="155"/>
      <c r="AM62" s="155"/>
      <c r="AN62" s="155"/>
      <c r="AO62" s="155"/>
      <c r="AP62" s="155"/>
      <c r="AQ62" s="155"/>
      <c r="AR62" s="155"/>
      <c r="AS62" s="155"/>
      <c r="AT62" s="155"/>
      <c r="AU62" s="155"/>
      <c r="AV62" s="155"/>
      <c r="AW62" s="155"/>
      <c r="AX62" s="155"/>
      <c r="AY62" s="155"/>
      <c r="AZ62" s="155"/>
      <c r="BA62" s="155"/>
      <c r="BB62" s="155"/>
      <c r="BC62" s="155"/>
      <c r="BD62" s="155"/>
      <c r="BE62" s="155"/>
      <c r="BF62" s="155"/>
      <c r="BG62" s="155"/>
      <c r="BH62" s="155"/>
      <c r="BI62" s="155"/>
      <c r="BJ62" s="155"/>
      <c r="BK62" s="155"/>
      <c r="BL62" s="155"/>
      <c r="BM62" s="155"/>
      <c r="BN62" s="155"/>
      <c r="BO62" s="155"/>
      <c r="BP62" s="155"/>
      <c r="BQ62" s="155"/>
      <c r="BR62" s="155"/>
      <c r="BS62" s="155"/>
      <c r="BT62" s="155"/>
      <c r="BU62" s="155"/>
      <c r="BV62" s="155"/>
      <c r="BW62" s="155"/>
      <c r="BX62" s="155"/>
      <c r="BY62" s="155"/>
      <c r="BZ62" s="155"/>
      <c r="CA62" s="155"/>
      <c r="CB62" s="155"/>
      <c r="CC62" s="155"/>
      <c r="CD62" s="155"/>
      <c r="CE62" s="155"/>
      <c r="CF62" s="155"/>
      <c r="CG62" s="155"/>
      <c r="CH62" s="155"/>
      <c r="CI62" s="155"/>
      <c r="CJ62" s="155"/>
      <c r="CK62" s="155"/>
      <c r="CL62" s="155"/>
      <c r="CM62" s="155"/>
      <c r="CN62" s="155"/>
      <c r="CO62" s="155"/>
      <c r="CP62" s="155"/>
      <c r="CQ62" s="155"/>
      <c r="CR62" s="155"/>
      <c r="CS62" s="155"/>
      <c r="CT62" s="155"/>
      <c r="CU62" s="155"/>
      <c r="CV62" s="155"/>
      <c r="CW62" s="155"/>
      <c r="CX62" s="155"/>
      <c r="CY62" s="155"/>
      <c r="CZ62" s="155"/>
      <c r="DA62" s="155"/>
      <c r="DB62" s="155"/>
      <c r="DC62" s="155"/>
      <c r="DD62" s="155"/>
      <c r="DE62" s="155"/>
      <c r="DF62" s="155"/>
      <c r="DG62" s="155"/>
      <c r="DH62" s="155"/>
      <c r="DI62" s="155"/>
      <c r="DJ62" s="155"/>
      <c r="DK62" s="155"/>
      <c r="DL62" s="155"/>
      <c r="DM62" s="155"/>
      <c r="DN62" s="155"/>
      <c r="DO62" s="155"/>
      <c r="DP62" s="155"/>
      <c r="DQ62" s="155"/>
      <c r="DR62" s="155"/>
      <c r="DS62" s="155"/>
      <c r="DT62" s="155"/>
      <c r="DU62" s="155"/>
      <c r="DV62" s="155"/>
      <c r="DW62" s="155"/>
      <c r="DX62" s="155"/>
      <c r="DY62" s="143"/>
      <c r="DZ62" s="143"/>
      <c r="EA62" s="143"/>
      <c r="EB62" s="143"/>
      <c r="EC62" s="143"/>
      <c r="ED62" s="130"/>
      <c r="EE62" s="143"/>
      <c r="EF62" s="143"/>
      <c r="EG62" s="143"/>
      <c r="EH62" s="143"/>
      <c r="EI62" s="143"/>
      <c r="EJ62" s="143"/>
      <c r="EK62" s="143"/>
      <c r="EL62" s="143"/>
      <c r="EM62" s="143"/>
      <c r="EN62" s="143"/>
      <c r="EO62" s="143"/>
      <c r="EP62" s="143"/>
      <c r="EQ62" s="143"/>
      <c r="ER62" s="143"/>
      <c r="ES62" s="143"/>
      <c r="ET62" s="143"/>
      <c r="EU62" s="143"/>
      <c r="EV62" s="143"/>
      <c r="EW62" s="143"/>
      <c r="EX62" s="143"/>
      <c r="EY62" s="143"/>
      <c r="EZ62" s="143"/>
      <c r="FA62" s="143"/>
      <c r="FB62" s="143"/>
      <c r="FC62" s="143"/>
      <c r="FD62" s="143"/>
      <c r="FE62" s="143"/>
      <c r="FF62" s="143"/>
      <c r="FG62" s="143"/>
      <c r="FH62" s="143"/>
      <c r="FI62" s="143"/>
      <c r="FJ62" s="143"/>
      <c r="FK62" s="143"/>
      <c r="FL62" s="143"/>
      <c r="FM62" s="143"/>
      <c r="FN62" s="143"/>
      <c r="FO62" s="143"/>
      <c r="FP62" s="143"/>
      <c r="FQ62" s="143"/>
      <c r="FR62" s="143"/>
      <c r="FS62" s="143"/>
      <c r="FT62" s="143"/>
      <c r="FU62" s="143"/>
      <c r="FV62" s="143"/>
      <c r="FW62" s="143"/>
      <c r="FX62" s="143"/>
      <c r="FY62" s="143"/>
      <c r="FZ62" s="143"/>
      <c r="GA62" s="143"/>
      <c r="GB62" s="143"/>
      <c r="GC62" s="143"/>
      <c r="GD62" s="143"/>
      <c r="GE62" s="143"/>
      <c r="GF62" s="143"/>
    </row>
    <row r="64" spans="1:275" s="5" customFormat="1">
      <c r="A64" s="143"/>
      <c r="B64" s="143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5"/>
      <c r="DZ64" s="145"/>
      <c r="EA64" s="145"/>
      <c r="EB64" s="145"/>
      <c r="EC64" s="145"/>
      <c r="ED64" s="154"/>
      <c r="EE64" s="145"/>
      <c r="EF64" s="145"/>
      <c r="EG64" s="145"/>
      <c r="EH64" s="145"/>
      <c r="EI64" s="145"/>
      <c r="EJ64" s="145"/>
      <c r="EK64" s="145"/>
      <c r="EL64" s="145"/>
      <c r="EM64" s="145"/>
      <c r="EN64" s="145"/>
      <c r="EO64" s="145"/>
      <c r="EP64" s="145"/>
      <c r="EQ64" s="145"/>
      <c r="ER64" s="145"/>
      <c r="ES64" s="145"/>
      <c r="ET64" s="145"/>
      <c r="EU64" s="145"/>
      <c r="EV64" s="145"/>
      <c r="EW64" s="145"/>
      <c r="EX64" s="145"/>
      <c r="EY64" s="145"/>
      <c r="EZ64" s="145"/>
      <c r="FA64" s="145"/>
      <c r="FB64" s="145"/>
      <c r="FC64" s="145"/>
      <c r="FD64" s="145"/>
      <c r="FE64" s="145"/>
      <c r="FF64" s="145"/>
      <c r="FG64" s="145"/>
      <c r="FH64" s="145"/>
      <c r="FI64" s="145"/>
      <c r="FJ64" s="145"/>
      <c r="FK64" s="145"/>
      <c r="FL64" s="145"/>
      <c r="FM64" s="145"/>
      <c r="FN64" s="145"/>
      <c r="FO64" s="145"/>
      <c r="FP64" s="145"/>
      <c r="FQ64" s="145"/>
      <c r="FR64" s="145"/>
      <c r="FS64" s="145"/>
      <c r="FT64" s="145"/>
      <c r="FU64" s="145"/>
      <c r="FV64" s="145"/>
      <c r="FW64" s="145"/>
      <c r="FX64" s="145"/>
      <c r="FY64" s="145"/>
      <c r="FZ64" s="145"/>
      <c r="GA64" s="145"/>
      <c r="GB64" s="145"/>
      <c r="GC64" s="145"/>
      <c r="GD64" s="145"/>
      <c r="GE64" s="145"/>
      <c r="GF64" s="145"/>
      <c r="GG64" s="143"/>
      <c r="GH64" s="143"/>
      <c r="GI64" s="143"/>
      <c r="GJ64" s="143"/>
      <c r="GK64" s="143"/>
      <c r="GL64" s="143"/>
      <c r="GM64" s="143"/>
      <c r="GN64" s="143"/>
      <c r="GO64" s="143"/>
      <c r="GP64" s="143"/>
      <c r="GQ64" s="143"/>
      <c r="GR64" s="143"/>
      <c r="GS64" s="143"/>
      <c r="GT64" s="143"/>
      <c r="GU64" s="143"/>
      <c r="GV64" s="143"/>
      <c r="GW64" s="143"/>
      <c r="GX64" s="143"/>
      <c r="GY64" s="143"/>
      <c r="GZ64" s="143"/>
      <c r="HA64" s="143"/>
      <c r="HB64" s="143"/>
      <c r="HC64" s="143"/>
      <c r="HD64" s="143"/>
      <c r="HE64" s="143"/>
      <c r="HF64" s="143"/>
      <c r="HG64" s="143"/>
      <c r="HH64" s="143"/>
      <c r="HI64" s="143"/>
      <c r="HJ64" s="143"/>
      <c r="HK64" s="143"/>
      <c r="HL64" s="143"/>
      <c r="HM64" s="143"/>
      <c r="HN64" s="143"/>
      <c r="HO64" s="143"/>
      <c r="HP64" s="143"/>
      <c r="HQ64" s="143"/>
      <c r="HR64" s="143"/>
      <c r="HS64" s="143"/>
      <c r="HT64" s="143"/>
      <c r="HU64" s="143"/>
      <c r="HV64" s="143"/>
      <c r="HW64" s="143"/>
      <c r="HX64" s="143"/>
      <c r="HY64" s="143"/>
      <c r="HZ64" s="143"/>
      <c r="IA64" s="143"/>
      <c r="IB64" s="143"/>
      <c r="IC64" s="143"/>
      <c r="ID64" s="143"/>
      <c r="IE64" s="143"/>
      <c r="IF64" s="143"/>
      <c r="IG64" s="143"/>
      <c r="IH64" s="143"/>
      <c r="II64" s="143"/>
      <c r="IJ64" s="143"/>
      <c r="IK64" s="143"/>
      <c r="IL64" s="143"/>
      <c r="IM64" s="143"/>
      <c r="IN64" s="143"/>
      <c r="IO64" s="143"/>
      <c r="IP64" s="143"/>
      <c r="IQ64" s="143"/>
      <c r="IR64" s="143"/>
      <c r="IS64" s="143"/>
      <c r="IT64" s="143"/>
      <c r="IU64" s="143"/>
      <c r="IV64" s="143"/>
      <c r="IW64" s="143"/>
      <c r="IX64" s="143"/>
      <c r="IY64" s="143"/>
      <c r="IZ64" s="143"/>
      <c r="JA64" s="143"/>
      <c r="JB64" s="143"/>
      <c r="JC64" s="143"/>
      <c r="JD64" s="143"/>
      <c r="JE64" s="143"/>
      <c r="JF64" s="143"/>
      <c r="JG64" s="143"/>
      <c r="JH64" s="143"/>
      <c r="JI64" s="143"/>
      <c r="JJ64" s="143"/>
      <c r="JK64" s="143"/>
      <c r="JL64" s="143"/>
      <c r="JM64" s="143"/>
      <c r="JN64" s="143"/>
      <c r="JO64" s="143"/>
    </row>
    <row r="65" spans="1:275" s="5" customFormat="1">
      <c r="A65" s="143"/>
      <c r="B65" s="143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5"/>
      <c r="DZ65" s="145"/>
      <c r="EA65" s="145"/>
      <c r="EB65" s="145"/>
      <c r="EC65" s="145"/>
      <c r="ED65" s="154"/>
      <c r="EE65" s="145"/>
      <c r="EF65" s="145"/>
      <c r="EG65" s="145"/>
      <c r="EH65" s="145"/>
      <c r="EI65" s="145"/>
      <c r="EJ65" s="145"/>
      <c r="EK65" s="145"/>
      <c r="EL65" s="145"/>
      <c r="EM65" s="145"/>
      <c r="EN65" s="145"/>
      <c r="EO65" s="145"/>
      <c r="EP65" s="145"/>
      <c r="EQ65" s="145"/>
      <c r="ER65" s="145"/>
      <c r="ES65" s="145"/>
      <c r="ET65" s="145"/>
      <c r="EU65" s="145"/>
      <c r="EV65" s="145"/>
      <c r="EW65" s="145"/>
      <c r="EX65" s="145"/>
      <c r="EY65" s="145"/>
      <c r="EZ65" s="145"/>
      <c r="FA65" s="145"/>
      <c r="FB65" s="145"/>
      <c r="FC65" s="145"/>
      <c r="FD65" s="145"/>
      <c r="FE65" s="145"/>
      <c r="FF65" s="145"/>
      <c r="FG65" s="145"/>
      <c r="FH65" s="145"/>
      <c r="FI65" s="145"/>
      <c r="FJ65" s="145"/>
      <c r="FK65" s="145"/>
      <c r="FL65" s="145"/>
      <c r="FM65" s="145"/>
      <c r="FN65" s="145"/>
      <c r="FO65" s="145"/>
      <c r="FP65" s="145"/>
      <c r="FQ65" s="145"/>
      <c r="FR65" s="145"/>
      <c r="FS65" s="145"/>
      <c r="FT65" s="145"/>
      <c r="FU65" s="145"/>
      <c r="FV65" s="145"/>
      <c r="FW65" s="145"/>
      <c r="FX65" s="145"/>
      <c r="FY65" s="145"/>
      <c r="FZ65" s="145"/>
      <c r="GA65" s="145"/>
      <c r="GB65" s="145"/>
      <c r="GC65" s="145"/>
      <c r="GD65" s="145"/>
      <c r="GE65" s="145"/>
      <c r="GF65" s="145"/>
      <c r="GG65" s="143"/>
      <c r="GH65" s="143"/>
      <c r="GI65" s="143"/>
      <c r="GJ65" s="143"/>
      <c r="GK65" s="143"/>
      <c r="GL65" s="143"/>
      <c r="GM65" s="143"/>
      <c r="GN65" s="143"/>
      <c r="GO65" s="143"/>
      <c r="GP65" s="143"/>
      <c r="GQ65" s="143"/>
      <c r="GR65" s="143"/>
      <c r="GS65" s="143"/>
      <c r="GT65" s="143"/>
      <c r="GU65" s="143"/>
      <c r="GV65" s="143"/>
      <c r="GW65" s="143"/>
      <c r="GX65" s="143"/>
      <c r="GY65" s="143"/>
      <c r="GZ65" s="143"/>
      <c r="HA65" s="143"/>
      <c r="HB65" s="143"/>
      <c r="HC65" s="143"/>
      <c r="HD65" s="143"/>
      <c r="HE65" s="143"/>
      <c r="HF65" s="143"/>
      <c r="HG65" s="143"/>
      <c r="HH65" s="143"/>
      <c r="HI65" s="143"/>
      <c r="HJ65" s="143"/>
      <c r="HK65" s="143"/>
      <c r="HL65" s="143"/>
      <c r="HM65" s="143"/>
      <c r="HN65" s="143"/>
      <c r="HO65" s="143"/>
      <c r="HP65" s="143"/>
      <c r="HQ65" s="143"/>
      <c r="HR65" s="143"/>
      <c r="HS65" s="143"/>
      <c r="HT65" s="143"/>
      <c r="HU65" s="143"/>
      <c r="HV65" s="143"/>
      <c r="HW65" s="143"/>
      <c r="HX65" s="143"/>
      <c r="HY65" s="143"/>
      <c r="HZ65" s="143"/>
      <c r="IA65" s="143"/>
      <c r="IB65" s="143"/>
      <c r="IC65" s="143"/>
      <c r="ID65" s="143"/>
      <c r="IE65" s="143"/>
      <c r="IF65" s="143"/>
      <c r="IG65" s="143"/>
      <c r="IH65" s="143"/>
      <c r="II65" s="143"/>
      <c r="IJ65" s="143"/>
      <c r="IK65" s="143"/>
      <c r="IL65" s="143"/>
      <c r="IM65" s="143"/>
      <c r="IN65" s="143"/>
      <c r="IO65" s="143"/>
      <c r="IP65" s="143"/>
      <c r="IQ65" s="143"/>
      <c r="IR65" s="143"/>
      <c r="IS65" s="143"/>
      <c r="IT65" s="143"/>
      <c r="IU65" s="143"/>
      <c r="IV65" s="143"/>
      <c r="IW65" s="143"/>
      <c r="IX65" s="143"/>
      <c r="IY65" s="143"/>
      <c r="IZ65" s="143"/>
      <c r="JA65" s="143"/>
      <c r="JB65" s="143"/>
      <c r="JC65" s="143"/>
      <c r="JD65" s="143"/>
      <c r="JE65" s="143"/>
      <c r="JF65" s="143"/>
      <c r="JG65" s="143"/>
      <c r="JH65" s="143"/>
      <c r="JI65" s="143"/>
      <c r="JJ65" s="143"/>
      <c r="JK65" s="143"/>
      <c r="JL65" s="143"/>
      <c r="JM65" s="143"/>
      <c r="JN65" s="143"/>
      <c r="JO65" s="143"/>
    </row>
    <row r="85" spans="160:160">
      <c r="FD85" s="177"/>
    </row>
    <row r="99" spans="4:4">
      <c r="D99" s="994" t="s">
        <v>799</v>
      </c>
    </row>
    <row r="196" spans="1:4">
      <c r="A196" s="181"/>
      <c r="B196" s="181"/>
      <c r="C196" s="181"/>
      <c r="D196" s="1001"/>
    </row>
    <row r="197" spans="1:4">
      <c r="A197" s="983"/>
      <c r="B197" s="1000"/>
      <c r="C197" s="181"/>
      <c r="D197" s="1001"/>
    </row>
    <row r="198" spans="1:4">
      <c r="A198" s="983"/>
      <c r="B198" s="1000"/>
      <c r="C198" s="181"/>
      <c r="D198" s="1001"/>
    </row>
    <row r="199" spans="1:4">
      <c r="A199" s="983"/>
      <c r="B199" s="1000"/>
      <c r="C199" s="181"/>
      <c r="D199" s="1001"/>
    </row>
    <row r="200" spans="1:4">
      <c r="A200" s="983"/>
      <c r="B200" s="1000"/>
      <c r="C200" s="181"/>
      <c r="D200" s="1001"/>
    </row>
  </sheetData>
  <customSheetViews>
    <customSheetView guid="{7C71EF2A-5ADA-494C-8F58-DDA71753DD90}" showPageBreaks="1">
      <pane xSplit="1" ySplit="2" topLeftCell="B3" activePane="bottomRight" state="frozen"/>
      <selection pane="bottomRight" activeCell="B14" sqref="B14:GB41"/>
      <colBreaks count="1" manualBreakCount="1">
        <brk id="17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"/>
    </customSheetView>
    <customSheetView guid="{B91C2E87-5EDA-40AE-AC27-0E2C17E803CE}" showPageBreaks="1" printArea="1" hiddenRows="1">
      <pane xSplit="1" ySplit="3" topLeftCell="FC33" activePane="bottomRight" state="frozen"/>
      <selection pane="bottomRight" activeCell="FI44" sqref="FI44"/>
      <colBreaks count="1" manualBreakCount="1">
        <brk id="17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2"/>
    </customSheetView>
    <customSheetView guid="{23F4DC00-BC97-4745-AA5C-F05D469CB1EF}" showPageBreaks="1" printArea="1" hiddenRows="1">
      <pane xSplit="1" ySplit="2" topLeftCell="CU18" activePane="bottomRight" state="frozen"/>
      <selection pane="bottomRight" activeCell="EL1" sqref="EL1:EL1048576"/>
      <colBreaks count="1" manualBreakCount="1">
        <brk id="154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3"/>
    </customSheetView>
    <customSheetView guid="{4593F3EE-0998-4E0E-994A-E02D6BAF3A4B}" showPageBreaks="1" printArea="1" hiddenRows="1">
      <pane xSplit="1" ySplit="3" topLeftCell="B36" activePane="bottomRight" state="frozen"/>
      <selection pane="bottomRight" activeCell="B42" sqref="B42:FD43"/>
      <colBreaks count="1" manualBreakCount="1">
        <brk id="156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4"/>
    </customSheetView>
    <customSheetView guid="{917057C8-5E5F-4164-B84C-85103677A2E5}">
      <pane xSplit="1" ySplit="2" topLeftCell="B3" activePane="bottomRight" state="frozen"/>
      <selection pane="bottomRight" activeCell="B14" sqref="B14:FX41"/>
      <colBreaks count="1" manualBreakCount="1">
        <brk id="17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5"/>
    </customSheetView>
    <customSheetView guid="{5A803268-F6C5-4035-B3E1-A94CB9AA8994}" showPageBreaks="1" printArea="1" hiddenRows="1">
      <pane xSplit="1" ySplit="3" topLeftCell="B36" activePane="bottomRight" state="frozen"/>
      <selection pane="bottomRight" activeCell="B43" sqref="B43"/>
      <colBreaks count="1" manualBreakCount="1">
        <brk id="153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6"/>
    </customSheetView>
    <customSheetView guid="{751D391F-C74F-4B53-B5B5-25E01AC12EA4}">
      <pane xSplit="1" ySplit="2" topLeftCell="GJ3" activePane="bottomRight" state="frozen"/>
      <selection pane="bottomRight" activeCell="GI3" sqref="GI3"/>
      <colBreaks count="1" manualBreakCount="1">
        <brk id="18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7"/>
    </customSheetView>
    <customSheetView guid="{D1D1E152-95AB-45D3-AC07-4EC0834D3E0C}">
      <pane xSplit="1" ySplit="2" topLeftCell="B3" activePane="bottomRight" state="frozen"/>
      <selection pane="bottomRight" activeCell="B14" sqref="B14:GT41"/>
      <colBreaks count="1" manualBreakCount="1">
        <brk id="187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8"/>
    </customSheetView>
    <customSheetView guid="{4DB6C640-CE65-4513-9E5A-F6CDD1F4B8AF}" scale="96">
      <pane xSplit="1" ySplit="2" topLeftCell="B31" activePane="bottomRight" state="frozen"/>
      <selection pane="bottomRight" activeCell="DW1" sqref="DW1:DW1048576"/>
      <colBreaks count="1" manualBreakCount="1">
        <brk id="186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9"/>
    </customSheetView>
    <customSheetView guid="{C3348F62-02F2-4500-9BF2-19F2DEA57A8D}" showPageBreaks="1">
      <pane xSplit="1" ySplit="2" topLeftCell="B27" activePane="bottomRight" state="frozen"/>
      <selection pane="bottomRight" activeCell="B42" sqref="B42:GT43"/>
      <colBreaks count="1" manualBreakCount="1">
        <brk id="18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0"/>
    </customSheetView>
  </customSheetViews>
  <mergeCells count="4">
    <mergeCell ref="B48:C48"/>
    <mergeCell ref="B46:C46"/>
    <mergeCell ref="B47:C47"/>
    <mergeCell ref="A6:A7"/>
  </mergeCells>
  <dataValidations count="1">
    <dataValidation allowBlank="1" showInputMessage="1" showErrorMessage="1" prompt="precision" sqref="AE3:AE9 AE12"/>
  </dataValidations>
  <printOptions horizontalCentered="1" verticalCentered="1"/>
  <pageMargins left="0.2" right="0.2" top="0.75" bottom="0.75" header="0.3" footer="0.3"/>
  <pageSetup paperSize="9" scale="40" orientation="landscape" r:id="rId11"/>
  <colBreaks count="1" manualBreakCount="1">
    <brk id="185" max="1048575" man="1"/>
  </colBreak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6"/>
  <dimension ref="A1:R29"/>
  <sheetViews>
    <sheetView zoomScaleNormal="85" workbookViewId="0">
      <selection activeCell="A37" sqref="A37:XFD37"/>
    </sheetView>
  </sheetViews>
  <sheetFormatPr defaultRowHeight="15"/>
  <cols>
    <col min="1" max="1" width="14.7109375" style="2016" customWidth="1"/>
    <col min="2" max="2" width="14" style="2016" customWidth="1"/>
    <col min="3" max="3" width="14.28515625" style="2016" customWidth="1"/>
    <col min="4" max="4" width="12.85546875" style="2016" customWidth="1"/>
    <col min="5" max="5" width="11.5703125" style="2016" customWidth="1"/>
    <col min="6" max="6" width="12.7109375" style="2016" customWidth="1"/>
    <col min="7" max="7" width="13" style="2016" customWidth="1"/>
    <col min="8" max="9" width="12.7109375" style="2016" customWidth="1"/>
    <col min="10" max="10" width="15.28515625" style="2016" customWidth="1"/>
    <col min="11" max="11" width="14.7109375" style="2016" customWidth="1"/>
    <col min="12" max="16384" width="9.140625" style="2016"/>
  </cols>
  <sheetData>
    <row r="1" spans="1:18" ht="35.25">
      <c r="A1" s="4941" t="s">
        <v>150</v>
      </c>
      <c r="B1" s="4942">
        <f>GEntry!A2</f>
        <v>43107</v>
      </c>
      <c r="C1" s="4943"/>
      <c r="D1" s="4943"/>
    </row>
    <row r="2" spans="1:18" ht="27" thickBot="1">
      <c r="E2" s="4944" t="s">
        <v>1302</v>
      </c>
    </row>
    <row r="3" spans="1:18" ht="24" customHeight="1" thickBot="1">
      <c r="A3" s="4945" t="s">
        <v>0</v>
      </c>
      <c r="B3" s="4947" t="s">
        <v>10</v>
      </c>
      <c r="C3" s="4947" t="s">
        <v>914</v>
      </c>
      <c r="D3" s="4947" t="s">
        <v>5</v>
      </c>
      <c r="E3" s="4947" t="s">
        <v>1301</v>
      </c>
      <c r="F3" s="4947" t="s">
        <v>4</v>
      </c>
      <c r="G3" s="4947" t="s">
        <v>55</v>
      </c>
      <c r="H3" s="4947" t="s">
        <v>6</v>
      </c>
      <c r="I3" s="4947" t="s">
        <v>913</v>
      </c>
      <c r="J3" s="4947" t="s">
        <v>106</v>
      </c>
      <c r="K3" s="4947" t="s">
        <v>12</v>
      </c>
    </row>
    <row r="4" spans="1:18" ht="24" customHeight="1" thickBot="1">
      <c r="A4" s="4956">
        <v>4.1666666666666664E-2</v>
      </c>
      <c r="B4" s="4955">
        <f>Master!B14+Master!C14+Master!D14+Master!E14+Master!F14+Master!G14+Master!H14+Master!I14+Master!J14+Master!L14+Master!M14+Master!N14+Master!O14+Master!P14+Master!Q14+Master!R14+Master!S14+Master!T14+Master!U14+Master!V14+Master!W14+Master!X14+Master!Y14+Master!Z14+Master!AA14+Master!AB14+Master!AC14+Master!AD14+Master!AE14+Master!AF14+Master!AG14+Master!AH14+Master!AI14+Master!AJ14+Master!AK14+Master!CS14+Master!CT14+Master!CU14+Master!CW14+Master!CX14+Master!DE14+Master!DO14+Master!DQ14+Master!DU14+Master!DW14</f>
        <v>943</v>
      </c>
      <c r="C4" s="4955">
        <f>Master!AL14+Master!AM14+Master!AN14+Master!AO14+Master!AP14+Master!AQ14+Master!AR14+Master!AS14+Master!AT14+Master!AW14+Master!AX14+Master!AY14+Master!AZ14+Master!BA14+Master!BB14+Master!BC14+Master!CY14+Master!CZ14+Master!DF14+Master!DG14+Master!DH14+Master!DI14+Master!DJ14+Master!DM14+Master!DR14</f>
        <v>519</v>
      </c>
      <c r="D4" s="4955">
        <f>Master!DY14+Master!DZ14+Master!EA14+Master!EB14+Master!EC14+Master!ED14+Master!EE14+Master!EF14+Master!EG14+Master!EH14+Master!EI14+Master!EM14+Master!FK14+Master!FO14+Master!FR14+Master!GB14</f>
        <v>471</v>
      </c>
      <c r="E4" s="4955">
        <f>Master!FJ14+Master!FX14+Master!FY14+Master!FZ14+Master!EK14+Master!EL14+Master!EJ14+Master!FW14</f>
        <v>622</v>
      </c>
      <c r="F4" s="4955">
        <f>Master!CB14+Master!CC14+Master!CD14+Master!CE14+Master!CF14+Master!CG14+Master!CH14+Master!CI14+Master!CJ14+Master!CK14+Master!CL14+Master!CM14+Master!CN14+Master!CO14+Master!CP14+Master!CQ14+Master!DC14+Master!DN14+Master!DS14</f>
        <v>1315</v>
      </c>
      <c r="G4" s="4955">
        <f>Master!EN14+Master!EO14+Master!EP14+Master!EQ14+Master!ER14+Master!ES14+Master!ET14+Master!EU14+Master!EV14+Master!EW14+Master!EX14+Master!EY14+Master!EZ14+Master!FF14+Master!FG14+Master!FH14+Master!FI14+Master!FL14+Master!FM14+Master!FN14+Master!FP14+Master!FQ14+Master!FT14+Master!FV14+Master!GA14</f>
        <v>588</v>
      </c>
      <c r="H4" s="4955">
        <f>Master!FA14+Master!FB14+Master!FC14+Master!FD14+Master!FE14+Master!FS14+Master!FU14+Master!GC14</f>
        <v>255</v>
      </c>
      <c r="I4" s="4955">
        <f>Master!BD14+Master!BE14+Master!BF14+Master!BG14+Master!BH14+Master!BI14+Master!BJ14+Master!BK14+Master!BL14+Master!BM14+Master!BN14+Master!BO14+Master!BP14+Master!BQ14+Master!BR14+Master!BS14+Master!BT14+Master!BU14+Master!BV14+Master!BW14+Master!CR14+Master!DA14+Master!DB14+Master!DK14+Master!DL14+Master!DT14</f>
        <v>1274</v>
      </c>
      <c r="J4" s="4955">
        <f>Master!AV14+Master!BX14+Master!BY14+Master!BZ14+Master!CA14+Master!CV14+Master!DD14+Master!DP14</f>
        <v>226</v>
      </c>
      <c r="K4" s="4955">
        <f>SUM(B4:J4)</f>
        <v>6213</v>
      </c>
    </row>
    <row r="5" spans="1:18" ht="24" customHeight="1" thickBot="1">
      <c r="A5" s="4956">
        <v>8.3333333333333329E-2</v>
      </c>
      <c r="B5" s="4955">
        <f>Master!B15+Master!C15+Master!D15+Master!E15+Master!F15+Master!G15+Master!H15+Master!I15+Master!J15+Master!L15+Master!M15+Master!N15+Master!O15+Master!P15+Master!Q15+Master!R15+Master!S15+Master!T15+Master!U15+Master!V15+Master!W15+Master!X15+Master!Y15+Master!Z15+Master!AA15+Master!AB15+Master!AC15+Master!AD15+Master!AE15+Master!AF15+Master!AG15+Master!AH15+Master!AI15+Master!AJ15+Master!AK15+Master!CS15+Master!CT15+Master!CU15+Master!CW15+Master!CX15+Master!DE15+Master!DO15+Master!DQ15+Master!DU15+Master!DW15</f>
        <v>935</v>
      </c>
      <c r="C5" s="4955">
        <f>Master!AL15+Master!AM15+Master!AN15+Master!AO15+Master!AP15+Master!AQ15+Master!AR15+Master!AS15+Master!AT15+Master!AW15+Master!AX15+Master!AY15+Master!AZ15+Master!BA15+Master!BB15+Master!BC15+Master!CY15+Master!CZ15+Master!DF15+Master!DG15+Master!DH15+Master!DI15+Master!DJ15+Master!DM15+Master!DR15</f>
        <v>413</v>
      </c>
      <c r="D5" s="4955">
        <f>Master!DY15+Master!DZ15+Master!EA15+Master!EB15+Master!EC15+Master!ED15+Master!EE15+Master!EF15+Master!EG15+Master!EH15+Master!EI15+Master!EM15+Master!FK15+Master!FO15+Master!FR15+Master!GB15</f>
        <v>422</v>
      </c>
      <c r="E5" s="4955">
        <f>Master!FJ15+Master!FX15+Master!FY15+Master!FZ15+Master!EK15+Master!EL15+Master!EJ15+Master!FW15</f>
        <v>598</v>
      </c>
      <c r="F5" s="4955">
        <f>Master!CB15+Master!CC15+Master!CD15+Master!CE15+Master!CF15+Master!CG15+Master!CH15+Master!CI15+Master!CJ15+Master!CK15+Master!CL15+Master!CM15+Master!CN15+Master!CO15+Master!CP15+Master!CQ15+Master!DC15+Master!DN15+Master!DS15</f>
        <v>1300</v>
      </c>
      <c r="G5" s="4955">
        <f>Master!EN15+Master!EO15+Master!EP15+Master!EQ15+Master!ER15+Master!ES15+Master!ET15+Master!EU15+Master!EV15+Master!EW15+Master!EX15+Master!EY15+Master!EZ15+Master!FF15+Master!FG15+Master!FH15+Master!FI15+Master!FL15+Master!FM15+Master!FN15+Master!FP15+Master!FQ15+Master!FT15+Master!FV15+Master!GA15</f>
        <v>576</v>
      </c>
      <c r="H5" s="4955">
        <f>Master!FA15+Master!FB15+Master!FC15+Master!FD15+Master!FE15+Master!FS15+Master!FU15+Master!GC15</f>
        <v>233</v>
      </c>
      <c r="I5" s="4955">
        <f>Master!BD15+Master!BE15+Master!BF15+Master!BG15+Master!BH15+Master!BI15+Master!BJ15+Master!BK15+Master!BL15+Master!BM15+Master!BN15+Master!BO15+Master!BP15+Master!BQ15+Master!BR15+Master!BS15+Master!BT15+Master!BU15+Master!BV15+Master!BW15+Master!CR15+Master!DA15+Master!DB15+Master!DK15+Master!DL15+Master!DT15+Master!DV15</f>
        <v>1170</v>
      </c>
      <c r="J5" s="4955">
        <f>Master!AV15+Master!BX15+Master!BY15+Master!BZ15+Master!CA15+Master!CV15+Master!DD15+Master!DP15</f>
        <v>141</v>
      </c>
      <c r="K5" s="4955">
        <f t="shared" ref="K5:K29" si="0">SUM(B5:J5)</f>
        <v>5788</v>
      </c>
    </row>
    <row r="6" spans="1:18" ht="24" customHeight="1" thickBot="1">
      <c r="A6" s="4956">
        <v>0.125</v>
      </c>
      <c r="B6" s="4955">
        <f>Master!B16+Master!C16+Master!D16+Master!E16+Master!F16+Master!G16+Master!H16+Master!I16+Master!J16+Master!L16+Master!M16+Master!N16+Master!O16+Master!P16+Master!Q16+Master!R16+Master!S16+Master!T16+Master!U16+Master!V16+Master!W16+Master!X16+Master!Y16+Master!Z16+Master!AA16+Master!AB16+Master!AC16+Master!AD16+Master!AE16+Master!AF16+Master!AG16+Master!AH16+Master!AI16+Master!AJ16+Master!AK16+Master!CS16+Master!CT16+Master!CU16+Master!CW16+Master!CX16+Master!DE16+Master!DO16+Master!DQ16+Master!DU16+Master!DW16</f>
        <v>872</v>
      </c>
      <c r="C6" s="4955">
        <f>Master!AL16+Master!AM16+Master!AN16+Master!AO16+Master!AP16+Master!AQ16+Master!AR16+Master!AS16+Master!AT16+Master!AW16+Master!AX16+Master!AY16+Master!AZ16+Master!BA16+Master!BB16+Master!BC16+Master!CY16+Master!CZ16+Master!DF16+Master!DG16+Master!DH16+Master!DI16+Master!DJ16+Master!DM16+Master!DR16</f>
        <v>393</v>
      </c>
      <c r="D6" s="4955">
        <f>Master!DY16+Master!DZ16+Master!EA16+Master!EB16+Master!EC16+Master!ED16+Master!EE16+Master!EF16+Master!EG16+Master!EH16+Master!EI16+Master!EM16+Master!FK16+Master!FO16+Master!FR16+Master!GB16</f>
        <v>422</v>
      </c>
      <c r="E6" s="4955">
        <f>Master!FJ16+Master!FX16+Master!FY16+Master!FZ16+Master!EK16+Master!EL16+Master!EJ16+Master!FW16</f>
        <v>597</v>
      </c>
      <c r="F6" s="4955">
        <f>Master!CB16+Master!CC16+Master!CD16+Master!CE16+Master!CF16+Master!CG16+Master!CH16+Master!CI16+Master!CJ16+Master!CK16+Master!CL16+Master!CM16+Master!CN16+Master!CO16+Master!CP16+Master!CQ16+Master!DC16+Master!DN16+Master!DS16</f>
        <v>1325</v>
      </c>
      <c r="G6" s="4955">
        <f>Master!EN16+Master!EO16+Master!EP16+Master!EQ16+Master!ER16+Master!ES16+Master!ET16+Master!EU16+Master!EV16+Master!EW16+Master!EX16+Master!EY16+Master!EZ16+Master!FF16+Master!FG16+Master!FH16+Master!FI16+Master!FL16+Master!FM16+Master!FN16+Master!FP16+Master!FQ16+Master!FT16+Master!FV16+Master!GA16</f>
        <v>593</v>
      </c>
      <c r="H6" s="4955">
        <f>Master!FA16+Master!FB16+Master!FC16+Master!FD16+Master!FE16+Master!FS16+Master!FU16+Master!GC16</f>
        <v>199</v>
      </c>
      <c r="I6" s="4955">
        <f>Master!BD16+Master!BE16+Master!BF16+Master!BG16+Master!BH16+Master!BI16+Master!BJ16+Master!BK16+Master!BL16+Master!BM16+Master!BN16+Master!BO16+Master!BP16+Master!BQ16+Master!BR16+Master!BS16+Master!BT16+Master!BU16+Master!BV16+Master!BW16+Master!CR16+Master!DA16+Master!DB16+Master!DK16+Master!DL16+Master!DT16+Master!DV16</f>
        <v>1115</v>
      </c>
      <c r="J6" s="4955">
        <f>Master!AV16+Master!BX16+Master!BY16+Master!BZ16+Master!CA16+Master!CV16+Master!DD16+Master!DP16</f>
        <v>140</v>
      </c>
      <c r="K6" s="4955">
        <f t="shared" si="0"/>
        <v>5656</v>
      </c>
    </row>
    <row r="7" spans="1:18" ht="24" customHeight="1" thickBot="1">
      <c r="A7" s="4956">
        <v>0.16666666666666666</v>
      </c>
      <c r="B7" s="4955">
        <f>Master!B17+Master!C17+Master!D17+Master!E17+Master!F17+Master!G17+Master!H17+Master!I17+Master!J17+Master!L17+Master!M17+Master!N17+Master!O17+Master!P17+Master!Q17+Master!R17+Master!S17+Master!T17+Master!U17+Master!V17+Master!W17+Master!X17+Master!Y17+Master!Z17+Master!AA17+Master!AB17+Master!AC17+Master!AD17+Master!AE17+Master!AF17+Master!AG17+Master!AH17+Master!AI17+Master!AJ17+Master!AK17+Master!CS17+Master!CT17+Master!CU17+Master!CW17+Master!CX17+Master!DE17+Master!DO17+Master!DQ17+Master!DU17+Master!DW17</f>
        <v>886</v>
      </c>
      <c r="C7" s="4955">
        <f>Master!AL17+Master!AM17+Master!AN17+Master!AO17+Master!AP17+Master!AQ17+Master!AR17+Master!AS17+Master!AT17+Master!AW17+Master!AX17+Master!AY17+Master!AZ17+Master!BA17+Master!BB17+Master!BC17+Master!CY17+Master!CZ17+Master!DF17+Master!DG17+Master!DH17+Master!DI17+Master!DJ17+Master!DM17+Master!DR17</f>
        <v>340</v>
      </c>
      <c r="D7" s="4955">
        <f>Master!DY17+Master!DZ17+Master!EA17+Master!EB17+Master!EC17+Master!ED17+Master!EE17+Master!EF17+Master!EG17+Master!EH17+Master!EI17+Master!EM17+Master!FK17+Master!FO17+Master!FR17+Master!GB17</f>
        <v>423</v>
      </c>
      <c r="E7" s="4955">
        <f>Master!FJ17+Master!FX17+Master!FY17+Master!FZ17+Master!EK17+Master!EL17+Master!EJ17+Master!FW17</f>
        <v>567</v>
      </c>
      <c r="F7" s="4955">
        <f>Master!CB17+Master!CC17+Master!CD17+Master!CE17+Master!CF17+Master!CG17+Master!CH17+Master!CI17+Master!CJ17+Master!CK17+Master!CL17+Master!CM17+Master!CN17+Master!CO17+Master!CP17+Master!CQ17+Master!DC17+Master!DN17+Master!DS17</f>
        <v>1269</v>
      </c>
      <c r="G7" s="4955">
        <f>Master!EN17+Master!EO17+Master!EP17+Master!EQ17+Master!ER17+Master!ES17+Master!ET17+Master!EU17+Master!EV17+Master!EW17+Master!EX17+Master!EY17+Master!EZ17+Master!FF17+Master!FG17+Master!FH17+Master!FI17+Master!FL17+Master!FM17+Master!FN17+Master!FP17+Master!FQ17+Master!FT17+Master!FV17+Master!GA17</f>
        <v>601</v>
      </c>
      <c r="H7" s="4955">
        <f>Master!FA17+Master!FB17+Master!FC17+Master!FD17+Master!FE17+Master!FS17+Master!FU17+Master!GC17</f>
        <v>199</v>
      </c>
      <c r="I7" s="4955">
        <f>Master!BD17+Master!BE17+Master!BF17+Master!BG17+Master!BH17+Master!BI17+Master!BJ17+Master!BK17+Master!BL17+Master!BM17+Master!BN17+Master!BO17+Master!BP17+Master!BQ17+Master!BR17+Master!BS17+Master!BT17+Master!BU17+Master!BV17+Master!BW17+Master!CR17+Master!DA17+Master!DB17+Master!DK17+Master!DL17+Master!DT17+Master!DV17</f>
        <v>1084</v>
      </c>
      <c r="J7" s="4955">
        <f>Master!AV17+Master!BX17+Master!BY17+Master!BZ17+Master!CA17+Master!CV17+Master!DD17+Master!DP17</f>
        <v>141</v>
      </c>
      <c r="K7" s="4955">
        <f t="shared" si="0"/>
        <v>5510</v>
      </c>
    </row>
    <row r="8" spans="1:18" ht="24" customHeight="1" thickBot="1">
      <c r="A8" s="4954">
        <v>0.20833333333333334</v>
      </c>
      <c r="B8" s="4955">
        <f>Master!B18+Master!C18+Master!D18+Master!E18+Master!F18+Master!G18+Master!H18+Master!I18+Master!J18+Master!L18+Master!M18+Master!N18+Master!O18+Master!P18+Master!Q18+Master!R18+Master!S18+Master!T18+Master!U18+Master!V18+Master!W18+Master!X18+Master!Y18+Master!Z18+Master!AA18+Master!AB18+Master!AC18+Master!AD18+Master!AE18+Master!AF18+Master!AG18+Master!AH18+Master!AI18+Master!AJ18+Master!AK18+Master!CS18+Master!CT18+Master!CU18+Master!CW18+Master!CX18+Master!DE18+Master!DO18+Master!DQ18+Master!DU18+Master!DW18</f>
        <v>888</v>
      </c>
      <c r="C8" s="4955">
        <f>Master!AL18+Master!AM18+Master!AN18+Master!AO18+Master!AP18+Master!AQ18+Master!AR18+Master!AS18+Master!AT18+Master!AW18+Master!AX18+Master!AY18+Master!AZ18+Master!BA18+Master!BB18+Master!BC18+Master!CY18+Master!CZ18+Master!DF18+Master!DG18+Master!DH18+Master!DI18+Master!DJ18+Master!DM18+Master!DR18</f>
        <v>335</v>
      </c>
      <c r="D8" s="4955">
        <f>Master!DY18+Master!DZ18+Master!EA18+Master!EB18+Master!EC18+Master!ED18+Master!EE18+Master!EF18+Master!EG18+Master!EH18+Master!EI18+Master!EM18+Master!FK18+Master!FO18+Master!FR18+Master!GB18</f>
        <v>422</v>
      </c>
      <c r="E8" s="4955">
        <f>Master!FJ18+Master!FX18+Master!FY18+Master!FZ18+Master!EK18+Master!EL18+Master!EJ18+Master!FW18</f>
        <v>567</v>
      </c>
      <c r="F8" s="4955">
        <f>Master!CB18+Master!CC18+Master!CD18+Master!CE18+Master!CF18+Master!CG18+Master!CH18+Master!CI18+Master!CJ18+Master!CK18+Master!CL18+Master!CM18+Master!CN18+Master!CO18+Master!CP18+Master!CQ18+Master!DC18+Master!DN18+Master!DS18</f>
        <v>1245</v>
      </c>
      <c r="G8" s="4955">
        <f>Master!EN18+Master!EO18+Master!EP18+Master!EQ18+Master!ER18+Master!ES18+Master!ET18+Master!EU18+Master!EV18+Master!EW18+Master!EX18+Master!EY18+Master!EZ18+Master!FF18+Master!FG18+Master!FH18+Master!FI18+Master!FL18+Master!FM18+Master!FN18+Master!FP18+Master!FQ18+Master!FT18+Master!FV18+Master!GA18</f>
        <v>579</v>
      </c>
      <c r="H8" s="4955">
        <f>Master!FA18+Master!FB18+Master!FC18+Master!FD18+Master!FE18+Master!FS18+Master!FU18+Master!GC18</f>
        <v>199</v>
      </c>
      <c r="I8" s="4955">
        <f>Master!BD18+Master!BE18+Master!BF18+Master!BG18+Master!BH18+Master!BI18+Master!BJ18+Master!BK18+Master!BL18+Master!BM18+Master!BN18+Master!BO18+Master!BP18+Master!BQ18+Master!BR18+Master!BS18+Master!BT18+Master!BU18+Master!BV18+Master!BW18+Master!CR18+Master!DA18+Master!DB18+Master!DK18+Master!DL18+Master!DT18+Master!DV18</f>
        <v>1099</v>
      </c>
      <c r="J8" s="4955">
        <f>Master!AV18+Master!BX18+Master!BY18+Master!BZ18+Master!CA18+Master!CV18+Master!DD18+Master!DP18</f>
        <v>141</v>
      </c>
      <c r="K8" s="4955">
        <f t="shared" si="0"/>
        <v>5475</v>
      </c>
    </row>
    <row r="9" spans="1:18" ht="24" customHeight="1" thickBot="1">
      <c r="A9" s="4954">
        <v>0.25</v>
      </c>
      <c r="B9" s="4955">
        <f>Master!B19+Master!C19+Master!D19+Master!E19+Master!F19+Master!G19+Master!H19+Master!I19+Master!J19+Master!L19+Master!M19+Master!N19+Master!O19+Master!P19+Master!Q19+Master!R19+Master!S19+Master!T19+Master!U19+Master!V19+Master!W19+Master!X19+Master!Y19+Master!Z19+Master!AA19+Master!AB19+Master!AC19+Master!AD19+Master!AE19+Master!AF19+Master!AG19+Master!AH19+Master!AI19+Master!AJ19+Master!AK19+Master!CS19+Master!CT19+Master!CU19+Master!CW19+Master!CX19+Master!DE19+Master!DO19+Master!DQ19+Master!DU19+Master!DW19</f>
        <v>907</v>
      </c>
      <c r="C9" s="4955">
        <f>Master!AL19+Master!AM19+Master!AN19+Master!AO19+Master!AP19+Master!AQ19+Master!AR19+Master!AS19+Master!AT19+Master!AW19+Master!AX19+Master!AY19+Master!AZ19+Master!BA19+Master!BB19+Master!BC19+Master!CY19+Master!CZ19+Master!DF19+Master!DG19+Master!DH19+Master!DI19+Master!DJ19+Master!DM19+Master!DR19</f>
        <v>443</v>
      </c>
      <c r="D9" s="4955">
        <f>Master!DY19+Master!DZ19+Master!EA19+Master!EB19+Master!EC19+Master!ED19+Master!EE19+Master!EF19+Master!EG19+Master!EH19+Master!EI19+Master!EM19+Master!FK19+Master!FO19+Master!FR19+Master!GB19</f>
        <v>423</v>
      </c>
      <c r="E9" s="4955">
        <f>Master!FJ19+Master!FX19+Master!FY19+Master!FZ19+Master!EK19+Master!EL19+Master!EJ19+Master!FW19</f>
        <v>569</v>
      </c>
      <c r="F9" s="4955">
        <f>Master!CB19+Master!CC19+Master!CD19+Master!CE19+Master!CF19+Master!CG19+Master!CH19+Master!CI19+Master!CJ19+Master!CK19+Master!CL19+Master!CM19+Master!CN19+Master!CO19+Master!CP19+Master!CQ19+Master!DC19+Master!DN19+Master!DS19</f>
        <v>1250</v>
      </c>
      <c r="G9" s="4955">
        <f>Master!EN19+Master!EO19+Master!EP19+Master!EQ19+Master!ER19+Master!ES19+Master!ET19+Master!EU19+Master!EV19+Master!EW19+Master!EX19+Master!EY19+Master!EZ19+Master!FF19+Master!FG19+Master!FH19+Master!FI19+Master!FL19+Master!FM19+Master!FN19+Master!FP19+Master!FQ19+Master!FT19+Master!FV19+Master!GA19</f>
        <v>630</v>
      </c>
      <c r="H9" s="4955">
        <f>Master!FA19+Master!FB19+Master!FC19+Master!FD19+Master!FE19+Master!FS19+Master!FU19+Master!GC19</f>
        <v>233</v>
      </c>
      <c r="I9" s="4955">
        <f>Master!BD19+Master!BE19+Master!BF19+Master!BG19+Master!BH19+Master!BI19+Master!BJ19+Master!BK19+Master!BL19+Master!BM19+Master!BN19+Master!BO19+Master!BP19+Master!BQ19+Master!BR19+Master!BS19+Master!BT19+Master!BU19+Master!BV19+Master!BW19+Master!CR19+Master!DA19+Master!DB19+Master!DK19+Master!DL19+Master!DT19+Master!DV19</f>
        <v>1166</v>
      </c>
      <c r="J9" s="4955">
        <f>Master!AV19+Master!BX19+Master!BY19+Master!BZ19+Master!CA19+Master!CV19+Master!DD19+Master!DP19</f>
        <v>141</v>
      </c>
      <c r="K9" s="4955">
        <f t="shared" si="0"/>
        <v>5762</v>
      </c>
    </row>
    <row r="10" spans="1:18" ht="24" customHeight="1" thickBot="1">
      <c r="A10" s="4954">
        <v>0.29166666666666669</v>
      </c>
      <c r="B10" s="4955">
        <f>Master!B20+Master!C20+Master!D20+Master!E20+Master!F20+Master!G20+Master!H20+Master!I20+Master!J20+Master!L20+Master!M20+Master!N20+Master!O20+Master!P20+Master!Q20+Master!R20+Master!S20+Master!T20+Master!U20+Master!V20+Master!W20+Master!X20+Master!Y20+Master!Z20+Master!AA20+Master!AB20+Master!AC20+Master!AD20+Master!AE20+Master!AF20+Master!AG20+Master!AH20+Master!AI20+Master!AJ20+Master!AK20+Master!CS20+Master!CT20+Master!CU20+Master!CW20+Master!CX20+Master!DE20+Master!DO20+Master!DQ20+Master!DU20+Master!DW20</f>
        <v>1018</v>
      </c>
      <c r="C10" s="4955">
        <f>Master!AL20+Master!AM20+Master!AN20+Master!AO20+Master!AP20+Master!AQ20+Master!AR20+Master!AS20+Master!AT20+Master!AW20+Master!AX20+Master!AY20+Master!AZ20+Master!BA20+Master!BB20+Master!BC20+Master!CY20+Master!CZ20+Master!DF20+Master!DG20+Master!DH20+Master!DI20+Master!DJ20+Master!DM20+Master!DR20</f>
        <v>517</v>
      </c>
      <c r="D10" s="4955">
        <f>Master!DY20+Master!DZ20+Master!EA20+Master!EB20+Master!EC20+Master!ED20+Master!EE20+Master!EF20+Master!EG20+Master!EH20+Master!EI20+Master!EM20+Master!FK20+Master!FO20+Master!FR20+Master!GB20</f>
        <v>468</v>
      </c>
      <c r="E10" s="4955">
        <f>Master!FJ20+Master!FX20+Master!FY20+Master!FZ20+Master!EK20+Master!EL20+Master!EJ20+Master!FW20</f>
        <v>567</v>
      </c>
      <c r="F10" s="4955">
        <f>Master!CB20+Master!CC20+Master!CD20+Master!CE20+Master!CF20+Master!CG20+Master!CH20+Master!CI20+Master!CJ20+Master!CK20+Master!CL20+Master!CM20+Master!CN20+Master!CO20+Master!CP20+Master!CQ20+Master!DC20+Master!DN20+Master!DS20</f>
        <v>1283</v>
      </c>
      <c r="G10" s="4955">
        <f>Master!EN20+Master!EO20+Master!EP20+Master!EQ20+Master!ER20+Master!ES20+Master!ET20+Master!EU20+Master!EV20+Master!EW20+Master!EX20+Master!EY20+Master!EZ20+Master!FF20+Master!FG20+Master!FH20+Master!FI20+Master!FL20+Master!FM20+Master!FN20+Master!FP20+Master!FQ20+Master!FT20+Master!FV20+Master!GA20</f>
        <v>693</v>
      </c>
      <c r="H10" s="4955">
        <f>Master!FA20+Master!FB20+Master!FC20+Master!FD20+Master!FE20+Master!FS20+Master!FU20+Master!GC20</f>
        <v>274</v>
      </c>
      <c r="I10" s="4955">
        <f>Master!BD20+Master!BE20+Master!BF20+Master!BG20+Master!BH20+Master!BI20+Master!BJ20+Master!BK20+Master!BL20+Master!BM20+Master!BN20+Master!BO20+Master!BP20+Master!BQ20+Master!BR20+Master!BS20+Master!BT20+Master!BU20+Master!BV20+Master!BW20+Master!CR20+Master!DA20+Master!DB20+Master!DK20+Master!DL20+Master!DT20+Master!DV20</f>
        <v>1292</v>
      </c>
      <c r="J10" s="4955">
        <f>Master!AV20+Master!BX20+Master!BY20+Master!BZ20+Master!CA20+Master!CV20+Master!DD20+Master!DP20</f>
        <v>154</v>
      </c>
      <c r="K10" s="4955">
        <f t="shared" si="0"/>
        <v>6266</v>
      </c>
    </row>
    <row r="11" spans="1:18" ht="24" customHeight="1" thickBot="1">
      <c r="A11" s="4952">
        <v>0.33333333333333331</v>
      </c>
      <c r="B11" s="4953">
        <f>Master!B21+Master!C21+Master!D21+Master!E21+Master!F21+Master!G21+Master!H21+Master!I21+Master!J21+Master!L21+Master!M21+Master!N21+Master!O21+Master!P21+Master!Q21+Master!R21+Master!S21+Master!T21+Master!U21+Master!V21+Master!W21+Master!X21+Master!Y21+Master!Z21+Master!AA21+Master!AB21+Master!AC21+Master!AD21+Master!AE21+Master!AF21+Master!AG21+Master!AH21+Master!AI21+Master!AJ21+Master!AK21+Master!CS21+Master!CT21+Master!CU21+Master!CW21+Master!CX21+Master!DE21+Master!DO21+Master!DQ21+Master!DU21+Master!DW21</f>
        <v>1279</v>
      </c>
      <c r="C11" s="4953">
        <f>Master!AL21+Master!AM21+Master!AN21+Master!AO21+Master!AP21+Master!AQ21+Master!AR21+Master!AS21+Master!AT21+Master!AW21+Master!AX21+Master!AY21+Master!AZ21+Master!BA21+Master!BB21+Master!BC21+Master!CY21+Master!CZ21+Master!DF21+Master!DG21+Master!DH21+Master!DI21+Master!DJ21+Master!DM21+Master!DR21</f>
        <v>524</v>
      </c>
      <c r="D11" s="4953">
        <f>Master!DY21+Master!DZ21+Master!EA21+Master!EB21+Master!EC21+Master!ED21+Master!EE21+Master!EF21+Master!EG21+Master!EH21+Master!EI21+Master!EM21+Master!FK21+Master!FO21+Master!FR21+Master!GB21</f>
        <v>673</v>
      </c>
      <c r="E11" s="4953">
        <f>Master!FJ21+Master!FX21+Master!FY21+Master!FZ21+Master!EK21+Master!EL21+Master!EJ21+Master!FW21</f>
        <v>567</v>
      </c>
      <c r="F11" s="4953">
        <f>Master!CB21+Master!CC21+Master!CD21+Master!CE21+Master!CF21+Master!CG21+Master!CH21+Master!CI21+Master!CJ21+Master!CK21+Master!CL21+Master!CM21+Master!CN21+Master!CO21+Master!CP21+Master!CQ21+Master!DC21+Master!DN21+Master!DS21</f>
        <v>1254</v>
      </c>
      <c r="G11" s="4953">
        <f>Master!EN21+Master!EO21+Master!EP21+Master!EQ21+Master!ER21+Master!ES21+Master!ET21+Master!EU21+Master!EV21+Master!EW21+Master!EX21+Master!EY21+Master!EZ21+Master!FF21+Master!FG21+Master!FH21+Master!FI21+Master!FL21+Master!FM21+Master!FN21+Master!FP21+Master!FQ21+Master!FT21+Master!FV21+Master!GA21</f>
        <v>705</v>
      </c>
      <c r="H11" s="4953">
        <f>Master!FA21+Master!FB21+Master!FC21+Master!FD21+Master!FE21+Master!FS21+Master!FU21+Master!GC21</f>
        <v>311</v>
      </c>
      <c r="I11" s="4953">
        <f>Master!BD21+Master!BE21+Master!BF21+Master!BG21+Master!BH21+Master!BI21+Master!BJ21+Master!BK21+Master!BL21+Master!BM21+Master!BN21+Master!BO21+Master!BP21+Master!BQ21+Master!BR21+Master!BS21+Master!BT21+Master!BU21+Master!BV21+Master!BW21+Master!CR21+Master!DA21+Master!DB21+Master!DK21+Master!DL21+Master!DT21+Master!DV21</f>
        <v>1297</v>
      </c>
      <c r="J11" s="4953">
        <f>Master!AV21+Master!BX21+Master!BY21+Master!BZ21+Master!CA21+Master!CV21+Master!DD21+Master!DP21</f>
        <v>202</v>
      </c>
      <c r="K11" s="4953">
        <f t="shared" si="0"/>
        <v>6812</v>
      </c>
    </row>
    <row r="12" spans="1:18" ht="24" customHeight="1" thickBot="1">
      <c r="A12" s="4952">
        <v>0.375</v>
      </c>
      <c r="B12" s="4953">
        <f>Master!B22+Master!C22+Master!D22+Master!E22+Master!F22+Master!G22+Master!H22+Master!I22+Master!J22+Master!L22+Master!M22+Master!N22+Master!O22+Master!P22+Master!Q22+Master!R22+Master!S22+Master!T22+Master!U22+Master!V22+Master!W22+Master!X22+Master!Y22+Master!Z22+Master!AA22+Master!AB22+Master!AC22+Master!AD22+Master!AE22+Master!AF22+Master!AG22+Master!AH22+Master!AI22+Master!AJ22+Master!AK22+Master!CS22+Master!CT22+Master!CU22+Master!CW22+Master!CX22+Master!DE22+Master!DO22+Master!DQ22+Master!DU22+Master!DW22</f>
        <v>1499</v>
      </c>
      <c r="C12" s="4953">
        <f>Master!AL22+Master!AM22+Master!AN22+Master!AO22+Master!AP22+Master!AQ22+Master!AR22+Master!AS22+Master!AT22+Master!AW22+Master!AX22+Master!AY22+Master!AZ22+Master!BA22+Master!BB22+Master!BC22+Master!CY22+Master!CZ22+Master!DF22+Master!DG22+Master!DH22+Master!DI22+Master!DJ22+Master!DM22+Master!DR22</f>
        <v>510</v>
      </c>
      <c r="D12" s="4953">
        <f>Master!DY22+Master!DZ22+Master!EA22+Master!EB22+Master!EC22+Master!ED22+Master!EE22+Master!EF22+Master!EG22+Master!EH22+Master!EI22+Master!EM22+Master!FK22+Master!FO22+Master!FR22+Master!GB22</f>
        <v>731</v>
      </c>
      <c r="E12" s="4953">
        <f>Master!FJ22+Master!FX22+Master!FY22+Master!FZ22+Master!EK22+Master!EL22+Master!EJ22+Master!FW22</f>
        <v>481</v>
      </c>
      <c r="F12" s="4953">
        <f>Master!CB22+Master!CC22+Master!CD22+Master!CE22+Master!CF22+Master!CG22+Master!CH22+Master!CI22+Master!CJ22+Master!CK22+Master!CL22+Master!CM22+Master!CN22+Master!CO22+Master!CP22+Master!CQ22+Master!DC22+Master!DN22+Master!DS22</f>
        <v>1178</v>
      </c>
      <c r="G12" s="4953">
        <f>Master!EN22+Master!EO22+Master!EP22+Master!EQ22+Master!ER22+Master!ES22+Master!ET22+Master!EU22+Master!EV22+Master!EW22+Master!EX22+Master!EY22+Master!EZ22+Master!FF22+Master!FG22+Master!FH22+Master!FI22+Master!FL22+Master!FM22+Master!FN22+Master!FP22+Master!FQ22+Master!FT22+Master!FV22+Master!GA22</f>
        <v>679</v>
      </c>
      <c r="H12" s="4953">
        <f>Master!FA22+Master!FB22+Master!FC22+Master!FD22+Master!FE22+Master!FS22+Master!FU22+Master!GC22</f>
        <v>313</v>
      </c>
      <c r="I12" s="4953">
        <f>Master!BD22+Master!BE22+Master!BF22+Master!BG22+Master!BH22+Master!BI22+Master!BJ22+Master!BK22+Master!BL22+Master!BM22+Master!BN22+Master!BO22+Master!BP22+Master!BQ22+Master!BR22+Master!BS22+Master!BT22+Master!BU22+Master!BV22+Master!BW22+Master!CR22+Master!DA22+Master!DB22+Master!DK22+Master!DL22+Master!DT22+Master!DV22</f>
        <v>1204</v>
      </c>
      <c r="J12" s="4953">
        <f>Master!AV22+Master!BX22+Master!BY22+Master!BZ22+Master!CA22+Master!CV22+Master!DD22+Master!DP22</f>
        <v>248</v>
      </c>
      <c r="K12" s="4953">
        <f t="shared" si="0"/>
        <v>6843</v>
      </c>
    </row>
    <row r="13" spans="1:18" ht="24" customHeight="1" thickBot="1">
      <c r="A13" s="4952">
        <v>0.41666666666666669</v>
      </c>
      <c r="B13" s="4953">
        <f>Master!B23+Master!C23+Master!D23+Master!E23+Master!F23+Master!G23+Master!H23+Master!I23+Master!J23+Master!L23+Master!M23+Master!N23+Master!O23+Master!P23+Master!Q23+Master!R23+Master!S23+Master!T23+Master!U23+Master!V23+Master!W23+Master!X23+Master!Y23+Master!Z23+Master!AA23+Master!AB23+Master!AC23+Master!AD23+Master!AE23+Master!AF23+Master!AG23+Master!AH23+Master!AI23+Master!AJ23+Master!AK23+Master!CS23+Master!CT23+Master!CU23+Master!CW23+Master!CX23+Master!DE23+Master!DO23+Master!DQ23+Master!DU23+Master!DW23</f>
        <v>1445</v>
      </c>
      <c r="C13" s="4953">
        <f>Master!AL23+Master!AM23+Master!AN23+Master!AO23+Master!AP23+Master!AQ23+Master!AR23+Master!AS23+Master!AT23+Master!AW23+Master!AX23+Master!AY23+Master!AZ23+Master!BA23+Master!BB23+Master!BC23+Master!CY23+Master!CZ23+Master!DF23+Master!DG23+Master!DH23+Master!DI23+Master!DJ23+Master!DM23+Master!DR23</f>
        <v>464</v>
      </c>
      <c r="D13" s="4953">
        <f>Master!DY23+Master!DZ23+Master!EA23+Master!EB23+Master!EC23+Master!ED23+Master!EE23+Master!EF23+Master!EG23+Master!EH23+Master!EI23+Master!EM23+Master!FK23+Master!FO23+Master!FR23+Master!GB23</f>
        <v>730</v>
      </c>
      <c r="E13" s="4953">
        <f>Master!FJ23+Master!FX23+Master!FY23+Master!FZ23+Master!EK23+Master!EL23+Master!EJ23+Master!FW23</f>
        <v>481</v>
      </c>
      <c r="F13" s="4953">
        <f>Master!CB23+Master!CC23+Master!CD23+Master!CE23+Master!CF23+Master!CG23+Master!CH23+Master!CI23+Master!CJ23+Master!CK23+Master!CL23+Master!CM23+Master!CN23+Master!CO23+Master!CP23+Master!CQ23+Master!DC23+Master!DN23+Master!DS23</f>
        <v>1181</v>
      </c>
      <c r="G13" s="4953">
        <f>Master!EN23+Master!EO23+Master!EP23+Master!EQ23+Master!ER23+Master!ES23+Master!ET23+Master!EU23+Master!EV23+Master!EW23+Master!EX23+Master!EY23+Master!EZ23+Master!FF23+Master!FG23+Master!FH23+Master!FI23+Master!FL23+Master!FM23+Master!FN23+Master!FP23+Master!FQ23+Master!FT23+Master!FV23+Master!GA23</f>
        <v>609</v>
      </c>
      <c r="H13" s="4953">
        <f>Master!FA23+Master!FB23+Master!FC23+Master!FD23+Master!FE23+Master!FS23+Master!FU23+Master!GC23</f>
        <v>283</v>
      </c>
      <c r="I13" s="4953">
        <f>Master!BD23+Master!BE23+Master!BF23+Master!BG23+Master!BH23+Master!BI23+Master!BJ23+Master!BK23+Master!BL23+Master!BM23+Master!BN23+Master!BO23+Master!BP23+Master!BQ23+Master!BR23+Master!BS23+Master!BT23+Master!BU23+Master!BV23+Master!BW23+Master!CR23+Master!DA23+Master!DB23+Master!DK23+Master!DL23+Master!DT23+Master!DV23</f>
        <v>1215</v>
      </c>
      <c r="J13" s="4953">
        <f>Master!AV23+Master!BX23+Master!BY23+Master!BZ23+Master!CA23+Master!CV23+Master!DD23+Master!DP23</f>
        <v>259</v>
      </c>
      <c r="K13" s="4953">
        <f t="shared" si="0"/>
        <v>6667</v>
      </c>
    </row>
    <row r="14" spans="1:18" ht="24" customHeight="1" thickBot="1">
      <c r="A14" s="4952">
        <v>0.45833333333333331</v>
      </c>
      <c r="B14" s="4953">
        <f>Master!B24+Master!C24+Master!D24+Master!E24+Master!F24+Master!G24+Master!H24+Master!I24+Master!J24+Master!L24+Master!M24+Master!N24+Master!O24+Master!P24+Master!Q24+Master!R24+Master!S24+Master!T24+Master!U24+Master!V24+Master!W24+Master!X24+Master!Y24+Master!Z24+Master!AA24+Master!AB24+Master!AC24+Master!AD24+Master!AE24+Master!AF24+Master!AG24+Master!AH24+Master!AI24+Master!AJ24+Master!AK24+Master!CS24+Master!CT24+Master!CU24+Master!CW24+Master!CX24+Master!DE24+Master!DO24+Master!DQ24+Master!DU24+Master!DW24</f>
        <v>1469</v>
      </c>
      <c r="C14" s="4953">
        <f>Master!AL24+Master!AM24+Master!AN24+Master!AO24+Master!AP24+Master!AQ24+Master!AR24+Master!AS24+Master!AT24+Master!AW24+Master!AX24+Master!AY24+Master!AZ24+Master!BA24+Master!BB24+Master!BC24+Master!CY24+Master!CZ24+Master!DF24+Master!DG24+Master!DH24+Master!DI24+Master!DJ24+Master!DM24+Master!DR24</f>
        <v>572</v>
      </c>
      <c r="D14" s="4953">
        <f>Master!DY24+Master!DZ24+Master!EA24+Master!EB24+Master!EC24+Master!ED24+Master!EE24+Master!EF24+Master!EG24+Master!EH24+Master!EI24+Master!EM24+Master!FK24+Master!FO24+Master!FR24+Master!GB24</f>
        <v>740</v>
      </c>
      <c r="E14" s="4953">
        <f>Master!FJ24+Master!FX24+Master!FY24+Master!FZ24+Master!EK24+Master!EL24+Master!EJ24+Master!FW24</f>
        <v>481</v>
      </c>
      <c r="F14" s="4953">
        <f>Master!CB24+Master!CC24+Master!CD24+Master!CE24+Master!CF24+Master!CG24+Master!CH24+Master!CI24+Master!CJ24+Master!CK24+Master!CL24+Master!CM24+Master!CN24+Master!CO24+Master!CP24+Master!CQ24+Master!DC24+Master!DN24+Master!DS24</f>
        <v>1314</v>
      </c>
      <c r="G14" s="4953">
        <f>Master!EN24+Master!EO24+Master!EP24+Master!EQ24+Master!ER24+Master!ES24+Master!ET24+Master!EU24+Master!EV24+Master!EW24+Master!EX24+Master!EY24+Master!EZ24+Master!FF24+Master!FG24+Master!FH24+Master!FI24+Master!FL24+Master!FM24+Master!FN24+Master!FP24+Master!FQ24+Master!FT24+Master!FV24+Master!GA24</f>
        <v>627</v>
      </c>
      <c r="H14" s="4953">
        <f>Master!FA24+Master!FB24+Master!FC24+Master!FD24+Master!FE24+Master!FS24+Master!FU24+Master!GC24</f>
        <v>282</v>
      </c>
      <c r="I14" s="4953">
        <f>Master!BD24+Master!BE24+Master!BF24+Master!BG24+Master!BH24+Master!BI24+Master!BJ24+Master!BK24+Master!BL24+Master!BM24+Master!BN24+Master!BO24+Master!BP24+Master!BQ24+Master!BR24+Master!BS24+Master!BT24+Master!BU24+Master!BV24+Master!BW24+Master!CR24+Master!DA24+Master!DB24+Master!DK24+Master!DL24+Master!DT24+Master!DV24</f>
        <v>1229</v>
      </c>
      <c r="J14" s="4953">
        <f>Master!AV24+Master!BX24+Master!BY24+Master!BZ24+Master!CA24+Master!CV24+Master!DD24+Master!DP24</f>
        <v>273</v>
      </c>
      <c r="K14" s="4953">
        <f t="shared" si="0"/>
        <v>6987</v>
      </c>
    </row>
    <row r="15" spans="1:18" ht="24" customHeight="1" thickBot="1">
      <c r="A15" s="4952">
        <v>0.5</v>
      </c>
      <c r="B15" s="4953">
        <f>Master!B25+Master!C25+Master!D25+Master!E25+Master!F25+Master!G25+Master!H25+Master!I25+Master!J25+Master!L25+Master!M25+Master!N25+Master!O25+Master!P25+Master!Q25+Master!R25+Master!S25+Master!T25+Master!U25+Master!V25+Master!W25+Master!X25+Master!Y25+Master!Z25+Master!AA25+Master!AB25+Master!AC25+Master!AD25+Master!AE25+Master!AF25+Master!AG25+Master!AH25+Master!AI25+Master!AJ25+Master!AK25+Master!CS25+Master!CT25+Master!CU25+Master!CW25+Master!CX25+Master!DE25+Master!DO25+Master!DQ25+Master!DU25+Master!DW25</f>
        <v>0</v>
      </c>
      <c r="C15" s="4953">
        <f>Master!AL25+Master!AM25+Master!AN25+Master!AO25+Master!AP25+Master!AQ25+Master!AR25+Master!AS25+Master!AT25+Master!AW25+Master!AX25+Master!AY25+Master!AZ25+Master!BA25+Master!BB25+Master!BC25+Master!CY25+Master!CZ25+Master!DF25+Master!DG25+Master!DH25+Master!DI25+Master!DJ25+Master!DM25+Master!DR25</f>
        <v>0</v>
      </c>
      <c r="D15" s="4953">
        <f>Master!DY25+Master!DZ25+Master!EA25+Master!EB25+Master!EC25+Master!ED25+Master!EE25+Master!EF25+Master!EG25+Master!EH25+Master!EI25+Master!EM25+Master!FK25+Master!FO25+Master!FR25+Master!GB25</f>
        <v>0</v>
      </c>
      <c r="E15" s="4953">
        <f>Master!FJ25+Master!FX25+Master!FY25+Master!FZ25+Master!EK25+Master!EL25+Master!EJ25+Master!FW25</f>
        <v>0</v>
      </c>
      <c r="F15" s="4953">
        <f>Master!CB25+Master!CC25+Master!CD25+Master!CE25+Master!CF25+Master!CG25+Master!CH25+Master!CI25+Master!CJ25+Master!CK25+Master!CL25+Master!CM25+Master!CN25+Master!CO25+Master!CP25+Master!CQ25+Master!DC25+Master!DN25+Master!DS25</f>
        <v>0</v>
      </c>
      <c r="G15" s="4953">
        <f>Master!EN25+Master!EO25+Master!EP25+Master!EQ25+Master!ER25+Master!ES25+Master!ET25+Master!EU25+Master!EV25+Master!EW25+Master!EX25+Master!EY25+Master!EZ25+Master!FF25+Master!FG25+Master!FH25+Master!FI25+Master!FL25+Master!FM25+Master!FN25+Master!FP25+Master!FQ25+Master!FT25+Master!FV25+Master!GA25</f>
        <v>0</v>
      </c>
      <c r="H15" s="4953">
        <f>Master!FA25+Master!FB25+Master!FC25+Master!FD25+Master!FE25+Master!FS25+Master!FU25+Master!GC25</f>
        <v>0</v>
      </c>
      <c r="I15" s="4953">
        <f>Master!BD25+Master!BE25+Master!BF25+Master!BG25+Master!BH25+Master!BI25+Master!BJ25+Master!BK25+Master!BL25+Master!BM25+Master!BN25+Master!BO25+Master!BP25+Master!BQ25+Master!BR25+Master!BS25+Master!BT25+Master!BU25+Master!BV25+Master!BW25+Master!CR25+Master!DA25+Master!DB25+Master!DK25+Master!DL25+Master!DT25+Master!DV25</f>
        <v>0</v>
      </c>
      <c r="J15" s="4953">
        <f>Master!AV25+Master!BX25+Master!BY25+Master!BZ25+Master!CA25+Master!CV25+Master!DD25+Master!DP25</f>
        <v>0</v>
      </c>
      <c r="K15" s="4953">
        <f t="shared" si="0"/>
        <v>0</v>
      </c>
      <c r="O15" s="4946"/>
      <c r="P15" s="4946"/>
      <c r="Q15" s="4946"/>
      <c r="R15" s="4946"/>
    </row>
    <row r="16" spans="1:18" ht="24" customHeight="1" thickBot="1">
      <c r="A16" s="4952">
        <v>0.54166666666666663</v>
      </c>
      <c r="B16" s="4953">
        <f>Master!B26+Master!C26+Master!D26+Master!E26+Master!F26+Master!G26+Master!H26+Master!I26+Master!J26+Master!L26+Master!M26+Master!N26+Master!O26+Master!P26+Master!Q26+Master!R26+Master!S26+Master!T26+Master!U26+Master!V26+Master!W26+Master!X26+Master!Y26+Master!Z26+Master!AA26+Master!AB26+Master!AC26+Master!AD26+Master!AE26+Master!AF26+Master!AG26+Master!AH26+Master!AI26+Master!AJ26+Master!AK26+Master!CS26+Master!CT26+Master!CU26+Master!CW26+Master!CX26+Master!DE26+Master!DO26+Master!DQ26+Master!DU26+Master!DW26</f>
        <v>0</v>
      </c>
      <c r="C16" s="4953">
        <f>Master!AL26+Master!AM26+Master!AN26+Master!AO26+Master!AP26+Master!AQ26+Master!AR26+Master!AS26+Master!AT26+Master!AW26+Master!AX26+Master!AY26+Master!AZ26+Master!BA26+Master!BB26+Master!BC26+Master!CY26+Master!CZ26+Master!DF26+Master!DG26+Master!DH26+Master!DI26+Master!DJ26+Master!DM26+Master!DR26</f>
        <v>0</v>
      </c>
      <c r="D16" s="4953">
        <f>Master!DY26+Master!DZ26+Master!EA26+Master!EB26+Master!EC26+Master!ED26+Master!EE26+Master!EF26+Master!EG26+Master!EH26+Master!EI26+Master!EM26+Master!FK26+Master!FO26+Master!FR26+Master!GB26</f>
        <v>0</v>
      </c>
      <c r="E16" s="4953">
        <f>Master!FJ26+Master!FX26+Master!FY26+Master!FZ26+Master!EK26+Master!EL26+Master!EJ26+Master!FW26</f>
        <v>0</v>
      </c>
      <c r="F16" s="4953">
        <f>Master!CB26+Master!CC26+Master!CD26+Master!CE26+Master!CF26+Master!CG26+Master!CH26+Master!CI26+Master!CJ26+Master!CK26+Master!CL26+Master!CM26+Master!CN26+Master!CO26+Master!CP26+Master!CQ26+Master!DC26+Master!DN26+Master!DS26</f>
        <v>0</v>
      </c>
      <c r="G16" s="4953">
        <f>Master!EN26+Master!EO26+Master!EP26+Master!EQ26+Master!ER26+Master!ES26+Master!ET26+Master!EU26+Master!EV26+Master!EW26+Master!EX26+Master!EY26+Master!EZ26+Master!FF26+Master!FG26+Master!FH26+Master!FI26+Master!FL26+Master!FM26+Master!FN26+Master!FP26+Master!FQ26+Master!FT26+Master!FV26+Master!GA26</f>
        <v>0</v>
      </c>
      <c r="H16" s="4953">
        <f>Master!FA26+Master!FB26+Master!FC26+Master!FD26+Master!FE26+Master!FS26+Master!FU26+Master!GC26</f>
        <v>0</v>
      </c>
      <c r="I16" s="4953">
        <f>Master!BD26+Master!BE26+Master!BF26+Master!BG26+Master!BH26+Master!BI26+Master!BJ26+Master!BK26+Master!BL26+Master!BM26+Master!BN26+Master!BO26+Master!BP26+Master!BQ26+Master!BR26+Master!BS26+Master!BT26+Master!BU26+Master!BV26+Master!BW26+Master!CR26+Master!DA26+Master!DB26+Master!DK26+Master!DL26+Master!DT26+Master!DV26</f>
        <v>0</v>
      </c>
      <c r="J16" s="4953">
        <f>Master!AV26+Master!BX26+Master!BY26+Master!BZ26+Master!CA26+Master!CV26+Master!DD26+Master!DP26</f>
        <v>0</v>
      </c>
      <c r="K16" s="4953">
        <f t="shared" si="0"/>
        <v>0</v>
      </c>
    </row>
    <row r="17" spans="1:17" ht="24" customHeight="1" thickBot="1">
      <c r="A17" s="4954">
        <v>0.58333333333333337</v>
      </c>
      <c r="B17" s="4955">
        <f>Master!B27+Master!C27+Master!D27+Master!E27+Master!F27+Master!G27+Master!H27+Master!I27+Master!J27+Master!L27+Master!M27+Master!N27+Master!O27+Master!P27+Master!Q27+Master!R27+Master!S27+Master!T27+Master!U27+Master!V27+Master!W27+Master!X27+Master!Y27+Master!Z27+Master!AA27+Master!AB27+Master!AC27+Master!AD27+Master!AE27+Master!AF27+Master!AG27+Master!AH27+Master!AI27+Master!AJ27+Master!AK27+Master!CS27+Master!CT27+Master!CU27+Master!CW27+Master!CX27+Master!DE27+Master!DO27+Master!DQ27+Master!DU27+Master!DW27</f>
        <v>0</v>
      </c>
      <c r="C17" s="4955">
        <f>Master!AL27+Master!AM27+Master!AN27+Master!AO27+Master!AP27+Master!AQ27+Master!AR27+Master!AS27+Master!AT27+Master!AW27+Master!AX27+Master!AY27+Master!AZ27+Master!BA27+Master!BB27+Master!BC27+Master!CY27+Master!CZ27+Master!DF27+Master!DG27+Master!DH27+Master!DI27+Master!DJ27+Master!DM27+Master!DR27</f>
        <v>0</v>
      </c>
      <c r="D17" s="4955">
        <f>Master!DY27+Master!DZ27+Master!EA27+Master!EB27+Master!EC27+Master!ED27+Master!EE27+Master!EF27+Master!EG27+Master!EH27+Master!EI27+Master!EM27+Master!FK27+Master!FO27+Master!FR27+Master!GB27</f>
        <v>0</v>
      </c>
      <c r="E17" s="4955">
        <f>Master!FJ27+Master!FX27+Master!FY27+Master!FZ27+Master!EK27+Master!EL27+Master!EJ27+Master!FW27</f>
        <v>0</v>
      </c>
      <c r="F17" s="4955">
        <f>Master!CB27+Master!CC27+Master!CD27+Master!CE27+Master!CF27+Master!CG27+Master!CH27+Master!CI27+Master!CJ27+Master!CK27+Master!CL27+Master!CM27+Master!CN27+Master!CO27+Master!CP27+Master!CQ27+Master!DC27+Master!DN27+Master!DS27</f>
        <v>0</v>
      </c>
      <c r="G17" s="4955">
        <f>Master!EN27+Master!EO27+Master!EP27+Master!EQ27+Master!ER27+Master!ES27+Master!ET27+Master!EU27+Master!EV27+Master!EW27+Master!EX27+Master!EY27+Master!EZ27+Master!FF27+Master!FG27+Master!FH27+Master!FI27+Master!FL27+Master!FM27+Master!FN27+Master!FP27+Master!FQ27+Master!FT27+Master!FV27+Master!GA27</f>
        <v>0</v>
      </c>
      <c r="H17" s="4955">
        <f>Master!FA27+Master!FB27+Master!FC27+Master!FD27+Master!FE27+Master!FS27+Master!FU27+Master!GC27</f>
        <v>0</v>
      </c>
      <c r="I17" s="4955">
        <f>Master!BD27+Master!BE27+Master!BF27+Master!BG27+Master!BH27+Master!BI27+Master!BJ27+Master!BK27+Master!BL27+Master!BM27+Master!BN27+Master!BO27+Master!BP27+Master!BQ27+Master!BR27+Master!BS27+Master!BT27+Master!BU27+Master!BV27+Master!BW27+Master!CR27+Master!DA27+Master!DB27+Master!DK27+Master!DL27+Master!DT27+Master!DV27</f>
        <v>0</v>
      </c>
      <c r="J17" s="4955">
        <f>Master!AV27+Master!BX27+Master!BY27+Master!BZ27+Master!CA27+Master!CV27+Master!DD27+Master!DP27</f>
        <v>0</v>
      </c>
      <c r="K17" s="4955">
        <f t="shared" si="0"/>
        <v>0</v>
      </c>
    </row>
    <row r="18" spans="1:17" ht="24" customHeight="1" thickBot="1">
      <c r="A18" s="4954">
        <v>0.625</v>
      </c>
      <c r="B18" s="4955">
        <f>Master!B28+Master!C28+Master!D28+Master!E28+Master!F28+Master!G28+Master!H28+Master!I28+Master!J28+Master!L28+Master!M28+Master!N28+Master!O28+Master!P28+Master!Q28+Master!R28+Master!S28+Master!T28+Master!U28+Master!V28+Master!W28+Master!X28+Master!Y28+Master!Z28+Master!AA28+Master!AB28+Master!AC28+Master!AD28+Master!AE28+Master!AF28+Master!AG28+Master!AH28+Master!AI28+Master!AJ28+Master!AK28+Master!CS28+Master!CT28+Master!CU28+Master!CW28+Master!CX28+Master!DE28+Master!DO28+Master!DQ28+Master!DU28+Master!DW28</f>
        <v>0</v>
      </c>
      <c r="C18" s="4955">
        <f>Master!AL28+Master!AM28+Master!AN28+Master!AO28+Master!AP28+Master!AQ28+Master!AR28+Master!AS28+Master!AT28+Master!AW28+Master!AX28+Master!AY28+Master!AZ28+Master!BA28+Master!BB28+Master!BC28+Master!CY28+Master!CZ28+Master!DF28+Master!DG28+Master!DH28+Master!DI28+Master!DJ28+Master!DM28+Master!DR28</f>
        <v>0</v>
      </c>
      <c r="D18" s="4955">
        <f>Master!DY28+Master!DZ28+Master!EA28+Master!EB28+Master!EC28+Master!ED28+Master!EE28+Master!EF28+Master!EG28+Master!EH28+Master!EI28+Master!EM28+Master!FK28+Master!FO28+Master!FR28+Master!GB28</f>
        <v>0</v>
      </c>
      <c r="E18" s="4955">
        <f>Master!FJ28+Master!FX28+Master!FY28+Master!FZ28+Master!EK28+Master!EL28+Master!EJ28+Master!FW28</f>
        <v>0</v>
      </c>
      <c r="F18" s="4955">
        <f>Master!CB28+Master!CC28+Master!CD28+Master!CE28+Master!CF28+Master!CG28+Master!CH28+Master!CI28+Master!CJ28+Master!CK28+Master!CL28+Master!CM28+Master!CN28+Master!CO28+Master!CP28+Master!CQ28+Master!DC28+Master!DN28+Master!DS28</f>
        <v>0</v>
      </c>
      <c r="G18" s="4955">
        <f>Master!EN28+Master!EO28+Master!EP28+Master!EQ28+Master!ER28+Master!ES28+Master!ET28+Master!EU28+Master!EV28+Master!EW28+Master!EX28+Master!EY28+Master!EZ28+Master!FF28+Master!FG28+Master!FH28+Master!FI28+Master!FL28+Master!FM28+Master!FN28+Master!FP28+Master!FQ28+Master!FT28+Master!FV28+Master!GA28</f>
        <v>0</v>
      </c>
      <c r="H18" s="4955">
        <f>Master!FA28+Master!FB28+Master!FC28+Master!FD28+Master!FE28+Master!FS28+Master!FU28+Master!GC28</f>
        <v>0</v>
      </c>
      <c r="I18" s="4955">
        <f>Master!BD28+Master!BE28+Master!BF28+Master!BG28+Master!BH28+Master!BI28+Master!BJ28+Master!BK28+Master!BL28+Master!BM28+Master!BN28+Master!BO28+Master!BP28+Master!BQ28+Master!BR28+Master!BS28+Master!BT28+Master!BU28+Master!BV28+Master!BW28+Master!CR28+Master!DA28+Master!DB28+Master!DK28+Master!DL28+Master!DT28+Master!DV28</f>
        <v>0</v>
      </c>
      <c r="J18" s="4955">
        <f>Master!AV28+Master!BX28+Master!BY28+Master!BZ28+Master!CA28+Master!CV28+Master!DD28+Master!DP28</f>
        <v>0</v>
      </c>
      <c r="K18" s="4955">
        <f t="shared" si="0"/>
        <v>0</v>
      </c>
    </row>
    <row r="19" spans="1:17" ht="24" customHeight="1" thickBot="1">
      <c r="A19" s="4954">
        <v>0.66666666666666663</v>
      </c>
      <c r="B19" s="4955">
        <f>Master!B29+Master!C29+Master!D29+Master!E29+Master!F29+Master!G29+Master!H29+Master!I29+Master!J29+Master!L29+Master!M29+Master!N29+Master!O29+Master!P29+Master!Q29+Master!R29+Master!S29+Master!T29+Master!U29+Master!V29+Master!W29+Master!X29+Master!Y29+Master!Z29+Master!AA29+Master!AB29+Master!AC29+Master!AD29+Master!AE29+Master!AF29+Master!AG29+Master!AH29+Master!AI29+Master!AJ29+Master!AK29+Master!CS29+Master!CT29+Master!CU29+Master!CW29+Master!CX29+Master!DE29+Master!DO29+Master!DQ29+Master!DU29+Master!DW29</f>
        <v>0</v>
      </c>
      <c r="C19" s="4955">
        <f>Master!AL29+Master!AM29+Master!AN29+Master!AO29+Master!AP29+Master!AQ29+Master!AR29+Master!AS29+Master!AT29+Master!AW29+Master!AX29+Master!AY29+Master!AZ29+Master!BA29+Master!BB29+Master!BC29+Master!CY29+Master!CZ29+Master!DF29+Master!DG29+Master!DH29+Master!DI29+Master!DJ29+Master!DM29+Master!DR29</f>
        <v>0</v>
      </c>
      <c r="D19" s="4955">
        <f>Master!DY29+Master!DZ29+Master!EA29+Master!EB29+Master!EC29+Master!ED29+Master!EE29+Master!EF29+Master!EG29+Master!EH29+Master!EI29+Master!EM29+Master!FK29+Master!FO29+Master!FR29+Master!GB29</f>
        <v>0</v>
      </c>
      <c r="E19" s="4955">
        <f>Master!FJ29+Master!FX29+Master!FY29+Master!FZ29+Master!EK29+Master!EL29+Master!EJ29+Master!FW29</f>
        <v>0</v>
      </c>
      <c r="F19" s="4955">
        <f>Master!CB29+Master!CC29+Master!CD29+Master!CE29+Master!CF29+Master!CG29+Master!CH29+Master!CI29+Master!CJ29+Master!CK29+Master!CL29+Master!CM29+Master!CN29+Master!CO29+Master!CP29+Master!CQ29+Master!DC29+Master!DN29+Master!DS29</f>
        <v>0</v>
      </c>
      <c r="G19" s="4955">
        <f>Master!EN29+Master!EO29+Master!EP29+Master!EQ29+Master!ER29+Master!ES29+Master!ET29+Master!EU29+Master!EV29+Master!EW29+Master!EX29+Master!EY29+Master!EZ29+Master!FF29+Master!FG29+Master!FH29+Master!FI29+Master!FL29+Master!FM29+Master!FN29+Master!FP29+Master!FQ29+Master!FT29+Master!FV29+Master!GA29</f>
        <v>0</v>
      </c>
      <c r="H19" s="4955">
        <f>Master!FA29+Master!FB29+Master!FC29+Master!FD29+Master!FE29+Master!FS29+Master!FU29+Master!GC29</f>
        <v>0</v>
      </c>
      <c r="I19" s="4955">
        <f>Master!BD29+Master!BE29+Master!BF29+Master!BG29+Master!BH29+Master!BI29+Master!BJ29+Master!BK29+Master!BL29+Master!BM29+Master!BN29+Master!BO29+Master!BP29+Master!BQ29+Master!BR29+Master!BS29+Master!BT29+Master!BU29+Master!BV29+Master!BW29+Master!CR29+Master!DA29+Master!DB29+Master!DK29+Master!DL29+Master!DT29+Master!DV29</f>
        <v>0</v>
      </c>
      <c r="J19" s="4955">
        <f>Master!AV29+Master!BX29+Master!BY29+Master!BZ29+Master!CA29+Master!CV29+Master!DD29+Master!DP29</f>
        <v>0</v>
      </c>
      <c r="K19" s="4955">
        <f t="shared" si="0"/>
        <v>0</v>
      </c>
    </row>
    <row r="20" spans="1:17" ht="24" customHeight="1" thickBot="1">
      <c r="A20" s="4954">
        <v>0.70833333333333337</v>
      </c>
      <c r="B20" s="4955">
        <f>Master!B30+Master!C30+Master!D30+Master!E30+Master!F30+Master!G30+Master!H30+Master!I30+Master!J30+Master!L30+Master!M30+Master!N30+Master!O30+Master!P30+Master!Q30+Master!R30+Master!S30+Master!T30+Master!U30+Master!V30+Master!W30+Master!X30+Master!Y30+Master!Z30+Master!AA30+Master!AB30+Master!AC30+Master!AD30+Master!AE30+Master!AF30+Master!AG30+Master!AH30+Master!AI30+Master!AJ30+Master!AK30+Master!CS30+Master!CT30+Master!CU30+Master!CW30+Master!CX30+Master!DE30+Master!DO30+Master!DQ30+Master!DU30+Master!DW30</f>
        <v>0</v>
      </c>
      <c r="C20" s="4955">
        <f>Master!AL30+Master!AM30+Master!AN30+Master!AO30+Master!AP30+Master!AQ30+Master!AR30+Master!AS30+Master!AT30+Master!AW30+Master!AX30+Master!AY30+Master!AZ30+Master!BA30+Master!BB30+Master!BC30+Master!CY30+Master!CZ30+Master!DF30+Master!DG30+Master!DH30+Master!DI30+Master!DJ30+Master!DM30+Master!DR30</f>
        <v>0</v>
      </c>
      <c r="D20" s="4955">
        <f>Master!DY30+Master!DZ30+Master!EA30+Master!EB30+Master!EC30+Master!ED30+Master!EE30+Master!EF30+Master!EG30+Master!EH30+Master!EI30+Master!EM30+Master!FK30+Master!FO30+Master!FR30+Master!GB30</f>
        <v>0</v>
      </c>
      <c r="E20" s="4955">
        <f>Master!FJ30+Master!FX30+Master!FY30+Master!FZ30+Master!EK30+Master!EL30+Master!EJ30+Master!FW30</f>
        <v>0</v>
      </c>
      <c r="F20" s="4955">
        <f>Master!CB30+Master!CC30+Master!CD30+Master!CE30+Master!CF30+Master!CG30+Master!CH30+Master!CI30+Master!CJ30+Master!CK30+Master!CL30+Master!CM30+Master!CN30+Master!CO30+Master!CP30+Master!CQ30+Master!DC30+Master!DN30+Master!DS30</f>
        <v>0</v>
      </c>
      <c r="G20" s="4955">
        <f>Master!EN30+Master!EO30+Master!EP30+Master!EQ30+Master!ER30+Master!ES30+Master!ET30+Master!EU30+Master!EV30+Master!EW30+Master!EX30+Master!EY30+Master!EZ30+Master!FF30+Master!FG30+Master!FH30+Master!FI30+Master!FL30+Master!FM30+Master!FN30+Master!FP30+Master!FQ30+Master!FT30+Master!FV30+Master!GA30</f>
        <v>0</v>
      </c>
      <c r="H20" s="4955">
        <f>Master!FA30+Master!FB30+Master!FC30+Master!FD30+Master!FE30+Master!FS30+Master!FU30+Master!GC30</f>
        <v>0</v>
      </c>
      <c r="I20" s="4955">
        <f>Master!BD30+Master!BE30+Master!BF30+Master!BG30+Master!BH30+Master!BI30+Master!BJ30+Master!BK30+Master!BL30+Master!BM30+Master!BN30+Master!BO30+Master!BP30+Master!BQ30+Master!BR30+Master!BS30+Master!BT30+Master!BU30+Master!BV30+Master!BW30+Master!CR30+Master!DA30+Master!DB30+Master!DK30+Master!DL30+Master!DT30+Master!DV30</f>
        <v>0</v>
      </c>
      <c r="J20" s="4955">
        <f>Master!AV30+Master!BX30+Master!BY30+Master!BZ30+Master!CA30+Master!CV30+Master!DD30+Master!DP30</f>
        <v>0</v>
      </c>
      <c r="K20" s="4955">
        <f t="shared" si="0"/>
        <v>0</v>
      </c>
    </row>
    <row r="21" spans="1:17" ht="22.5" customHeight="1" thickBot="1">
      <c r="A21" s="4954">
        <v>0.75</v>
      </c>
      <c r="B21" s="4955">
        <f>Master!B31+Master!C31+Master!D31+Master!E31+Master!F31+Master!G31+Master!H31+Master!I31+Master!J31+Master!L31+Master!M31+Master!N31+Master!O31+Master!P31+Master!Q31+Master!R31+Master!S31+Master!T31+Master!U31+Master!V31+Master!W31+Master!X31+Master!Y31+Master!Z31+Master!AA31+Master!AB31+Master!AC31+Master!AD31+Master!AE31+Master!AF31+Master!AG31+Master!AH31+Master!AI31+Master!AJ31+Master!AK31+Master!CS31+Master!CT31+Master!CU31+Master!CW31+Master!CX31+Master!DE31+Master!DO31+Master!DQ31+Master!DU31+Master!DW31</f>
        <v>0</v>
      </c>
      <c r="C21" s="4955">
        <f>Master!AL31+Master!AM31+Master!AN31+Master!AO31+Master!AP31+Master!AQ31+Master!AR31+Master!AS31+Master!AT31+Master!AW31+Master!AX31+Master!AY31+Master!AZ31+Master!BA31+Master!BB31+Master!BC31+Master!CY31+Master!CZ31+Master!DF31+Master!DG31+Master!DH31+Master!DI31+Master!DJ31+Master!DM31+Master!DR31</f>
        <v>0</v>
      </c>
      <c r="D21" s="4955">
        <f>Master!DY31+Master!DZ31+Master!EA31+Master!EB31+Master!EC31+Master!ED31+Master!EE31+Master!EF31+Master!EG31+Master!EH31+Master!EI31+Master!EM31+Master!FK31+Master!FO31+Master!FR31+Master!GB31</f>
        <v>0</v>
      </c>
      <c r="E21" s="4955">
        <f>Master!FJ31+Master!FX31+Master!FY31+Master!FZ31+Master!EK31+Master!EL31+Master!EJ31+Master!FW31</f>
        <v>0</v>
      </c>
      <c r="F21" s="4955">
        <f>Master!CB31+Master!CC31+Master!CD31+Master!CE31+Master!CF31+Master!CG31+Master!CH31+Master!CI31+Master!CJ31+Master!CK31+Master!CL31+Master!CM31+Master!CN31+Master!CO31+Master!CP31+Master!CQ31+Master!DC31+Master!DN31+Master!DS31</f>
        <v>0</v>
      </c>
      <c r="G21" s="4955">
        <f>Master!EN31+Master!EO31+Master!EP31+Master!EQ31+Master!ER31+Master!ES31+Master!ET31+Master!EU31+Master!EV31+Master!EW31+Master!EX31+Master!EY31+Master!EZ31+Master!FF31+Master!FG31+Master!FH31+Master!FI31+Master!FL31+Master!FM31+Master!FN31+Master!FP31+Master!FQ31+Master!FT31+Master!FV31+Master!GA31</f>
        <v>0</v>
      </c>
      <c r="H21" s="4955">
        <f>Master!FA31+Master!FB31+Master!FC31+Master!FD31+Master!FE31+Master!FS31+Master!FU31+Master!GC31</f>
        <v>0</v>
      </c>
      <c r="I21" s="4955">
        <f>Master!BD31+Master!BE31+Master!BF31+Master!BG31+Master!BH31+Master!BI31+Master!BJ31+Master!BK31+Master!BL31+Master!BM31+Master!BN31+Master!BO31+Master!BP31+Master!BQ31+Master!BR31+Master!BS31+Master!BT31+Master!BU31+Master!BV31+Master!BW31+Master!CR31+Master!DA31+Master!DB31+Master!DK31+Master!DL31+Master!DT31+Master!DV31</f>
        <v>0</v>
      </c>
      <c r="J21" s="4955">
        <f>Master!AV31+Master!BX31+Master!BY31+Master!BZ31+Master!CA31+Master!CV31+Master!DD31+Master!DP31</f>
        <v>0</v>
      </c>
      <c r="K21" s="4955">
        <f t="shared" si="0"/>
        <v>0</v>
      </c>
    </row>
    <row r="22" spans="1:17" ht="9" customHeight="1" thickBot="1">
      <c r="A22" s="4954">
        <v>0</v>
      </c>
      <c r="B22" s="4955">
        <f>Master!B32+Master!C32+Master!D32+Master!E32+Master!F32+Master!G32+Master!H32+Master!I32+Master!J32+Master!L32+Master!M32+Master!N32+Master!O32+Master!P32+Master!Q32+Master!R32+Master!S32+Master!T32+Master!U32+Master!V32+Master!W32+Master!X32+Master!Y32+Master!Z32+Master!AA32+Master!AB32+Master!AC32+Master!AD32+Master!AE32+Master!AF32+Master!AG32+Master!AH32+Master!AI32+Master!AJ32+Master!AK32+Master!CS32+Master!CT32+Master!CU32+Master!CW32+Master!CX32+Master!DE32+Master!DO32+Master!DQ32+Master!DU32+Master!DW32</f>
        <v>0</v>
      </c>
      <c r="C22" s="4955">
        <f>Master!AL32+Master!AM32+Master!AN32+Master!AO32+Master!AP32+Master!AQ32+Master!AR32+Master!AS32+Master!AT32+Master!AW32+Master!AX32+Master!AY32+Master!AZ32+Master!BA32+Master!BB32+Master!BC32+Master!CY32+Master!CZ32+Master!DF32+Master!DG32+Master!DH32+Master!DI32+Master!DJ32+Master!DM32+Master!DR32</f>
        <v>0</v>
      </c>
      <c r="D22" s="4955">
        <f>Master!DY32+Master!DZ32+Master!EA32+Master!EB32+Master!EC32+Master!ED32+Master!EE32+Master!EF32+Master!EG32+Master!EH32+Master!EI32+Master!EM32+Master!FK32+Master!FO32+Master!FR32+Master!GB32</f>
        <v>0</v>
      </c>
      <c r="E22" s="4955">
        <f>Master!FJ32+Master!FX32+Master!FY32+Master!FZ32+Master!EK32+Master!EL32+Master!EJ32+Master!FW32</f>
        <v>0</v>
      </c>
      <c r="F22" s="4955">
        <f>Master!CB32+Master!CC32+Master!CD32+Master!CE32+Master!CF32+Master!CG32+Master!CH32+Master!CI32+Master!CJ32+Master!CK32+Master!CL32+Master!CM32+Master!CN32+Master!CO32+Master!CP32+Master!CQ32+Master!DC32+Master!DN32+Master!DS32</f>
        <v>0</v>
      </c>
      <c r="G22" s="4955">
        <f>Master!EN32+Master!EO32+Master!EP32+Master!EQ32+Master!ER32+Master!ES32+Master!ET32+Master!EU32+Master!EV32+Master!EW32+Master!EX32+Master!EY32+Master!EZ32+Master!FF32+Master!FG32+Master!FH32+Master!FI32+Master!FL32+Master!FM32+Master!FN32+Master!FP32+Master!FQ32+Master!FT32+Master!FV32+Master!GA32</f>
        <v>0</v>
      </c>
      <c r="H22" s="4955">
        <f>Master!FA32+Master!FB32+Master!FC32+Master!FD32+Master!FE32+Master!FS32+Master!FU32+Master!GC32</f>
        <v>0</v>
      </c>
      <c r="I22" s="4955">
        <f>Master!BD32+Master!BE32+Master!BF32+Master!BG32+Master!BH32+Master!BI32+Master!BJ32+Master!BK32+Master!BL32+Master!BM32+Master!BN32+Master!BO32+Master!BP32+Master!BQ32+Master!BR32+Master!BS32+Master!BT32+Master!BU32+Master!BV32+Master!BW32+Master!CR32+Master!DA32+Master!DB32+Master!DK32+Master!DL32+Master!DT32+Master!DV32</f>
        <v>0</v>
      </c>
      <c r="J22" s="4955">
        <f>Master!AV32+Master!BX32+Master!BY32+Master!BZ32+Master!CA32+Master!CV32+Master!DD32+Master!DP32</f>
        <v>0</v>
      </c>
      <c r="K22" s="4955">
        <f t="shared" si="0"/>
        <v>0</v>
      </c>
    </row>
    <row r="23" spans="1:17" ht="24" customHeight="1" thickBot="1">
      <c r="A23" s="4954">
        <v>0.79166666666666663</v>
      </c>
      <c r="B23" s="4955">
        <f>Master!B33+Master!C33+Master!D33+Master!E33+Master!F33+Master!G33+Master!H33+Master!I33+Master!J33+Master!L33+Master!M33+Master!N33+Master!O33+Master!P33+Master!Q33+Master!R33+Master!S33+Master!T33+Master!U33+Master!V33+Master!W33+Master!X33+Master!Y33+Master!Z33+Master!AA33+Master!AB33+Master!AC33+Master!AD33+Master!AE33+Master!AF33+Master!AG33+Master!AH33+Master!AI33+Master!AJ33+Master!AK33+Master!CS33+Master!CT33+Master!CU33+Master!CW33+Master!CX33+Master!DE33+Master!DO33+Master!DQ33+Master!DU33+Master!DW33</f>
        <v>1793</v>
      </c>
      <c r="C23" s="4955">
        <f>Master!AL33+Master!AM33+Master!AN33+Master!AO33+Master!AP33+Master!AQ33+Master!AR33+Master!AS33+Master!AT33+Master!AW33+Master!AX33+Master!AY33+Master!AZ33+Master!BA33+Master!BB33+Master!BC33+Master!CY33+Master!CZ33+Master!DF33+Master!DG33+Master!DH33+Master!DI33+Master!DJ33+Master!DM33+Master!DR33</f>
        <v>830</v>
      </c>
      <c r="D23" s="4955">
        <f>Master!DY33+Master!DZ33+Master!EA33+Master!EB33+Master!EC33+Master!ED33+Master!EE33+Master!EF33+Master!EG33+Master!EH33+Master!EI33+Master!EM33+Master!FK33+Master!FO33+Master!FR33+Master!GB33</f>
        <v>795</v>
      </c>
      <c r="E23" s="4955">
        <f>Master!FJ33+Master!FX33+Master!FY33+Master!FZ33+Master!EK33+Master!EL33+Master!EJ33+Master!FW33</f>
        <v>412</v>
      </c>
      <c r="F23" s="4955">
        <f>Master!CB33+Master!CC33+Master!CD33+Master!CE33+Master!CF33+Master!CG33+Master!CH33+Master!CI33+Master!CJ33+Master!CK33+Master!CL33+Master!CM33+Master!CN33+Master!CO33+Master!CP33+Master!CQ33+Master!DC33+Master!DN33+Master!DS33</f>
        <v>1131</v>
      </c>
      <c r="G23" s="4955">
        <f>Master!EN33+Master!EO33+Master!EP33+Master!EQ33+Master!ER33+Master!ES33+Master!ET33+Master!EU33+Master!EV33+Master!EW33+Master!EX33+Master!EY33+Master!EZ33+Master!FF33+Master!FG33+Master!FH33+Master!FI33+Master!FL33+Master!FM33+Master!FN33+Master!FP33+Master!FQ33+Master!FT33+Master!FV33+Master!GA33</f>
        <v>1083</v>
      </c>
      <c r="H23" s="4955">
        <f>Master!FA33+Master!FB33+Master!FC33+Master!FD33+Master!FE33+Master!FS33+Master!FU33+Master!GC33</f>
        <v>311</v>
      </c>
      <c r="I23" s="4955">
        <f>Master!BD33+Master!BE33+Master!BF33+Master!BG33+Master!BH33+Master!BI33+Master!BJ33+Master!BK33+Master!BL33+Master!BM33+Master!BN33+Master!BO33+Master!BP33+Master!BQ33+Master!BR33+Master!BS33+Master!BT33+Master!BU33+Master!BV33+Master!BW33+Master!CR33+Master!DA33+Master!DB33+Master!DK33+Master!DL33+Master!DT33+Master!DV33</f>
        <v>1366</v>
      </c>
      <c r="J23" s="4955">
        <f>Master!AV33+Master!BX33+Master!BY33+Master!BZ33+Master!CA33+Master!CV33+Master!DD33+Master!DP33</f>
        <v>377</v>
      </c>
      <c r="K23" s="4955">
        <f t="shared" si="0"/>
        <v>8098</v>
      </c>
    </row>
    <row r="24" spans="1:17" ht="24" customHeight="1" thickBot="1">
      <c r="A24" s="4954">
        <v>0.8125</v>
      </c>
      <c r="B24" s="4955">
        <f>Master!B34+Master!C34+Master!D34+Master!E34+Master!F34+Master!G34+Master!H34+Master!I34+Master!J34+Master!L34+Master!M34+Master!N34+Master!O34+Master!P34+Master!Q34+Master!R34+Master!S34+Master!T34+Master!U34+Master!V34+Master!W34+Master!X34+Master!Y34+Master!Z34+Master!AA34+Master!AB34+Master!AC34+Master!AD34+Master!AE34+Master!AF34+Master!AG34+Master!AH34+Master!AI34+Master!AJ34+Master!AK34+Master!CS34+Master!CT34+Master!CU34+Master!CW34+Master!CX34+Master!DE34+Master!DO34+Master!DQ34+Master!DU34+Master!DW34</f>
        <v>1725</v>
      </c>
      <c r="C24" s="4955">
        <f>Master!AL34+Master!AM34+Master!AN34+Master!AO34+Master!AP34+Master!AQ34+Master!AR34+Master!AS34+Master!AT34+Master!AW34+Master!AX34+Master!AY34+Master!AZ34+Master!BA34+Master!BB34+Master!BC34+Master!CY34+Master!CZ34+Master!DF34+Master!DG34+Master!DH34+Master!DI34+Master!DJ34+Master!DM34+Master!DR34</f>
        <v>818</v>
      </c>
      <c r="D24" s="4955">
        <f>Master!DY34+Master!DZ34+Master!EA34+Master!EB34+Master!EC34+Master!ED34+Master!EE34+Master!EF34+Master!EG34+Master!EH34+Master!EI34+Master!EM34+Master!FK34+Master!FO34+Master!FR34+Master!GB34</f>
        <v>797</v>
      </c>
      <c r="E24" s="4955">
        <f>Master!FJ34+Master!FX34+Master!FY34+Master!FZ34+Master!EK34+Master!EL34+Master!EJ34+Master!FW34</f>
        <v>533</v>
      </c>
      <c r="F24" s="4955">
        <f>Master!CB34+Master!CC34+Master!CD34+Master!CE34+Master!CF34+Master!CG34+Master!CH34+Master!CI34+Master!CJ34+Master!CK34+Master!CL34+Master!CM34+Master!CN34+Master!CO34+Master!CP34+Master!CQ34+Master!DC34+Master!DN34+Master!DS34</f>
        <v>1159</v>
      </c>
      <c r="G24" s="4955">
        <f>Master!EN34+Master!EO34+Master!EP34+Master!EQ34+Master!ER34+Master!ES34+Master!ET34+Master!EU34+Master!EV34+Master!EW34+Master!EX34+Master!EY34+Master!EZ34+Master!FF34+Master!FG34+Master!FH34+Master!FI34+Master!FL34+Master!FM34+Master!FN34+Master!FP34+Master!FQ34+Master!FT34+Master!FV34+Master!GA34</f>
        <v>1134</v>
      </c>
      <c r="H24" s="4955">
        <f>Master!FA34+Master!FB34+Master!FC34+Master!FD34+Master!FE34+Master!FS34+Master!FU34+Master!GC34</f>
        <v>311</v>
      </c>
      <c r="I24" s="4955">
        <f>Master!BD34+Master!BE34+Master!BF34+Master!BG34+Master!BH34+Master!BI34+Master!BJ34+Master!BK34+Master!BL34+Master!BM34+Master!BN34+Master!BO34+Master!BP34+Master!BQ34+Master!BR34+Master!BS34+Master!BT34+Master!BU34+Master!BV34+Master!BW34+Master!CR34+Master!DA34+Master!DB34+Master!DK34+Master!DL34+Master!DT34+Master!DV34</f>
        <v>1352</v>
      </c>
      <c r="J24" s="4955">
        <f>Master!AV34+Master!BX34+Master!BY34+Master!BZ34+Master!CA34+Master!CV34+Master!DD34+Master!DP34</f>
        <v>389</v>
      </c>
      <c r="K24" s="4955">
        <f t="shared" si="0"/>
        <v>8218</v>
      </c>
      <c r="N24" s="2016" t="s">
        <v>18</v>
      </c>
    </row>
    <row r="25" spans="1:17" ht="24" customHeight="1" thickBot="1">
      <c r="A25" s="4954">
        <v>0.83333333333333337</v>
      </c>
      <c r="B25" s="4955">
        <f>Master!B35+Master!C35+Master!D35+Master!E35+Master!F35+Master!G35+Master!H35+Master!I35+Master!J35+Master!L35+Master!M35+Master!N35+Master!O35+Master!P35+Master!Q35+Master!R35+Master!S35+Master!T35+Master!U35+Master!V35+Master!W35+Master!X35+Master!Y35+Master!Z35+Master!AA35+Master!AB35+Master!AC35+Master!AD35+Master!AE35+Master!AF35+Master!AG35+Master!AH35+Master!AI35+Master!AJ35+Master!AK35+Master!CS35+Master!CT35+Master!CU35+Master!CW35+Master!CX35+Master!DE35+Master!DO35+Master!DQ35+Master!DU35+Master!DW35</f>
        <v>1699</v>
      </c>
      <c r="C25" s="4955">
        <f>Master!AL35+Master!AM35+Master!AN35+Master!AO35+Master!AP35+Master!AQ35+Master!AR35+Master!AS35+Master!AT35+Master!AW35+Master!AX35+Master!AY35+Master!AZ35+Master!BA35+Master!BB35+Master!BC35+Master!CY35+Master!CZ35+Master!DF35+Master!DG35+Master!DH35+Master!DI35+Master!DJ35+Master!DM35+Master!DR35</f>
        <v>792</v>
      </c>
      <c r="D25" s="4955">
        <f>Master!DY35+Master!DZ35+Master!EA35+Master!EB35+Master!EC35+Master!ED35+Master!EE35+Master!EF35+Master!EG35+Master!EH35+Master!EI35+Master!EM35+Master!FK35+Master!FO35+Master!FR35+Master!GB35</f>
        <v>772</v>
      </c>
      <c r="E25" s="4955">
        <f>Master!FJ35+Master!FX35+Master!FY35+Master!FZ35+Master!EK35+Master!EL35+Master!EJ35+Master!FW35</f>
        <v>556</v>
      </c>
      <c r="F25" s="4955">
        <f>Master!CB35+Master!CC35+Master!CD35+Master!CE35+Master!CF35+Master!CG35+Master!CH35+Master!CI35+Master!CJ35+Master!CK35+Master!CL35+Master!CM35+Master!CN35+Master!CO35+Master!CP35+Master!CQ35+Master!DC35+Master!DN35+Master!DS35</f>
        <v>1219</v>
      </c>
      <c r="G25" s="4955">
        <f>Master!EN35+Master!EO35+Master!EP35+Master!EQ35+Master!ER35+Master!ES35+Master!ET35+Master!EU35+Master!EV35+Master!EW35+Master!EX35+Master!EY35+Master!EZ35+Master!FF35+Master!FG35+Master!FH35+Master!FI35+Master!FL35+Master!FM35+Master!FN35+Master!FP35+Master!FQ35+Master!FT35+Master!FV35+Master!GA35</f>
        <v>1096</v>
      </c>
      <c r="H25" s="4955">
        <f>Master!FA35+Master!FB35+Master!FC35+Master!FD35+Master!FE35+Master!FS35+Master!FU35+Master!GC35</f>
        <v>311</v>
      </c>
      <c r="I25" s="4955">
        <f>Master!BD35+Master!BE35+Master!BF35+Master!BG35+Master!BH35+Master!BI35+Master!BJ35+Master!BK35+Master!BL35+Master!BM35+Master!BN35+Master!BO35+Master!BP35+Master!BQ35+Master!BR35+Master!BS35+Master!BT35+Master!BU35+Master!BV35+Master!BW35+Master!CR35+Master!DA35+Master!DB35+Master!DK35+Master!DL35+Master!DT35+Master!DV35</f>
        <v>1329</v>
      </c>
      <c r="J25" s="4955">
        <f>Master!AV35+Master!BX35+Master!BY35+Master!BZ35+Master!CA35+Master!CV35+Master!DD35+Master!DP35</f>
        <v>389</v>
      </c>
      <c r="K25" s="4955">
        <f t="shared" si="0"/>
        <v>8163</v>
      </c>
    </row>
    <row r="26" spans="1:17" ht="24" customHeight="1" thickBot="1">
      <c r="A26" s="4954">
        <v>0.875</v>
      </c>
      <c r="B26" s="4955">
        <f>Master!B36+Master!C36+Master!D36+Master!E36+Master!F36+Master!G36+Master!H36+Master!I36+Master!J36+Master!L36+Master!M36+Master!N36+Master!O36+Master!P36+Master!Q36+Master!R36+Master!S36+Master!T36+Master!U36+Master!V36+Master!W36+Master!X36+Master!Y36+Master!Z36+Master!AA36+Master!AB36+Master!AC36+Master!AD36+Master!AE36+Master!AF36+Master!AG36+Master!AH36+Master!AI36+Master!AJ36+Master!AK36+Master!CS36+Master!CT36+Master!CU36+Master!CW36+Master!CX36+Master!DE36+Master!DO36+Master!DQ36+Master!DU36+Master!DW36</f>
        <v>1533</v>
      </c>
      <c r="C26" s="4955">
        <f>Master!AL36+Master!AM36+Master!AN36+Master!AO36+Master!AP36+Master!AQ36+Master!AR36+Master!AS36+Master!AT36+Master!AW36+Master!AX36+Master!AY36+Master!AZ36+Master!BA36+Master!BB36+Master!BC36+Master!CY36+Master!CZ36+Master!DF36+Master!DG36+Master!DH36+Master!DI36+Master!DJ36+Master!DM36+Master!DR36</f>
        <v>718</v>
      </c>
      <c r="D26" s="4955">
        <f>Master!DY36+Master!DZ36+Master!EA36+Master!EB36+Master!EC36+Master!ED36+Master!EE36+Master!EF36+Master!EG36+Master!EH36+Master!EI36+Master!EM36+Master!FK36+Master!FO36+Master!FR36+Master!GB36</f>
        <v>772</v>
      </c>
      <c r="E26" s="4955">
        <f>Master!FJ36+Master!FX36+Master!FY36+Master!FZ36+Master!EK36+Master!EL36+Master!EJ36+Master!FW36</f>
        <v>629</v>
      </c>
      <c r="F26" s="4955">
        <f>Master!CB36+Master!CC36+Master!CD36+Master!CE36+Master!CF36+Master!CG36+Master!CH36+Master!CI36+Master!CJ36+Master!CK36+Master!CL36+Master!CM36+Master!CN36+Master!CO36+Master!CP36+Master!CQ36+Master!DC36+Master!DN36+Master!DS36</f>
        <v>1349</v>
      </c>
      <c r="G26" s="4955">
        <f>Master!EN36+Master!EO36+Master!EP36+Master!EQ36+Master!ER36+Master!ES36+Master!ET36+Master!EU36+Master!EV36+Master!EW36+Master!EX36+Master!EY36+Master!EZ36+Master!FF36+Master!FG36+Master!FH36+Master!FI36+Master!FL36+Master!FM36+Master!FN36+Master!FP36+Master!FQ36+Master!FT36+Master!FV36+Master!GA36</f>
        <v>1002</v>
      </c>
      <c r="H26" s="4955">
        <f>Master!FA36+Master!FB36+Master!FC36+Master!FD36+Master!FE36+Master!FS36+Master!FU36+Master!GC36</f>
        <v>312</v>
      </c>
      <c r="I26" s="4955">
        <f>Master!BD36+Master!BE36+Master!BF36+Master!BG36+Master!BH36+Master!BI36+Master!BJ36+Master!BK36+Master!BL36+Master!BM36+Master!BN36+Master!BO36+Master!BP36+Master!BQ36+Master!BR36+Master!BS36+Master!BT36+Master!BU36+Master!BV36+Master!BW36+Master!CR36+Master!DA36+Master!DB36+Master!DK36+Master!DL36+Master!DT36+Master!DV36</f>
        <v>1316</v>
      </c>
      <c r="J26" s="4955">
        <f>Master!AV36+Master!BX36+Master!BY36+Master!BZ36+Master!CA36+Master!CV36+Master!DD36+Master!DP36</f>
        <v>362</v>
      </c>
      <c r="K26" s="4955">
        <f t="shared" si="0"/>
        <v>7993</v>
      </c>
    </row>
    <row r="27" spans="1:17" ht="24" customHeight="1" thickBot="1">
      <c r="A27" s="4949">
        <v>0.91666666666666663</v>
      </c>
      <c r="B27" s="4951">
        <f>Master!B37+Master!C37+Master!D37+Master!E37+Master!F37+Master!G37+Master!H37+Master!I37+Master!J37+Master!L37+Master!M37+Master!N37+Master!O37+Master!P37+Master!Q37+Master!R37+Master!S37+Master!T37+Master!U37+Master!V37+Master!W37+Master!X37+Master!Y37+Master!Z37+Master!AA37+Master!AB37+Master!AC37+Master!AD37+Master!AE37+Master!AF37+Master!AG37+Master!AH37+Master!AI37+Master!AJ37+Master!AK37+Master!CS37+Master!CT37+Master!CU37+Master!CW37+Master!CX37+Master!DE37+Master!DO37+Master!DQ37+Master!DU37+Master!DW37</f>
        <v>1388</v>
      </c>
      <c r="C27" s="4951">
        <f>Master!AL37+Master!AM37+Master!AN37+Master!AO37+Master!AP37+Master!AQ37+Master!AR37+Master!AS37+Master!AT37+Master!AW37+Master!AX37+Master!AY37+Master!AZ37+Master!BA37+Master!BB37+Master!BC37+Master!CY37+Master!CZ37+Master!DF37+Master!DG37+Master!DH37+Master!DI37+Master!DJ37+Master!DM37+Master!DR37</f>
        <v>609</v>
      </c>
      <c r="D27" s="4950">
        <f>Master!DY37+Master!DZ37+Master!EA37+Master!EB37+Master!EC37+Master!ED37+Master!EE37+Master!EF37+Master!EG37+Master!EH37+Master!EI37+Master!EM37+Master!FK37+Master!FO37+Master!FR37+Master!GB37</f>
        <v>738</v>
      </c>
      <c r="E27" s="4951">
        <f>Master!FJ37+Master!FX37+Master!FY37+Master!FZ37+Master!EK37+Master!EL37+Master!EJ37+Master!FW37</f>
        <v>729</v>
      </c>
      <c r="F27" s="4951">
        <f>Master!CB37+Master!CC37+Master!CD37+Master!CE37+Master!CF37+Master!CG37+Master!CH37+Master!CI37+Master!CJ37+Master!CK37+Master!CL37+Master!CM37+Master!CN37+Master!CO37+Master!CP37+Master!CQ37+Master!DC37+Master!DN37+Master!DS37</f>
        <v>1309</v>
      </c>
      <c r="G27" s="4951">
        <f>Master!EN37+Master!EO37+Master!EP37+Master!EQ37+Master!ER37+Master!ES37+Master!ET37+Master!EU37+Master!EV37+Master!EW37+Master!EX37+Master!EY37+Master!EZ37+Master!FF37+Master!FG37+Master!FH37+Master!FI37+Master!FL37+Master!FM37+Master!FN37+Master!FP37+Master!FQ37+Master!FT37+Master!FV37+Master!GA37</f>
        <v>976</v>
      </c>
      <c r="H27" s="4951">
        <f>Master!FA37+Master!FB37+Master!FC37+Master!FD37+Master!FE37+Master!FS37+Master!FU37+Master!GC37</f>
        <v>311</v>
      </c>
      <c r="I27" s="4951">
        <f>Master!BD37+Master!BE37+Master!BF37+Master!BG37+Master!BH37+Master!BI37+Master!BJ37+Master!BK37+Master!BL37+Master!BM37+Master!BN37+Master!BO37+Master!BP37+Master!BQ37+Master!BR37+Master!BS37+Master!BT37+Master!BU37+Master!BV37+Master!BW37+Master!CR37+Master!DA37+Master!DB37+Master!DK37+Master!DL37+Master!DT37+Master!DV37</f>
        <v>1337</v>
      </c>
      <c r="J27" s="4951">
        <f>Master!AV37+Master!BX37+Master!BY37+Master!BZ37+Master!CA37+Master!CV37+Master!DD37+Master!DP37</f>
        <v>362</v>
      </c>
      <c r="K27" s="4951">
        <f t="shared" si="0"/>
        <v>7759</v>
      </c>
    </row>
    <row r="28" spans="1:17" ht="24" customHeight="1" thickBot="1">
      <c r="A28" s="4949">
        <v>0.95833333333333337</v>
      </c>
      <c r="B28" s="4951">
        <f>Master!B38+Master!C38+Master!D38+Master!E38+Master!F38+Master!G38+Master!H38+Master!I38+Master!J38+Master!L38+Master!M38+Master!N38+Master!O38+Master!P38+Master!Q38+Master!R38+Master!S38+Master!T38+Master!U38+Master!V38+Master!W38+Master!X38+Master!Y38+Master!Z38+Master!AA38+Master!AB38+Master!AC38+Master!AD38+Master!AE38+Master!AF38+Master!AG38+Master!AH38+Master!AI38+Master!AJ38+Master!AK38+Master!CS38+Master!CT38+Master!CU38+Master!CW38+Master!CX38+Master!DE38+Master!DO38+Master!DQ38+Master!DU38+Master!DW38</f>
        <v>1270</v>
      </c>
      <c r="C28" s="4951">
        <f>Master!AL38+Master!AM38+Master!AN38+Master!AO38+Master!AP38+Master!AQ38+Master!AR38+Master!AS38+Master!AT38+Master!AW38+Master!AX38+Master!AY38+Master!AZ38+Master!BA38+Master!BB38+Master!BC38+Master!CY38+Master!CZ38+Master!DF38+Master!DG38+Master!DH38+Master!DI38+Master!DJ38+Master!DM38+Master!DR38</f>
        <v>580</v>
      </c>
      <c r="D28" s="4950">
        <f>Master!DY38+Master!DZ38+Master!EA38+Master!EB38+Master!EC38+Master!ED38+Master!EE38+Master!EF38+Master!EG38+Master!EH38+Master!EI38+Master!EM38+Master!FK38+Master!FO38+Master!FR38+Master!GB38</f>
        <v>653</v>
      </c>
      <c r="E28" s="4951">
        <f>Master!FJ38+Master!FX38+Master!FY38+Master!FZ38+Master!EK38+Master!EL38+Master!EJ38+Master!FW38</f>
        <v>717</v>
      </c>
      <c r="F28" s="4951">
        <f>Master!CB38+Master!CC38+Master!CD38+Master!CE38+Master!CF38+Master!CG38+Master!CH38+Master!CI38+Master!CJ38+Master!CK38+Master!CL38+Master!CM38+Master!CN38+Master!CO38+Master!CP38+Master!CQ38+Master!DC38+Master!DN38+Master!DS38</f>
        <v>1318</v>
      </c>
      <c r="G28" s="4951">
        <f>Master!EN38+Master!EO38+Master!EP38+Master!EQ38+Master!ER38+Master!ES38+Master!ET38+Master!EU38+Master!EV38+Master!EW38+Master!EX38+Master!EY38+Master!EZ38+Master!FF38+Master!FG38+Master!FH38+Master!FI38+Master!FL38+Master!FM38+Master!FN38+Master!FP38+Master!FQ38+Master!FT38+Master!FV38+Master!GA38</f>
        <v>762</v>
      </c>
      <c r="H28" s="4951">
        <f>Master!FA38+Master!FB38+Master!FC38+Master!FD38+Master!FE38+Master!FS38+Master!FU38+Master!GC38</f>
        <v>311</v>
      </c>
      <c r="I28" s="4951">
        <f>Master!BD38+Master!BE38+Master!BF38+Master!BG38+Master!BH38+Master!BI38+Master!BJ38+Master!BK38+Master!BL38+Master!BM38+Master!BN38+Master!BO38+Master!BP38+Master!BQ38+Master!BR38+Master!BS38+Master!BT38+Master!BU38+Master!BV38+Master!BW38+Master!CR38+Master!DA38+Master!DB38+Master!DK38+Master!DL38+Master!DT38+Master!DV38</f>
        <v>1270</v>
      </c>
      <c r="J28" s="4951">
        <f>Master!AV38+Master!BX38+Master!BY38+Master!BZ38+Master!CA38+Master!CV38+Master!DD38+Master!DP38</f>
        <v>351</v>
      </c>
      <c r="K28" s="4951">
        <f t="shared" si="0"/>
        <v>7232</v>
      </c>
    </row>
    <row r="29" spans="1:17" ht="24" customHeight="1" thickBot="1">
      <c r="A29" s="4948">
        <v>24</v>
      </c>
      <c r="B29" s="4951">
        <f>Master!B39+Master!C39+Master!D39+Master!E39+Master!F39+Master!G39+Master!H39+Master!I39+Master!J39+Master!L39+Master!M39+Master!N39+Master!O39+Master!P39+Master!Q39+Master!R39+Master!S39+Master!T39+Master!U39+Master!V39+Master!W39+Master!X39+Master!Y39+Master!Z39+Master!AA39+Master!AB39+Master!AC39+Master!AD39+Master!AE39+Master!AF39+Master!AG39+Master!AH39+Master!AI39+Master!AJ39+Master!AK39+Master!CS39+Master!CT39+Master!CU39+Master!CW39+Master!CX39+Master!DE39+Master!DO39+Master!DQ39+Master!DU39+Master!DW39</f>
        <v>1110</v>
      </c>
      <c r="C29" s="4951">
        <f>Master!AL39+Master!AM39+Master!AN39+Master!AO39+Master!AP39+Master!AQ39+Master!AR39+Master!AS39+Master!AT39+Master!AW39+Master!AX39+Master!AY39+Master!AZ39+Master!BA39+Master!BB39+Master!BC39+Master!CY39+Master!CZ39+Master!DF39+Master!DG39+Master!DH39+Master!DI39+Master!DJ39+Master!DM39+Master!DR39</f>
        <v>558</v>
      </c>
      <c r="D29" s="4950">
        <f>Master!DY39+Master!DZ39+Master!EA39+Master!EB39+Master!EC39+Master!ED39+Master!EE39+Master!EF39+Master!EG39+Master!EH39+Master!EI39+Master!EM39+Master!FK39+Master!FO39+Master!FR39+Master!GB39</f>
        <v>477</v>
      </c>
      <c r="E29" s="4951">
        <f>Master!FJ39+Master!FX39+Master!FY39+Master!FZ39+Master!EK39+Master!EL39+Master!EJ39+Master!FW39</f>
        <v>667</v>
      </c>
      <c r="F29" s="4951">
        <f>Master!CB39+Master!CC39+Master!CD39+Master!CE39+Master!CF39+Master!CG39+Master!CH39+Master!CI39+Master!CJ39+Master!CK39+Master!CL39+Master!CM39+Master!CN39+Master!CO39+Master!CP39+Master!CQ39+Master!DC39+Master!DN39+Master!DS39</f>
        <v>1313</v>
      </c>
      <c r="G29" s="4951">
        <f>Master!EN39+Master!EO39+Master!EP39+Master!EQ39+Master!ER39+Master!ES39+Master!ET39+Master!EU39+Master!EV39+Master!EW39+Master!EX39+Master!EY39+Master!EZ39+Master!FF39+Master!FG39+Master!FH39+Master!FI39+Master!FL39+Master!FM39+Master!FN39+Master!FP39+Master!FQ39+Master!FT39+Master!FV39+Master!GA39</f>
        <v>645</v>
      </c>
      <c r="H29" s="4951">
        <f>Master!FA39+Master!FB39+Master!FC39+Master!FD39+Master!FE39+Master!FS39+Master!FU39+Master!GC39</f>
        <v>311</v>
      </c>
      <c r="I29" s="4951">
        <f>Master!BD39+Master!BE39+Master!BF39+Master!BG39+Master!BH39+Master!BI39+Master!BJ39+Master!BK39+Master!BL39+Master!BM39+Master!BN39+Master!BO39+Master!BP39+Master!BQ39+Master!BR39+Master!BS39+Master!BT39+Master!BU39+Master!BV39+Master!BW39+Master!CR39+Master!DA39+Master!DB39+Master!DK39+Master!DL39+Master!DT39+Master!DV39</f>
        <v>1275</v>
      </c>
      <c r="J29" s="4951">
        <f>Master!AV39+Master!BX39+Master!BY39+Master!BZ39+Master!CA39+Master!CV39+Master!DD39+Master!DP39</f>
        <v>321</v>
      </c>
      <c r="K29" s="4951">
        <f t="shared" si="0"/>
        <v>6677</v>
      </c>
      <c r="Q29" s="2016">
        <v>0</v>
      </c>
    </row>
  </sheetData>
  <customSheetViews>
    <customSheetView guid="{5A803268-F6C5-4035-B3E1-A94CB9AA8994}" scale="70">
      <selection activeCell="I9" sqref="I9"/>
      <pageMargins left="0.7" right="0.7" top="0.75" bottom="0.75" header="0.3" footer="0.3"/>
      <pageSetup orientation="portrait" horizontalDpi="0" verticalDpi="0" r:id="rId1"/>
    </customSheetView>
    <customSheetView guid="{751D391F-C74F-4B53-B5B5-25E01AC12EA4}">
      <selection activeCell="N21" sqref="N21"/>
      <pageMargins left="0.7" right="0.7" top="0.75" bottom="0.75" header="0.3" footer="0.3"/>
      <pageSetup scale="55" orientation="portrait" r:id="rId2"/>
    </customSheetView>
    <customSheetView guid="{D1D1E152-95AB-45D3-AC07-4EC0834D3E0C}" showPageBreaks="1" printArea="1" hiddenRows="1">
      <pane xSplit="1" ySplit="3" topLeftCell="B4" activePane="bottomRight" state="frozen"/>
      <selection pane="bottomRight" activeCell="Q24" sqref="Q24"/>
      <pageMargins left="0.7" right="0.7" top="0.75" bottom="0.75" header="0.3" footer="0.3"/>
      <pageSetup scale="55" orientation="portrait" r:id="rId3"/>
    </customSheetView>
    <customSheetView guid="{4DB6C640-CE65-4513-9E5A-F6CDD1F4B8AF}" showPageBreaks="1">
      <selection activeCell="D18" sqref="D18"/>
      <pageMargins left="0.7" right="0.7" top="0.75" bottom="0.75" header="0.3" footer="0.3"/>
      <pageSetup scale="55" orientation="portrait" r:id="rId4"/>
    </customSheetView>
    <customSheetView guid="{C3348F62-02F2-4500-9BF2-19F2DEA57A8D}" showPageBreaks="1" printArea="1">
      <selection activeCell="A37" sqref="A37:XFD37"/>
      <pageMargins left="0.7" right="0.7" top="0.75" bottom="0.75" header="0.3" footer="0.3"/>
      <pageSetup scale="55" orientation="portrait" r:id="rId5"/>
    </customSheetView>
  </customSheetViews>
  <pageMargins left="0.7" right="0.7" top="0.75" bottom="0.75" header="0.3" footer="0.3"/>
  <pageSetup scale="55" orientation="portrait" r:id="rId6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6"/>
  <dimension ref="A1:K34"/>
  <sheetViews>
    <sheetView topLeftCell="B1" workbookViewId="0">
      <selection activeCell="M22" sqref="M22"/>
    </sheetView>
  </sheetViews>
  <sheetFormatPr defaultRowHeight="15"/>
  <cols>
    <col min="1" max="1" width="15" customWidth="1"/>
    <col min="2" max="22" width="23.5703125" customWidth="1"/>
  </cols>
  <sheetData>
    <row r="1" spans="1:11" ht="34.5" customHeight="1">
      <c r="A1" s="3347" t="s">
        <v>0</v>
      </c>
      <c r="B1" s="3347" t="s">
        <v>1221</v>
      </c>
      <c r="C1" s="3347" t="s">
        <v>1222</v>
      </c>
      <c r="D1" s="3347" t="s">
        <v>1223</v>
      </c>
      <c r="E1" s="3347" t="s">
        <v>1224</v>
      </c>
      <c r="F1" s="3347" t="s">
        <v>1225</v>
      </c>
    </row>
    <row r="2" spans="1:11" ht="34.5" customHeight="1">
      <c r="A2" s="3347"/>
      <c r="B2" s="3347" t="s">
        <v>1226</v>
      </c>
      <c r="C2" s="3347" t="s">
        <v>1227</v>
      </c>
      <c r="D2" s="3347" t="s">
        <v>949</v>
      </c>
      <c r="E2" s="3347" t="s">
        <v>1228</v>
      </c>
      <c r="F2" s="3347" t="s">
        <v>1110</v>
      </c>
      <c r="G2" s="3337"/>
      <c r="H2" s="3337"/>
      <c r="I2" s="3337"/>
      <c r="J2" s="3337"/>
      <c r="K2" s="3337"/>
    </row>
    <row r="3" spans="1:11" ht="24" customHeight="1">
      <c r="A3" s="3339">
        <v>4.1666666666666664E-2</v>
      </c>
      <c r="B3" s="3346">
        <v>233</v>
      </c>
      <c r="C3" s="3341"/>
      <c r="D3" s="3341"/>
      <c r="E3" s="3341"/>
      <c r="F3" s="3341"/>
      <c r="G3" s="3337"/>
      <c r="H3" s="3337"/>
      <c r="I3" s="3337"/>
      <c r="J3" s="3337"/>
      <c r="K3" s="3337"/>
    </row>
    <row r="4" spans="1:11" ht="24" customHeight="1">
      <c r="A4" s="3339">
        <v>8.3333333333333329E-2</v>
      </c>
      <c r="B4" s="3346">
        <v>234</v>
      </c>
      <c r="C4" s="3342"/>
      <c r="D4" s="3342"/>
      <c r="E4" s="3342"/>
      <c r="F4" s="3341"/>
      <c r="G4" s="3337"/>
      <c r="H4" s="3337"/>
      <c r="I4" s="3337"/>
      <c r="J4" s="3337"/>
      <c r="K4" s="3337"/>
    </row>
    <row r="5" spans="1:11" ht="24" customHeight="1">
      <c r="A5" s="3339">
        <v>0.125</v>
      </c>
      <c r="B5" s="3345">
        <v>233</v>
      </c>
      <c r="C5" s="3343"/>
      <c r="D5" s="3344"/>
      <c r="E5" s="3344"/>
      <c r="F5" s="3344"/>
      <c r="G5" s="3338"/>
      <c r="H5" s="3337"/>
      <c r="I5" s="3337"/>
      <c r="J5" s="3337"/>
      <c r="K5" s="3337"/>
    </row>
    <row r="6" spans="1:11" ht="24" customHeight="1">
      <c r="A6" s="3339">
        <v>0.16666666666666666</v>
      </c>
      <c r="B6" s="3345">
        <v>233</v>
      </c>
      <c r="C6" s="3343"/>
      <c r="D6" s="3344"/>
      <c r="E6" s="3344"/>
      <c r="F6" s="3344"/>
      <c r="G6" s="3338"/>
      <c r="H6" s="3337"/>
      <c r="I6" s="3337"/>
      <c r="J6" s="3337"/>
      <c r="K6" s="3337"/>
    </row>
    <row r="7" spans="1:11" ht="24" customHeight="1">
      <c r="A7" s="3339">
        <v>0.20833333333333334</v>
      </c>
      <c r="B7" s="3345">
        <v>232</v>
      </c>
      <c r="C7" s="3343"/>
      <c r="D7" s="3343"/>
      <c r="E7" s="3343"/>
      <c r="F7" s="3341"/>
      <c r="G7" s="3337"/>
      <c r="H7" s="3337"/>
      <c r="I7" s="3337"/>
      <c r="J7" s="3337"/>
      <c r="K7" s="3337">
        <f>560/50</f>
        <v>11.2</v>
      </c>
    </row>
    <row r="8" spans="1:11" ht="24" customHeight="1">
      <c r="A8" s="3339">
        <v>0.25</v>
      </c>
      <c r="B8" s="3345">
        <v>232</v>
      </c>
      <c r="C8" s="3343"/>
      <c r="D8" s="3343"/>
      <c r="E8" s="3343"/>
      <c r="F8" s="3341"/>
      <c r="G8" s="3337"/>
      <c r="H8" s="3337"/>
      <c r="I8" s="3337"/>
      <c r="J8" s="3337"/>
      <c r="K8" s="3337"/>
    </row>
    <row r="9" spans="1:11" ht="24" customHeight="1">
      <c r="A9" s="3339">
        <v>0.29166666666666669</v>
      </c>
      <c r="B9" s="3345">
        <v>232</v>
      </c>
      <c r="C9" s="3343">
        <v>2.0699999999999998</v>
      </c>
      <c r="D9" s="3343">
        <v>0.31</v>
      </c>
      <c r="E9" s="3343">
        <v>0.1</v>
      </c>
      <c r="F9" s="3341">
        <v>0.3</v>
      </c>
      <c r="G9" s="3337"/>
      <c r="H9" s="3337"/>
      <c r="I9" s="3337"/>
      <c r="J9" s="3337"/>
      <c r="K9" s="3337"/>
    </row>
    <row r="10" spans="1:11" ht="24" customHeight="1">
      <c r="A10" s="3339">
        <v>0.33333333333333331</v>
      </c>
      <c r="B10" s="3345">
        <v>233</v>
      </c>
      <c r="C10" s="3342">
        <v>8.15</v>
      </c>
      <c r="D10" s="3343">
        <v>1.2</v>
      </c>
      <c r="E10" s="3343">
        <v>0.1</v>
      </c>
      <c r="F10" s="3341">
        <v>1.3</v>
      </c>
      <c r="G10" s="3337"/>
      <c r="H10" s="3337"/>
      <c r="I10" s="3337"/>
      <c r="J10" s="3337"/>
      <c r="K10" s="3337"/>
    </row>
    <row r="11" spans="1:11" ht="24" customHeight="1">
      <c r="A11" s="3339">
        <v>0.375</v>
      </c>
      <c r="B11" s="3345">
        <v>234</v>
      </c>
      <c r="C11" s="3343">
        <v>8.74</v>
      </c>
      <c r="D11" s="3343">
        <v>3.1</v>
      </c>
      <c r="E11" s="3343">
        <v>0.4</v>
      </c>
      <c r="F11" s="3341">
        <v>3.8</v>
      </c>
      <c r="G11" s="3337"/>
      <c r="H11" s="3337"/>
      <c r="I11" s="3337"/>
      <c r="J11" s="3337"/>
      <c r="K11" s="3337">
        <f>1500+280</f>
        <v>1780</v>
      </c>
    </row>
    <row r="12" spans="1:11" ht="24" customHeight="1">
      <c r="A12" s="3339">
        <v>0.41666666666666669</v>
      </c>
      <c r="B12" s="3345">
        <v>234</v>
      </c>
      <c r="C12" s="3343">
        <v>9.6999999999999993</v>
      </c>
      <c r="D12" s="3343">
        <v>4.2</v>
      </c>
      <c r="E12" s="3343">
        <v>1</v>
      </c>
      <c r="F12" s="3341">
        <v>5.6</v>
      </c>
      <c r="G12" s="3337"/>
      <c r="H12" s="3337"/>
      <c r="I12" s="3337"/>
      <c r="J12" s="3337"/>
      <c r="K12" s="3337">
        <f>380+580+900</f>
        <v>1860</v>
      </c>
    </row>
    <row r="13" spans="1:11" ht="24" customHeight="1">
      <c r="A13" s="3339">
        <v>0.45833333333333331</v>
      </c>
      <c r="B13" s="3345">
        <v>234</v>
      </c>
      <c r="C13" s="3343">
        <v>13.1</v>
      </c>
      <c r="D13" s="3343">
        <v>5.5</v>
      </c>
      <c r="E13" s="3343">
        <v>2</v>
      </c>
      <c r="F13" s="3341">
        <v>5.5</v>
      </c>
      <c r="G13" s="3337"/>
      <c r="H13" s="3337"/>
      <c r="I13" s="3337"/>
      <c r="J13" s="3337"/>
      <c r="K13" s="3337">
        <f>K12-K11</f>
        <v>80</v>
      </c>
    </row>
    <row r="14" spans="1:11" ht="24" customHeight="1">
      <c r="A14" s="3339">
        <v>0.5</v>
      </c>
      <c r="B14" s="3345">
        <v>234</v>
      </c>
      <c r="C14" s="3343">
        <v>12</v>
      </c>
      <c r="D14" s="3343">
        <v>2.9</v>
      </c>
      <c r="E14" s="3343">
        <v>2.2000000000000002</v>
      </c>
      <c r="F14" s="3341">
        <v>7.8</v>
      </c>
      <c r="G14" s="3337"/>
      <c r="H14" s="3337"/>
      <c r="I14" s="3337"/>
      <c r="J14" s="3337"/>
      <c r="K14" s="3413"/>
    </row>
    <row r="15" spans="1:11" ht="24" customHeight="1">
      <c r="A15" s="3339">
        <v>0.54166666666666663</v>
      </c>
      <c r="B15" s="3345">
        <v>234</v>
      </c>
      <c r="C15" s="3343">
        <v>11.2</v>
      </c>
      <c r="D15" s="3343">
        <v>5.3</v>
      </c>
      <c r="E15" s="3343">
        <v>2.2000000000000002</v>
      </c>
      <c r="F15" s="3341">
        <v>7.6</v>
      </c>
      <c r="G15" s="3337"/>
      <c r="H15" s="3337"/>
      <c r="I15" s="3337"/>
      <c r="J15" s="3337"/>
      <c r="K15" s="3337"/>
    </row>
    <row r="16" spans="1:11" ht="24" customHeight="1">
      <c r="A16" s="3339">
        <v>0.58333333333333337</v>
      </c>
      <c r="B16" s="3345">
        <v>235</v>
      </c>
      <c r="C16" s="3343">
        <v>17.100000000000001</v>
      </c>
      <c r="D16" s="3343">
        <v>2.8</v>
      </c>
      <c r="E16" s="3343">
        <v>1.8</v>
      </c>
      <c r="F16" s="3341">
        <v>4.8</v>
      </c>
      <c r="G16" s="3337"/>
      <c r="H16" s="3337"/>
      <c r="I16" s="3337"/>
      <c r="J16" s="3337"/>
      <c r="K16" s="3337"/>
    </row>
    <row r="17" spans="1:11" ht="24" customHeight="1">
      <c r="A17" s="3339">
        <v>0.625</v>
      </c>
      <c r="B17" s="3345">
        <v>233</v>
      </c>
      <c r="C17" s="3341">
        <v>13.1</v>
      </c>
      <c r="D17" s="3343">
        <v>1.1000000000000001</v>
      </c>
      <c r="E17" s="3343">
        <v>1.6</v>
      </c>
      <c r="F17" s="3341">
        <v>6.2</v>
      </c>
      <c r="G17" s="3337"/>
      <c r="H17" s="3337"/>
      <c r="I17" s="3337"/>
      <c r="J17" s="3337"/>
      <c r="K17" s="3337"/>
    </row>
    <row r="18" spans="1:11" ht="24" customHeight="1">
      <c r="A18" s="3339">
        <v>0.66666666666666663</v>
      </c>
      <c r="B18" s="3345">
        <v>234</v>
      </c>
      <c r="C18" s="3342">
        <v>8.1999999999999993</v>
      </c>
      <c r="D18" s="3343">
        <v>1.8</v>
      </c>
      <c r="E18" s="3343">
        <v>0.4</v>
      </c>
      <c r="F18" s="3341">
        <v>2.2999999999999998</v>
      </c>
      <c r="G18" s="3337"/>
      <c r="H18" s="3337"/>
      <c r="I18" s="3337"/>
      <c r="J18" s="3337"/>
      <c r="K18" s="3337"/>
    </row>
    <row r="19" spans="1:11" ht="24" customHeight="1">
      <c r="A19" s="3339">
        <v>0.70833333333333337</v>
      </c>
      <c r="B19" s="3345">
        <v>233</v>
      </c>
      <c r="C19" s="3343">
        <v>2.6</v>
      </c>
      <c r="D19" s="3343">
        <v>0.56999999999999995</v>
      </c>
      <c r="E19" s="3343">
        <v>0.3</v>
      </c>
      <c r="F19" s="3341">
        <v>1.3</v>
      </c>
      <c r="G19" s="3337"/>
      <c r="H19" s="3337"/>
      <c r="I19" s="3337"/>
      <c r="J19" s="3337"/>
      <c r="K19" s="3337">
        <f>320+40</f>
        <v>360</v>
      </c>
    </row>
    <row r="20" spans="1:11" ht="24" customHeight="1">
      <c r="A20" s="3339">
        <v>0.75</v>
      </c>
      <c r="B20" s="3343"/>
      <c r="C20" s="3343"/>
      <c r="D20" s="3343"/>
      <c r="E20" s="3343"/>
      <c r="F20" s="3341"/>
      <c r="G20" s="3337"/>
      <c r="H20" s="3337"/>
      <c r="I20" s="3337"/>
      <c r="J20" s="3337"/>
      <c r="K20" s="3337">
        <f>50</f>
        <v>50</v>
      </c>
    </row>
    <row r="21" spans="1:11" ht="24" customHeight="1">
      <c r="A21" s="3339">
        <v>0.77083333333333337</v>
      </c>
      <c r="B21" s="3343"/>
      <c r="C21" s="3343"/>
      <c r="D21" s="3343"/>
      <c r="E21" s="3343"/>
      <c r="F21" s="3341"/>
      <c r="G21" s="3337"/>
      <c r="H21" s="3337"/>
      <c r="I21" s="3337"/>
      <c r="J21" s="3337"/>
      <c r="K21" s="3337">
        <f>K20+K19</f>
        <v>410</v>
      </c>
    </row>
    <row r="22" spans="1:11" ht="24" customHeight="1">
      <c r="A22" s="3339">
        <v>0.79166666666666663</v>
      </c>
      <c r="B22" s="3343"/>
      <c r="C22" s="3343"/>
      <c r="D22" s="3343"/>
      <c r="E22" s="3343"/>
      <c r="F22" s="3341"/>
      <c r="G22" s="3337"/>
      <c r="H22" s="3337"/>
      <c r="I22" s="3337"/>
      <c r="J22" s="3337"/>
      <c r="K22" s="3337">
        <f>1800-K21</f>
        <v>1390</v>
      </c>
    </row>
    <row r="23" spans="1:11" ht="24" customHeight="1">
      <c r="A23" s="3339">
        <v>0.8125</v>
      </c>
      <c r="B23" s="3343"/>
      <c r="C23" s="3343"/>
      <c r="D23" s="3343"/>
      <c r="E23" s="3343"/>
      <c r="F23" s="3341"/>
      <c r="G23" s="3337"/>
      <c r="H23" s="3337"/>
      <c r="I23" s="3337"/>
      <c r="J23" s="3337"/>
      <c r="K23" s="3337">
        <f>1500-370</f>
        <v>1130</v>
      </c>
    </row>
    <row r="24" spans="1:11" ht="24" customHeight="1">
      <c r="A24" s="3339">
        <v>0.83333333333333337</v>
      </c>
      <c r="B24" s="3343"/>
      <c r="C24" s="3343"/>
      <c r="D24" s="3343"/>
      <c r="E24" s="3343"/>
      <c r="F24" s="3341"/>
      <c r="G24" s="3337"/>
      <c r="H24" s="3337"/>
      <c r="I24" s="3337"/>
      <c r="J24" s="3337"/>
      <c r="K24" s="3337">
        <f>K23+K21</f>
        <v>1540</v>
      </c>
    </row>
    <row r="25" spans="1:11" ht="24" customHeight="1">
      <c r="A25" s="3339">
        <v>0.875</v>
      </c>
      <c r="B25" s="3343"/>
      <c r="C25" s="3343"/>
      <c r="D25" s="3343"/>
      <c r="E25" s="3343"/>
      <c r="F25" s="3341"/>
      <c r="G25" s="3337"/>
      <c r="H25" s="3337"/>
      <c r="I25" s="3337"/>
      <c r="J25" s="3337"/>
      <c r="K25" s="3337"/>
    </row>
    <row r="26" spans="1:11" ht="24" customHeight="1">
      <c r="A26" s="3339">
        <v>0.91666666666666663</v>
      </c>
      <c r="B26" s="3343"/>
      <c r="C26" s="3343"/>
      <c r="D26" s="3343"/>
      <c r="E26" s="3343"/>
      <c r="F26" s="3341"/>
      <c r="G26" s="3337"/>
      <c r="H26" s="3337"/>
      <c r="I26" s="3337"/>
      <c r="J26" s="3337"/>
      <c r="K26" s="3337"/>
    </row>
    <row r="27" spans="1:11" ht="24" customHeight="1">
      <c r="A27" s="3339">
        <v>0.95833333333333337</v>
      </c>
      <c r="B27" s="3343"/>
      <c r="C27" s="3343"/>
      <c r="D27" s="3343"/>
      <c r="E27" s="3343"/>
      <c r="F27" s="3341"/>
      <c r="G27" s="3337"/>
      <c r="H27" s="3337"/>
      <c r="I27" s="3337"/>
      <c r="J27" s="3337"/>
      <c r="K27" s="3337"/>
    </row>
    <row r="28" spans="1:11" ht="24" customHeight="1">
      <c r="A28" s="3340">
        <v>1</v>
      </c>
      <c r="B28" s="3341"/>
      <c r="C28" s="3343"/>
      <c r="D28" s="3343"/>
      <c r="E28" s="3343"/>
      <c r="F28" s="3341"/>
      <c r="G28" s="3337"/>
      <c r="H28" s="3337"/>
      <c r="I28" s="3337"/>
      <c r="J28" s="3337"/>
      <c r="K28" s="3337"/>
    </row>
    <row r="29" spans="1:11">
      <c r="B29" s="3337"/>
      <c r="C29" s="3337"/>
      <c r="D29" s="3337"/>
      <c r="E29" s="3337"/>
      <c r="F29" s="3337"/>
      <c r="G29" s="3337"/>
      <c r="H29" s="3337"/>
      <c r="I29" s="3337"/>
      <c r="J29" s="3337"/>
      <c r="K29" s="3337"/>
    </row>
    <row r="30" spans="1:11">
      <c r="B30" s="3337"/>
      <c r="C30" s="3337"/>
      <c r="D30" s="3337"/>
      <c r="E30" s="3337"/>
      <c r="F30" s="3337"/>
      <c r="G30" s="3337"/>
      <c r="H30" s="3337"/>
      <c r="I30" s="3337"/>
      <c r="J30" s="3337"/>
      <c r="K30" s="3337"/>
    </row>
    <row r="31" spans="1:11">
      <c r="B31" s="3337"/>
      <c r="C31" s="3337"/>
      <c r="D31" s="3337"/>
      <c r="E31" s="3337"/>
      <c r="F31" s="3337"/>
      <c r="G31" s="3337"/>
      <c r="H31" s="3337"/>
      <c r="I31" s="3337"/>
      <c r="J31" s="3337"/>
      <c r="K31" s="3337"/>
    </row>
    <row r="32" spans="1:11">
      <c r="B32" s="3337"/>
      <c r="C32" s="3337"/>
      <c r="D32" s="3337"/>
      <c r="E32" s="3337"/>
      <c r="F32" s="3337"/>
      <c r="G32" s="3337"/>
      <c r="H32" s="3337"/>
      <c r="I32" s="3337"/>
      <c r="J32" s="3337"/>
      <c r="K32" s="3337"/>
    </row>
    <row r="33" spans="5:5" ht="15.75">
      <c r="E33" s="2026"/>
    </row>
    <row r="34" spans="5:5" ht="15.75">
      <c r="E34" s="2027"/>
    </row>
  </sheetData>
  <customSheetViews>
    <customSheetView guid="{7C71EF2A-5ADA-494C-8F58-DDA71753DD90}" showPageBreaks="1" topLeftCell="A10">
      <selection activeCell="G36" sqref="G36"/>
      <pageMargins left="0.7" right="0.7" top="0.75" bottom="0.75" header="0.3" footer="0.3"/>
      <pageSetup orientation="portrait" verticalDpi="4294967295" r:id="rId1"/>
    </customSheetView>
    <customSheetView guid="{B91C2E87-5EDA-40AE-AC27-0E2C17E803CE}" showPageBreaks="1" printArea="1">
      <selection activeCell="O9" sqref="O9:O10"/>
      <pageMargins left="0.95" right="0.5" top="0.75" bottom="0.75" header="0.3" footer="0.3"/>
      <pageSetup scale="71" orientation="portrait" r:id="rId2"/>
    </customSheetView>
    <customSheetView guid="{23F4DC00-BC97-4745-AA5C-F05D469CB1EF}" showPageBreaks="1">
      <selection activeCell="K2" sqref="K2:K29"/>
      <pageMargins left="0.7" right="0.7" top="0.75" bottom="0.75" header="0.3" footer="0.3"/>
      <pageSetup paperSize="9" orientation="portrait" verticalDpi="0" r:id="rId3"/>
    </customSheetView>
    <customSheetView guid="{917057C8-5E5F-4164-B84C-85103677A2E5}">
      <selection activeCell="A22" sqref="A22:XFD22"/>
      <pageMargins left="0.7" right="0.7" top="0.75" bottom="0.75" header="0.3" footer="0.3"/>
      <pageSetup orientation="portrait" verticalDpi="0" r:id="rId4"/>
    </customSheetView>
    <customSheetView guid="{5A803268-F6C5-4035-B3E1-A94CB9AA8994}" showPageBreaks="1">
      <selection activeCell="K2" sqref="K2:K29"/>
      <pageMargins left="0.7" right="0.7" top="0.75" bottom="0.75" header="0.3" footer="0.3"/>
      <pageSetup orientation="portrait" horizontalDpi="0" verticalDpi="0" r:id="rId5"/>
    </customSheetView>
    <customSheetView guid="{751D391F-C74F-4B53-B5B5-25E01AC12EA4}" topLeftCell="B1">
      <selection activeCell="M22" sqref="M22"/>
      <pageMargins left="0.7" right="0.7" top="0.75" bottom="0.75" header="0.3" footer="0.3"/>
      <pageSetup orientation="portrait" verticalDpi="4294967295" r:id="rId6"/>
    </customSheetView>
    <customSheetView guid="{D1D1E152-95AB-45D3-AC07-4EC0834D3E0C}" topLeftCell="B1">
      <selection activeCell="M22" sqref="M22"/>
      <pageMargins left="0.7" right="0.7" top="0.75" bottom="0.75" header="0.3" footer="0.3"/>
      <pageSetup orientation="portrait" verticalDpi="4294967295" r:id="rId7"/>
    </customSheetView>
    <customSheetView guid="{4DB6C640-CE65-4513-9E5A-F6CDD1F4B8AF}" topLeftCell="B1">
      <selection activeCell="K13" sqref="K13"/>
      <pageMargins left="0.7" right="0.7" top="0.75" bottom="0.75" header="0.3" footer="0.3"/>
      <pageSetup orientation="portrait" verticalDpi="4294967295" r:id="rId8"/>
    </customSheetView>
    <customSheetView guid="{C3348F62-02F2-4500-9BF2-19F2DEA57A8D}" showPageBreaks="1" topLeftCell="B1">
      <selection activeCell="M22" sqref="M22"/>
      <pageMargins left="0.7" right="0.7" top="0.75" bottom="0.75" header="0.3" footer="0.3"/>
      <pageSetup orientation="portrait" verticalDpi="4294967295" r:id="rId9"/>
    </customSheetView>
  </customSheetViews>
  <pageMargins left="0.7" right="0.7" top="0.75" bottom="0.75" header="0.3" footer="0.3"/>
  <pageSetup orientation="portrait" verticalDpi="4294967295" r:id="rId10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C1:AL94"/>
  <sheetViews>
    <sheetView topLeftCell="A4" workbookViewId="0">
      <selection activeCell="H4" sqref="H4"/>
    </sheetView>
  </sheetViews>
  <sheetFormatPr defaultRowHeight="15"/>
  <cols>
    <col min="3" max="3" width="22.42578125" customWidth="1"/>
    <col min="4" max="4" width="44.7109375" customWidth="1"/>
    <col min="5" max="5" width="45.7109375" customWidth="1"/>
    <col min="6" max="6" width="36.140625" customWidth="1"/>
    <col min="7" max="7" width="11" customWidth="1"/>
    <col min="8" max="8" width="20" customWidth="1"/>
    <col min="9" max="9" width="7.140625" customWidth="1"/>
    <col min="14" max="14" width="9.140625" customWidth="1"/>
    <col min="16" max="16" width="12" bestFit="1" customWidth="1"/>
    <col min="21" max="21" width="45.140625" customWidth="1"/>
    <col min="25" max="25" width="13.140625" customWidth="1"/>
    <col min="26" max="26" width="12.42578125" customWidth="1"/>
  </cols>
  <sheetData>
    <row r="1" spans="3:28">
      <c r="G1" s="4401"/>
      <c r="H1" s="4404" t="s">
        <v>1346</v>
      </c>
    </row>
    <row r="2" spans="3:28" ht="22.5" customHeight="1">
      <c r="G2" s="4402" t="s">
        <v>1345</v>
      </c>
      <c r="H2" s="4405">
        <v>42746</v>
      </c>
    </row>
    <row r="3" spans="3:28" ht="20.25" customHeight="1">
      <c r="C3" s="4380"/>
      <c r="D3" s="4381"/>
      <c r="E3" s="4381"/>
      <c r="F3" s="4381"/>
      <c r="G3" s="4403" t="s">
        <v>1347</v>
      </c>
      <c r="H3" s="4405" t="s">
        <v>1631</v>
      </c>
      <c r="U3" s="2025" t="s">
        <v>1135</v>
      </c>
      <c r="V3" s="2016"/>
      <c r="W3" s="2016"/>
      <c r="X3" s="2016"/>
      <c r="Y3" s="2016"/>
      <c r="AA3" t="s">
        <v>1312</v>
      </c>
      <c r="AB3">
        <f>6673+4290+1800+400+R10+R15</f>
        <v>13163</v>
      </c>
    </row>
    <row r="4" spans="3:28" ht="12" customHeight="1">
      <c r="C4" s="4382"/>
      <c r="D4" s="3337"/>
      <c r="E4" s="3337"/>
      <c r="F4" s="3337"/>
      <c r="G4" s="3337"/>
      <c r="H4" s="3337"/>
      <c r="U4" s="2030" t="s">
        <v>1125</v>
      </c>
    </row>
    <row r="5" spans="3:28" ht="30" customHeight="1">
      <c r="C5" s="4393"/>
      <c r="D5" s="4394" t="s">
        <v>1457</v>
      </c>
      <c r="E5" s="4391"/>
      <c r="F5" s="4392"/>
      <c r="G5" s="3337"/>
      <c r="H5" s="3337"/>
      <c r="U5" s="2033" t="s">
        <v>1126</v>
      </c>
      <c r="V5" s="2029"/>
      <c r="W5" s="2029"/>
      <c r="X5" s="2033" t="s">
        <v>1229</v>
      </c>
    </row>
    <row r="6" spans="3:28" ht="44.25" customHeight="1">
      <c r="C6" s="4384" t="s">
        <v>19</v>
      </c>
      <c r="D6" s="4385" t="s">
        <v>1458</v>
      </c>
      <c r="E6" s="4385" t="s">
        <v>1459</v>
      </c>
      <c r="F6" s="4384" t="s">
        <v>1344</v>
      </c>
      <c r="G6" s="4383"/>
      <c r="H6" s="3338"/>
      <c r="U6" s="2017" t="s">
        <v>1122</v>
      </c>
      <c r="V6" s="2017" t="s">
        <v>1115</v>
      </c>
      <c r="W6" s="2034" t="s">
        <v>1128</v>
      </c>
      <c r="X6" s="2034" t="s">
        <v>1138</v>
      </c>
      <c r="Y6" s="2040" t="s">
        <v>1132</v>
      </c>
      <c r="Z6" s="2039" t="s">
        <v>1133</v>
      </c>
    </row>
    <row r="7" spans="3:28" ht="24.95" customHeight="1">
      <c r="C7" s="4395">
        <v>43039</v>
      </c>
      <c r="D7" s="4386">
        <v>225084381.69999999</v>
      </c>
      <c r="E7" s="4387">
        <v>212516363.08000001</v>
      </c>
      <c r="F7" s="4396">
        <f t="shared" ref="F7:F37" si="0">(E7-D7)/D7</f>
        <v>-5.5836920025624216E-2</v>
      </c>
      <c r="G7" s="4383"/>
      <c r="H7" s="3338"/>
      <c r="U7" s="2017" t="s">
        <v>1136</v>
      </c>
      <c r="V7" s="2019"/>
      <c r="W7" s="2049">
        <v>0.33333333333333331</v>
      </c>
      <c r="X7" s="2049"/>
      <c r="Y7" s="2132"/>
      <c r="Z7" s="2048"/>
    </row>
    <row r="8" spans="3:28" ht="24.95" customHeight="1">
      <c r="C8" s="4395">
        <v>43040</v>
      </c>
      <c r="D8" s="4386">
        <v>228589646.5</v>
      </c>
      <c r="E8" s="4387">
        <v>206751715.53</v>
      </c>
      <c r="F8" s="4396">
        <f t="shared" si="0"/>
        <v>-9.5533333658661568E-2</v>
      </c>
      <c r="G8" s="3337"/>
      <c r="H8" s="3337"/>
      <c r="U8" s="2018" t="s">
        <v>1119</v>
      </c>
      <c r="V8" s="2020"/>
      <c r="W8" s="2031">
        <v>0.45833333333333331</v>
      </c>
      <c r="X8" s="2031"/>
      <c r="Y8" s="2053"/>
      <c r="Z8" s="2053"/>
    </row>
    <row r="9" spans="3:28" ht="24.95" customHeight="1">
      <c r="C9" s="4395">
        <v>43041</v>
      </c>
      <c r="D9" s="4386">
        <v>228358661.37</v>
      </c>
      <c r="E9" s="4387">
        <v>208777606.22</v>
      </c>
      <c r="F9" s="4396">
        <f t="shared" si="0"/>
        <v>-8.5746934373002126E-2</v>
      </c>
      <c r="G9" s="3337"/>
      <c r="H9" s="3337"/>
      <c r="U9" s="2018" t="s">
        <v>1120</v>
      </c>
      <c r="V9" s="2020"/>
      <c r="W9" s="2031">
        <v>0.54166666666666663</v>
      </c>
      <c r="X9" s="2031"/>
      <c r="Y9" s="2022"/>
      <c r="Z9" s="2022"/>
    </row>
    <row r="10" spans="3:28" ht="24.95" customHeight="1">
      <c r="C10" s="4395">
        <v>43042</v>
      </c>
      <c r="D10" s="4387">
        <v>212014347.18000001</v>
      </c>
      <c r="E10" s="4387">
        <v>205885226.63999999</v>
      </c>
      <c r="F10" s="4396">
        <f t="shared" si="0"/>
        <v>-2.8908989516621738E-2</v>
      </c>
      <c r="G10" s="3337"/>
      <c r="H10" s="3337"/>
      <c r="U10" s="2018" t="s">
        <v>1121</v>
      </c>
      <c r="V10" s="2020"/>
      <c r="W10" s="2031">
        <v>0.47916666666666669</v>
      </c>
      <c r="X10" s="2031"/>
      <c r="Y10" s="2022"/>
      <c r="Z10" s="2022"/>
    </row>
    <row r="11" spans="3:28" ht="24.95" customHeight="1">
      <c r="C11" s="4395">
        <v>43043</v>
      </c>
      <c r="D11" s="4387">
        <v>195292671.16</v>
      </c>
      <c r="E11" s="4387">
        <v>180388093.81999999</v>
      </c>
      <c r="F11" s="4396">
        <f t="shared" si="0"/>
        <v>-7.6319184183767624E-2</v>
      </c>
      <c r="G11" s="3337"/>
      <c r="H11" s="3337"/>
      <c r="U11" s="2018" t="s">
        <v>1134</v>
      </c>
      <c r="V11" s="2020" t="s">
        <v>1116</v>
      </c>
      <c r="W11" s="2031">
        <v>0.52083333333333337</v>
      </c>
      <c r="X11" s="2031"/>
      <c r="Y11" s="2022"/>
      <c r="Z11" s="2022"/>
    </row>
    <row r="12" spans="3:28" ht="24.95" customHeight="1">
      <c r="C12" s="4395">
        <v>43044</v>
      </c>
      <c r="D12" s="4387">
        <v>161106433.06</v>
      </c>
      <c r="E12" s="4387">
        <v>187894281.75</v>
      </c>
      <c r="F12" s="4396">
        <f t="shared" si="0"/>
        <v>0.16627423363053134</v>
      </c>
      <c r="G12" s="3337"/>
      <c r="H12" s="3337"/>
      <c r="P12" s="3700"/>
      <c r="U12" s="2018" t="s">
        <v>1113</v>
      </c>
      <c r="V12" s="2020"/>
      <c r="W12" s="2017" t="s">
        <v>1127</v>
      </c>
      <c r="X12" s="2017"/>
      <c r="Y12" s="2022"/>
      <c r="Z12" s="2022"/>
    </row>
    <row r="13" spans="3:28" ht="24.95" customHeight="1">
      <c r="C13" s="4395">
        <v>43045</v>
      </c>
      <c r="D13" s="4387">
        <v>169237019.88999999</v>
      </c>
      <c r="E13" s="4387">
        <v>194409868.09</v>
      </c>
      <c r="F13" s="4396">
        <f t="shared" si="0"/>
        <v>0.14874315451998485</v>
      </c>
      <c r="G13" s="3337"/>
      <c r="H13" s="3337"/>
      <c r="P13" s="3701"/>
      <c r="U13" s="2018" t="s">
        <v>1114</v>
      </c>
      <c r="V13" s="2020"/>
      <c r="W13" s="2031">
        <v>0.47916666666666669</v>
      </c>
      <c r="X13" s="2031"/>
      <c r="Y13" s="2022"/>
      <c r="Z13" s="2022"/>
    </row>
    <row r="14" spans="3:28" ht="24.95" customHeight="1">
      <c r="C14" s="4395">
        <v>43046</v>
      </c>
      <c r="D14" s="4387">
        <v>187534985.63999999</v>
      </c>
      <c r="E14" s="4387">
        <v>196276376.33000001</v>
      </c>
      <c r="F14" s="4396">
        <f t="shared" si="0"/>
        <v>4.6612052999968588E-2</v>
      </c>
      <c r="G14" s="3337"/>
      <c r="H14" s="3337"/>
      <c r="P14" s="3701"/>
      <c r="U14" s="2018" t="s">
        <v>1137</v>
      </c>
      <c r="V14" s="2021"/>
      <c r="W14" s="2035">
        <v>0.58333333333333337</v>
      </c>
      <c r="X14" s="2031"/>
      <c r="Y14" s="956"/>
      <c r="Z14" s="956"/>
    </row>
    <row r="15" spans="3:28" ht="24.95" customHeight="1">
      <c r="C15" s="4395">
        <v>43047</v>
      </c>
      <c r="D15" s="4387">
        <v>193452631.86000001</v>
      </c>
      <c r="E15" s="4387">
        <v>202396451.30000001</v>
      </c>
      <c r="F15" s="4396">
        <f t="shared" si="0"/>
        <v>4.6232606680029882E-2</v>
      </c>
      <c r="G15" s="3337"/>
      <c r="H15" s="3337"/>
      <c r="P15" s="3702"/>
      <c r="U15" s="2038" t="s">
        <v>1129</v>
      </c>
      <c r="V15" s="2042"/>
      <c r="W15" s="2024"/>
      <c r="X15" s="2036"/>
      <c r="Y15" s="2037"/>
      <c r="Z15" s="2023"/>
    </row>
    <row r="16" spans="3:28" ht="24.95" customHeight="1">
      <c r="C16" s="4395">
        <v>43048</v>
      </c>
      <c r="D16" s="4387">
        <v>196841489.34</v>
      </c>
      <c r="E16" s="4387">
        <v>205229265.56</v>
      </c>
      <c r="F16" s="4396">
        <f t="shared" si="0"/>
        <v>4.2611830707661308E-2</v>
      </c>
      <c r="G16" s="3337"/>
      <c r="H16" s="3337"/>
      <c r="P16" s="3702"/>
      <c r="U16" s="2017" t="s">
        <v>1136</v>
      </c>
      <c r="V16" s="2019"/>
      <c r="W16" s="2050">
        <v>0.58333333333333337</v>
      </c>
      <c r="X16" s="2018"/>
      <c r="Y16" s="2051"/>
      <c r="Z16" s="2051"/>
    </row>
    <row r="17" spans="3:26" ht="24.95" customHeight="1">
      <c r="C17" s="4395">
        <v>43049</v>
      </c>
      <c r="D17" s="4387">
        <v>194107602.56</v>
      </c>
      <c r="E17" s="4387">
        <v>205392178.25</v>
      </c>
      <c r="F17" s="4396">
        <f t="shared" si="0"/>
        <v>5.8135670840156077E-2</v>
      </c>
      <c r="G17" s="3337"/>
      <c r="H17" s="3337"/>
      <c r="P17" s="3701"/>
      <c r="U17" s="2018" t="s">
        <v>1123</v>
      </c>
      <c r="V17" s="2020"/>
      <c r="W17" s="2031">
        <v>0.91666666666666663</v>
      </c>
      <c r="X17" s="2031"/>
      <c r="Y17" s="2052"/>
      <c r="Z17" s="2053"/>
    </row>
    <row r="18" spans="3:26" ht="24.95" customHeight="1">
      <c r="C18" s="4395">
        <v>43050</v>
      </c>
      <c r="D18" s="4387">
        <v>195642555.49000001</v>
      </c>
      <c r="E18" s="4387">
        <v>187688122.12</v>
      </c>
      <c r="F18" s="4396">
        <f t="shared" si="0"/>
        <v>-4.0657991560566098E-2</v>
      </c>
      <c r="G18" s="3337"/>
      <c r="H18" s="3337"/>
      <c r="P18" s="3701"/>
      <c r="U18" s="2018" t="s">
        <v>1124</v>
      </c>
      <c r="V18" s="2045"/>
      <c r="W18" s="2031">
        <v>0.77083333333333337</v>
      </c>
      <c r="X18" s="2031"/>
      <c r="Y18" s="2022"/>
      <c r="Z18" s="2022"/>
    </row>
    <row r="19" spans="3:26" ht="24.95" customHeight="1">
      <c r="C19" s="4395">
        <v>43051</v>
      </c>
      <c r="D19" s="4387">
        <v>176896418.13999999</v>
      </c>
      <c r="E19" s="4387">
        <v>186464594.68000001</v>
      </c>
      <c r="F19" s="4396">
        <f t="shared" si="0"/>
        <v>5.4089147991835208E-2</v>
      </c>
      <c r="G19" s="3337"/>
      <c r="H19" s="3337"/>
      <c r="P19" s="3701"/>
      <c r="U19" s="2018" t="s">
        <v>1113</v>
      </c>
      <c r="V19" s="2020" t="s">
        <v>1117</v>
      </c>
      <c r="W19" s="2017" t="s">
        <v>1127</v>
      </c>
      <c r="X19" s="2017"/>
      <c r="Y19" s="2022"/>
      <c r="Z19" s="2022"/>
    </row>
    <row r="20" spans="3:26" ht="24.95" customHeight="1">
      <c r="C20" s="4395">
        <v>43052</v>
      </c>
      <c r="D20" s="4387">
        <v>186584530.91</v>
      </c>
      <c r="E20" s="4387">
        <v>188022052.25</v>
      </c>
      <c r="F20" s="4396">
        <f t="shared" si="0"/>
        <v>7.7043972133649134E-3</v>
      </c>
      <c r="G20" s="3337"/>
      <c r="H20" s="3337"/>
      <c r="P20" s="3703"/>
      <c r="U20" s="2018" t="s">
        <v>1151</v>
      </c>
      <c r="V20" s="2020"/>
      <c r="W20" s="2031">
        <v>0.83333333333333337</v>
      </c>
      <c r="X20" s="2031"/>
      <c r="Y20" s="2022"/>
      <c r="Z20" s="2022"/>
    </row>
    <row r="21" spans="3:26" ht="24.95" customHeight="1">
      <c r="C21" s="4395">
        <v>43053</v>
      </c>
      <c r="D21" s="4387">
        <v>192147760.93000001</v>
      </c>
      <c r="E21" s="4387">
        <v>189149866.94</v>
      </c>
      <c r="F21" s="4396">
        <f t="shared" si="0"/>
        <v>-1.5602024064657985E-2</v>
      </c>
      <c r="G21" s="3337"/>
      <c r="H21" s="3337"/>
      <c r="P21" s="3704"/>
      <c r="U21" s="2018" t="s">
        <v>1137</v>
      </c>
      <c r="V21" s="2021"/>
      <c r="W21" s="2031">
        <v>0.91666666666666663</v>
      </c>
      <c r="X21" s="2031"/>
      <c r="Y21" s="956"/>
      <c r="Z21" s="956"/>
    </row>
    <row r="22" spans="3:26" ht="24.95" customHeight="1">
      <c r="C22" s="4395">
        <v>43054</v>
      </c>
      <c r="D22" s="4387">
        <v>191334190.27000001</v>
      </c>
      <c r="E22" s="4387">
        <v>189269007.55000001</v>
      </c>
      <c r="F22" s="4396">
        <f t="shared" si="0"/>
        <v>-1.0793589567477353E-2</v>
      </c>
      <c r="G22" s="3337"/>
      <c r="H22" s="3337"/>
      <c r="U22" s="2038" t="s">
        <v>1130</v>
      </c>
      <c r="V22" s="2042"/>
      <c r="W22" s="2024"/>
      <c r="X22" s="2024"/>
      <c r="Y22" s="2037"/>
      <c r="Z22" s="2023"/>
    </row>
    <row r="23" spans="3:26" ht="24.95" customHeight="1">
      <c r="C23" s="4395">
        <v>43055</v>
      </c>
      <c r="D23" s="4387">
        <v>189800165.38999999</v>
      </c>
      <c r="E23" s="4387">
        <v>190392148.84999999</v>
      </c>
      <c r="F23" s="4396">
        <f t="shared" si="0"/>
        <v>3.1189828458979742E-3</v>
      </c>
      <c r="G23" s="3337"/>
      <c r="H23" s="3337"/>
      <c r="U23" s="2017" t="s">
        <v>1136</v>
      </c>
      <c r="V23" s="2019"/>
      <c r="W23" s="2031">
        <v>0.91666666666666663</v>
      </c>
      <c r="X23" s="2017"/>
      <c r="Y23" s="2051"/>
      <c r="Z23" s="2051"/>
    </row>
    <row r="24" spans="3:26" ht="24.95" customHeight="1">
      <c r="C24" s="4395">
        <v>43056</v>
      </c>
      <c r="D24" s="4387">
        <v>182759421.37</v>
      </c>
      <c r="E24" s="4387">
        <v>192454874.27000001</v>
      </c>
      <c r="F24" s="4396">
        <f t="shared" si="0"/>
        <v>5.3050358921696149E-2</v>
      </c>
      <c r="G24" s="3337"/>
      <c r="H24" s="3337"/>
      <c r="U24" s="2018" t="s">
        <v>1150</v>
      </c>
      <c r="V24" s="2020"/>
      <c r="W24" s="2031">
        <v>0.95833333333333337</v>
      </c>
      <c r="X24" s="2031"/>
      <c r="Y24" s="2053"/>
      <c r="Z24" s="2053"/>
    </row>
    <row r="25" spans="3:26" ht="24.95" customHeight="1">
      <c r="C25" s="4395">
        <v>43057</v>
      </c>
      <c r="D25" s="4387">
        <v>182835650.74000001</v>
      </c>
      <c r="E25" s="4387">
        <v>171374179.84999999</v>
      </c>
      <c r="F25" s="4396">
        <f t="shared" si="0"/>
        <v>-6.2687286880930615E-2</v>
      </c>
      <c r="G25" s="3337"/>
      <c r="H25" s="3337"/>
      <c r="U25" s="2018" t="s">
        <v>1113</v>
      </c>
      <c r="V25" s="2020"/>
      <c r="W25" s="2017" t="s">
        <v>1127</v>
      </c>
      <c r="X25" s="2017"/>
      <c r="Y25" s="2022"/>
      <c r="Z25" s="2022"/>
    </row>
    <row r="26" spans="3:26" ht="24.95" customHeight="1">
      <c r="C26" s="4395">
        <v>43058</v>
      </c>
      <c r="D26" s="4387">
        <v>182460057.63999999</v>
      </c>
      <c r="E26" s="4387">
        <v>183456364.53999999</v>
      </c>
      <c r="F26" s="4396">
        <f t="shared" si="0"/>
        <v>5.4604109682227222E-3</v>
      </c>
      <c r="G26" s="3337"/>
      <c r="H26" s="3337"/>
      <c r="U26" s="2018" t="s">
        <v>1112</v>
      </c>
      <c r="V26" s="2044" t="s">
        <v>1118</v>
      </c>
      <c r="W26" s="2031">
        <v>4.1666666666666664E-2</v>
      </c>
      <c r="X26" s="2032"/>
      <c r="Y26" s="2022"/>
      <c r="Z26" s="2022"/>
    </row>
    <row r="27" spans="3:26" ht="24.95" customHeight="1">
      <c r="C27" s="4395">
        <v>43059</v>
      </c>
      <c r="D27" s="4387">
        <v>177145931.65000001</v>
      </c>
      <c r="E27" s="4387">
        <v>190830928.88999999</v>
      </c>
      <c r="F27" s="4396">
        <f t="shared" si="0"/>
        <v>7.7252675873123719E-2</v>
      </c>
      <c r="G27" s="3337"/>
      <c r="H27" s="3337"/>
      <c r="U27" s="2018" t="s">
        <v>1137</v>
      </c>
      <c r="V27" s="2028"/>
      <c r="W27" s="2031">
        <v>0.33333333333333331</v>
      </c>
      <c r="X27" s="2032"/>
      <c r="Y27" s="956"/>
      <c r="Z27" s="956"/>
    </row>
    <row r="28" spans="3:26" ht="24.95" customHeight="1">
      <c r="C28" s="4395">
        <v>43060</v>
      </c>
      <c r="D28" s="4387">
        <v>175560273.22</v>
      </c>
      <c r="E28" s="4387">
        <v>194235894.53999999</v>
      </c>
      <c r="F28" s="4396">
        <f t="shared" si="0"/>
        <v>0.1063772627910928</v>
      </c>
      <c r="G28" s="3337"/>
      <c r="H28" s="3337"/>
      <c r="U28" s="2041" t="s">
        <v>1131</v>
      </c>
      <c r="V28" s="2043"/>
      <c r="W28" s="2037"/>
      <c r="X28" s="2037"/>
      <c r="Y28" s="2037"/>
      <c r="Z28" s="2023"/>
    </row>
    <row r="29" spans="3:26" ht="24.95" customHeight="1">
      <c r="C29" s="4395">
        <v>43061</v>
      </c>
      <c r="D29" s="4387">
        <v>169017396.80000001</v>
      </c>
      <c r="E29" s="4387">
        <v>197202443.69999999</v>
      </c>
      <c r="F29" s="4396">
        <f t="shared" si="0"/>
        <v>0.16675825940776751</v>
      </c>
    </row>
    <row r="30" spans="3:26" ht="24.95" customHeight="1">
      <c r="C30" s="4395">
        <v>43062</v>
      </c>
      <c r="D30" s="4387">
        <v>169520407.58000001</v>
      </c>
      <c r="E30" s="4387">
        <v>194886123.12</v>
      </c>
      <c r="F30" s="4396">
        <f t="shared" si="0"/>
        <v>0.14963222364852688</v>
      </c>
    </row>
    <row r="31" spans="3:26" ht="24.95" customHeight="1">
      <c r="C31" s="4395">
        <v>43063</v>
      </c>
      <c r="D31" s="4387">
        <v>170705061.88999999</v>
      </c>
      <c r="E31" s="4387">
        <v>191589441.28</v>
      </c>
      <c r="F31" s="4396">
        <f t="shared" si="0"/>
        <v>0.12234188698784823</v>
      </c>
    </row>
    <row r="32" spans="3:26" ht="24.95" customHeight="1">
      <c r="C32" s="4395">
        <v>43064</v>
      </c>
      <c r="D32" s="4387">
        <v>166239711.91999999</v>
      </c>
      <c r="E32" s="4387">
        <v>168361215.75</v>
      </c>
      <c r="F32" s="4396">
        <f t="shared" si="0"/>
        <v>1.2761715028843112E-2</v>
      </c>
    </row>
    <row r="33" spans="3:6" ht="24.95" customHeight="1">
      <c r="C33" s="4395">
        <v>43065</v>
      </c>
      <c r="D33" s="4387">
        <v>151993441.74000001</v>
      </c>
      <c r="E33" s="4387">
        <v>177915302.03999999</v>
      </c>
      <c r="F33" s="4396">
        <f t="shared" si="0"/>
        <v>0.17054591305552458</v>
      </c>
    </row>
    <row r="34" spans="3:6" ht="24.95" customHeight="1">
      <c r="C34" s="4395">
        <v>43066</v>
      </c>
      <c r="D34" s="4386">
        <v>160263326.65000001</v>
      </c>
      <c r="E34" s="4387">
        <v>182591042.16999999</v>
      </c>
      <c r="F34" s="4396">
        <f t="shared" si="0"/>
        <v>0.1393189320770909</v>
      </c>
    </row>
    <row r="35" spans="3:6" ht="24.95" customHeight="1">
      <c r="C35" s="4395">
        <v>43067</v>
      </c>
      <c r="D35" s="4397">
        <v>168694727.77000001</v>
      </c>
      <c r="E35" s="4387">
        <v>185512921.24000001</v>
      </c>
      <c r="F35" s="4396">
        <f t="shared" si="0"/>
        <v>9.9696023060839717E-2</v>
      </c>
    </row>
    <row r="36" spans="3:6" ht="24.95" customHeight="1">
      <c r="C36" s="4395">
        <v>43068</v>
      </c>
      <c r="D36" s="4387">
        <v>173822710.09999999</v>
      </c>
      <c r="E36" s="4387">
        <v>269127529.54000002</v>
      </c>
      <c r="F36" s="4396">
        <f t="shared" si="0"/>
        <v>0.54828750158809103</v>
      </c>
    </row>
    <row r="37" spans="3:6" ht="24.95" customHeight="1">
      <c r="C37" s="4395">
        <v>43069</v>
      </c>
      <c r="D37" s="4387">
        <v>172405198.81999999</v>
      </c>
      <c r="E37" s="4387">
        <v>189203361.94999999</v>
      </c>
      <c r="F37" s="4396">
        <f t="shared" si="0"/>
        <v>9.7434202941514267E-2</v>
      </c>
    </row>
    <row r="38" spans="3:6" ht="24.95" customHeight="1">
      <c r="C38" s="4388" t="s">
        <v>12</v>
      </c>
      <c r="D38" s="4389">
        <f>SUM(D7:D37)</f>
        <v>5727448809.2799988</v>
      </c>
      <c r="E38" s="4389">
        <f>SUM(E7:E37)</f>
        <v>6025644841.8399982</v>
      </c>
      <c r="F38" s="4390">
        <f t="shared" ref="F38" si="1">(E38-D38)/D38</f>
        <v>5.2064373247097756E-2</v>
      </c>
    </row>
    <row r="41" spans="3:6" ht="19.899999999999999" customHeight="1"/>
    <row r="66" spans="12:38">
      <c r="L66" s="2120"/>
      <c r="M66" s="2120"/>
      <c r="N66" s="2120"/>
      <c r="O66" s="2120"/>
      <c r="P66" s="2120"/>
      <c r="Q66" s="2120"/>
      <c r="R66" s="2120"/>
      <c r="S66" s="2120"/>
      <c r="T66" s="2120"/>
      <c r="U66" s="2120"/>
      <c r="V66" s="2120"/>
      <c r="W66" s="2120"/>
      <c r="X66" s="2120"/>
      <c r="Y66" s="2120"/>
      <c r="Z66" s="2120"/>
      <c r="AA66" s="2120"/>
      <c r="AB66" s="2120"/>
      <c r="AC66" s="2120"/>
      <c r="AD66" s="2120"/>
      <c r="AE66" s="2120"/>
      <c r="AF66" s="2120"/>
      <c r="AG66" s="2120"/>
      <c r="AH66" s="2120"/>
      <c r="AI66" s="2120"/>
      <c r="AJ66" s="2120"/>
      <c r="AK66" s="2120"/>
      <c r="AL66" s="2120"/>
    </row>
    <row r="68" spans="12:38">
      <c r="L68" s="2120"/>
      <c r="M68" s="2120"/>
      <c r="N68" s="2120"/>
      <c r="O68" s="2120"/>
      <c r="P68" s="2120"/>
      <c r="Q68" s="2120"/>
      <c r="R68" s="2120"/>
      <c r="S68" s="2120"/>
      <c r="T68" s="2120"/>
      <c r="U68" s="2120"/>
      <c r="V68" s="2120"/>
      <c r="W68" s="2120"/>
      <c r="X68" s="2120"/>
      <c r="Y68" s="2120"/>
      <c r="Z68" s="2120"/>
      <c r="AA68" s="2120"/>
      <c r="AB68" s="2120"/>
      <c r="AC68" s="2120"/>
      <c r="AD68" s="2120"/>
      <c r="AE68" s="2120"/>
      <c r="AF68" s="2120"/>
      <c r="AG68" s="2120"/>
      <c r="AH68" s="2120"/>
      <c r="AI68" s="2120"/>
      <c r="AJ68" s="2120"/>
      <c r="AK68" s="2120"/>
      <c r="AL68" s="2120"/>
    </row>
    <row r="92" spans="12:38">
      <c r="L92" s="2120"/>
      <c r="M92" s="2120"/>
      <c r="N92" s="2120"/>
      <c r="O92" s="2120"/>
      <c r="P92" s="2120"/>
      <c r="Q92" s="2120"/>
      <c r="R92" s="2120"/>
      <c r="S92" s="2120"/>
      <c r="T92" s="2120"/>
      <c r="U92" s="2120"/>
      <c r="V92" s="2120"/>
      <c r="W92" s="2120"/>
      <c r="X92" s="2120"/>
      <c r="Y92" s="2120"/>
      <c r="Z92" s="2120"/>
      <c r="AA92" s="2120"/>
      <c r="AB92" s="2120"/>
      <c r="AC92" s="2120"/>
      <c r="AD92" s="2120"/>
      <c r="AE92" s="2120"/>
      <c r="AF92" s="2120"/>
      <c r="AG92" s="2120"/>
      <c r="AH92" s="2120"/>
      <c r="AI92" s="2120"/>
      <c r="AJ92" s="2120"/>
      <c r="AK92" s="2120"/>
      <c r="AL92" s="2120"/>
    </row>
    <row r="94" spans="12:38">
      <c r="L94" s="2120"/>
      <c r="M94" s="2120"/>
      <c r="N94" s="2120"/>
      <c r="O94" s="2120"/>
      <c r="P94" s="2120"/>
      <c r="Q94" s="2120"/>
      <c r="R94" s="2120"/>
      <c r="S94" s="2120"/>
      <c r="T94" s="2120"/>
      <c r="U94" s="2120"/>
      <c r="V94" s="2120"/>
      <c r="W94" s="2120"/>
      <c r="X94" s="2120"/>
      <c r="Y94" s="2120"/>
      <c r="Z94" s="2120"/>
      <c r="AA94" s="2120"/>
      <c r="AB94" s="2120"/>
      <c r="AC94" s="2120"/>
      <c r="AD94" s="2120"/>
      <c r="AE94" s="2120"/>
      <c r="AF94" s="2120"/>
      <c r="AG94" s="2120"/>
      <c r="AH94" s="2120"/>
      <c r="AI94" s="2120"/>
      <c r="AJ94" s="2120"/>
      <c r="AK94" s="2120"/>
      <c r="AL94" s="2120"/>
    </row>
  </sheetData>
  <customSheetViews>
    <customSheetView guid="{7C71EF2A-5ADA-494C-8F58-DDA71753DD90}" showPageBreaks="1" printArea="1">
      <selection activeCell="N15" sqref="N15"/>
      <pageMargins left="0.85" right="0.4" top="0.75" bottom="0.75" header="0.3" footer="0.3"/>
      <pageSetup scale="87" orientation="portrait" verticalDpi="4294967295" r:id="rId1"/>
    </customSheetView>
    <customSheetView guid="{B91C2E87-5EDA-40AE-AC27-0E2C17E803CE}" showPageBreaks="1" printArea="1" topLeftCell="A4">
      <selection activeCell="F6" sqref="F6"/>
      <pageMargins left="0.95" right="0.27" top="0.75" bottom="0.75" header="0.3" footer="0.3"/>
      <pageSetup scale="96" orientation="portrait" r:id="rId2"/>
    </customSheetView>
    <customSheetView guid="{23F4DC00-BC97-4745-AA5C-F05D469CB1EF}" showPageBreaks="1" printArea="1">
      <selection activeCell="F6" sqref="F6"/>
      <pageMargins left="0.95" right="0.27" top="0.75" bottom="0.75" header="0.3" footer="0.3"/>
      <pageSetup orientation="portrait" r:id="rId3"/>
    </customSheetView>
    <customSheetView guid="{917057C8-5E5F-4164-B84C-85103677A2E5}">
      <selection activeCell="A23" sqref="A23:XFD23"/>
      <pageMargins left="0.7" right="0.7" top="0.75" bottom="0.75" header="0.3" footer="0.3"/>
      <pageSetup orientation="portrait" verticalDpi="0" r:id="rId4"/>
    </customSheetView>
    <customSheetView guid="{5A803268-F6C5-4035-B3E1-A94CB9AA8994}" showPageBreaks="1">
      <selection activeCell="A23" sqref="A23:XFD23"/>
      <pageMargins left="0.7" right="0.7" top="0.75" bottom="0.75" header="0.3" footer="0.3"/>
      <pageSetup orientation="portrait" horizontalDpi="0" verticalDpi="0" r:id="rId5"/>
    </customSheetView>
    <customSheetView guid="{751D391F-C74F-4B53-B5B5-25E01AC12EA4}" topLeftCell="A7">
      <selection activeCell="H4" sqref="H4"/>
      <pageMargins left="0.85" right="0.4" top="0.75" bottom="0.75" header="0.3" footer="0.3"/>
      <pageSetup scale="63" orientation="portrait" horizontalDpi="4294967295" verticalDpi="4294967295" r:id="rId6"/>
    </customSheetView>
    <customSheetView guid="{D1D1E152-95AB-45D3-AC07-4EC0834D3E0C}" showPageBreaks="1" printArea="1" topLeftCell="A7">
      <selection activeCell="H4" sqref="H4"/>
      <pageMargins left="0.85" right="0.4" top="0.75" bottom="0.75" header="0.3" footer="0.3"/>
      <pageSetup scale="63" orientation="portrait" horizontalDpi="4294967295" verticalDpi="4294967295" r:id="rId7"/>
    </customSheetView>
    <customSheetView guid="{4DB6C640-CE65-4513-9E5A-F6CDD1F4B8AF}" showPageBreaks="1" topLeftCell="F1">
      <selection activeCell="A37" sqref="A37:XFD37"/>
      <pageMargins left="0.85" right="0.4" top="0.75" bottom="0.75" header="0.3" footer="0.3"/>
      <pageSetup scale="63" orientation="portrait" horizontalDpi="4294967295" verticalDpi="4294967295" r:id="rId8"/>
    </customSheetView>
    <customSheetView guid="{C3348F62-02F2-4500-9BF2-19F2DEA57A8D}" showPageBreaks="1" printArea="1" topLeftCell="A4">
      <selection activeCell="H4" sqref="H4"/>
      <pageMargins left="0.85" right="0.4" top="0.75" bottom="0.75" header="0.3" footer="0.3"/>
      <pageSetup scale="63" orientation="portrait" horizontalDpi="4294967295" verticalDpi="4294967295" r:id="rId9"/>
    </customSheetView>
  </customSheetViews>
  <pageMargins left="0.85" right="0.4" top="0.75" bottom="0.75" header="0.3" footer="0.3"/>
  <pageSetup scale="63" orientation="portrait" horizontalDpi="4294967295" verticalDpi="4294967295" r:id="rId10"/>
  <legacyDrawing r:id="rId11"/>
  <controls>
    <control shapeId="7170" r:id="rId12" name="Cmd_Btn_Create_Energy_Report"/>
    <control shapeId="7171" r:id="rId13" name="Cmd_Btn_Update_Energy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1"/>
  <sheetViews>
    <sheetView workbookViewId="0">
      <selection activeCell="G17" sqref="G17"/>
    </sheetView>
  </sheetViews>
  <sheetFormatPr defaultRowHeight="15"/>
  <sheetData/>
  <customSheetViews>
    <customSheetView guid="{751D391F-C74F-4B53-B5B5-25E01AC12EA4}">
      <selection activeCell="M22" sqref="M22"/>
      <pageMargins left="0.7" right="0.7" top="0.75" bottom="0.75" header="0.3" footer="0.3"/>
      <pageSetup paperSize="9" orientation="portrait" r:id="rId1"/>
    </customSheetView>
    <customSheetView guid="{D1D1E152-95AB-45D3-AC07-4EC0834D3E0C}">
      <selection activeCell="M22" sqref="M22"/>
      <pageMargins left="0.7" right="0.7" top="0.75" bottom="0.75" header="0.3" footer="0.3"/>
      <pageSetup paperSize="9" orientation="portrait" r:id="rId2"/>
    </customSheetView>
    <customSheetView guid="{4DB6C640-CE65-4513-9E5A-F6CDD1F4B8AF}">
      <selection activeCell="M22" sqref="M22"/>
      <pageMargins left="0.7" right="0.7" top="0.75" bottom="0.75" header="0.3" footer="0.3"/>
    </customSheetView>
    <customSheetView guid="{C3348F62-02F2-4500-9BF2-19F2DEA57A8D}" showPageBreaks="1">
      <selection activeCell="G17" sqref="G17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35</vt:i4>
      </vt:variant>
    </vt:vector>
  </HeadingPairs>
  <TitlesOfParts>
    <vt:vector size="63" baseType="lpstr">
      <vt:lpstr>GEntry</vt:lpstr>
      <vt:lpstr>FWise</vt:lpstr>
      <vt:lpstr>MVAR-Yesterday</vt:lpstr>
      <vt:lpstr>Forecast</vt:lpstr>
      <vt:lpstr>Ch</vt:lpstr>
      <vt:lpstr>PM</vt:lpstr>
      <vt:lpstr>Generation</vt:lpstr>
      <vt:lpstr>EvReport</vt:lpstr>
      <vt:lpstr>EvBangla</vt:lpstr>
      <vt:lpstr>DGFI</vt:lpstr>
      <vt:lpstr>EWIC</vt:lpstr>
      <vt:lpstr>P1</vt:lpstr>
      <vt:lpstr>P2</vt:lpstr>
      <vt:lpstr>P3</vt:lpstr>
      <vt:lpstr>Volt</vt:lpstr>
      <vt:lpstr>YesterdayGen</vt:lpstr>
      <vt:lpstr>L-Curve</vt:lpstr>
      <vt:lpstr>En-Curve</vt:lpstr>
      <vt:lpstr>SMS</vt:lpstr>
      <vt:lpstr>NSI Reading</vt:lpstr>
      <vt:lpstr>P-Sum</vt:lpstr>
      <vt:lpstr>Demand</vt:lpstr>
      <vt:lpstr>YesterdayFWise</vt:lpstr>
      <vt:lpstr>Master</vt:lpstr>
      <vt:lpstr>Zone Wise Gen</vt:lpstr>
      <vt:lpstr>solar</vt:lpstr>
      <vt:lpstr>EnReport</vt:lpstr>
      <vt:lpstr>Sheet1</vt:lpstr>
      <vt:lpstr>Volt!A</vt:lpstr>
      <vt:lpstr>DeleteA2</vt:lpstr>
      <vt:lpstr>DeleteB1</vt:lpstr>
      <vt:lpstr>DeleteB2</vt:lpstr>
      <vt:lpstr>DeleteC1</vt:lpstr>
      <vt:lpstr>DeleteC2</vt:lpstr>
      <vt:lpstr>Eastern</vt:lpstr>
      <vt:lpstr>Evening</vt:lpstr>
      <vt:lpstr>HVDC</vt:lpstr>
      <vt:lpstr>Kaptai</vt:lpstr>
      <vt:lpstr>Morning</vt:lpstr>
      <vt:lpstr>Night</vt:lpstr>
      <vt:lpstr>Ch!Print_Area</vt:lpstr>
      <vt:lpstr>DGFI!Print_Area</vt:lpstr>
      <vt:lpstr>'En-Curve'!Print_Area</vt:lpstr>
      <vt:lpstr>EnReport!Print_Area</vt:lpstr>
      <vt:lpstr>EvBangla!Print_Area</vt:lpstr>
      <vt:lpstr>EvReport!Print_Area</vt:lpstr>
      <vt:lpstr>Forecast!Print_Area</vt:lpstr>
      <vt:lpstr>FWise!Print_Area</vt:lpstr>
      <vt:lpstr>Generation!Print_Area</vt:lpstr>
      <vt:lpstr>'L-Curve'!Print_Area</vt:lpstr>
      <vt:lpstr>'P1'!Print_Area</vt:lpstr>
      <vt:lpstr>'P2'!Print_Area</vt:lpstr>
      <vt:lpstr>'P3'!Print_Area</vt:lpstr>
      <vt:lpstr>PM!Print_Area</vt:lpstr>
      <vt:lpstr>Volt!Print_Area</vt:lpstr>
      <vt:lpstr>YesterdayFWise!Print_Area</vt:lpstr>
      <vt:lpstr>'Zone Wise Gen'!Print_Area</vt:lpstr>
      <vt:lpstr>EvReport!Print_Titles</vt:lpstr>
      <vt:lpstr>Forecast!Print_Titles</vt:lpstr>
      <vt:lpstr>'P2'!Print_Titles</vt:lpstr>
      <vt:lpstr>Teknaf</vt:lpstr>
      <vt:lpstr>Total</vt:lpstr>
      <vt:lpstr>Water_Level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KzamaN</dc:creator>
  <cp:lastModifiedBy>cv</cp:lastModifiedBy>
  <cp:lastPrinted>2022-01-08T06:25:14Z</cp:lastPrinted>
  <dcterms:created xsi:type="dcterms:W3CDTF">2006-09-16T00:00:00Z</dcterms:created>
  <dcterms:modified xsi:type="dcterms:W3CDTF">2022-01-08T06:50:04Z</dcterms:modified>
</cp:coreProperties>
</file>